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carcglgov.sharepoint.com/sites/NYStretchCoordination/Shared Documents/Prototypes/Prototypes/Scorecards/"/>
    </mc:Choice>
  </mc:AlternateContent>
  <xr:revisionPtr revIDLastSave="1327" documentId="8_{A8BC847A-249E-4027-ABC6-8B9C637E3446}" xr6:coauthVersionLast="47" xr6:coauthVersionMax="47" xr10:uidLastSave="{79272826-3CC3-4471-A97E-D31E137A8636}"/>
  <bookViews>
    <workbookView xWindow="28680" yWindow="-120" windowWidth="29040" windowHeight="15720" tabRatio="809" firstSheet="1" activeTab="1" xr2:uid="{EAC23EE3-0CA0-4FF8-990D-9B21A59FA3E0}"/>
  </bookViews>
  <sheets>
    <sheet name="Notes" sheetId="23" r:id="rId1"/>
    <sheet name="Prototype" sheetId="2" r:id="rId2"/>
    <sheet name="Zones" sheetId="13" r:id="rId3"/>
    <sheet name="Envelope" sheetId="1" r:id="rId4"/>
    <sheet name="HVAC System" sheetId="14" r:id="rId5"/>
    <sheet name="Ventilation" sheetId="18" r:id="rId6"/>
    <sheet name="Thermostat" sheetId="31" r:id="rId7"/>
    <sheet name="Water Heater" sheetId="7" r:id="rId8"/>
    <sheet name="Ext Lighting" sheetId="9" r:id="rId9"/>
    <sheet name="Interior Lights" sheetId="25" r:id="rId10"/>
    <sheet name="Equipment" sheetId="29" r:id="rId11"/>
    <sheet name="Schedules" sheetId="28" r:id="rId12"/>
    <sheet name="Energy Usage" sheetId="20" r:id="rId13"/>
    <sheet name="Weights" sheetId="21" r:id="rId14"/>
    <sheet name="PV" sheetId="27" state="hidden" r:id="rId15"/>
    <sheet name="EV Charger" sheetId="22" state="hidden" r:id="rId16"/>
    <sheet name="Data" sheetId="32" state="hidden" r:id="rId17"/>
  </sheets>
  <externalReferences>
    <externalReference r:id="rId18"/>
  </externalReferences>
  <definedNames>
    <definedName name="_xlnm._FilterDatabase" localSheetId="16" hidden="1">Data!$D$1:$G$1</definedName>
    <definedName name="_xlnm._FilterDatabase" localSheetId="2" hidden="1">Zones!$A$2:$AA$58</definedName>
    <definedName name="nonparticipating_forecastzone_scale_factor" localSheetId="16">'[1]Energy Usage'!#REF!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20" l="1"/>
  <c r="T4" i="20" l="1"/>
  <c r="U4" i="20"/>
  <c r="T5" i="20"/>
  <c r="U5" i="20"/>
  <c r="T6" i="20"/>
  <c r="U6" i="20"/>
  <c r="T7" i="20"/>
  <c r="U7" i="20"/>
  <c r="T8" i="20"/>
  <c r="U8" i="20"/>
  <c r="T9" i="20"/>
  <c r="U9" i="20"/>
  <c r="T10" i="20"/>
  <c r="U10" i="20"/>
  <c r="T11" i="20"/>
  <c r="U11" i="20"/>
  <c r="T12" i="20"/>
  <c r="U12" i="20"/>
  <c r="T13" i="20"/>
  <c r="U13" i="20"/>
  <c r="T14" i="20"/>
  <c r="U14" i="20"/>
  <c r="T15" i="20"/>
  <c r="U15" i="20"/>
  <c r="T16" i="20"/>
  <c r="U16" i="20"/>
  <c r="T17" i="20"/>
  <c r="U17" i="20"/>
  <c r="T18" i="20"/>
  <c r="U18" i="20"/>
  <c r="U3" i="20"/>
  <c r="T3" i="20"/>
  <c r="K3" i="20"/>
  <c r="J4" i="20" l="1"/>
  <c r="L4" i="20" s="1"/>
  <c r="K4" i="20"/>
  <c r="J5" i="20"/>
  <c r="K5" i="20"/>
  <c r="J6" i="20"/>
  <c r="K6" i="20"/>
  <c r="J7" i="20"/>
  <c r="K7" i="20"/>
  <c r="J8" i="20"/>
  <c r="K8" i="20"/>
  <c r="J9" i="20"/>
  <c r="K9" i="20"/>
  <c r="J10" i="20"/>
  <c r="K10" i="20"/>
  <c r="L10" i="20" s="1"/>
  <c r="J11" i="20"/>
  <c r="K11" i="20"/>
  <c r="J12" i="20"/>
  <c r="K12" i="20"/>
  <c r="L12" i="20" s="1"/>
  <c r="J13" i="20"/>
  <c r="K13" i="20"/>
  <c r="J14" i="20"/>
  <c r="K14" i="20"/>
  <c r="J15" i="20"/>
  <c r="K15" i="20"/>
  <c r="J16" i="20"/>
  <c r="K16" i="20"/>
  <c r="J17" i="20"/>
  <c r="K17" i="20"/>
  <c r="J18" i="20"/>
  <c r="K18" i="20"/>
  <c r="J3" i="20"/>
  <c r="L18" i="20"/>
  <c r="L17" i="20"/>
  <c r="L9" i="20"/>
  <c r="L8" i="20"/>
  <c r="L7" i="20"/>
  <c r="L6" i="20"/>
  <c r="L11" i="20" l="1"/>
  <c r="L3" i="20"/>
  <c r="L16" i="20"/>
  <c r="L5" i="20"/>
  <c r="L14" i="20"/>
  <c r="L13" i="20"/>
  <c r="L15" i="20"/>
  <c r="F44" i="21" l="1"/>
  <c r="E44" i="21"/>
  <c r="D44" i="21"/>
  <c r="C44" i="21"/>
  <c r="F43" i="21"/>
  <c r="E43" i="21"/>
  <c r="D43" i="21"/>
  <c r="C43" i="21"/>
  <c r="F42" i="21"/>
  <c r="E42" i="21"/>
  <c r="D42" i="21"/>
  <c r="C42" i="21"/>
  <c r="F41" i="21"/>
  <c r="E41" i="21"/>
  <c r="D41" i="21"/>
  <c r="C41" i="21"/>
  <c r="F40" i="21"/>
  <c r="E40" i="21"/>
  <c r="D40" i="21"/>
  <c r="C40" i="21"/>
  <c r="F39" i="21"/>
  <c r="E39" i="21"/>
  <c r="D39" i="21"/>
  <c r="C39" i="21"/>
  <c r="F38" i="21"/>
  <c r="E38" i="21"/>
  <c r="D38" i="21"/>
  <c r="C38" i="21"/>
  <c r="F37" i="21"/>
  <c r="E37" i="21"/>
  <c r="D37" i="21"/>
  <c r="C37" i="21"/>
  <c r="F36" i="21"/>
  <c r="E36" i="21"/>
  <c r="D36" i="21"/>
  <c r="C36" i="21"/>
  <c r="F35" i="21"/>
  <c r="E35" i="21"/>
  <c r="D35" i="21"/>
  <c r="C35" i="21"/>
  <c r="F34" i="21"/>
  <c r="E34" i="21"/>
  <c r="D34" i="21"/>
  <c r="C34" i="21"/>
  <c r="F33" i="21"/>
  <c r="E33" i="21"/>
  <c r="D33" i="21"/>
  <c r="C33" i="21"/>
  <c r="F32" i="21"/>
  <c r="E32" i="21"/>
  <c r="D32" i="21"/>
  <c r="C32" i="21"/>
  <c r="F31" i="21"/>
  <c r="E31" i="21"/>
  <c r="D31" i="21"/>
  <c r="C31" i="21"/>
  <c r="F30" i="21"/>
  <c r="E30" i="21"/>
  <c r="D30" i="21"/>
  <c r="C30" i="21"/>
  <c r="F29" i="21"/>
  <c r="E29" i="21"/>
  <c r="D29" i="21"/>
  <c r="C29" i="21"/>
  <c r="F28" i="21"/>
  <c r="E28" i="21"/>
  <c r="D28" i="21"/>
  <c r="C28" i="21"/>
  <c r="V15" i="20" l="1"/>
  <c r="V16" i="20"/>
  <c r="V17" i="20"/>
  <c r="V18" i="20"/>
  <c r="H20" i="21"/>
  <c r="H30" i="21"/>
  <c r="H31" i="21"/>
  <c r="H32" i="21"/>
  <c r="H37" i="21"/>
  <c r="H38" i="21"/>
  <c r="H39" i="21"/>
  <c r="H40" i="21"/>
  <c r="H41" i="21"/>
  <c r="H42" i="21"/>
  <c r="H28" i="21"/>
  <c r="H29" i="21"/>
  <c r="H33" i="21"/>
  <c r="H34" i="21"/>
  <c r="H35" i="21"/>
  <c r="H36" i="21"/>
  <c r="H43" i="21"/>
  <c r="H44" i="21"/>
  <c r="A25" i="21"/>
  <c r="V10" i="20"/>
  <c r="V11" i="20"/>
  <c r="S4" i="20"/>
  <c r="S5" i="20"/>
  <c r="S6" i="20"/>
  <c r="S7" i="20"/>
  <c r="S8" i="20"/>
  <c r="S9" i="20"/>
  <c r="S10" i="20"/>
  <c r="S11" i="20"/>
  <c r="S12" i="20"/>
  <c r="S13" i="20"/>
  <c r="S14" i="20"/>
  <c r="V14" i="20" s="1"/>
  <c r="S15" i="20"/>
  <c r="S16" i="20"/>
  <c r="S17" i="20"/>
  <c r="S18" i="20"/>
  <c r="S3" i="20"/>
  <c r="K5"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4" i="13"/>
  <c r="K3" i="13"/>
  <c r="J28" i="13"/>
  <c r="J12" i="13"/>
  <c r="G28" i="28"/>
  <c r="H28" i="28"/>
  <c r="I28" i="28"/>
  <c r="J28" i="28"/>
  <c r="K28" i="28"/>
  <c r="L28" i="28"/>
  <c r="M28" i="28"/>
  <c r="N28" i="28"/>
  <c r="O28" i="28"/>
  <c r="P28" i="28"/>
  <c r="Q28" i="28"/>
  <c r="R28" i="28"/>
  <c r="S28" i="28"/>
  <c r="T28" i="28"/>
  <c r="U28" i="28"/>
  <c r="V28" i="28"/>
  <c r="W28" i="28"/>
  <c r="X28" i="28"/>
  <c r="Y28" i="28"/>
  <c r="Z28" i="28"/>
  <c r="AA28" i="28"/>
  <c r="AB28" i="28"/>
  <c r="AC28" i="28"/>
  <c r="G29" i="28"/>
  <c r="H29" i="28"/>
  <c r="I29" i="28"/>
  <c r="J29" i="28"/>
  <c r="K29" i="28"/>
  <c r="L29" i="28"/>
  <c r="M29" i="28"/>
  <c r="N29" i="28"/>
  <c r="O29" i="28"/>
  <c r="P29" i="28"/>
  <c r="Q29" i="28"/>
  <c r="R29" i="28"/>
  <c r="S29" i="28"/>
  <c r="T29" i="28"/>
  <c r="U29" i="28"/>
  <c r="V29" i="28"/>
  <c r="W29" i="28"/>
  <c r="X29" i="28"/>
  <c r="Y29" i="28"/>
  <c r="Z29" i="28"/>
  <c r="AA29" i="28"/>
  <c r="AB29" i="28"/>
  <c r="AC29" i="28"/>
  <c r="G30" i="28"/>
  <c r="H30" i="28"/>
  <c r="I30" i="28"/>
  <c r="J30" i="28"/>
  <c r="K30" i="28"/>
  <c r="L30" i="28"/>
  <c r="M30" i="28"/>
  <c r="N30" i="28"/>
  <c r="O30" i="28"/>
  <c r="P30" i="28"/>
  <c r="Q30" i="28"/>
  <c r="R30" i="28"/>
  <c r="S30" i="28"/>
  <c r="T30" i="28"/>
  <c r="U30" i="28"/>
  <c r="V30" i="28"/>
  <c r="W30" i="28"/>
  <c r="X30" i="28"/>
  <c r="Y30" i="28"/>
  <c r="Z30" i="28"/>
  <c r="AA30" i="28"/>
  <c r="AB30" i="28"/>
  <c r="AC30" i="28"/>
  <c r="F29" i="28"/>
  <c r="F30" i="28"/>
  <c r="F28" i="28"/>
  <c r="A16" i="29"/>
  <c r="A17" i="25"/>
  <c r="A147" i="28"/>
  <c r="B147" i="28"/>
  <c r="F107" i="28"/>
  <c r="G107" i="28"/>
  <c r="H107" i="28"/>
  <c r="I107" i="28"/>
  <c r="J107" i="28"/>
  <c r="K107" i="28"/>
  <c r="L107" i="28"/>
  <c r="M107" i="28"/>
  <c r="N107" i="28"/>
  <c r="O107" i="28"/>
  <c r="P107" i="28"/>
  <c r="Q107" i="28"/>
  <c r="R107" i="28"/>
  <c r="S107" i="28"/>
  <c r="T107" i="28"/>
  <c r="U107" i="28"/>
  <c r="V107" i="28"/>
  <c r="W107" i="28"/>
  <c r="X107" i="28"/>
  <c r="Y107" i="28"/>
  <c r="Z107" i="28"/>
  <c r="AA107" i="28"/>
  <c r="AB107" i="28"/>
  <c r="AC107" i="28"/>
  <c r="F108" i="28"/>
  <c r="G108" i="28"/>
  <c r="H108" i="28"/>
  <c r="I108" i="28"/>
  <c r="J108" i="28"/>
  <c r="K108" i="28"/>
  <c r="L108" i="28"/>
  <c r="M108" i="28"/>
  <c r="N108" i="28"/>
  <c r="O108" i="28"/>
  <c r="P108" i="28"/>
  <c r="Q108" i="28"/>
  <c r="R108" i="28"/>
  <c r="S108" i="28"/>
  <c r="T108" i="28"/>
  <c r="U108" i="28"/>
  <c r="V108" i="28"/>
  <c r="W108" i="28"/>
  <c r="X108" i="28"/>
  <c r="Y108" i="28"/>
  <c r="Z108" i="28"/>
  <c r="AA108" i="28"/>
  <c r="AB108" i="28"/>
  <c r="AC108" i="28"/>
  <c r="G106" i="28"/>
  <c r="H106" i="28"/>
  <c r="I106" i="28"/>
  <c r="J106" i="28"/>
  <c r="K106" i="28"/>
  <c r="L106" i="28"/>
  <c r="M106" i="28"/>
  <c r="N106" i="28"/>
  <c r="O106" i="28"/>
  <c r="P106" i="28"/>
  <c r="Q106" i="28"/>
  <c r="R106" i="28"/>
  <c r="S106" i="28"/>
  <c r="T106" i="28"/>
  <c r="U106" i="28"/>
  <c r="V106" i="28"/>
  <c r="W106" i="28"/>
  <c r="X106" i="28"/>
  <c r="Y106" i="28"/>
  <c r="Z106" i="28"/>
  <c r="AA106" i="28"/>
  <c r="AB106" i="28"/>
  <c r="AC106" i="28"/>
  <c r="F109" i="28"/>
  <c r="F110" i="28"/>
  <c r="F111" i="28"/>
  <c r="G109" i="28"/>
  <c r="H109" i="28"/>
  <c r="I109" i="28"/>
  <c r="J109" i="28"/>
  <c r="K109" i="28"/>
  <c r="L109" i="28"/>
  <c r="M109" i="28"/>
  <c r="N109" i="28"/>
  <c r="O109" i="28"/>
  <c r="P109" i="28"/>
  <c r="Q109" i="28"/>
  <c r="R109" i="28"/>
  <c r="S109" i="28"/>
  <c r="T109" i="28"/>
  <c r="U109" i="28"/>
  <c r="V109" i="28"/>
  <c r="W109" i="28"/>
  <c r="X109" i="28"/>
  <c r="Y109" i="28"/>
  <c r="Z109" i="28"/>
  <c r="AA109" i="28"/>
  <c r="AB109" i="28"/>
  <c r="AC109" i="28"/>
  <c r="G110" i="28"/>
  <c r="H110" i="28"/>
  <c r="I110" i="28"/>
  <c r="J110" i="28"/>
  <c r="K110" i="28"/>
  <c r="L110" i="28"/>
  <c r="M110" i="28"/>
  <c r="N110" i="28"/>
  <c r="O110" i="28"/>
  <c r="P110" i="28"/>
  <c r="Q110" i="28"/>
  <c r="R110" i="28"/>
  <c r="S110" i="28"/>
  <c r="T110" i="28"/>
  <c r="U110" i="28"/>
  <c r="V110" i="28"/>
  <c r="W110" i="28"/>
  <c r="X110" i="28"/>
  <c r="Y110" i="28"/>
  <c r="Z110" i="28"/>
  <c r="AA110" i="28"/>
  <c r="AB110" i="28"/>
  <c r="AC110" i="28"/>
  <c r="G111" i="28"/>
  <c r="H111" i="28"/>
  <c r="I111" i="28"/>
  <c r="J111" i="28"/>
  <c r="K111" i="28"/>
  <c r="L111" i="28"/>
  <c r="M111" i="28"/>
  <c r="N111" i="28"/>
  <c r="O111" i="28"/>
  <c r="P111" i="28"/>
  <c r="Q111" i="28"/>
  <c r="R111" i="28"/>
  <c r="S111" i="28"/>
  <c r="T111" i="28"/>
  <c r="U111" i="28"/>
  <c r="V111" i="28"/>
  <c r="W111" i="28"/>
  <c r="X111" i="28"/>
  <c r="Y111" i="28"/>
  <c r="Z111" i="28"/>
  <c r="AA111" i="28"/>
  <c r="AB111" i="28"/>
  <c r="AC111" i="28"/>
  <c r="F106" i="28"/>
  <c r="B14" i="31"/>
  <c r="C14" i="31"/>
  <c r="D14" i="31"/>
  <c r="E14" i="31"/>
  <c r="F14" i="31"/>
  <c r="G14" i="31"/>
  <c r="H14" i="31"/>
  <c r="I14" i="31"/>
  <c r="J14" i="31"/>
  <c r="K14" i="31"/>
  <c r="L14" i="31"/>
  <c r="M14" i="31"/>
  <c r="N14" i="31"/>
  <c r="O14" i="31"/>
  <c r="P14" i="31"/>
  <c r="Q14" i="31"/>
  <c r="C13" i="31"/>
  <c r="D13" i="31"/>
  <c r="E13" i="31"/>
  <c r="F13" i="31"/>
  <c r="G13" i="31"/>
  <c r="H13" i="31"/>
  <c r="I13" i="31"/>
  <c r="J13" i="31"/>
  <c r="K13" i="31"/>
  <c r="L13" i="31"/>
  <c r="M13" i="31"/>
  <c r="N13" i="31"/>
  <c r="O13" i="31"/>
  <c r="P13" i="31"/>
  <c r="Q13" i="31"/>
  <c r="B13" i="31"/>
  <c r="B12" i="31"/>
  <c r="C12" i="31"/>
  <c r="D12" i="31"/>
  <c r="E12" i="31"/>
  <c r="F12" i="31"/>
  <c r="G12" i="31"/>
  <c r="H12" i="31"/>
  <c r="I12" i="31"/>
  <c r="J12" i="31"/>
  <c r="K12" i="31"/>
  <c r="L12" i="31"/>
  <c r="M12" i="31"/>
  <c r="N12" i="31"/>
  <c r="O12" i="31"/>
  <c r="P12" i="31"/>
  <c r="Q12" i="31"/>
  <c r="C11" i="31"/>
  <c r="D11" i="31"/>
  <c r="E11" i="31"/>
  <c r="F11" i="31"/>
  <c r="G11" i="31"/>
  <c r="H11" i="31"/>
  <c r="I11" i="31"/>
  <c r="J11" i="31"/>
  <c r="K11" i="31"/>
  <c r="L11" i="31"/>
  <c r="M11" i="31"/>
  <c r="N11" i="31"/>
  <c r="O11" i="31"/>
  <c r="P11" i="31"/>
  <c r="Q11" i="31"/>
  <c r="B11" i="31"/>
  <c r="B109" i="28"/>
  <c r="B106" i="28"/>
  <c r="B103" i="28"/>
  <c r="B97" i="28"/>
  <c r="B94" i="28"/>
  <c r="B91" i="28"/>
  <c r="B100" i="28" s="1"/>
  <c r="V7" i="20" l="1"/>
  <c r="V5" i="20"/>
  <c r="V4" i="20"/>
  <c r="V8" i="20"/>
  <c r="V13" i="20"/>
  <c r="V12" i="20"/>
  <c r="V6" i="20"/>
  <c r="V9" i="20"/>
  <c r="AC86" i="28"/>
  <c r="AB86" i="28"/>
  <c r="AA86" i="28"/>
  <c r="Z86" i="28"/>
  <c r="Y86" i="28"/>
  <c r="X86" i="28"/>
  <c r="W86" i="28"/>
  <c r="V86" i="28"/>
  <c r="U86" i="28"/>
  <c r="T86" i="28"/>
  <c r="S86" i="28"/>
  <c r="R86" i="28"/>
  <c r="Q86" i="28"/>
  <c r="P86" i="28"/>
  <c r="O86" i="28"/>
  <c r="N86" i="28"/>
  <c r="M86" i="28"/>
  <c r="L86" i="28"/>
  <c r="K86" i="28"/>
  <c r="J86" i="28"/>
  <c r="I86" i="28"/>
  <c r="H86" i="28"/>
  <c r="G86" i="28"/>
  <c r="F86" i="28"/>
  <c r="AC85" i="28"/>
  <c r="AB85" i="28"/>
  <c r="AA85" i="28"/>
  <c r="Z85" i="28"/>
  <c r="Y85" i="28"/>
  <c r="X85" i="28"/>
  <c r="W85" i="28"/>
  <c r="V85" i="28"/>
  <c r="U85" i="28"/>
  <c r="T85" i="28"/>
  <c r="S85" i="28"/>
  <c r="R85" i="28"/>
  <c r="Q85" i="28"/>
  <c r="P85" i="28"/>
  <c r="O85" i="28"/>
  <c r="N85" i="28"/>
  <c r="M85" i="28"/>
  <c r="L85" i="28"/>
  <c r="K85" i="28"/>
  <c r="J85" i="28"/>
  <c r="I85" i="28"/>
  <c r="H85" i="28"/>
  <c r="G85" i="28"/>
  <c r="F85" i="28"/>
  <c r="AC84" i="28"/>
  <c r="AB84" i="28"/>
  <c r="AA84" i="28"/>
  <c r="Z84" i="28"/>
  <c r="Y84" i="28"/>
  <c r="X84" i="28"/>
  <c r="W84" i="28"/>
  <c r="V84" i="28"/>
  <c r="U84" i="28"/>
  <c r="T84" i="28"/>
  <c r="S84" i="28"/>
  <c r="R84" i="28"/>
  <c r="Q84" i="28"/>
  <c r="P84" i="28"/>
  <c r="O84" i="28"/>
  <c r="N84" i="28"/>
  <c r="M84" i="28"/>
  <c r="L84" i="28"/>
  <c r="K84" i="28"/>
  <c r="J84" i="28"/>
  <c r="I84" i="28"/>
  <c r="H84" i="28"/>
  <c r="G84" i="28"/>
  <c r="F84" i="28"/>
  <c r="B84" i="28"/>
  <c r="AC83" i="28"/>
  <c r="AB83" i="28"/>
  <c r="AA83" i="28"/>
  <c r="Z83" i="28"/>
  <c r="Y83" i="28"/>
  <c r="X83" i="28"/>
  <c r="W83" i="28"/>
  <c r="V83" i="28"/>
  <c r="U83" i="28"/>
  <c r="T83" i="28"/>
  <c r="S83" i="28"/>
  <c r="R83" i="28"/>
  <c r="Q83" i="28"/>
  <c r="P83" i="28"/>
  <c r="O83" i="28"/>
  <c r="N83" i="28"/>
  <c r="M83" i="28"/>
  <c r="L83" i="28"/>
  <c r="K83" i="28"/>
  <c r="J83" i="28"/>
  <c r="I83" i="28"/>
  <c r="H83" i="28"/>
  <c r="G83" i="28"/>
  <c r="F83" i="28"/>
  <c r="AC82" i="28"/>
  <c r="AB82" i="28"/>
  <c r="AA82" i="28"/>
  <c r="Z82" i="28"/>
  <c r="Y82" i="28"/>
  <c r="X82" i="28"/>
  <c r="W82" i="28"/>
  <c r="V82" i="28"/>
  <c r="U82" i="28"/>
  <c r="T82" i="28"/>
  <c r="S82" i="28"/>
  <c r="R82" i="28"/>
  <c r="Q82" i="28"/>
  <c r="P82" i="28"/>
  <c r="O82" i="28"/>
  <c r="N82" i="28"/>
  <c r="M82" i="28"/>
  <c r="L82" i="28"/>
  <c r="K82" i="28"/>
  <c r="J82" i="28"/>
  <c r="I82" i="28"/>
  <c r="H82" i="28"/>
  <c r="G82" i="28"/>
  <c r="F82" i="28"/>
  <c r="AC81" i="28"/>
  <c r="AB81" i="28"/>
  <c r="AA81" i="28"/>
  <c r="Z81" i="28"/>
  <c r="Y81" i="28"/>
  <c r="X81" i="28"/>
  <c r="W81" i="28"/>
  <c r="V81" i="28"/>
  <c r="U81" i="28"/>
  <c r="T81" i="28"/>
  <c r="S81" i="28"/>
  <c r="R81" i="28"/>
  <c r="Q81" i="28"/>
  <c r="P81" i="28"/>
  <c r="O81" i="28"/>
  <c r="N81" i="28"/>
  <c r="M81" i="28"/>
  <c r="L81" i="28"/>
  <c r="K81" i="28"/>
  <c r="J81" i="28"/>
  <c r="I81" i="28"/>
  <c r="H81" i="28"/>
  <c r="G81" i="28"/>
  <c r="F81" i="28"/>
  <c r="B81" i="28"/>
  <c r="B78" i="28"/>
  <c r="B72" i="28"/>
  <c r="B69" i="28"/>
  <c r="B66" i="28"/>
  <c r="B75" i="28" s="1"/>
  <c r="G22" i="28"/>
  <c r="H22" i="28"/>
  <c r="I22" i="28"/>
  <c r="J22" i="28"/>
  <c r="K22" i="28"/>
  <c r="L22" i="28"/>
  <c r="M22" i="28"/>
  <c r="N22" i="28"/>
  <c r="O22" i="28"/>
  <c r="P22" i="28"/>
  <c r="Q22" i="28"/>
  <c r="R22" i="28"/>
  <c r="S22" i="28"/>
  <c r="T22" i="28"/>
  <c r="U22" i="28"/>
  <c r="V22" i="28"/>
  <c r="W22" i="28"/>
  <c r="X22" i="28"/>
  <c r="Y22" i="28"/>
  <c r="Z22" i="28"/>
  <c r="AA22" i="28"/>
  <c r="AB22" i="28"/>
  <c r="AC22" i="28"/>
  <c r="G23" i="28"/>
  <c r="H23" i="28"/>
  <c r="I23" i="28"/>
  <c r="J23" i="28"/>
  <c r="K23" i="28"/>
  <c r="L23" i="28"/>
  <c r="M23" i="28"/>
  <c r="N23" i="28"/>
  <c r="O23" i="28"/>
  <c r="P23" i="28"/>
  <c r="Q23" i="28"/>
  <c r="R23" i="28"/>
  <c r="S23" i="28"/>
  <c r="T23" i="28"/>
  <c r="U23" i="28"/>
  <c r="V23" i="28"/>
  <c r="W23" i="28"/>
  <c r="X23" i="28"/>
  <c r="Y23" i="28"/>
  <c r="Z23" i="28"/>
  <c r="AA23" i="28"/>
  <c r="AB23" i="28"/>
  <c r="AC23" i="28"/>
  <c r="G24" i="28"/>
  <c r="H24" i="28"/>
  <c r="I24" i="28"/>
  <c r="J24" i="28"/>
  <c r="K24" i="28"/>
  <c r="L24" i="28"/>
  <c r="M24" i="28"/>
  <c r="N24" i="28"/>
  <c r="O24" i="28"/>
  <c r="P24" i="28"/>
  <c r="Q24" i="28"/>
  <c r="R24" i="28"/>
  <c r="S24" i="28"/>
  <c r="T24" i="28"/>
  <c r="U24" i="28"/>
  <c r="V24" i="28"/>
  <c r="W24" i="28"/>
  <c r="X24" i="28"/>
  <c r="Y24" i="28"/>
  <c r="Z24" i="28"/>
  <c r="AA24" i="28"/>
  <c r="AB24" i="28"/>
  <c r="AC24" i="28"/>
  <c r="F23" i="28"/>
  <c r="F24" i="28"/>
  <c r="F22" i="28"/>
  <c r="B59" i="28" l="1"/>
  <c r="B56" i="28"/>
  <c r="B53" i="28"/>
  <c r="B47" i="28"/>
  <c r="B44" i="28"/>
  <c r="B41" i="28"/>
  <c r="B38" i="28"/>
  <c r="B50" i="28" s="1"/>
  <c r="AC61" i="28"/>
  <c r="AB61" i="28"/>
  <c r="AA61" i="28"/>
  <c r="Z61" i="28"/>
  <c r="Y61" i="28"/>
  <c r="X61" i="28"/>
  <c r="W61" i="28"/>
  <c r="V61" i="28"/>
  <c r="U61" i="28"/>
  <c r="T61" i="28"/>
  <c r="S61" i="28"/>
  <c r="R61" i="28"/>
  <c r="Q61" i="28"/>
  <c r="P61" i="28"/>
  <c r="O61" i="28"/>
  <c r="N61" i="28"/>
  <c r="M61" i="28"/>
  <c r="L61" i="28"/>
  <c r="K61" i="28"/>
  <c r="J61" i="28"/>
  <c r="I61" i="28"/>
  <c r="H61" i="28"/>
  <c r="G61" i="28"/>
  <c r="F61" i="28"/>
  <c r="AC60" i="28"/>
  <c r="AB60" i="28"/>
  <c r="AA60" i="28"/>
  <c r="Z60" i="28"/>
  <c r="Y60" i="28"/>
  <c r="X60" i="28"/>
  <c r="W60" i="28"/>
  <c r="V60" i="28"/>
  <c r="U60" i="28"/>
  <c r="T60" i="28"/>
  <c r="S60" i="28"/>
  <c r="R60" i="28"/>
  <c r="Q60" i="28"/>
  <c r="P60" i="28"/>
  <c r="O60" i="28"/>
  <c r="N60" i="28"/>
  <c r="M60" i="28"/>
  <c r="L60" i="28"/>
  <c r="K60" i="28"/>
  <c r="J60" i="28"/>
  <c r="I60" i="28"/>
  <c r="H60" i="28"/>
  <c r="G60" i="28"/>
  <c r="F60" i="28"/>
  <c r="AC59" i="28"/>
  <c r="AB59" i="28"/>
  <c r="AA59" i="28"/>
  <c r="Z59" i="28"/>
  <c r="Y59" i="28"/>
  <c r="X59" i="28"/>
  <c r="W59" i="28"/>
  <c r="V59" i="28"/>
  <c r="U59" i="28"/>
  <c r="T59" i="28"/>
  <c r="S59" i="28"/>
  <c r="R59" i="28"/>
  <c r="Q59" i="28"/>
  <c r="P59" i="28"/>
  <c r="O59" i="28"/>
  <c r="N59" i="28"/>
  <c r="M59" i="28"/>
  <c r="L59" i="28"/>
  <c r="K59" i="28"/>
  <c r="J59" i="28"/>
  <c r="I59" i="28"/>
  <c r="H59" i="28"/>
  <c r="G59" i="28"/>
  <c r="F59" i="28"/>
  <c r="AC58" i="28"/>
  <c r="AB58" i="28"/>
  <c r="AA58" i="28"/>
  <c r="Z58" i="28"/>
  <c r="Y58" i="28"/>
  <c r="X58" i="28"/>
  <c r="W58" i="28"/>
  <c r="V58" i="28"/>
  <c r="U58" i="28"/>
  <c r="T58" i="28"/>
  <c r="S58" i="28"/>
  <c r="R58" i="28"/>
  <c r="Q58" i="28"/>
  <c r="P58" i="28"/>
  <c r="O58" i="28"/>
  <c r="N58" i="28"/>
  <c r="M58" i="28"/>
  <c r="L58" i="28"/>
  <c r="K58" i="28"/>
  <c r="J58" i="28"/>
  <c r="I58" i="28"/>
  <c r="H58" i="28"/>
  <c r="G58" i="28"/>
  <c r="F58" i="28"/>
  <c r="AC57" i="28"/>
  <c r="AB57" i="28"/>
  <c r="AA57" i="28"/>
  <c r="Z57" i="28"/>
  <c r="Y57" i="28"/>
  <c r="X57" i="28"/>
  <c r="W57" i="28"/>
  <c r="V57" i="28"/>
  <c r="U57" i="28"/>
  <c r="T57" i="28"/>
  <c r="S57" i="28"/>
  <c r="R57" i="28"/>
  <c r="Q57" i="28"/>
  <c r="P57" i="28"/>
  <c r="O57" i="28"/>
  <c r="N57" i="28"/>
  <c r="M57" i="28"/>
  <c r="L57" i="28"/>
  <c r="K57" i="28"/>
  <c r="J57" i="28"/>
  <c r="I57" i="28"/>
  <c r="H57" i="28"/>
  <c r="G57" i="28"/>
  <c r="F57" i="28"/>
  <c r="AC56" i="28"/>
  <c r="AB56" i="28"/>
  <c r="AA56" i="28"/>
  <c r="Z56" i="28"/>
  <c r="Y56" i="28"/>
  <c r="X56" i="28"/>
  <c r="W56" i="28"/>
  <c r="V56" i="28"/>
  <c r="U56" i="28"/>
  <c r="T56" i="28"/>
  <c r="S56" i="28"/>
  <c r="R56" i="28"/>
  <c r="Q56" i="28"/>
  <c r="P56" i="28"/>
  <c r="O56" i="28"/>
  <c r="N56" i="28"/>
  <c r="M56" i="28"/>
  <c r="L56" i="28"/>
  <c r="K56" i="28"/>
  <c r="J56" i="28"/>
  <c r="I56" i="28"/>
  <c r="H56" i="28"/>
  <c r="G56" i="28"/>
  <c r="F56" i="28"/>
  <c r="C67" i="18"/>
  <c r="C68" i="18"/>
  <c r="G196" i="28" l="1"/>
  <c r="H196" i="28"/>
  <c r="I196" i="28"/>
  <c r="J196" i="28"/>
  <c r="K196" i="28"/>
  <c r="L196" i="28"/>
  <c r="M196" i="28"/>
  <c r="N196" i="28"/>
  <c r="O196" i="28"/>
  <c r="P196" i="28"/>
  <c r="Q196" i="28"/>
  <c r="R196" i="28"/>
  <c r="S196" i="28"/>
  <c r="T196" i="28"/>
  <c r="U196" i="28"/>
  <c r="V196" i="28"/>
  <c r="W196" i="28"/>
  <c r="X196" i="28"/>
  <c r="Y196" i="28"/>
  <c r="Z196" i="28"/>
  <c r="AA196" i="28"/>
  <c r="AB196" i="28"/>
  <c r="AC196" i="28"/>
  <c r="G197" i="28"/>
  <c r="H197" i="28"/>
  <c r="I197" i="28"/>
  <c r="J197" i="28"/>
  <c r="K197" i="28"/>
  <c r="L197" i="28"/>
  <c r="M197" i="28"/>
  <c r="N197" i="28"/>
  <c r="O197" i="28"/>
  <c r="P197" i="28"/>
  <c r="Q197" i="28"/>
  <c r="R197" i="28"/>
  <c r="S197" i="28"/>
  <c r="T197" i="28"/>
  <c r="U197" i="28"/>
  <c r="V197" i="28"/>
  <c r="W197" i="28"/>
  <c r="X197" i="28"/>
  <c r="Y197" i="28"/>
  <c r="Z197" i="28"/>
  <c r="AA197" i="28"/>
  <c r="AB197" i="28"/>
  <c r="AC197" i="28"/>
  <c r="G198" i="28"/>
  <c r="H198" i="28"/>
  <c r="I198" i="28"/>
  <c r="J198" i="28"/>
  <c r="K198" i="28"/>
  <c r="L198" i="28"/>
  <c r="M198" i="28"/>
  <c r="N198" i="28"/>
  <c r="O198" i="28"/>
  <c r="P198" i="28"/>
  <c r="Q198" i="28"/>
  <c r="R198" i="28"/>
  <c r="S198" i="28"/>
  <c r="T198" i="28"/>
  <c r="U198" i="28"/>
  <c r="V198" i="28"/>
  <c r="W198" i="28"/>
  <c r="X198" i="28"/>
  <c r="Y198" i="28"/>
  <c r="Z198" i="28"/>
  <c r="AA198" i="28"/>
  <c r="AB198" i="28"/>
  <c r="AC198" i="28"/>
  <c r="G199" i="28"/>
  <c r="H199" i="28"/>
  <c r="I199" i="28"/>
  <c r="J199" i="28"/>
  <c r="K199" i="28"/>
  <c r="L199" i="28"/>
  <c r="M199" i="28"/>
  <c r="N199" i="28"/>
  <c r="O199" i="28"/>
  <c r="P199" i="28"/>
  <c r="Q199" i="28"/>
  <c r="R199" i="28"/>
  <c r="S199" i="28"/>
  <c r="T199" i="28"/>
  <c r="U199" i="28"/>
  <c r="V199" i="28"/>
  <c r="W199" i="28"/>
  <c r="X199" i="28"/>
  <c r="Y199" i="28"/>
  <c r="Z199" i="28"/>
  <c r="AA199" i="28"/>
  <c r="AB199" i="28"/>
  <c r="AC199" i="28"/>
  <c r="G200" i="28"/>
  <c r="H200" i="28"/>
  <c r="I200" i="28"/>
  <c r="J200" i="28"/>
  <c r="K200" i="28"/>
  <c r="L200" i="28"/>
  <c r="M200" i="28"/>
  <c r="N200" i="28"/>
  <c r="O200" i="28"/>
  <c r="P200" i="28"/>
  <c r="Q200" i="28"/>
  <c r="R200" i="28"/>
  <c r="S200" i="28"/>
  <c r="T200" i="28"/>
  <c r="U200" i="28"/>
  <c r="V200" i="28"/>
  <c r="W200" i="28"/>
  <c r="X200" i="28"/>
  <c r="Y200" i="28"/>
  <c r="Z200" i="28"/>
  <c r="AA200" i="28"/>
  <c r="AB200" i="28"/>
  <c r="AC200" i="28"/>
  <c r="G201" i="28"/>
  <c r="H201" i="28"/>
  <c r="I201" i="28"/>
  <c r="J201" i="28"/>
  <c r="K201" i="28"/>
  <c r="L201" i="28"/>
  <c r="M201" i="28"/>
  <c r="N201" i="28"/>
  <c r="O201" i="28"/>
  <c r="P201" i="28"/>
  <c r="Q201" i="28"/>
  <c r="R201" i="28"/>
  <c r="S201" i="28"/>
  <c r="T201" i="28"/>
  <c r="U201" i="28"/>
  <c r="V201" i="28"/>
  <c r="W201" i="28"/>
  <c r="X201" i="28"/>
  <c r="Y201" i="28"/>
  <c r="Z201" i="28"/>
  <c r="AA201" i="28"/>
  <c r="AB201" i="28"/>
  <c r="AC201" i="28"/>
  <c r="F200" i="28"/>
  <c r="F201" i="28"/>
  <c r="F199" i="28"/>
  <c r="F197" i="28"/>
  <c r="F198" i="28"/>
  <c r="F196" i="28"/>
  <c r="G131" i="28"/>
  <c r="H131" i="28"/>
  <c r="I131" i="28"/>
  <c r="J131" i="28"/>
  <c r="K131" i="28"/>
  <c r="L131" i="28"/>
  <c r="M131" i="28"/>
  <c r="N131" i="28"/>
  <c r="O131" i="28"/>
  <c r="P131" i="28"/>
  <c r="Q131" i="28"/>
  <c r="R131" i="28"/>
  <c r="S131" i="28"/>
  <c r="T131" i="28"/>
  <c r="U131" i="28"/>
  <c r="V131" i="28"/>
  <c r="W131" i="28"/>
  <c r="X131" i="28"/>
  <c r="Y131" i="28"/>
  <c r="Z131" i="28"/>
  <c r="AA131" i="28"/>
  <c r="AB131" i="28"/>
  <c r="AC131" i="28"/>
  <c r="G132" i="28"/>
  <c r="H132" i="28"/>
  <c r="I132" i="28"/>
  <c r="J132" i="28"/>
  <c r="K132" i="28"/>
  <c r="L132" i="28"/>
  <c r="M132" i="28"/>
  <c r="N132" i="28"/>
  <c r="O132" i="28"/>
  <c r="P132" i="28"/>
  <c r="Q132" i="28"/>
  <c r="R132" i="28"/>
  <c r="S132" i="28"/>
  <c r="T132" i="28"/>
  <c r="U132" i="28"/>
  <c r="V132" i="28"/>
  <c r="W132" i="28"/>
  <c r="X132" i="28"/>
  <c r="Y132" i="28"/>
  <c r="Z132" i="28"/>
  <c r="AA132" i="28"/>
  <c r="AB132" i="28"/>
  <c r="AC132" i="28"/>
  <c r="G133" i="28"/>
  <c r="H133" i="28"/>
  <c r="I133" i="28"/>
  <c r="J133" i="28"/>
  <c r="K133" i="28"/>
  <c r="L133" i="28"/>
  <c r="M133" i="28"/>
  <c r="N133" i="28"/>
  <c r="O133" i="28"/>
  <c r="P133" i="28"/>
  <c r="Q133" i="28"/>
  <c r="R133" i="28"/>
  <c r="S133" i="28"/>
  <c r="T133" i="28"/>
  <c r="U133" i="28"/>
  <c r="V133" i="28"/>
  <c r="W133" i="28"/>
  <c r="X133" i="28"/>
  <c r="Y133" i="28"/>
  <c r="Z133" i="28"/>
  <c r="AA133" i="28"/>
  <c r="AB133" i="28"/>
  <c r="AC133" i="28"/>
  <c r="G134" i="28"/>
  <c r="H134" i="28"/>
  <c r="I134" i="28"/>
  <c r="J134" i="28"/>
  <c r="K134" i="28"/>
  <c r="L134" i="28"/>
  <c r="M134" i="28"/>
  <c r="N134" i="28"/>
  <c r="O134" i="28"/>
  <c r="P134" i="28"/>
  <c r="Q134" i="28"/>
  <c r="R134" i="28"/>
  <c r="S134" i="28"/>
  <c r="T134" i="28"/>
  <c r="U134" i="28"/>
  <c r="V134" i="28"/>
  <c r="W134" i="28"/>
  <c r="X134" i="28"/>
  <c r="Y134" i="28"/>
  <c r="Z134" i="28"/>
  <c r="AA134" i="28"/>
  <c r="AB134" i="28"/>
  <c r="AC134" i="28"/>
  <c r="G135" i="28"/>
  <c r="H135" i="28"/>
  <c r="I135" i="28"/>
  <c r="J135" i="28"/>
  <c r="K135" i="28"/>
  <c r="L135" i="28"/>
  <c r="M135" i="28"/>
  <c r="N135" i="28"/>
  <c r="O135" i="28"/>
  <c r="P135" i="28"/>
  <c r="Q135" i="28"/>
  <c r="R135" i="28"/>
  <c r="S135" i="28"/>
  <c r="T135" i="28"/>
  <c r="U135" i="28"/>
  <c r="V135" i="28"/>
  <c r="W135" i="28"/>
  <c r="X135" i="28"/>
  <c r="Y135" i="28"/>
  <c r="Z135" i="28"/>
  <c r="AA135" i="28"/>
  <c r="AB135" i="28"/>
  <c r="AC135" i="28"/>
  <c r="G136" i="28"/>
  <c r="H136" i="28"/>
  <c r="I136" i="28"/>
  <c r="J136" i="28"/>
  <c r="K136" i="28"/>
  <c r="L136" i="28"/>
  <c r="M136" i="28"/>
  <c r="N136" i="28"/>
  <c r="O136" i="28"/>
  <c r="P136" i="28"/>
  <c r="Q136" i="28"/>
  <c r="R136" i="28"/>
  <c r="S136" i="28"/>
  <c r="T136" i="28"/>
  <c r="U136" i="28"/>
  <c r="V136" i="28"/>
  <c r="W136" i="28"/>
  <c r="X136" i="28"/>
  <c r="Y136" i="28"/>
  <c r="Z136" i="28"/>
  <c r="AA136" i="28"/>
  <c r="AB136" i="28"/>
  <c r="AC136" i="28"/>
  <c r="F135" i="28"/>
  <c r="F136" i="28"/>
  <c r="F134" i="28"/>
  <c r="F132" i="28"/>
  <c r="F133" i="28"/>
  <c r="F131" i="28"/>
  <c r="G159" i="28"/>
  <c r="H159" i="28"/>
  <c r="I159" i="28"/>
  <c r="J159" i="28"/>
  <c r="K159" i="28"/>
  <c r="L159" i="28"/>
  <c r="M159" i="28"/>
  <c r="N159" i="28"/>
  <c r="O159" i="28"/>
  <c r="P159" i="28"/>
  <c r="Q159" i="28"/>
  <c r="R159" i="28"/>
  <c r="S159" i="28"/>
  <c r="T159" i="28"/>
  <c r="U159" i="28"/>
  <c r="V159" i="28"/>
  <c r="W159" i="28"/>
  <c r="X159" i="28"/>
  <c r="Y159" i="28"/>
  <c r="Z159" i="28"/>
  <c r="AA159" i="28"/>
  <c r="AB159" i="28"/>
  <c r="AC159" i="28"/>
  <c r="G160" i="28"/>
  <c r="H160" i="28"/>
  <c r="I160" i="28"/>
  <c r="J160" i="28"/>
  <c r="K160" i="28"/>
  <c r="L160" i="28"/>
  <c r="M160" i="28"/>
  <c r="N160" i="28"/>
  <c r="O160" i="28"/>
  <c r="P160" i="28"/>
  <c r="Q160" i="28"/>
  <c r="R160" i="28"/>
  <c r="S160" i="28"/>
  <c r="T160" i="28"/>
  <c r="U160" i="28"/>
  <c r="V160" i="28"/>
  <c r="W160" i="28"/>
  <c r="X160" i="28"/>
  <c r="Y160" i="28"/>
  <c r="Z160" i="28"/>
  <c r="AA160" i="28"/>
  <c r="AB160" i="28"/>
  <c r="AC160" i="28"/>
  <c r="G161" i="28"/>
  <c r="H161" i="28"/>
  <c r="I161" i="28"/>
  <c r="J161" i="28"/>
  <c r="K161" i="28"/>
  <c r="L161" i="28"/>
  <c r="M161" i="28"/>
  <c r="N161" i="28"/>
  <c r="O161" i="28"/>
  <c r="P161" i="28"/>
  <c r="Q161" i="28"/>
  <c r="R161" i="28"/>
  <c r="S161" i="28"/>
  <c r="T161" i="28"/>
  <c r="U161" i="28"/>
  <c r="V161" i="28"/>
  <c r="W161" i="28"/>
  <c r="X161" i="28"/>
  <c r="Y161" i="28"/>
  <c r="Z161" i="28"/>
  <c r="AA161" i="28"/>
  <c r="AB161" i="28"/>
  <c r="AC161" i="28"/>
  <c r="G162" i="28"/>
  <c r="H162" i="28"/>
  <c r="I162" i="28"/>
  <c r="J162" i="28"/>
  <c r="K162" i="28"/>
  <c r="L162" i="28"/>
  <c r="M162" i="28"/>
  <c r="N162" i="28"/>
  <c r="O162" i="28"/>
  <c r="P162" i="28"/>
  <c r="Q162" i="28"/>
  <c r="R162" i="28"/>
  <c r="S162" i="28"/>
  <c r="T162" i="28"/>
  <c r="U162" i="28"/>
  <c r="V162" i="28"/>
  <c r="W162" i="28"/>
  <c r="X162" i="28"/>
  <c r="Y162" i="28"/>
  <c r="Z162" i="28"/>
  <c r="AA162" i="28"/>
  <c r="AB162" i="28"/>
  <c r="AC162" i="28"/>
  <c r="G163" i="28"/>
  <c r="H163" i="28"/>
  <c r="I163" i="28"/>
  <c r="J163" i="28"/>
  <c r="K163" i="28"/>
  <c r="L163" i="28"/>
  <c r="M163" i="28"/>
  <c r="N163" i="28"/>
  <c r="O163" i="28"/>
  <c r="P163" i="28"/>
  <c r="Q163" i="28"/>
  <c r="R163" i="28"/>
  <c r="S163" i="28"/>
  <c r="T163" i="28"/>
  <c r="U163" i="28"/>
  <c r="V163" i="28"/>
  <c r="W163" i="28"/>
  <c r="X163" i="28"/>
  <c r="Y163" i="28"/>
  <c r="Z163" i="28"/>
  <c r="AA163" i="28"/>
  <c r="AB163" i="28"/>
  <c r="AC163" i="28"/>
  <c r="G164" i="28"/>
  <c r="H164" i="28"/>
  <c r="I164" i="28"/>
  <c r="J164" i="28"/>
  <c r="K164" i="28"/>
  <c r="L164" i="28"/>
  <c r="M164" i="28"/>
  <c r="N164" i="28"/>
  <c r="O164" i="28"/>
  <c r="P164" i="28"/>
  <c r="Q164" i="28"/>
  <c r="R164" i="28"/>
  <c r="S164" i="28"/>
  <c r="T164" i="28"/>
  <c r="U164" i="28"/>
  <c r="V164" i="28"/>
  <c r="W164" i="28"/>
  <c r="X164" i="28"/>
  <c r="Y164" i="28"/>
  <c r="Z164" i="28"/>
  <c r="AA164" i="28"/>
  <c r="AB164" i="28"/>
  <c r="AC164" i="28"/>
  <c r="F163" i="28"/>
  <c r="F164" i="28"/>
  <c r="F162" i="28"/>
  <c r="F160" i="28"/>
  <c r="F161" i="28"/>
  <c r="F159" i="28"/>
  <c r="B199" i="28"/>
  <c r="A199" i="28"/>
  <c r="B196" i="28"/>
  <c r="A196" i="28"/>
  <c r="AB171" i="28"/>
  <c r="AA171" i="28"/>
  <c r="Z171" i="28"/>
  <c r="Y171" i="28"/>
  <c r="X171" i="28"/>
  <c r="W171" i="28"/>
  <c r="V171" i="28"/>
  <c r="U171" i="28"/>
  <c r="T171" i="28"/>
  <c r="S171" i="28"/>
  <c r="R171" i="28"/>
  <c r="Q171" i="28"/>
  <c r="P171" i="28"/>
  <c r="O171" i="28"/>
  <c r="N171" i="28"/>
  <c r="M171" i="28"/>
  <c r="AB170" i="28"/>
  <c r="AA170" i="28"/>
  <c r="Z170" i="28"/>
  <c r="Y170" i="28"/>
  <c r="X170" i="28"/>
  <c r="W170" i="28"/>
  <c r="V170" i="28"/>
  <c r="U170" i="28"/>
  <c r="T170" i="28"/>
  <c r="S170" i="28"/>
  <c r="R170" i="28"/>
  <c r="Q170" i="28"/>
  <c r="P170" i="28"/>
  <c r="O170" i="28"/>
  <c r="N170" i="28"/>
  <c r="M170" i="28"/>
  <c r="K170" i="28"/>
  <c r="F170" i="28"/>
  <c r="AB169" i="28"/>
  <c r="AA169" i="28"/>
  <c r="Z169" i="28"/>
  <c r="Y169" i="28"/>
  <c r="X169" i="28"/>
  <c r="W169" i="28"/>
  <c r="V169" i="28"/>
  <c r="U169" i="28"/>
  <c r="T169" i="28"/>
  <c r="S169" i="28"/>
  <c r="R169" i="28"/>
  <c r="Q169" i="28"/>
  <c r="P169" i="28"/>
  <c r="O169" i="28"/>
  <c r="N169" i="28"/>
  <c r="M169" i="28"/>
  <c r="B162" i="28"/>
  <c r="A162" i="28"/>
  <c r="B159" i="28"/>
  <c r="A159" i="28"/>
  <c r="A156" i="28"/>
  <c r="A153" i="28"/>
  <c r="A150" i="28"/>
  <c r="A144" i="28"/>
  <c r="AB143" i="28"/>
  <c r="AA143" i="28"/>
  <c r="Z143" i="28"/>
  <c r="Y143" i="28"/>
  <c r="X143" i="28"/>
  <c r="W143" i="28"/>
  <c r="V143" i="28"/>
  <c r="U143" i="28"/>
  <c r="T143" i="28"/>
  <c r="S143" i="28"/>
  <c r="R143" i="28"/>
  <c r="Q143" i="28"/>
  <c r="P143" i="28"/>
  <c r="O143" i="28"/>
  <c r="N143" i="28"/>
  <c r="M143" i="28"/>
  <c r="AB142" i="28"/>
  <c r="AA142" i="28"/>
  <c r="Z142" i="28"/>
  <c r="Y142" i="28"/>
  <c r="X142" i="28"/>
  <c r="W142" i="28"/>
  <c r="V142" i="28"/>
  <c r="U142" i="28"/>
  <c r="T142" i="28"/>
  <c r="S142" i="28"/>
  <c r="R142" i="28"/>
  <c r="Q142" i="28"/>
  <c r="P142" i="28"/>
  <c r="O142" i="28"/>
  <c r="N142" i="28"/>
  <c r="M142" i="28"/>
  <c r="K142" i="28"/>
  <c r="F142" i="28"/>
  <c r="AB141" i="28"/>
  <c r="AA141" i="28"/>
  <c r="Z141" i="28"/>
  <c r="Y141" i="28"/>
  <c r="X141" i="28"/>
  <c r="W141" i="28"/>
  <c r="V141" i="28"/>
  <c r="U141" i="28"/>
  <c r="T141" i="28"/>
  <c r="S141" i="28"/>
  <c r="R141" i="28"/>
  <c r="Q141" i="28"/>
  <c r="P141" i="28"/>
  <c r="O141" i="28"/>
  <c r="N141" i="28"/>
  <c r="M141" i="28"/>
  <c r="A141" i="28"/>
  <c r="G31" i="28"/>
  <c r="H31" i="28"/>
  <c r="I31" i="28"/>
  <c r="J31" i="28"/>
  <c r="K31" i="28"/>
  <c r="L31" i="28"/>
  <c r="M31" i="28"/>
  <c r="N31" i="28"/>
  <c r="O31" i="28"/>
  <c r="P31" i="28"/>
  <c r="Q31" i="28"/>
  <c r="R31" i="28"/>
  <c r="S31" i="28"/>
  <c r="T31" i="28"/>
  <c r="U31" i="28"/>
  <c r="V31" i="28"/>
  <c r="W31" i="28"/>
  <c r="X31" i="28"/>
  <c r="Y31" i="28"/>
  <c r="Z31" i="28"/>
  <c r="AA31" i="28"/>
  <c r="AB31" i="28"/>
  <c r="AC31" i="28"/>
  <c r="G32" i="28"/>
  <c r="H32" i="28"/>
  <c r="I32" i="28"/>
  <c r="J32" i="28"/>
  <c r="K32" i="28"/>
  <c r="L32" i="28"/>
  <c r="M32" i="28"/>
  <c r="N32" i="28"/>
  <c r="O32" i="28"/>
  <c r="P32" i="28"/>
  <c r="Q32" i="28"/>
  <c r="R32" i="28"/>
  <c r="S32" i="28"/>
  <c r="T32" i="28"/>
  <c r="U32" i="28"/>
  <c r="V32" i="28"/>
  <c r="W32" i="28"/>
  <c r="X32" i="28"/>
  <c r="Y32" i="28"/>
  <c r="Z32" i="28"/>
  <c r="AA32" i="28"/>
  <c r="AB32" i="28"/>
  <c r="AC32" i="28"/>
  <c r="G33" i="28"/>
  <c r="H33" i="28"/>
  <c r="I33" i="28"/>
  <c r="J33" i="28"/>
  <c r="K33" i="28"/>
  <c r="L33" i="28"/>
  <c r="M33" i="28"/>
  <c r="N33" i="28"/>
  <c r="O33" i="28"/>
  <c r="P33" i="28"/>
  <c r="Q33" i="28"/>
  <c r="R33" i="28"/>
  <c r="S33" i="28"/>
  <c r="T33" i="28"/>
  <c r="U33" i="28"/>
  <c r="V33" i="28"/>
  <c r="W33" i="28"/>
  <c r="X33" i="28"/>
  <c r="Y33" i="28"/>
  <c r="Z33" i="28"/>
  <c r="AA33" i="28"/>
  <c r="AB33" i="28"/>
  <c r="AC33" i="28"/>
  <c r="F32" i="28"/>
  <c r="F33" i="28"/>
  <c r="F31" i="28"/>
  <c r="B71"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9" i="7"/>
  <c r="A1" i="21"/>
  <c r="J1" i="21"/>
  <c r="B3" i="9"/>
  <c r="A3" i="9"/>
  <c r="C64" i="7" l="1"/>
  <c r="A6" i="9"/>
  <c r="B82" i="7"/>
  <c r="D31" i="14"/>
  <c r="D30" i="14"/>
  <c r="B20" i="9"/>
  <c r="C12" i="9"/>
  <c r="G12" i="9" s="1"/>
  <c r="D38" i="29"/>
  <c r="H20" i="29" s="1"/>
  <c r="C38" i="29"/>
  <c r="B38" i="29"/>
  <c r="H21" i="29" s="1"/>
  <c r="G11" i="9"/>
  <c r="G9" i="9"/>
  <c r="G8" i="9"/>
  <c r="G13" i="9"/>
  <c r="G14" i="9" s="1"/>
  <c r="G10" i="9"/>
  <c r="A1" i="25"/>
  <c r="G15" i="9" l="1"/>
  <c r="G16" i="9"/>
  <c r="A1" i="13" l="1"/>
  <c r="A1" i="1"/>
  <c r="A1" i="14"/>
  <c r="A1" i="22"/>
  <c r="A1" i="27"/>
  <c r="N1" i="20"/>
  <c r="A1" i="28"/>
  <c r="A1" i="29"/>
  <c r="A1" i="9"/>
  <c r="O3" i="18"/>
  <c r="A1" i="18" s="1"/>
  <c r="A1" i="7"/>
  <c r="A1" i="31"/>
  <c r="H4" i="21"/>
  <c r="H5" i="21"/>
  <c r="AB9" i="21"/>
  <c r="AB7" i="21"/>
  <c r="AB8" i="21"/>
  <c r="J19" i="1"/>
  <c r="K19" i="1"/>
  <c r="L19" i="1"/>
  <c r="M19" i="1"/>
  <c r="N19" i="1"/>
  <c r="O19" i="1"/>
  <c r="P19" i="1"/>
  <c r="Q19" i="1"/>
  <c r="R19" i="1"/>
  <c r="S19" i="1"/>
  <c r="T19" i="1"/>
  <c r="U19" i="1"/>
  <c r="V19" i="1"/>
  <c r="W19" i="1"/>
  <c r="X19" i="1"/>
  <c r="I19" i="1"/>
  <c r="J18" i="1"/>
  <c r="K18" i="1"/>
  <c r="L18" i="1"/>
  <c r="M18" i="1"/>
  <c r="N18" i="1"/>
  <c r="O18" i="1"/>
  <c r="P18" i="1"/>
  <c r="Q18" i="1"/>
  <c r="R18" i="1"/>
  <c r="S18" i="1"/>
  <c r="T18" i="1"/>
  <c r="U18" i="1"/>
  <c r="V18" i="1"/>
  <c r="W18" i="1"/>
  <c r="X18" i="1"/>
  <c r="I18" i="1"/>
  <c r="I13" i="1"/>
  <c r="J13" i="1"/>
  <c r="K13" i="1"/>
  <c r="L13" i="1"/>
  <c r="M13" i="1"/>
  <c r="N13" i="1"/>
  <c r="O13" i="1"/>
  <c r="P13" i="1"/>
  <c r="Q13" i="1"/>
  <c r="R13" i="1"/>
  <c r="S13" i="1"/>
  <c r="T13" i="1"/>
  <c r="U13" i="1"/>
  <c r="V13" i="1"/>
  <c r="W13" i="1"/>
  <c r="X13" i="1"/>
  <c r="I14" i="1"/>
  <c r="J14" i="1"/>
  <c r="K14" i="1"/>
  <c r="L14" i="1"/>
  <c r="M14" i="1"/>
  <c r="N14" i="1"/>
  <c r="O14" i="1"/>
  <c r="P14" i="1"/>
  <c r="Q14" i="1"/>
  <c r="R14" i="1"/>
  <c r="S14" i="1"/>
  <c r="T14" i="1"/>
  <c r="U14" i="1"/>
  <c r="V14" i="1"/>
  <c r="W14" i="1"/>
  <c r="X14" i="1"/>
  <c r="C28" i="29"/>
  <c r="B20" i="29" s="1"/>
  <c r="B68" i="18"/>
  <c r="B67" i="18"/>
  <c r="B66" i="18"/>
  <c r="V11" i="18"/>
  <c r="V12" i="18"/>
  <c r="O5" i="18"/>
  <c r="B21" i="29" l="1"/>
  <c r="C29" i="29"/>
  <c r="C3" i="9"/>
  <c r="V8" i="18" l="1"/>
  <c r="A128" i="7" l="1"/>
  <c r="V15" i="18" l="1"/>
  <c r="Q17" i="18"/>
  <c r="Q16" i="18"/>
  <c r="Q11" i="18"/>
  <c r="O17" i="18"/>
  <c r="A140" i="7" s="1"/>
  <c r="O16" i="18"/>
  <c r="A139" i="7" s="1"/>
  <c r="O15" i="18"/>
  <c r="A138" i="7" s="1"/>
  <c r="O9" i="18"/>
  <c r="A132" i="7" s="1"/>
  <c r="O8" i="18"/>
  <c r="A131" i="7" s="1"/>
  <c r="O7" i="18"/>
  <c r="A130" i="7" s="1"/>
  <c r="O10" i="18"/>
  <c r="D12" i="18"/>
  <c r="J12" i="18" s="1"/>
  <c r="A16" i="25" l="1"/>
  <c r="A15" i="25"/>
  <c r="A14" i="25"/>
  <c r="A13" i="29"/>
  <c r="A133" i="7"/>
  <c r="A5" i="29"/>
  <c r="A15" i="29"/>
  <c r="A14" i="29"/>
  <c r="A9" i="25"/>
  <c r="A8" i="25"/>
  <c r="A7" i="25"/>
  <c r="A6" i="25"/>
  <c r="A8" i="29"/>
  <c r="A7" i="29"/>
  <c r="A6" i="29"/>
  <c r="V9" i="18" l="1"/>
  <c r="V10" i="18"/>
  <c r="V13" i="18"/>
  <c r="V14" i="18"/>
  <c r="Q6" i="18"/>
  <c r="Q14" i="18"/>
  <c r="Q13" i="18"/>
  <c r="Q12" i="18"/>
  <c r="Q10" i="18"/>
  <c r="Q9" i="18"/>
  <c r="Q8" i="18"/>
  <c r="Q7" i="18"/>
  <c r="Q5" i="18"/>
  <c r="O14" i="18"/>
  <c r="O13" i="18"/>
  <c r="O12" i="18"/>
  <c r="O11" i="18"/>
  <c r="O6" i="18"/>
  <c r="A136" i="7" l="1"/>
  <c r="A11" i="29"/>
  <c r="A12" i="25"/>
  <c r="A135" i="7"/>
  <c r="A10" i="29"/>
  <c r="A11" i="25"/>
  <c r="A134" i="7"/>
  <c r="A9" i="29"/>
  <c r="A10" i="25"/>
  <c r="F21" i="18"/>
  <c r="F22" i="18"/>
  <c r="F20" i="18"/>
  <c r="F18" i="18"/>
  <c r="A129" i="7"/>
  <c r="A5" i="25"/>
  <c r="A4" i="29"/>
  <c r="H8" i="18"/>
  <c r="F56" i="18"/>
  <c r="F38" i="18"/>
  <c r="F28" i="18"/>
  <c r="F49" i="18"/>
  <c r="F43" i="18"/>
  <c r="F46" i="18"/>
  <c r="H6" i="18"/>
  <c r="F55" i="18"/>
  <c r="F4" i="18"/>
  <c r="F48" i="18"/>
  <c r="F40" i="18"/>
  <c r="H10" i="18"/>
  <c r="F53" i="18"/>
  <c r="F37" i="18"/>
  <c r="H5" i="18"/>
  <c r="F16" i="18"/>
  <c r="F10" i="18"/>
  <c r="F6" i="18"/>
  <c r="F45" i="18"/>
  <c r="F42" i="18"/>
  <c r="F14" i="18"/>
  <c r="H4" i="18"/>
  <c r="F47" i="18"/>
  <c r="F7" i="18"/>
  <c r="H7" i="18"/>
  <c r="F5" i="18"/>
  <c r="H11" i="18"/>
  <c r="F35" i="18"/>
  <c r="F44" i="18"/>
  <c r="F13" i="18"/>
  <c r="F36" i="18"/>
  <c r="F17" i="18"/>
  <c r="F51" i="18"/>
  <c r="F19" i="18"/>
  <c r="F50" i="18"/>
  <c r="F39" i="18"/>
  <c r="F41" i="18"/>
  <c r="F12" i="18"/>
  <c r="F8" i="18"/>
  <c r="H9" i="18"/>
  <c r="F54" i="18"/>
  <c r="F52" i="18"/>
  <c r="F27" i="18"/>
  <c r="F15" i="18"/>
  <c r="F57" i="18"/>
  <c r="F29" i="18"/>
  <c r="F9" i="18"/>
  <c r="F11" i="18"/>
  <c r="A137" i="7"/>
  <c r="A12" i="29"/>
  <c r="A13" i="25"/>
  <c r="F24" i="18"/>
  <c r="H30" i="18"/>
  <c r="F26" i="18"/>
  <c r="F25" i="18"/>
  <c r="F33" i="18"/>
  <c r="H31" i="18"/>
  <c r="F32" i="18"/>
  <c r="H3" i="18"/>
  <c r="F31" i="18"/>
  <c r="F30" i="18"/>
  <c r="F3" i="18"/>
  <c r="H34" i="18"/>
  <c r="F34" i="18"/>
  <c r="H33" i="18"/>
  <c r="H32" i="18"/>
  <c r="H26" i="18"/>
  <c r="A3" i="29"/>
  <c r="A4" i="25"/>
  <c r="J4" i="13" l="1"/>
  <c r="D4" i="18" s="1"/>
  <c r="J4" i="18" s="1"/>
  <c r="J5" i="13"/>
  <c r="J6" i="13"/>
  <c r="J7" i="13"/>
  <c r="J8" i="13"/>
  <c r="J9" i="13"/>
  <c r="J10" i="13"/>
  <c r="J11" i="13"/>
  <c r="D11" i="18" s="1"/>
  <c r="J11" i="18" s="1"/>
  <c r="J13" i="13"/>
  <c r="J14" i="13"/>
  <c r="D14" i="18" s="1"/>
  <c r="J14" i="18" s="1"/>
  <c r="J15" i="13"/>
  <c r="J16" i="13"/>
  <c r="J17" i="13"/>
  <c r="J18" i="13"/>
  <c r="J19" i="13"/>
  <c r="J20" i="13"/>
  <c r="J21" i="13"/>
  <c r="J22" i="13"/>
  <c r="J23" i="13"/>
  <c r="J24" i="13"/>
  <c r="J25" i="13"/>
  <c r="J26" i="13"/>
  <c r="J27" i="13"/>
  <c r="J29" i="13"/>
  <c r="J30" i="13"/>
  <c r="J31" i="13"/>
  <c r="J32" i="13"/>
  <c r="J33" i="13"/>
  <c r="J34" i="13"/>
  <c r="J35" i="13"/>
  <c r="D35" i="18" s="1"/>
  <c r="J36" i="13"/>
  <c r="J37" i="13"/>
  <c r="J38" i="13"/>
  <c r="J39" i="13"/>
  <c r="J40" i="13"/>
  <c r="J41" i="13"/>
  <c r="J42" i="13"/>
  <c r="J43" i="13"/>
  <c r="J44" i="13"/>
  <c r="J45" i="13"/>
  <c r="J46" i="13"/>
  <c r="J47" i="13"/>
  <c r="J48" i="13"/>
  <c r="J49" i="13"/>
  <c r="J50" i="13"/>
  <c r="J51" i="13"/>
  <c r="J52" i="13"/>
  <c r="J53" i="13"/>
  <c r="J54" i="13"/>
  <c r="J55" i="13"/>
  <c r="J56" i="13"/>
  <c r="D56" i="18" s="1"/>
  <c r="J56" i="18" s="1"/>
  <c r="J57" i="13"/>
  <c r="D57" i="18" s="1"/>
  <c r="J3" i="13"/>
  <c r="J57" i="18" l="1"/>
  <c r="K57" i="18"/>
  <c r="J35" i="18"/>
  <c r="K35" i="18"/>
  <c r="J58" i="13"/>
  <c r="D3" i="18"/>
  <c r="P5" i="18"/>
  <c r="C128" i="7" s="1"/>
  <c r="G56" i="18"/>
  <c r="K56" i="18" s="1"/>
  <c r="D55" i="18"/>
  <c r="D54" i="18"/>
  <c r="D53" i="18"/>
  <c r="D52" i="18"/>
  <c r="D51" i="18"/>
  <c r="D50" i="18"/>
  <c r="D49" i="18"/>
  <c r="D48" i="18"/>
  <c r="D47" i="18"/>
  <c r="D46" i="18"/>
  <c r="D45" i="18"/>
  <c r="D44" i="18"/>
  <c r="D43" i="18"/>
  <c r="D42" i="18"/>
  <c r="D41" i="18"/>
  <c r="D40" i="18"/>
  <c r="P15" i="18"/>
  <c r="C138" i="7" s="1"/>
  <c r="D39" i="18"/>
  <c r="D38" i="18"/>
  <c r="D37" i="18"/>
  <c r="D36" i="18"/>
  <c r="D34" i="18"/>
  <c r="D33" i="18"/>
  <c r="D32" i="18"/>
  <c r="D31" i="18"/>
  <c r="D30" i="18"/>
  <c r="D29" i="18"/>
  <c r="D28" i="18"/>
  <c r="D27" i="18"/>
  <c r="J27" i="18" s="1"/>
  <c r="D26" i="18"/>
  <c r="P16" i="18"/>
  <c r="C139" i="7" s="1"/>
  <c r="D25" i="18"/>
  <c r="D24" i="18"/>
  <c r="K24" i="18" s="1"/>
  <c r="P11" i="18"/>
  <c r="C134" i="7" s="1"/>
  <c r="D23" i="18"/>
  <c r="P17" i="18"/>
  <c r="D22" i="18"/>
  <c r="J22" i="18" s="1"/>
  <c r="D21" i="18"/>
  <c r="J21" i="18" s="1"/>
  <c r="D20" i="18"/>
  <c r="J20" i="18" s="1"/>
  <c r="D19" i="18"/>
  <c r="J19" i="18" s="1"/>
  <c r="D18" i="18"/>
  <c r="J18" i="18" s="1"/>
  <c r="P10" i="18"/>
  <c r="C133" i="7" s="1"/>
  <c r="D17" i="18"/>
  <c r="D16" i="18"/>
  <c r="J16" i="18" s="1"/>
  <c r="D15" i="18"/>
  <c r="J15" i="18" s="1"/>
  <c r="D13" i="18"/>
  <c r="J13" i="18" s="1"/>
  <c r="D10" i="18"/>
  <c r="J10" i="18" s="1"/>
  <c r="D9" i="18"/>
  <c r="J9" i="18" s="1"/>
  <c r="D8" i="18"/>
  <c r="J8" i="18" s="1"/>
  <c r="D7" i="18"/>
  <c r="J7" i="18" s="1"/>
  <c r="D6" i="18"/>
  <c r="J6" i="18" s="1"/>
  <c r="D5" i="18"/>
  <c r="J5" i="18" s="1"/>
  <c r="P8" i="18"/>
  <c r="C131" i="7" s="1"/>
  <c r="P7" i="18"/>
  <c r="P6" i="18"/>
  <c r="P13" i="18"/>
  <c r="C136" i="7" s="1"/>
  <c r="P9" i="18"/>
  <c r="C132" i="7" s="1"/>
  <c r="F10" i="13"/>
  <c r="F50" i="13"/>
  <c r="F28" i="13"/>
  <c r="P14" i="18"/>
  <c r="C137" i="7" s="1"/>
  <c r="P12" i="18"/>
  <c r="J26" i="18" l="1"/>
  <c r="K26" i="18"/>
  <c r="J29" i="18"/>
  <c r="K29" i="18"/>
  <c r="J30" i="18"/>
  <c r="K30" i="18"/>
  <c r="J31" i="18"/>
  <c r="K31" i="18"/>
  <c r="J32" i="18"/>
  <c r="K32" i="18"/>
  <c r="J33" i="18"/>
  <c r="K33" i="18"/>
  <c r="J34" i="18"/>
  <c r="K34" i="18"/>
  <c r="J36" i="18"/>
  <c r="K36" i="18"/>
  <c r="J37" i="18"/>
  <c r="K37" i="18"/>
  <c r="J38" i="18"/>
  <c r="K38" i="18"/>
  <c r="J39" i="18"/>
  <c r="K39" i="18"/>
  <c r="J40" i="18"/>
  <c r="K40" i="18"/>
  <c r="J41" i="18"/>
  <c r="K41" i="18"/>
  <c r="J42" i="18"/>
  <c r="K42" i="18"/>
  <c r="J43" i="18"/>
  <c r="K43" i="18"/>
  <c r="J44" i="18"/>
  <c r="K44" i="18"/>
  <c r="J45" i="18"/>
  <c r="K45" i="18"/>
  <c r="J46" i="18"/>
  <c r="K46" i="18"/>
  <c r="J47" i="18"/>
  <c r="K47" i="18"/>
  <c r="J48" i="18"/>
  <c r="K48" i="18"/>
  <c r="J49" i="18"/>
  <c r="K49" i="18"/>
  <c r="J50" i="18"/>
  <c r="K50" i="18"/>
  <c r="J51" i="18"/>
  <c r="K51" i="18"/>
  <c r="J52" i="18"/>
  <c r="K52" i="18"/>
  <c r="J53" i="18"/>
  <c r="K53" i="18"/>
  <c r="J54" i="18"/>
  <c r="K54" i="18"/>
  <c r="J55" i="18"/>
  <c r="K55" i="18"/>
  <c r="J23" i="18"/>
  <c r="K23" i="18"/>
  <c r="C47" i="18"/>
  <c r="I47" i="18" s="1"/>
  <c r="L47" i="18" s="1"/>
  <c r="D53" i="7"/>
  <c r="C4" i="18"/>
  <c r="I4" i="18" s="1"/>
  <c r="L4" i="18" s="1"/>
  <c r="D10" i="7"/>
  <c r="C23" i="18"/>
  <c r="I23" i="18" s="1"/>
  <c r="L23" i="18" s="1"/>
  <c r="E66" i="18" s="1"/>
  <c r="D29" i="7"/>
  <c r="C13" i="18"/>
  <c r="I13" i="18" s="1"/>
  <c r="L13" i="18" s="1"/>
  <c r="D19" i="7"/>
  <c r="C25" i="18"/>
  <c r="I25" i="18" s="1"/>
  <c r="D31" i="7"/>
  <c r="C37" i="18"/>
  <c r="I37" i="18" s="1"/>
  <c r="L37" i="18" s="1"/>
  <c r="D43" i="7"/>
  <c r="C56" i="18"/>
  <c r="I56" i="18" s="1"/>
  <c r="L56" i="18" s="1"/>
  <c r="D62" i="7"/>
  <c r="C16" i="18"/>
  <c r="I16" i="18" s="1"/>
  <c r="L16" i="18" s="1"/>
  <c r="D22" i="7"/>
  <c r="C39" i="18"/>
  <c r="I39" i="18" s="1"/>
  <c r="L39" i="18" s="1"/>
  <c r="D45" i="7"/>
  <c r="C48" i="18"/>
  <c r="I48" i="18" s="1"/>
  <c r="L48" i="18" s="1"/>
  <c r="D54" i="7"/>
  <c r="C24" i="18"/>
  <c r="I24" i="18" s="1"/>
  <c r="D30" i="7"/>
  <c r="C15" i="18"/>
  <c r="I15" i="18" s="1"/>
  <c r="L15" i="18" s="1"/>
  <c r="D21" i="7"/>
  <c r="C38" i="18"/>
  <c r="I38" i="18" s="1"/>
  <c r="L38" i="18" s="1"/>
  <c r="D44" i="7"/>
  <c r="C49" i="18"/>
  <c r="I49" i="18" s="1"/>
  <c r="L49" i="18" s="1"/>
  <c r="D55" i="7"/>
  <c r="C27" i="18"/>
  <c r="I27" i="18" s="1"/>
  <c r="D33" i="7"/>
  <c r="C28" i="18"/>
  <c r="I28" i="18" s="1"/>
  <c r="D34" i="7"/>
  <c r="C12" i="18"/>
  <c r="I12" i="18" s="1"/>
  <c r="L12" i="18" s="1"/>
  <c r="D18" i="7"/>
  <c r="C35" i="18"/>
  <c r="I35" i="18" s="1"/>
  <c r="L35" i="18" s="1"/>
  <c r="D41" i="7"/>
  <c r="C41" i="18"/>
  <c r="I41" i="18" s="1"/>
  <c r="L41" i="18" s="1"/>
  <c r="D47" i="7"/>
  <c r="C52" i="18"/>
  <c r="I52" i="18" s="1"/>
  <c r="L52" i="18" s="1"/>
  <c r="D58" i="7"/>
  <c r="C57" i="18"/>
  <c r="I57" i="18" s="1"/>
  <c r="L57" i="18" s="1"/>
  <c r="D63" i="7"/>
  <c r="C5" i="18"/>
  <c r="I5" i="18" s="1"/>
  <c r="L5" i="18" s="1"/>
  <c r="D11" i="7"/>
  <c r="C19" i="18"/>
  <c r="I19" i="18" s="1"/>
  <c r="L19" i="18" s="1"/>
  <c r="D25" i="7"/>
  <c r="C30" i="18"/>
  <c r="I30" i="18" s="1"/>
  <c r="L30" i="18" s="1"/>
  <c r="D36" i="7"/>
  <c r="C42" i="18"/>
  <c r="I42" i="18" s="1"/>
  <c r="L42" i="18" s="1"/>
  <c r="D48" i="7"/>
  <c r="C31" i="18"/>
  <c r="I31" i="18" s="1"/>
  <c r="L31" i="18" s="1"/>
  <c r="D37" i="7"/>
  <c r="C54" i="18"/>
  <c r="I54" i="18" s="1"/>
  <c r="L54" i="18" s="1"/>
  <c r="D60" i="7"/>
  <c r="C53" i="18"/>
  <c r="I53" i="18" s="1"/>
  <c r="L53" i="18" s="1"/>
  <c r="D59" i="7"/>
  <c r="C20" i="18"/>
  <c r="I20" i="18" s="1"/>
  <c r="L20" i="18" s="1"/>
  <c r="D26" i="7"/>
  <c r="C7" i="18"/>
  <c r="I7" i="18" s="1"/>
  <c r="L7" i="18" s="1"/>
  <c r="D13" i="7"/>
  <c r="C21" i="18"/>
  <c r="I21" i="18" s="1"/>
  <c r="L21" i="18" s="1"/>
  <c r="D27" i="7"/>
  <c r="C32" i="18"/>
  <c r="I32" i="18" s="1"/>
  <c r="D38" i="7"/>
  <c r="C44" i="18"/>
  <c r="I44" i="18" s="1"/>
  <c r="L44" i="18" s="1"/>
  <c r="D50" i="7"/>
  <c r="C55" i="18"/>
  <c r="I55" i="18" s="1"/>
  <c r="L55" i="18" s="1"/>
  <c r="D61" i="7"/>
  <c r="C14" i="18"/>
  <c r="I14" i="18" s="1"/>
  <c r="L14" i="18" s="1"/>
  <c r="D20" i="7"/>
  <c r="C8" i="18"/>
  <c r="I8" i="18" s="1"/>
  <c r="L8" i="18" s="1"/>
  <c r="D14" i="7"/>
  <c r="C22" i="18"/>
  <c r="I22" i="18" s="1"/>
  <c r="L22" i="18" s="1"/>
  <c r="D28" i="7"/>
  <c r="C33" i="18"/>
  <c r="I33" i="18" s="1"/>
  <c r="D39" i="7"/>
  <c r="C45" i="18"/>
  <c r="I45" i="18" s="1"/>
  <c r="L45" i="18" s="1"/>
  <c r="D51" i="7"/>
  <c r="C50" i="18"/>
  <c r="I50" i="18" s="1"/>
  <c r="L50" i="18" s="1"/>
  <c r="D56" i="7"/>
  <c r="C11" i="18"/>
  <c r="I11" i="18" s="1"/>
  <c r="L11" i="18" s="1"/>
  <c r="D17" i="7"/>
  <c r="C17" i="18"/>
  <c r="I17" i="18" s="1"/>
  <c r="D23" i="7"/>
  <c r="C40" i="18"/>
  <c r="I40" i="18" s="1"/>
  <c r="L40" i="18" s="1"/>
  <c r="D46" i="7"/>
  <c r="C51" i="18"/>
  <c r="I51" i="18" s="1"/>
  <c r="L51" i="18" s="1"/>
  <c r="D57" i="7"/>
  <c r="C29" i="18"/>
  <c r="I29" i="18" s="1"/>
  <c r="L29" i="18" s="1"/>
  <c r="D35" i="7"/>
  <c r="C6" i="18"/>
  <c r="I6" i="18" s="1"/>
  <c r="L6" i="18" s="1"/>
  <c r="D12" i="7"/>
  <c r="C43" i="18"/>
  <c r="I43" i="18" s="1"/>
  <c r="L43" i="18" s="1"/>
  <c r="D49" i="7"/>
  <c r="R15" i="18"/>
  <c r="D138" i="7" s="1"/>
  <c r="D9" i="7"/>
  <c r="C3" i="18"/>
  <c r="I3" i="18" s="1"/>
  <c r="C18" i="18"/>
  <c r="I18" i="18" s="1"/>
  <c r="L18" i="18" s="1"/>
  <c r="D24" i="7"/>
  <c r="C9" i="18"/>
  <c r="I9" i="18" s="1"/>
  <c r="L9" i="18" s="1"/>
  <c r="D15" i="7"/>
  <c r="C34" i="18"/>
  <c r="I34" i="18" s="1"/>
  <c r="L34" i="18" s="1"/>
  <c r="D40" i="7"/>
  <c r="C46" i="18"/>
  <c r="I46" i="18" s="1"/>
  <c r="L46" i="18" s="1"/>
  <c r="D52" i="7"/>
  <c r="C26" i="18"/>
  <c r="I26" i="18" s="1"/>
  <c r="L26" i="18" s="1"/>
  <c r="D32" i="7"/>
  <c r="C10" i="18"/>
  <c r="I10" i="18" s="1"/>
  <c r="L10" i="18" s="1"/>
  <c r="D16" i="7"/>
  <c r="C36" i="18"/>
  <c r="I36" i="18" s="1"/>
  <c r="L36" i="18" s="1"/>
  <c r="D42" i="7"/>
  <c r="R16" i="18"/>
  <c r="W16" i="18" s="1"/>
  <c r="G17" i="18"/>
  <c r="K17" i="18" s="1"/>
  <c r="J17" i="18"/>
  <c r="C140" i="7"/>
  <c r="R17" i="18"/>
  <c r="J24" i="18"/>
  <c r="K25" i="18"/>
  <c r="J25" i="18"/>
  <c r="G27" i="18"/>
  <c r="K27" i="18" s="1"/>
  <c r="G28" i="18"/>
  <c r="K28" i="18" s="1"/>
  <c r="J28" i="18"/>
  <c r="D58" i="18"/>
  <c r="J3" i="18"/>
  <c r="R6" i="18"/>
  <c r="W6" i="18" s="1"/>
  <c r="P18" i="18"/>
  <c r="C129" i="7"/>
  <c r="C135" i="7"/>
  <c r="R7" i="18"/>
  <c r="W7" i="18" s="1"/>
  <c r="C130" i="7"/>
  <c r="F30" i="13"/>
  <c r="F52" i="13"/>
  <c r="F53" i="13"/>
  <c r="R12" i="18"/>
  <c r="F23" i="13"/>
  <c r="F16" i="13"/>
  <c r="F57" i="13"/>
  <c r="F41" i="13"/>
  <c r="F38" i="13"/>
  <c r="F19" i="13"/>
  <c r="F18" i="13"/>
  <c r="F45" i="13"/>
  <c r="F35" i="13"/>
  <c r="F14" i="13"/>
  <c r="F37" i="13"/>
  <c r="F17" i="13"/>
  <c r="F24" i="13"/>
  <c r="F13" i="13"/>
  <c r="F36" i="13"/>
  <c r="F3" i="13"/>
  <c r="F15" i="13"/>
  <c r="F40" i="13"/>
  <c r="F22" i="13"/>
  <c r="F44" i="13"/>
  <c r="F39" i="13"/>
  <c r="F46" i="13"/>
  <c r="F20" i="13"/>
  <c r="F42" i="13"/>
  <c r="F21" i="13"/>
  <c r="F43" i="13"/>
  <c r="F55" i="13"/>
  <c r="R9" i="18"/>
  <c r="W9" i="18" s="1"/>
  <c r="F33" i="13"/>
  <c r="R5" i="18"/>
  <c r="W5" i="18" s="1"/>
  <c r="F5" i="13"/>
  <c r="F12" i="13"/>
  <c r="R10" i="18"/>
  <c r="F29" i="13"/>
  <c r="K58" i="13"/>
  <c r="F54" i="13"/>
  <c r="F6" i="13"/>
  <c r="F34" i="13"/>
  <c r="F32" i="13"/>
  <c r="F11" i="13"/>
  <c r="F4" i="13"/>
  <c r="F56" i="13"/>
  <c r="F26" i="13"/>
  <c r="F48" i="13"/>
  <c r="F7" i="13"/>
  <c r="F25" i="13"/>
  <c r="F51" i="13"/>
  <c r="R13" i="18"/>
  <c r="F47" i="13"/>
  <c r="F8" i="13"/>
  <c r="R11" i="18"/>
  <c r="R14" i="18"/>
  <c r="F27" i="13"/>
  <c r="F9" i="13"/>
  <c r="F49" i="13"/>
  <c r="F31" i="13"/>
  <c r="R8" i="18"/>
  <c r="L32" i="18" l="1"/>
  <c r="L33" i="18"/>
  <c r="L24" i="18"/>
  <c r="W15" i="18"/>
  <c r="L28" i="18"/>
  <c r="L3" i="18"/>
  <c r="L17" i="18"/>
  <c r="C58" i="18"/>
  <c r="D64" i="7"/>
  <c r="L27" i="18"/>
  <c r="D66" i="18"/>
  <c r="F138" i="7"/>
  <c r="G138" i="7" s="1"/>
  <c r="E51" i="7"/>
  <c r="F51" i="7" s="1"/>
  <c r="G51" i="7" s="1"/>
  <c r="E55" i="7"/>
  <c r="F55" i="7" s="1"/>
  <c r="G55" i="7" s="1"/>
  <c r="E52" i="7"/>
  <c r="F52" i="7" s="1"/>
  <c r="G52" i="7" s="1"/>
  <c r="E53" i="7"/>
  <c r="F53" i="7" s="1"/>
  <c r="G53" i="7" s="1"/>
  <c r="E49" i="7"/>
  <c r="F49" i="7" s="1"/>
  <c r="G49" i="7" s="1"/>
  <c r="E46" i="7"/>
  <c r="F46" i="7" s="1"/>
  <c r="G46" i="7" s="1"/>
  <c r="E60" i="7"/>
  <c r="F60" i="7" s="1"/>
  <c r="G60" i="7" s="1"/>
  <c r="E50" i="7"/>
  <c r="F50" i="7" s="1"/>
  <c r="G50" i="7" s="1"/>
  <c r="E47" i="7"/>
  <c r="F47" i="7" s="1"/>
  <c r="G47" i="7" s="1"/>
  <c r="E59" i="7"/>
  <c r="F59" i="7" s="1"/>
  <c r="G59" i="7" s="1"/>
  <c r="E48" i="7"/>
  <c r="F48" i="7" s="1"/>
  <c r="G48" i="7" s="1"/>
  <c r="E57" i="7"/>
  <c r="F57" i="7" s="1"/>
  <c r="G57" i="7" s="1"/>
  <c r="E61" i="7"/>
  <c r="F61" i="7" s="1"/>
  <c r="G61" i="7" s="1"/>
  <c r="E56" i="7"/>
  <c r="F56" i="7" s="1"/>
  <c r="G56" i="7" s="1"/>
  <c r="E54" i="7"/>
  <c r="F54" i="7" s="1"/>
  <c r="G54" i="7" s="1"/>
  <c r="E58" i="7"/>
  <c r="F58" i="7" s="1"/>
  <c r="G58" i="7" s="1"/>
  <c r="L25" i="18"/>
  <c r="D139" i="7"/>
  <c r="W17" i="18"/>
  <c r="D140" i="7"/>
  <c r="D135" i="7"/>
  <c r="W12" i="18"/>
  <c r="D131" i="7"/>
  <c r="W8" i="18"/>
  <c r="D133" i="7"/>
  <c r="W10" i="18"/>
  <c r="D137" i="7"/>
  <c r="W14" i="18"/>
  <c r="D134" i="7"/>
  <c r="D136" i="7"/>
  <c r="W13" i="18"/>
  <c r="D132" i="7"/>
  <c r="C141" i="7"/>
  <c r="R18" i="18"/>
  <c r="D128" i="7"/>
  <c r="D129" i="7"/>
  <c r="D130" i="7"/>
  <c r="F129" i="7" l="1"/>
  <c r="G129" i="7" s="1"/>
  <c r="E11" i="7"/>
  <c r="F11" i="7" s="1"/>
  <c r="G11" i="7" s="1"/>
  <c r="E10" i="7"/>
  <c r="F10" i="7" s="1"/>
  <c r="G10" i="7" s="1"/>
  <c r="E16" i="7"/>
  <c r="F16" i="7" s="1"/>
  <c r="G16" i="7" s="1"/>
  <c r="E15" i="7"/>
  <c r="F15" i="7" s="1"/>
  <c r="G15" i="7" s="1"/>
  <c r="E12" i="7"/>
  <c r="F12" i="7" s="1"/>
  <c r="G12" i="7" s="1"/>
  <c r="E14" i="7"/>
  <c r="F14" i="7" s="1"/>
  <c r="G14" i="7" s="1"/>
  <c r="E13" i="7"/>
  <c r="F13" i="7" s="1"/>
  <c r="G13" i="7" s="1"/>
  <c r="E9" i="7"/>
  <c r="F9" i="7" s="1"/>
  <c r="E36" i="7"/>
  <c r="F36" i="7" s="1"/>
  <c r="G36" i="7" s="1"/>
  <c r="F37" i="7"/>
  <c r="E38" i="7"/>
  <c r="F38" i="7" s="1"/>
  <c r="G38" i="7" s="1"/>
  <c r="E39" i="7"/>
  <c r="F39" i="7" s="1"/>
  <c r="G39" i="7" s="1"/>
  <c r="F40" i="7"/>
  <c r="G40" i="7" s="1"/>
  <c r="F132" i="7"/>
  <c r="G132" i="7" s="1"/>
  <c r="E34" i="7"/>
  <c r="F34" i="7" s="1"/>
  <c r="G34" i="7" s="1"/>
  <c r="E25" i="7"/>
  <c r="F25" i="7" s="1"/>
  <c r="G25" i="7" s="1"/>
  <c r="E45" i="7"/>
  <c r="F45" i="7" s="1"/>
  <c r="G45" i="7" s="1"/>
  <c r="E35" i="7"/>
  <c r="F35" i="7" s="1"/>
  <c r="G35" i="7" s="1"/>
  <c r="E33" i="7"/>
  <c r="F33" i="7" s="1"/>
  <c r="G33" i="7" s="1"/>
  <c r="E20" i="7"/>
  <c r="F20" i="7" s="1"/>
  <c r="G20" i="7" s="1"/>
  <c r="F139" i="7"/>
  <c r="G139" i="7" s="1"/>
  <c r="E32" i="7"/>
  <c r="F32" i="7" s="1"/>
  <c r="G32" i="7" s="1"/>
  <c r="F130" i="7"/>
  <c r="E17" i="7"/>
  <c r="F17" i="7" s="1"/>
  <c r="G17" i="7" s="1"/>
  <c r="F136" i="7"/>
  <c r="G136" i="7" s="1"/>
  <c r="E62" i="7"/>
  <c r="F62" i="7" s="1"/>
  <c r="G62" i="7" s="1"/>
  <c r="F131" i="7"/>
  <c r="G131" i="7" s="1"/>
  <c r="E21" i="7"/>
  <c r="F21" i="7" s="1"/>
  <c r="G21" i="7" s="1"/>
  <c r="E23" i="7"/>
  <c r="F23" i="7" s="1"/>
  <c r="G23" i="7" s="1"/>
  <c r="E22" i="7"/>
  <c r="F22" i="7" s="1"/>
  <c r="G22" i="7" s="1"/>
  <c r="E18" i="7"/>
  <c r="F18" i="7" s="1"/>
  <c r="G18" i="7" s="1"/>
  <c r="E19" i="7"/>
  <c r="F19" i="7" s="1"/>
  <c r="G19" i="7" s="1"/>
  <c r="F140" i="7"/>
  <c r="G140" i="7" s="1"/>
  <c r="E29" i="7"/>
  <c r="F29" i="7" s="1"/>
  <c r="G29" i="7" s="1"/>
  <c r="F134" i="7"/>
  <c r="G134" i="7" s="1"/>
  <c r="E31" i="7"/>
  <c r="F31" i="7" s="1"/>
  <c r="G31" i="7" s="1"/>
  <c r="E30" i="7"/>
  <c r="F30" i="7" s="1"/>
  <c r="G30" i="7" s="1"/>
  <c r="F137" i="7"/>
  <c r="G137" i="7" s="1"/>
  <c r="E63" i="7"/>
  <c r="F63" i="7" s="1"/>
  <c r="G63" i="7" s="1"/>
  <c r="F133" i="7"/>
  <c r="G133" i="7" s="1"/>
  <c r="E24" i="7"/>
  <c r="F24" i="7" s="1"/>
  <c r="G24" i="7" s="1"/>
  <c r="E26" i="7"/>
  <c r="F26" i="7" s="1"/>
  <c r="G26" i="7" s="1"/>
  <c r="E27" i="7"/>
  <c r="F27" i="7" s="1"/>
  <c r="G27" i="7" s="1"/>
  <c r="E28" i="7"/>
  <c r="F28" i="7" s="1"/>
  <c r="G28" i="7" s="1"/>
  <c r="F135" i="7"/>
  <c r="G135" i="7" s="1"/>
  <c r="E44" i="7"/>
  <c r="F44" i="7" s="1"/>
  <c r="G44" i="7" s="1"/>
  <c r="E42" i="7"/>
  <c r="F42" i="7" s="1"/>
  <c r="G42" i="7" s="1"/>
  <c r="E43" i="7"/>
  <c r="F43" i="7" s="1"/>
  <c r="G43" i="7" s="1"/>
  <c r="E41" i="7"/>
  <c r="F41" i="7" s="1"/>
  <c r="G41" i="7" s="1"/>
  <c r="F128" i="7"/>
  <c r="D141" i="7"/>
  <c r="AB4" i="21"/>
  <c r="AB5" i="21"/>
  <c r="AB6" i="21"/>
  <c r="H6" i="21"/>
  <c r="H7" i="21"/>
  <c r="H8" i="21"/>
  <c r="H9" i="21"/>
  <c r="H10" i="21"/>
  <c r="H11" i="21"/>
  <c r="H12" i="21"/>
  <c r="H13" i="21"/>
  <c r="H14" i="21"/>
  <c r="H15" i="21"/>
  <c r="H16" i="21"/>
  <c r="H17" i="21"/>
  <c r="H18" i="21"/>
  <c r="H19" i="21"/>
  <c r="G37" i="7" l="1"/>
  <c r="B70" i="7"/>
  <c r="C70" i="7" s="1"/>
  <c r="D72" i="7" s="1"/>
  <c r="E72" i="7" s="1"/>
  <c r="F64" i="7"/>
  <c r="G9" i="7"/>
  <c r="G64" i="7" s="1"/>
  <c r="G130" i="7"/>
  <c r="G128" i="7"/>
  <c r="C71" i="7"/>
  <c r="D71" i="7" s="1"/>
  <c r="E71" i="7" s="1"/>
  <c r="F141" i="7"/>
  <c r="G141" i="7" s="1"/>
  <c r="D70" i="7" l="1"/>
  <c r="E70" i="7" s="1"/>
  <c r="B72" i="7"/>
  <c r="C72" i="7" l="1"/>
  <c r="F72" i="7"/>
  <c r="D3" i="7" s="1"/>
  <c r="G74" i="7" l="1"/>
  <c r="E3" i="7" s="1"/>
  <c r="F70" i="7"/>
  <c r="G70" i="7" s="1"/>
  <c r="E4" i="7" s="1"/>
  <c r="F71" i="7"/>
  <c r="I74" i="7" l="1"/>
  <c r="D4" i="7"/>
  <c r="I70" i="7" l="1"/>
  <c r="I71" i="7"/>
  <c r="W11" i="18" l="1"/>
  <c r="W18" i="18" s="1"/>
  <c r="L58" i="18"/>
</calcChain>
</file>

<file path=xl/sharedStrings.xml><?xml version="1.0" encoding="utf-8"?>
<sst xmlns="http://schemas.openxmlformats.org/spreadsheetml/2006/main" count="1787" uniqueCount="667">
  <si>
    <t>Data Sources</t>
  </si>
  <si>
    <t>Dataset</t>
  </si>
  <si>
    <t>Dodge 2023</t>
  </si>
  <si>
    <t>CEUS 2022</t>
  </si>
  <si>
    <t>CBECS 2018</t>
  </si>
  <si>
    <t>ComStock 2023</t>
  </si>
  <si>
    <t>Prototype</t>
  </si>
  <si>
    <t>CEC Hospital prototype (CBECC 2022.3.1)</t>
  </si>
  <si>
    <t>https://bees.noresco.com/software2022.html</t>
  </si>
  <si>
    <t>PNNL Hospital prototype (90.1-2022 2019, 2013)</t>
  </si>
  <si>
    <t>https://www.energycodes.gov/prototype-building-models#Commercial</t>
  </si>
  <si>
    <t>DEER Hospital prototype (June 2024)</t>
  </si>
  <si>
    <t>https://github.com/sound-data/DEER-Prototypes-EnergyPlus</t>
  </si>
  <si>
    <t>Codes</t>
  </si>
  <si>
    <t xml:space="preserve">Title 24, part 6, referred to as T24 (1984, 2001, 2007, 2013, 2016, 2022, 2025) </t>
  </si>
  <si>
    <t>ASHRAE 90.1 (2022)</t>
  </si>
  <si>
    <t>ASHRAE 62.1 (2022)</t>
  </si>
  <si>
    <t>CFR Title 10 (2008, 2010, 2025)</t>
  </si>
  <si>
    <t>ASHRAE 170/OSHPD</t>
  </si>
  <si>
    <t>2022 California Mechanical Code (Title 24, Part 4)</t>
  </si>
  <si>
    <t>ACM 2022</t>
  </si>
  <si>
    <t>T24 2022 - Appendix 5.4A and Appendix 5.4B</t>
  </si>
  <si>
    <t>https://www.energy.ca.gov/publications/2022/2022-nonresidential-and-multifamily-alternative-calculation-method-reference</t>
  </si>
  <si>
    <t xml:space="preserve"> </t>
  </si>
  <si>
    <t>Others</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</si>
  <si>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</si>
  <si>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</si>
  <si>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</si>
  <si>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</si>
  <si>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2010</t>
  </si>
  <si>
    <t>https://www.pnnl.gov/main/publications/external/technical_reports/PNNL-20405.pdf</t>
  </si>
  <si>
    <t>Air leakage Memo, NORESCO, 2025</t>
  </si>
  <si>
    <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t>
  </si>
  <si>
    <t>2019 High Efficiency Fume Hoods in Laboratory Spaces CASE Report</t>
  </si>
  <si>
    <t>https://title24stakeholders.com/wp-content/uploads/2017/09/2019-T24-CASE-Report_Fume-Hoods_Final_September-2017.pdf?</t>
  </si>
  <si>
    <t>Construction Rate</t>
  </si>
  <si>
    <t>Notes</t>
  </si>
  <si>
    <t>Hospital</t>
  </si>
  <si>
    <t>A hospital, as defined across CEC, PNNL, and CPUC prototypes, is a large, full-service inpatient healthcare facility that operates 24/7, providing acute medical care, surgical services, and diagnostic treatment. It includes patient rooms, operating suites, labs, and support areas, and is typically served by 100% outdoor air HVAC systems with strict ventilation and pressurization controls.</t>
  </si>
  <si>
    <t>EIA, 2018 CBECS</t>
  </si>
  <si>
    <t>On average, hospitals were 264,800 square feet per building, but outpatient health care buildings averaged 13,700 square feet.</t>
  </si>
  <si>
    <t>Source</t>
  </si>
  <si>
    <t>https://www.eia.gov/consumption/commercial/</t>
  </si>
  <si>
    <t>NORESCO, Updated August 2025</t>
  </si>
  <si>
    <t>Characteristic</t>
  </si>
  <si>
    <t>Value</t>
  </si>
  <si>
    <t>Building Type</t>
  </si>
  <si>
    <t>Building Category</t>
  </si>
  <si>
    <t>Nonresidential</t>
  </si>
  <si>
    <t>Vintages</t>
  </si>
  <si>
    <t>4 Vintages: Pre-1978 , 1978-1997 ,1998-2007 , 2008-2018
New Construction (2019+)</t>
  </si>
  <si>
    <t xml:space="preserve">Based on the vintage bin analysis
</t>
  </si>
  <si>
    <t>NonRes-Vintage bins-Draft Report-30Nov2023-Final.docx</t>
  </si>
  <si>
    <t>Shape</t>
  </si>
  <si>
    <t>The analysis uses prototype geometry originally developed by PNNL. The CEC prototypes also adopt this geometry as a foundation.</t>
  </si>
  <si>
    <t>Total Floor Area (ft²)</t>
  </si>
  <si>
    <t>241500  (230 ft x 175 ft for each floor)</t>
  </si>
  <si>
    <t>Same as CEC and PNNL</t>
  </si>
  <si>
    <t>Aspect Ratio</t>
  </si>
  <si>
    <t>Number of Floors</t>
  </si>
  <si>
    <t>5 (plus basement)</t>
  </si>
  <si>
    <t>Roof type</t>
  </si>
  <si>
    <t>Flat roof</t>
  </si>
  <si>
    <t>WWR</t>
  </si>
  <si>
    <t>North: 12%, East: 13%, South: 15%, West: 24%
Average Total: 16%</t>
  </si>
  <si>
    <t>Shading Geometry</t>
  </si>
  <si>
    <t xml:space="preserve">No Shades </t>
  </si>
  <si>
    <t>Floor to floor height (feet)</t>
  </si>
  <si>
    <t>Ground floor:   8 ft 
Upper floors:   14 ft</t>
  </si>
  <si>
    <t>Floor to ceiling height (feet)</t>
  </si>
  <si>
    <t>No ceiling; plenum is modeled</t>
  </si>
  <si>
    <t>Glazing sill height (feet)</t>
  </si>
  <si>
    <t>3 ft (4 ft high windows)</t>
  </si>
  <si>
    <t>Above grade wall area (ft²)</t>
  </si>
  <si>
    <t>Gross wall area  (ft²)</t>
  </si>
  <si>
    <t>Roof area  (ft²)</t>
  </si>
  <si>
    <t>Underground Gross Wall Area  (ft²)</t>
  </si>
  <si>
    <t>Space Type</t>
  </si>
  <si>
    <t>Space/Thermal Zone</t>
  </si>
  <si>
    <t>HVAC System Name / AHU Name</t>
  </si>
  <si>
    <t>Schedule Category</t>
  </si>
  <si>
    <t>Conditioned (Y/N)</t>
  </si>
  <si>
    <t>Area Fraction</t>
  </si>
  <si>
    <t>Area (ft²)</t>
  </si>
  <si>
    <t>Volume (ft³)</t>
  </si>
  <si>
    <t>Multipliers</t>
  </si>
  <si>
    <t>Total Area (ft²)</t>
  </si>
  <si>
    <t>Number of People</t>
  </si>
  <si>
    <t xml:space="preserve">People 
(Persons/1,000 ft²)
[T24, 2025,Table 120.1-A] </t>
  </si>
  <si>
    <t>Note</t>
  </si>
  <si>
    <t>Office Area (&gt;250 square feet)</t>
  </si>
  <si>
    <t>Basement</t>
  </si>
  <si>
    <t>VAV 1</t>
  </si>
  <si>
    <t>Office</t>
  </si>
  <si>
    <t>Yes</t>
  </si>
  <si>
    <t>Corridor Area</t>
  </si>
  <si>
    <t>Corridor_flr_1</t>
  </si>
  <si>
    <t>Health</t>
  </si>
  <si>
    <t>Corridor_flr_2</t>
  </si>
  <si>
    <t>Corridor_flr_5</t>
  </si>
  <si>
    <t>VAV 2</t>
  </si>
  <si>
    <t>Corridor_nw_flr_3</t>
  </si>
  <si>
    <t>Corridor_nw_flr_4</t>
  </si>
  <si>
    <t>Corridor_se_flr_3</t>
  </si>
  <si>
    <t>Corridor_se_flr_4</t>
  </si>
  <si>
    <t>Dining Area (Cafeteria/Fast Food)</t>
  </si>
  <si>
    <t>Dining_flr_5</t>
  </si>
  <si>
    <t>Restaurant</t>
  </si>
  <si>
    <t>Healthcare Facility and Hospitals (Exam/Treatment Room)</t>
  </si>
  <si>
    <t>Er_exam1_mult4_flr_1</t>
  </si>
  <si>
    <t>VAV ER</t>
  </si>
  <si>
    <t>Health24/7</t>
  </si>
  <si>
    <t>Table 120.1-A- 2025 T24-Misc-All Other</t>
  </si>
  <si>
    <t>Er_exam3_mult4_flr_1</t>
  </si>
  <si>
    <t>Healthcare Facility and Hospitals (Nurse's Station)</t>
  </si>
  <si>
    <t>Er_nursestn_lobby_flr_1</t>
  </si>
  <si>
    <t>Er_trauma1_flr_1</t>
  </si>
  <si>
    <t>Er_trauma2_flr_1</t>
  </si>
  <si>
    <t>Er_triage_mult4_flr_1</t>
  </si>
  <si>
    <t>Healthcare Facility and Hospitals (Recovery Room)</t>
  </si>
  <si>
    <t>Icu_flr_2</t>
  </si>
  <si>
    <t>VAV ICU</t>
  </si>
  <si>
    <t>Intensive Care Unit, for lighting we can go with the general lighting for the patient room but for other EPD and ventilation refer to the CA mechanical code</t>
  </si>
  <si>
    <t>Icu_nursestn_lobby_flr_2</t>
  </si>
  <si>
    <t>Ic_patroom1_mult5_flr_2</t>
  </si>
  <si>
    <t>Ic_patroom2_flr_2</t>
  </si>
  <si>
    <t>Ic_patroom3_mult6_flr_2</t>
  </si>
  <si>
    <t>Kitchen/Food Preparation Area</t>
  </si>
  <si>
    <t>Kitchen_flr_5</t>
  </si>
  <si>
    <t>CAV Kitchen</t>
  </si>
  <si>
    <t>Kitchen</t>
  </si>
  <si>
    <t>Laboratory, Scientific</t>
  </si>
  <si>
    <t>Lab_flr_3</t>
  </si>
  <si>
    <t>VAV Laboratory</t>
  </si>
  <si>
    <t>Change it back to 5 same as CEC and PNNL</t>
  </si>
  <si>
    <t>Lab_flr_4</t>
  </si>
  <si>
    <t>Lobby, Main Entry</t>
  </si>
  <si>
    <t>Lobby_records_flr_1</t>
  </si>
  <si>
    <t>Nursestn_lobby_flr_3</t>
  </si>
  <si>
    <t>Nursestn_lobby_flr_4</t>
  </si>
  <si>
    <t>Nursestn_lobby_flr_5</t>
  </si>
  <si>
    <t>Office1_flr_5</t>
  </si>
  <si>
    <t>Office Area (&lt;250 square feet)</t>
  </si>
  <si>
    <t>Office1_mult5_flr_1</t>
  </si>
  <si>
    <t>Office2_mult5_flr_5</t>
  </si>
  <si>
    <t>Office3_flr_5</t>
  </si>
  <si>
    <t>Office4_mult6_flr_5</t>
  </si>
  <si>
    <t>Healthcare Facility and Hospitals (Operating Room)</t>
  </si>
  <si>
    <t>Or1_flr_2</t>
  </si>
  <si>
    <t>VAV OR</t>
  </si>
  <si>
    <t>Or2_mult5_flr_2</t>
  </si>
  <si>
    <t>Or3_flr_2</t>
  </si>
  <si>
    <t>Or4_flr_2</t>
  </si>
  <si>
    <t>Or_nursestn_lobby_flr_2</t>
  </si>
  <si>
    <t>Healthcare Facility and Hospitals (Patient Room)</t>
  </si>
  <si>
    <t>Patroom1_mult10_flr_3</t>
  </si>
  <si>
    <t>VAV Patient Room</t>
  </si>
  <si>
    <t>Patient24/7</t>
  </si>
  <si>
    <t>Patroom1_mult10_flr_4</t>
  </si>
  <si>
    <t>Patroom2_flr_3</t>
  </si>
  <si>
    <t>Patroom2_flr_4</t>
  </si>
  <si>
    <t>Patroom3_mult10_flr_3</t>
  </si>
  <si>
    <t>Patroom3_mult10_flr_4</t>
  </si>
  <si>
    <t>Patroom4_flr_3</t>
  </si>
  <si>
    <t>Patroom4_flr_4</t>
  </si>
  <si>
    <t>Patroom5_mult10_flr_3</t>
  </si>
  <si>
    <t>Patroom5_mult10_flr_4</t>
  </si>
  <si>
    <t>Patroom6_flr_3</t>
  </si>
  <si>
    <t>Patroom6_flr_4</t>
  </si>
  <si>
    <t>Patroom7_mult10_flr_3</t>
  </si>
  <si>
    <t>Patroom7_mult10_flr_4</t>
  </si>
  <si>
    <t>Patroom8_flr_3</t>
  </si>
  <si>
    <t>Patroom8_flr_4</t>
  </si>
  <si>
    <t>Healthcare Facility and Hospitals (Physical Therapy Room)</t>
  </si>
  <si>
    <t>Phystherapy_flr_3</t>
  </si>
  <si>
    <t>Healthcare Facility and Hospitals (Imaging Room)</t>
  </si>
  <si>
    <t>Radiology_flr_4</t>
  </si>
  <si>
    <t>Total (12 Space types)</t>
  </si>
  <si>
    <t>Total ( 162 spaces)</t>
  </si>
  <si>
    <t>Total ( Thermal Zones)</t>
  </si>
  <si>
    <t xml:space="preserve"> Total ( 162 Conditioned zones)</t>
  </si>
  <si>
    <t>Occupancy rate of the patient rooms:</t>
  </si>
  <si>
    <t>Source: A report published by California Health Care Foundation, 2022</t>
  </si>
  <si>
    <t>https://www.chcf.org/wp-content/uploads/2022/07/CAHospitalsAlmanac2022QRG.pdf?utm_source=chatgpt.com</t>
  </si>
  <si>
    <t>Background Data [To be deleted prior to publication]</t>
  </si>
  <si>
    <t>Elec</t>
  </si>
  <si>
    <t>Gas</t>
  </si>
  <si>
    <t>Statewide</t>
  </si>
  <si>
    <t>Heating</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</si>
  <si>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</si>
  <si>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</si>
  <si>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</si>
  <si>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</si>
  <si>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</si>
  <si>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</si>
  <si>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</si>
  <si>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</si>
  <si>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</si>
  <si>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</si>
  <si>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</si>
  <si>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</si>
  <si>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</si>
  <si>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</si>
  <si>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</si>
  <si>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</si>
  <si>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</si>
  <si>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</si>
  <si>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</si>
  <si>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</si>
  <si>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</si>
  <si>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</si>
  <si>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</si>
  <si>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</si>
  <si>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 frame + insulation + gypsum board
(Same as CEC and DEER. PNNL has Mass wall))</t>
  </si>
  <si>
    <t>U-factor IP</t>
  </si>
  <si>
    <t>Pre 1978</t>
  </si>
  <si>
    <t>N/A</t>
  </si>
  <si>
    <t>ASHRAE 90.1,2022 Table A3.3.3.1, 3.5", R-0</t>
  </si>
  <si>
    <t>1978-1997</t>
  </si>
  <si>
    <t>Copied from High-rise office alternative requirements (Table 2-53W): Package A with heat capacity around 10 (Btu/F-ft²)</t>
  </si>
  <si>
    <t>1998-2007</t>
  </si>
  <si>
    <t>Table 1-H</t>
  </si>
  <si>
    <t>2008-2018</t>
  </si>
  <si>
    <t>Table 140.3-B</t>
  </si>
  <si>
    <t>2019+</t>
  </si>
  <si>
    <t>Roof</t>
  </si>
  <si>
    <t xml:space="preserve">Hospital
</t>
  </si>
  <si>
    <t>FlatRoof_WoodFramedAndOther_NonRes</t>
  </si>
  <si>
    <t>Built-up Roof   (Metal Decking Roof)                                                 Roof membrane + roof insulation + metal decking
(Same as PNNL and DEER-Metal roof- CEC has wood-framed roof)</t>
  </si>
  <si>
    <t>Considering 30 years for roof/ insulation replacement.</t>
  </si>
  <si>
    <t>Windows</t>
  </si>
  <si>
    <t>FixedWindow_NonRes</t>
  </si>
  <si>
    <t xml:space="preserve">Single pane </t>
  </si>
  <si>
    <t>ASHRAE Handbook of Fundamentals (Table 4-Ch15) for single pane &amp; T24, 2013  for double pane(33%-67%)*</t>
  </si>
  <si>
    <t>Double pane</t>
  </si>
  <si>
    <t>SHGC</t>
  </si>
  <si>
    <t>ASHRAE Handbook of Fundamentals (Table 10-Ch15) for single pane &amp; T24, 2013  for double pane(33%-67%)*</t>
  </si>
  <si>
    <t>Table 1-H - WWR:10-20% / SHGC non-north</t>
  </si>
  <si>
    <t xml:space="preserve">Infiltration </t>
  </si>
  <si>
    <t>I_75
6-sdied Infiltration rate 
@ 75 pa</t>
  </si>
  <si>
    <t xml:space="preserve"> I-design (cfm/ft²) 
(4-sided Infiltration rate at normal pressure) 
(Design flow rate approach and Flow/Exterior Wall Area calculation method) </t>
  </si>
  <si>
    <t>Infiltration</t>
  </si>
  <si>
    <t>2022 CASE report (Table 38)</t>
  </si>
  <si>
    <t>2022 CASE report (Table 38) &amp;
T24, 2008-2016 (Table 140.3-B)--Air barrier is required in CZ 10-16</t>
  </si>
  <si>
    <t>2022 CASE report (Table 38) &amp; 
T24, 2025 (Table 140.3-B)-Air barrier is required in all CZs</t>
  </si>
  <si>
    <t>Source:  Title 24 air barrier requirements (all editions) and the standardized infiltration rate reported in the 2022 CASE report and Dodge 2023 data</t>
  </si>
  <si>
    <t xml:space="preserve">Air Leakage Memo: </t>
  </si>
  <si>
    <t>Infiltration_rate_report_14May2025-Short-Version.docx</t>
  </si>
  <si>
    <t>Zones</t>
  </si>
  <si>
    <t xml:space="preserve">Heating </t>
  </si>
  <si>
    <t>Cooling</t>
  </si>
  <si>
    <t>Air Distribution</t>
  </si>
  <si>
    <t>Other Systems</t>
  </si>
  <si>
    <t xml:space="preserve">Existing </t>
  </si>
  <si>
    <t>Gas Boiler</t>
  </si>
  <si>
    <t>Chiller</t>
  </si>
  <si>
    <t xml:space="preserve">CAV </t>
  </si>
  <si>
    <t xml:space="preserve">CAV exhaust system with rooftop makeup air units, no energy recovery and no Demand Control </t>
  </si>
  <si>
    <t>CEUS 2022(Other system based on T24 and Engineering judgement)</t>
  </si>
  <si>
    <t>All other conditioned zones</t>
  </si>
  <si>
    <t>CAV + Hydronic Reheat</t>
  </si>
  <si>
    <t>New Construction</t>
  </si>
  <si>
    <t>VAV</t>
  </si>
  <si>
    <t>A VAV dedicated MAU with tempered outside air, with exhaust hood and demand control ventilation</t>
  </si>
  <si>
    <t xml:space="preserve">T24 2025 ACM 2025, Table 2 and 3 </t>
  </si>
  <si>
    <t>System 13 a - Built-up kitchen MAU</t>
  </si>
  <si>
    <t>All other conditioned zones (ER, ICU, Labs, OR, Patient Rms)</t>
  </si>
  <si>
    <t>VAV + Hydronic Reheat</t>
  </si>
  <si>
    <t xml:space="preserve">System 6 – VAV </t>
  </si>
  <si>
    <t xml:space="preserve">Efficiency of HVAC system
 (Efficiency is capacity-dependent. The following Table provides a general estimate of system efficiency based on what we saw in the existing prototype runs, or assuming cooling load based on rule of thumb)     </t>
  </si>
  <si>
    <t>Upgrade/Installed year</t>
  </si>
  <si>
    <t>Water Cooled Chiller</t>
  </si>
  <si>
    <t>Heat Rejection (Cooling Tower)</t>
  </si>
  <si>
    <t xml:space="preserve">Sources </t>
  </si>
  <si>
    <t xml:space="preserve">Water Cooled, 
Electrically Operated, 
Centrifugal--≥ 300 tons and &lt; 600 tons - 5.55 COP
5.90 IPLV </t>
  </si>
  <si>
    <t>n/a</t>
  </si>
  <si>
    <t xml:space="preserve"> Axial fan 
Open-circuit cooling 
tower--95°F entering water 
85°F leaving water 
75°F entering air wb--≥ 38.2 gpm/hp </t>
  </si>
  <si>
    <t>T24, 2008, Table 112-D (for chiller COP) – Table 112-G (for boiler thermal efficiency)</t>
  </si>
  <si>
    <t>Water Cooled, 
Electrically Operated, 
Centrifugal--≥ 300 tons and &lt; 600 tons --≤ 0.576 kW/ton 
≤ 0.549 IPLV (Path A)</t>
  </si>
  <si>
    <t xml:space="preserve">82% Ec </t>
  </si>
  <si>
    <t xml:space="preserve"> Axial fan 
Open-circuit cooling 
tower--95°F entering water 
85°F leaving water 
75°F entering air wb--≥ 42.1 gpm/hp </t>
  </si>
  <si>
    <t xml:space="preserve">
T24, 2013 , Table 110.2-D (for chiller COP) - Table 110.2-J (for Boiler thermal efficiency)</t>
  </si>
  <si>
    <t>Water Cooled, 
Electrically Operated, 
Centrifugal--≥ 300 tons and 
&lt; 400 ton--≤ 0.560 kW/ton 
≤ 0.520 IPLV (Path A)</t>
  </si>
  <si>
    <t>Gas-Fired Boiler &gt; 2,500,000 Btu/h and 
≤10,000,000 Btu/h-- 85% Ec</t>
  </si>
  <si>
    <t xml:space="preserve">
T24, 2025 , Table 110.2-D (for chiller COP) - Table 110.2-J (for Boiler thermal efficiency)</t>
  </si>
  <si>
    <t>* Ec = combustion efficiency</t>
  </si>
  <si>
    <t>Fan power</t>
  </si>
  <si>
    <t>Approach</t>
  </si>
  <si>
    <t>System</t>
  </si>
  <si>
    <t>Total Static Pressure (TSP)
in w.c.
[PNNL 20405, 2010, Table 5.11]</t>
  </si>
  <si>
    <t>Fan Efficiency
[ACM, 2025]</t>
  </si>
  <si>
    <t>Fan Motor and Drive Efficiency 
[ACM 2025, Table 13]</t>
  </si>
  <si>
    <t>W/cfm
[ACM 2025, Table 14 and 15]</t>
  </si>
  <si>
    <t>Data Source</t>
  </si>
  <si>
    <t>Existing</t>
  </si>
  <si>
    <t>PNNL TSP</t>
  </si>
  <si>
    <t>Kitchen System CAVMAU</t>
  </si>
  <si>
    <t xml:space="preserve"> ACM 2025, PNNL 2010 TSD</t>
  </si>
  <si>
    <t>All Other Zones-FPFC (on/off)</t>
  </si>
  <si>
    <t>Brake horse power (bhp)=(Supply cfm*TSP in w.c.)/(6356*Fan efficiency)</t>
  </si>
  <si>
    <t>Fan power (w/cfm) = bhp/motor and drive efficiency *746</t>
  </si>
  <si>
    <t>ACM 2025</t>
  </si>
  <si>
    <t>Kitchen System - VAVMAU  System 6-VAV, &gt;10,000 cfm</t>
  </si>
  <si>
    <t xml:space="preserve"> 2025 ACM</t>
  </si>
  <si>
    <t>All Other Zones System 6-VAV, &gt;10,000 cfm</t>
  </si>
  <si>
    <t>Fan total eff (E+ input) = 0.65 x Motor_eff</t>
  </si>
  <si>
    <t>TSP (E+ input) in w.c. = Motor_eff/746 x (6356 x Fan_eff) x W/cfm</t>
  </si>
  <si>
    <t>Fan_eff=0.65</t>
  </si>
  <si>
    <t> </t>
  </si>
  <si>
    <t>CEUS 2022 data</t>
  </si>
  <si>
    <t>Water Heater</t>
  </si>
  <si>
    <t>Floorspace Heated</t>
  </si>
  <si>
    <t>Primary Heating</t>
  </si>
  <si>
    <t>Fuel Type</t>
  </si>
  <si>
    <t>Floorspace Cooled</t>
  </si>
  <si>
    <t>Primary Cooling</t>
  </si>
  <si>
    <t>Primary Air Dis</t>
  </si>
  <si>
    <t>The default is the floorspace method unless otherwise specified</t>
  </si>
  <si>
    <t xml:space="preserve">The default is the floorspace method unless otherwise specified </t>
  </si>
  <si>
    <t>Health Care</t>
  </si>
  <si>
    <t>Floorspace method:</t>
  </si>
  <si>
    <t>Boiler/ Hydronic (43.9%)</t>
  </si>
  <si>
    <t>Central Plant (Chiller) (43.5%)</t>
  </si>
  <si>
    <t>Single Duct CAV (53.4%)</t>
  </si>
  <si>
    <t>Package System / Heat Pump (40.8%)</t>
  </si>
  <si>
    <t>Package System / Heat Pump (40.7%)</t>
  </si>
  <si>
    <t>Fan Coil/Unit Ventilator (21.3%)</t>
  </si>
  <si>
    <t>Site method:</t>
  </si>
  <si>
    <t>Boiler/ Hydronic (6.8%)</t>
  </si>
  <si>
    <t>Central Plant (Chiller) (6.5%)</t>
  </si>
  <si>
    <t>Single Duct CAV (91.4%)</t>
  </si>
  <si>
    <t>Package System / Heat Pump (72.1%)</t>
  </si>
  <si>
    <t>Package System / Heat Pump (71.5%)</t>
  </si>
  <si>
    <t>Fan Coil/Unit Ventilator (5.7%)</t>
  </si>
  <si>
    <t>Floor Area (ft²)</t>
  </si>
  <si>
    <t>cfm/person 
[T24, 2025, Equation 120.1-F and Table 120.1-A]</t>
  </si>
  <si>
    <t>cfm/ft² 
[T24, 2025, Equation 120.1-F and Table 120.1-A]</t>
  </si>
  <si>
    <t>Required exhaust rate (cfm/ft)
 [T24, 2025, Table 120.1-B – minimum exhaust rates]</t>
  </si>
  <si>
    <t>Min OA Ventilation Requirement (cfm/ft) 
[Table 4-A, 2022 California Mechanical Code]</t>
  </si>
  <si>
    <t>Total cfm driven by people</t>
  </si>
  <si>
    <t>Total cfm driven by area</t>
  </si>
  <si>
    <t>Total cfm driven by exhaust</t>
  </si>
  <si>
    <t>Total cfm</t>
  </si>
  <si>
    <t>Min. occupancy load (persons/1000 ft²)</t>
  </si>
  <si>
    <t xml:space="preserve">Total Number of Occupants </t>
  </si>
  <si>
    <t>cfm/ft² (Table 120.1-A – Minimum Ventilation Rates)</t>
  </si>
  <si>
    <t>Required Exhaust Rate-cfm/ft² (Table 120.1-B – Minimum Exhaust Rates)</t>
  </si>
  <si>
    <t>Min OA Ventilation Requirement-ACH-(Table 4-A, 2022 California Mechanical Code)</t>
  </si>
  <si>
    <t>Min OA Ventilation Requirement-cfm/ft²-(Table 4-A, 2022 California Mechanical Code)</t>
  </si>
  <si>
    <t>cfm</t>
  </si>
  <si>
    <t>*Negative pressure</t>
  </si>
  <si>
    <t>*Positive, No recirculation</t>
  </si>
  <si>
    <t>Total</t>
  </si>
  <si>
    <t>According to CEC model, exhaust required</t>
  </si>
  <si>
    <t>Exhaust required according to Code</t>
  </si>
  <si>
    <t>Laboratory-General Health</t>
  </si>
  <si>
    <t>Exhaust required according to Code
Per ASHRAE 62.1: Table 6.5-General Lab Exhaust</t>
  </si>
  <si>
    <t>According to CEC Model</t>
  </si>
  <si>
    <t>**The CPUC Hospital prototype does not include any exhaust fans modeled in any of the spaces.</t>
  </si>
  <si>
    <t>Exhaust Hood</t>
  </si>
  <si>
    <t xml:space="preserve">Type of hood </t>
  </si>
  <si>
    <t>Space</t>
  </si>
  <si>
    <t>Max Exhaust Flow Rate (cfm/ft)
[T24, 2025, Table 140.9-C]</t>
  </si>
  <si>
    <t>Hood length (ft)</t>
  </si>
  <si>
    <t>Hood Exhaust Rate (cfm)</t>
  </si>
  <si>
    <t xml:space="preserve">Type I , wall-mounted canopy hoods </t>
  </si>
  <si>
    <t xml:space="preserve"> T 24 2025, Table 140.9-C</t>
  </si>
  <si>
    <t>Fume Hood</t>
  </si>
  <si>
    <t>~1 fume hood per 2,500–3,000 ft² for hospital/clinical-type labs</t>
  </si>
  <si>
    <t xml:space="preserve">*Efficiency of exhaust fan is 50% (according to ACM, 2025,section 5.7.3)		</t>
  </si>
  <si>
    <t>Setpoint</t>
  </si>
  <si>
    <t>Health Heating Setpoint (F)</t>
  </si>
  <si>
    <t>T24 2022 - Appendix 5.4B</t>
  </si>
  <si>
    <t xml:space="preserve">CEC and PNNL Healthcare-Hospital prototypes use the same setpoints without setbacks; however, the DEER model applies a 10° F setback from midnight to 5:00 AM.																</t>
  </si>
  <si>
    <t>Health Heating Setback (F)</t>
  </si>
  <si>
    <t>Health Cooling Setpoint (F)</t>
  </si>
  <si>
    <t>Health Cooling Setback (F)</t>
  </si>
  <si>
    <t>Kitchen Heating Setpoint (F)</t>
  </si>
  <si>
    <t>PNNL 09.1, 2022 Restaurant prototype</t>
  </si>
  <si>
    <t>Kitchen Heating Setback (F)</t>
  </si>
  <si>
    <t>Kitchen Cooling Setpoint (F)</t>
  </si>
  <si>
    <t>Kitchen Cooling Setback (F)</t>
  </si>
  <si>
    <t>UnOccupied Heating Setpoint (F)</t>
  </si>
  <si>
    <t>UnOccupied Heating Setback (F)</t>
  </si>
  <si>
    <t>UnOccupied Cooling Setpoint (F)</t>
  </si>
  <si>
    <t>UnOccupied Cooling Setback (F)</t>
  </si>
  <si>
    <t>Weekday</t>
  </si>
  <si>
    <t>Saturday</t>
  </si>
  <si>
    <t>Sunday</t>
  </si>
  <si>
    <t xml:space="preserve">Weekday </t>
  </si>
  <si>
    <t>Ssturday</t>
  </si>
  <si>
    <t>DEER</t>
  </si>
  <si>
    <t>0:00 to 5:00</t>
  </si>
  <si>
    <t>0:00 to 24:00</t>
  </si>
  <si>
    <t>5:00 to 24:00</t>
  </si>
  <si>
    <t>5:00 to 19:00</t>
  </si>
  <si>
    <t>T24, Appendix JA5-4 : Occupant Controlled Smart Thermostat (OCST)</t>
  </si>
  <si>
    <t>WH Type</t>
  </si>
  <si>
    <t>Efficiency</t>
  </si>
  <si>
    <t>Tank Volume (gal)</t>
  </si>
  <si>
    <t>Tank Loss</t>
  </si>
  <si>
    <t xml:space="preserve">Existing  </t>
  </si>
  <si>
    <t>(Btu/hr)</t>
  </si>
  <si>
    <t>Peak Hot Water Consumption</t>
  </si>
  <si>
    <t>Space Name</t>
  </si>
  <si>
    <t>Baseline WH Type 
[CEUS 2022]</t>
  </si>
  <si>
    <t>Hot Water Usage Specification
(gal/hr per person)  
[T24, 2022, Appendix 5.4A , sheet: "2022 SpaceFuncData-Input"]</t>
  </si>
  <si>
    <t>Peak Hot Water Usage
(gal/hr)</t>
  </si>
  <si>
    <t>Peak Hot Water Usage
(gal/min)</t>
  </si>
  <si>
    <t xml:space="preserve">Water Heater Capacity, Tank Capacity, and Tank Loss </t>
  </si>
  <si>
    <t>Heat Output (Btu/hr)
[ACM, 2025, 5.9.2: Rated capacity section]</t>
  </si>
  <si>
    <t>WH Capacity (Btu/hr)
[ACM, 2025, 5.9.2: Rated capacity section]</t>
  </si>
  <si>
    <t>Required Energy Input (Btu/hr)</t>
  </si>
  <si>
    <t>Storage Volume (gal)</t>
  </si>
  <si>
    <t xml:space="preserve">Standby Loss </t>
  </si>
  <si>
    <t>Off/On Cycle Loss Coefficient to Ambient Temp (Btu/h-F)</t>
  </si>
  <si>
    <t>Gas Storage WH</t>
  </si>
  <si>
    <t>Btu/hr</t>
  </si>
  <si>
    <t>Standby loss equation: Title 20, §1605.1 Table F-4 
WH capacity equation: ACM, 2025, 5.9.2: Rated capacity section)</t>
  </si>
  <si>
    <t xml:space="preserve">Electric resistance WH </t>
  </si>
  <si>
    <t>%hr</t>
  </si>
  <si>
    <t>Design supply temperature (F)</t>
  </si>
  <si>
    <t>Ref: T24 2022 - Appendix 5.4B</t>
  </si>
  <si>
    <t>Standby Loss for Existing</t>
  </si>
  <si>
    <t>Cold Water supply temperature (F)</t>
  </si>
  <si>
    <t>Ref: ACM, 2025, 5.9.2: Rated capacity section</t>
  </si>
  <si>
    <t>WH system factor</t>
  </si>
  <si>
    <t>Reheat multiplier</t>
  </si>
  <si>
    <t xml:space="preserve">* The 0.40 multiplier is a storage sizing factor used to account for the fact that the water heater doesn't need to store the full peak hour demand—it can reheat water during that time. This factor assumes that the heater will recover part of the hot water used during the peak hour, so only 40% of the peak hour demand needs to be stored at any given moment. </t>
  </si>
  <si>
    <t>**For Gas Water Heater: UA(Btu/h-°F)​=Q˙​SL​ (Btu/h)/ΔT (∘F)​</t>
  </si>
  <si>
    <t>Ambient temp</t>
  </si>
  <si>
    <t>Delta T</t>
  </si>
  <si>
    <t>** For Electric Water Heater: UA(Btu/h-°F)​= 0.0834 *SL​ (%/hr)*V gal</t>
  </si>
  <si>
    <t>Baseline WH Type 
[T24, 2022, Appendix 5.4A , sheet: "2022 SpaceFuncData-Input"]</t>
  </si>
  <si>
    <t>Electric</t>
  </si>
  <si>
    <t>Motion Controlled Luminaires (W)</t>
  </si>
  <si>
    <t>Non-motion Controlled Luminaires (W)</t>
  </si>
  <si>
    <t>Total (W)</t>
  </si>
  <si>
    <t>T24, 2022 &amp; 2025
2019 Outdoor Lighting CASE report 
 PNNL 90.1-2010 TSD</t>
  </si>
  <si>
    <t>Items (Assume LZ2)</t>
  </si>
  <si>
    <t>Assumptions
[2019 Outdoor Lighting CASE Report &amp; PNNL 90.1-2010 TSD]</t>
  </si>
  <si>
    <t>Unit</t>
  </si>
  <si>
    <t>Lighting Power Allowance 
[T24, 2025, Table 140.7-A &amp; 140.7-B]</t>
  </si>
  <si>
    <t>Exterior Lighting Power (W)</t>
  </si>
  <si>
    <t>IWA (Initial Wattage Allowance)</t>
  </si>
  <si>
    <t>(W)</t>
  </si>
  <si>
    <t>Parking area</t>
  </si>
  <si>
    <t xml:space="preserve"> 400 ft² for every parking space
1 parking space per 830 ft² of gross building area </t>
  </si>
  <si>
    <t>(ft²)</t>
  </si>
  <si>
    <t>(W/ft²)</t>
  </si>
  <si>
    <t>Building Entrance</t>
  </si>
  <si>
    <t>14 building entrance per PNNL Model</t>
  </si>
  <si>
    <t>(count)</t>
  </si>
  <si>
    <t>(W/ea)</t>
  </si>
  <si>
    <t>Hardscape Ornamental Light</t>
  </si>
  <si>
    <t>0.1 ft² per 1 ft² of gross building area for hardscape ornamental light</t>
  </si>
  <si>
    <t>Building façade</t>
  </si>
  <si>
    <t>0.1 W per 1 ft² of facade area
Façade Area = Perimeter × 0.5 × 28 ft (30 ft is the max height that is lit) *
The 0.5 factor assumes that only half of the perimeter walls are lit.
-Formula ia developed based on the 2019 Outdoor Lighting CASE report</t>
  </si>
  <si>
    <t>Non-sales canopy</t>
  </si>
  <si>
    <t>Non-motion-controlled Luminaires</t>
  </si>
  <si>
    <t>Total floor area (ft²)</t>
  </si>
  <si>
    <t xml:space="preserve">Perimeter </t>
  </si>
  <si>
    <t>Floors</t>
  </si>
  <si>
    <t xml:space="preserve">New Construction </t>
  </si>
  <si>
    <t>LPD (W/ft²)</t>
  </si>
  <si>
    <t>Additional LPD for PorTable Lighting (W/ft²)</t>
  </si>
  <si>
    <t xml:space="preserve">LPD (W/ft²) </t>
  </si>
  <si>
    <t xml:space="preserve">T24, 2025, Table 140.6-C
 (Area category method) </t>
  </si>
  <si>
    <t xml:space="preserve">T24, 2019, Table 140.6-C
 (Area category method) </t>
  </si>
  <si>
    <t>Hour</t>
  </si>
  <si>
    <t>PNNL</t>
  </si>
  <si>
    <t>Spaces</t>
  </si>
  <si>
    <t>Plug load Power Density (W/ft²)</t>
  </si>
  <si>
    <t>Gas Power Density 
(Btu/hr-ft²)</t>
  </si>
  <si>
    <t>Refrigeration Power Density (W/ft²)</t>
  </si>
  <si>
    <t>T24 2022 - Appendix 5.4A</t>
  </si>
  <si>
    <t>Plug load and schedules project with CEC, 2025</t>
  </si>
  <si>
    <t>CEC: Refrig Load = 0.25 w/ft²</t>
  </si>
  <si>
    <t xml:space="preserve"> Appendix 5.4A: Gas equipment=1.1259 Btu/h-ft²--CEC model (Hospital) has the Gas equipment for 3.59 Btu/h-ft²</t>
  </si>
  <si>
    <t>PNNL has EPD=2 for Nurse station</t>
  </si>
  <si>
    <t xml:space="preserve"> Appendix 5.4A: Gas equipment=13 Btu/h-ft²--CEC model (Hospital) has the Gas equipment for 51.7 Btu/h-ft²</t>
  </si>
  <si>
    <t>PNNL has EPD=11 for Operating room--CEC: Gas equipment=3.62 Btu/h-ft²</t>
  </si>
  <si>
    <t>PNNL has EPD=10 for Imaging room</t>
  </si>
  <si>
    <t xml:space="preserve"> Appendix 5.4A: Gas equipment=17.53768 --CEC model (Hospital) has the Gas equipment for 35.4 Btu/h-ft²) -- Btu/h-ft² CEC: Refrig Load = 1.12 W/ft²</t>
  </si>
  <si>
    <t>Elevator</t>
  </si>
  <si>
    <t>No. of Elevators</t>
  </si>
  <si>
    <t>Cab Lighting Power Limit</t>
  </si>
  <si>
    <t>Lighting Shutoff</t>
  </si>
  <si>
    <t>Cab Fan Control</t>
  </si>
  <si>
    <t>Fan Power Limit</t>
  </si>
  <si>
    <t>Regenerative Drive Threshold</t>
  </si>
  <si>
    <t>Design load (w)</t>
  </si>
  <si>
    <t>Design Load based on PNNL ASHRAE 90.1 2013 Hospital prototype</t>
  </si>
  <si>
    <t>≤ 0.6 W/ft² of cab floor area- Exempt (covered process)</t>
  </si>
  <si>
    <t>Automatic shut‑off after ≤ 5 min no‑occupancy</t>
  </si>
  <si>
    <t>When the elevator cab is stopped and unoccupied with doors closed for over 15 minutes, the cab interior lighting and ventilation fans shall be switched off until elevator cab operation resumes.</t>
  </si>
  <si>
    <t>≤ 0.33 W per cfm of fan airflow</t>
  </si>
  <si>
    <t>Design Load based on PNNL ASHRAE 90.1 2022 Hospital prototype --- per T24 2025 §120.6 (f)</t>
  </si>
  <si>
    <t>Assumptions for elevators:</t>
  </si>
  <si>
    <t xml:space="preserve">One elevator for approximately 50,000 square feet in use. </t>
  </si>
  <si>
    <t>For every two floors or two and a half floors, one more elevator was added.</t>
  </si>
  <si>
    <t>An in-use rate of 70% for the floor area was assumed, based on engineering judgment.</t>
  </si>
  <si>
    <t xml:space="preserve">Calculated number of Elevators: </t>
  </si>
  <si>
    <t>Same as PNNL assumptions</t>
  </si>
  <si>
    <t>Calculate Elevator load (kw)based on ACM 2022:</t>
  </si>
  <si>
    <t>30 kw is PNNL ASHRE 90.1 2022 elevator load  (Lift,light and Fan)--CEC Model has 80K for the elevator load.</t>
  </si>
  <si>
    <t>ACM 2022 suggestion for elevator load (kw):</t>
  </si>
  <si>
    <t>Elevator load will be defined as exterior load not equipment load  (Same as PNNL ASHRAE 90.1 Large Hotel prototype).</t>
  </si>
  <si>
    <t>Elevator Load= Elevator Lift+ Elevator Light</t>
  </si>
  <si>
    <t>Elevator Lift (W)</t>
  </si>
  <si>
    <t>Elevator Fan</t>
  </si>
  <si>
    <t>Elevator Light</t>
  </si>
  <si>
    <t>0.7 W/ft²</t>
  </si>
  <si>
    <t>1.5 w/ft²</t>
  </si>
  <si>
    <t>1.65 w/ft²</t>
  </si>
  <si>
    <t>based on PNNL ASHRAE 90.1 Hospital prototype</t>
  </si>
  <si>
    <t>Zone</t>
  </si>
  <si>
    <t>Schedule</t>
  </si>
  <si>
    <t>Type</t>
  </si>
  <si>
    <t>All the zones</t>
  </si>
  <si>
    <t>Occupancy</t>
  </si>
  <si>
    <t>T24 2022 - Appendix 5.4B, [Health]</t>
  </si>
  <si>
    <t>Lights</t>
  </si>
  <si>
    <t xml:space="preserve">ElecEquipment </t>
  </si>
  <si>
    <t>ServiceHotWater</t>
  </si>
  <si>
    <t>GasEquipment</t>
  </si>
  <si>
    <t>Refrigeration</t>
  </si>
  <si>
    <t>Perimeter zones under Health category</t>
  </si>
  <si>
    <t>HVACAvail</t>
  </si>
  <si>
    <t>HtgSetpt</t>
  </si>
  <si>
    <t>ClgSetpt</t>
  </si>
  <si>
    <t>Other</t>
  </si>
  <si>
    <t>PNNL  2022 Hospital prototype</t>
  </si>
  <si>
    <r>
      <t xml:space="preserve">CEC Hospital 
Update with changing 0 to 0.1 
</t>
    </r>
    <r>
      <rPr>
        <sz val="9"/>
        <color rgb="FFFF0000"/>
        <rFont val="Arial"/>
        <family val="2"/>
      </rPr>
      <t>Or PNNL Gas Equip that is similar Elec?</t>
    </r>
  </si>
  <si>
    <t>Based on occupancy</t>
  </si>
  <si>
    <t>Patient24/7 (Differ only at lights from Health24/7)</t>
  </si>
  <si>
    <r>
      <t xml:space="preserve">PNNL  2022 Hospital prototype
</t>
    </r>
    <r>
      <rPr>
        <sz val="9"/>
        <color rgb="FF00B050"/>
        <rFont val="Arial"/>
        <family val="2"/>
      </rPr>
      <t>Modified by changing night load from 0.45 to 0.05 (almost off)</t>
    </r>
  </si>
  <si>
    <t>AllOtherDays (incl. Sunday &amp; Holidays)</t>
  </si>
  <si>
    <t>Unoccupied</t>
  </si>
  <si>
    <r>
      <t xml:space="preserve">T24 2022 - Appendix 5.4B, [Office]
</t>
    </r>
    <r>
      <rPr>
        <sz val="9"/>
        <color rgb="FF0070C0"/>
        <rFont val="Arial"/>
        <family val="2"/>
      </rPr>
      <t xml:space="preserve">
Updated base on Plug load and schedules project with CEC, 2025</t>
    </r>
  </si>
  <si>
    <t>T24 2022 - Appendix 5.4B, [Office]</t>
  </si>
  <si>
    <t xml:space="preserve">Plug load and schedules project with CEC, 2025 </t>
  </si>
  <si>
    <r>
      <t xml:space="preserve">T24 2022 - Appendix 5.4B, [Office]
</t>
    </r>
    <r>
      <rPr>
        <sz val="9"/>
        <color rgb="FF0070C0"/>
        <rFont val="Arial"/>
        <family val="2"/>
      </rPr>
      <t>Updated base on Plug load and schedules project with CEC, 202</t>
    </r>
  </si>
  <si>
    <t>Honeywell-INNCOM e7 Thermostat User Guide 
&amp; Engineering Judgement</t>
  </si>
  <si>
    <t>Dining and Café</t>
  </si>
  <si>
    <t>PNNL,ASHRAE 90.1, 2022 Fast Food Restaurant prototype 
(It has higher occupancy rate during morning compared to T24 2022 - Appendix 5.4B)</t>
  </si>
  <si>
    <r>
      <t xml:space="preserve">T24 2022 - Appendix 5.4B, [Restaurant]
</t>
    </r>
    <r>
      <rPr>
        <sz val="9"/>
        <color rgb="FF00B050"/>
        <rFont val="Arial"/>
        <family val="2"/>
      </rPr>
      <t>Updated based on the equipment schedule from the plug load and schedule project with CEC</t>
    </r>
    <r>
      <rPr>
        <sz val="9"/>
        <color theme="1"/>
        <rFont val="Arial"/>
        <family val="2"/>
      </rPr>
      <t xml:space="preserve">
</t>
    </r>
  </si>
  <si>
    <t>T24 2022 - Appendix 5.4B, [Restaurant]</t>
  </si>
  <si>
    <r>
      <t xml:space="preserve">T24 2022 - Appendix 5.4B, [Restaurant]
</t>
    </r>
    <r>
      <rPr>
        <sz val="9"/>
        <color rgb="FF00B050"/>
        <rFont val="Arial"/>
        <family val="2"/>
      </rPr>
      <t xml:space="preserve">Updated based on the adopted PNNL occupancy 
</t>
    </r>
  </si>
  <si>
    <r>
      <t xml:space="preserve">T24 2022 - Appendix 5.4B, [Restaurant]
</t>
    </r>
    <r>
      <rPr>
        <sz val="9"/>
        <color rgb="FF00B050"/>
        <rFont val="Arial"/>
        <family val="2"/>
      </rPr>
      <t xml:space="preserve">
Updated based on the adopted PNNL occupancy </t>
    </r>
  </si>
  <si>
    <r>
      <t xml:space="preserve">T24 2022 - Appendix 5.4B, [Restaurant]
</t>
    </r>
    <r>
      <rPr>
        <sz val="9"/>
        <color rgb="FF00B050"/>
        <rFont val="Arial"/>
        <family val="2"/>
      </rPr>
      <t xml:space="preserve">Updated based on the adopted PNNL occupancy 
</t>
    </r>
    <r>
      <rPr>
        <sz val="9"/>
        <color theme="1"/>
        <rFont val="Arial"/>
        <family val="2"/>
      </rPr>
      <t xml:space="preserve">
</t>
    </r>
  </si>
  <si>
    <t>occupancy</t>
  </si>
  <si>
    <t>ElecEquipment</t>
  </si>
  <si>
    <r>
      <t xml:space="preserve">T24 2022 - Appendix 5.4B , [Restaurant]
</t>
    </r>
    <r>
      <rPr>
        <sz val="9"/>
        <color rgb="FF00B050"/>
        <rFont val="Arial"/>
        <family val="2"/>
      </rPr>
      <t xml:space="preserve">Updated based on the adopted PNNL occupancy 
</t>
    </r>
  </si>
  <si>
    <t>ExhaustHoodEqualOrLessThan5000cfm</t>
  </si>
  <si>
    <t>ExhaustHoodGreaterThan 5000cfm</t>
  </si>
  <si>
    <r>
      <t xml:space="preserve">T24 2022 - Appendix 5.4B,  [Restaurant]
</t>
    </r>
    <r>
      <rPr>
        <sz val="9"/>
        <color rgb="FF00B050"/>
        <rFont val="Arial"/>
        <family val="2"/>
      </rPr>
      <t xml:space="preserve">
Updated based on the adopted PNNL occupancy</t>
    </r>
  </si>
  <si>
    <r>
      <t xml:space="preserve">T24 2022 - Appendix 5.4B,  [Restaurant]
</t>
    </r>
    <r>
      <rPr>
        <sz val="9"/>
        <color rgb="FF00B050"/>
        <rFont val="Arial"/>
        <family val="2"/>
      </rPr>
      <t>Updated based on the equipment schedule from the plug load and schedule project with CEC</t>
    </r>
  </si>
  <si>
    <t>Thermostat Setpoints of PNNL 09.1, 2022 Restaurant prototype and HVAC availability schedule of CEC Restaurant prototype</t>
  </si>
  <si>
    <t>Building</t>
  </si>
  <si>
    <r>
      <t xml:space="preserve">T24 2022 - Appendix 5.4B, [Health]
</t>
    </r>
    <r>
      <rPr>
        <sz val="10"/>
        <color rgb="FF00B050"/>
        <rFont val="Arial"/>
        <family val="2"/>
      </rPr>
      <t>Modified ( 0to 0.02 )</t>
    </r>
  </si>
  <si>
    <t>ExtLightingNonMotionCtrl</t>
  </si>
  <si>
    <t>PNNL Hospital Prototype (2022)</t>
  </si>
  <si>
    <t>ExtLightingMotionCtrl</t>
  </si>
  <si>
    <t>PNNL Hospital Prototype (2022) Modified to 0 for 11 pm to 5 am during weekday and 12 am to 5 am during weekend</t>
  </si>
  <si>
    <t>Office, Exam Room,Nurse Station, Recovery Room,Operating Room. Patient Room,Physical Therapy, Imaging Room, Lab</t>
  </si>
  <si>
    <t>FunctionalAreaPeopleActivityLevel</t>
  </si>
  <si>
    <t>CEC Hospital Prototype</t>
  </si>
  <si>
    <t>Corridor, Lobby</t>
  </si>
  <si>
    <t>CommonAreaPeopleActivityLevel</t>
  </si>
  <si>
    <t>Dining</t>
  </si>
  <si>
    <t>DiningAreaPeopleActivityLevel</t>
  </si>
  <si>
    <t>KitchenPeopleActivityLevel</t>
  </si>
  <si>
    <t>CZ</t>
  </si>
  <si>
    <t>Total Floorspace (Thousand of ft²)</t>
  </si>
  <si>
    <r>
      <rPr>
        <b/>
        <sz val="10"/>
        <color theme="1"/>
        <rFont val="Arial"/>
        <family val="2"/>
      </rPr>
      <t xml:space="preserve">Ref: </t>
    </r>
    <r>
      <rPr>
        <sz val="10"/>
        <color theme="1"/>
        <rFont val="Arial"/>
        <family val="2"/>
      </rPr>
      <t xml:space="preserve">CEUS 2022 Report </t>
    </r>
  </si>
  <si>
    <t xml:space="preserve">And converted FZ level data to CZ level </t>
  </si>
  <si>
    <t>Vintage Bin</t>
  </si>
  <si>
    <t>Pre-1978</t>
  </si>
  <si>
    <t>Not available</t>
  </si>
  <si>
    <t>Ref: CEUS 2022 dataset</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</si>
  <si>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</si>
  <si>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</si>
  <si>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</si>
  <si>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</si>
  <si>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</si>
  <si>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</si>
  <si>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</si>
  <si>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</si>
  <si>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</si>
  <si>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</si>
  <si>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</si>
  <si>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</si>
  <si>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</si>
  <si>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</si>
  <si>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</si>
  <si>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</si>
  <si>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</si>
  <si>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</si>
  <si>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</si>
  <si>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Convention, Conference, Multipurpose and Meeting Area</t>
  </si>
  <si>
    <t>Copy Room</t>
  </si>
  <si>
    <t>Dining Area (Bar/Lounge and Fine Dining)</t>
  </si>
  <si>
    <t>Dining Area (Family and Leisure)</t>
  </si>
  <si>
    <t>Electrical, Mechanical, Telephone Rooms</t>
  </si>
  <si>
    <t>Exercise/Fitness Center and Gymnasium Areas</t>
  </si>
  <si>
    <t>Financial Transaction Area</t>
  </si>
  <si>
    <t>Healthcare Facility and Hospitals (Medical Supply Room)</t>
  </si>
  <si>
    <t>Healthcare Facility and Hospitals (Nursery)</t>
  </si>
  <si>
    <t>Hotel Function Area</t>
  </si>
  <si>
    <t>Kitchenette or Residential Kitchen</t>
  </si>
  <si>
    <t xml:space="preserve">Laundry Area </t>
  </si>
  <si>
    <t>Library (Reading Area)</t>
  </si>
  <si>
    <t>Library (Stacks Area)</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</si>
  <si>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</si>
  <si>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</si>
  <si>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</si>
  <si>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</si>
  <si>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</si>
  <si>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</si>
  <si>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</si>
  <si>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</si>
  <si>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</si>
  <si>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</si>
  <si>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</si>
  <si>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</si>
  <si>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</si>
  <si>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</si>
  <si>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</si>
  <si>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</si>
  <si>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</si>
  <si>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</si>
  <si>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</si>
  <si>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</si>
  <si>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</si>
  <si>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</si>
  <si>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</si>
  <si>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</si>
  <si>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</si>
  <si>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</si>
  <si>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</si>
  <si>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</si>
  <si>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</si>
  <si>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</si>
  <si>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</si>
  <si>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</si>
  <si>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</si>
  <si>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</si>
  <si>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Plenum</t>
  </si>
  <si>
    <t>IT Room (EPD 12)</t>
  </si>
  <si>
    <t>Computer Room (EPD 20)</t>
  </si>
  <si>
    <t>Server Room (EPD 45)</t>
  </si>
  <si>
    <t>CalBEM Electricity EUI (KBTU/ft²)</t>
  </si>
  <si>
    <t>CalBEM Gas EUI (KBTU/ft²)</t>
  </si>
  <si>
    <t>CalBEM Total  EUI (KBTU/ft²)</t>
  </si>
  <si>
    <t>New Construction  Electricity EUI (KBTU/ft²)</t>
  </si>
  <si>
    <t>New Construction  Gas EUI (KBTU/ft²)</t>
  </si>
  <si>
    <t>New Construction  Total EUI (KBTU/ft²)</t>
  </si>
  <si>
    <t>National Average</t>
  </si>
  <si>
    <t>CalBEM Energy Consumption - Hospital</t>
  </si>
  <si>
    <t>CEUS 2023 Electricity EUI (kBtu/ft²)</t>
  </si>
  <si>
    <t>CEUS 2023 Gas EUI  (kBtu/ft²)</t>
  </si>
  <si>
    <t>CEUS 2023 Total EUI (kBtu/ft²)</t>
  </si>
  <si>
    <t xml:space="preserve">CEUS 2022 Acceptable EUI Range </t>
  </si>
  <si>
    <t>National Average Acceptable EUI Range</t>
  </si>
  <si>
    <t>Acceptable Range (25% Higher)</t>
  </si>
  <si>
    <t>Acceptable Range (25% Lower)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</si>
</sst>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_(* \(#,##0.00\);_(* &quot;-&quot;??_);_(@_)"/>
    <numFmt numFmtId="164" formatCode="0.0%"/>
    <numFmt numFmtId="165" formatCode="0.0"/>
    <numFmt numFmtId="166" formatCode="#,##0.0"/>
    <numFmt numFmtId="167" formatCode="0.0000"/>
    <numFmt numFmtId="168" formatCode="0.000"/>
    <numFmt numFmtId="169" formatCode="_(* #,##0_);_(* \(#,##0\);_(* &quot;-&quot;??_);_(@_)"/>
    <numFmt numFmtId="170" formatCode="_(* #,##0.000_);_(* \(#,##0.000\);_(* &quot;-&quot;??_);_(@_)"/>
    <numFmt numFmtId="171" formatCode="_(* #,##0.0_);_(* \(#,##0.0\);_(* &quot;-&quot;??_);_(@_)"/>
    <numFmt numFmtId="172" formatCode="#,##0;\-0;[Color15]0"/>
    <numFmt numFmtId="173" formatCode="#,##0.000"/>
    <numFmt numFmtId="174" formatCode="_(* #,##0_);_(* \(#,##0\);_(* &quot;-&quot;?_);_(@_)"/>
  </numFmts>
  <fonts count="49"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C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4"/>
      <color theme="1"/>
      <name val="Arial"/>
      <family val="2"/>
    </font>
    <font>
      <b/>
      <sz val="10"/>
      <color rgb="FF002F8E"/>
      <name val="Arial"/>
      <family val="2"/>
    </font>
    <font>
      <sz val="10"/>
      <color theme="0"/>
      <name val="Arial"/>
      <family val="2"/>
    </font>
    <font>
      <b/>
      <sz val="12"/>
      <color rgb="FF000000"/>
      <name val="Aptos Narrow"/>
      <family val="2"/>
    </font>
    <font>
      <b/>
      <sz val="12"/>
      <name val="Aptos Narrow"/>
      <family val="2"/>
    </font>
    <font>
      <sz val="11"/>
      <color rgb="FF000000"/>
      <name val="Aptos Narrow"/>
      <family val="2"/>
    </font>
    <font>
      <sz val="8"/>
      <color rgb="FF000000"/>
      <name val="Aptos Narrow"/>
      <family val="2"/>
    </font>
    <font>
      <sz val="11"/>
      <name val="Arial"/>
      <family val="2"/>
    </font>
    <font>
      <sz val="11"/>
      <color rgb="FF000000"/>
      <name val="Arial"/>
      <family val="2"/>
    </font>
    <font>
      <b/>
      <sz val="11"/>
      <color rgb="FF000000"/>
      <name val="Aptos Narrow"/>
      <family val="2"/>
    </font>
    <font>
      <b/>
      <sz val="12"/>
      <color rgb="FFFFFFFF"/>
      <name val="Arial"/>
      <family val="2"/>
    </font>
    <font>
      <b/>
      <u/>
      <sz val="11"/>
      <color theme="10"/>
      <name val="Calibri"/>
      <family val="2"/>
      <scheme val="minor"/>
    </font>
    <font>
      <sz val="11"/>
      <name val="Calibri"/>
      <family val="2"/>
      <scheme val="minor"/>
    </font>
    <font>
      <b/>
      <sz val="11"/>
      <color rgb="FF000000"/>
      <name val="Calibri"/>
      <family val="2"/>
      <scheme val="minor"/>
    </font>
    <font>
      <u/>
      <sz val="11"/>
      <color rgb="FF0563C1"/>
      <name val="Calibri"/>
      <family val="2"/>
    </font>
    <font>
      <sz val="10"/>
      <color rgb="FFA6A6A6"/>
      <name val="Arial"/>
      <family val="2"/>
    </font>
    <font>
      <sz val="10"/>
      <color rgb="FF0070C0"/>
      <name val="Arial"/>
      <family val="2"/>
    </font>
    <font>
      <sz val="9"/>
      <color rgb="FFFF0000"/>
      <name val="Arial"/>
      <family val="2"/>
    </font>
    <font>
      <sz val="10"/>
      <color rgb="FFFF0000"/>
      <name val="Arial"/>
      <family val="2"/>
    </font>
    <font>
      <sz val="9"/>
      <color rgb="FF000000"/>
      <name val="Arial"/>
      <family val="2"/>
    </font>
    <font>
      <sz val="9"/>
      <color rgb="FF0070C0"/>
      <name val="Arial"/>
      <family val="2"/>
    </font>
    <font>
      <sz val="9"/>
      <color rgb="FF00B050"/>
      <name val="Arial"/>
      <family val="2"/>
    </font>
    <font>
      <sz val="9"/>
      <name val="Arial"/>
      <family val="2"/>
    </font>
    <font>
      <sz val="10"/>
      <color rgb="FF00B050"/>
      <name val="Arial"/>
      <family val="2"/>
    </font>
  </fonts>
  <fills count="26">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theme="0" tint="-0.34998626667073579"/>
        <bgColor indexed="64"/>
      </patternFill>
    </fill>
    <fill>
      <patternFill patternType="solid">
        <fgColor theme="0" tint="-4.9989318521683403E-2"/>
        <bgColor rgb="FF000000"/>
      </patternFill>
    </fill>
    <fill>
      <patternFill patternType="solid">
        <fgColor rgb="FFFFFFFF"/>
        <bgColor rgb="FF000000"/>
      </patternFill>
    </fill>
    <fill>
      <patternFill patternType="solid">
        <fgColor rgb="FFF7C7AC"/>
        <bgColor rgb="FF000000"/>
      </patternFill>
    </fill>
    <fill>
      <patternFill patternType="solid">
        <fgColor rgb="FFDAE9F8"/>
        <bgColor rgb="FF000000"/>
      </patternFill>
    </fill>
    <fill>
      <patternFill patternType="solid">
        <fgColor rgb="FFC1F0C8"/>
        <bgColor rgb="FF000000"/>
      </patternFill>
    </fill>
    <fill>
      <patternFill patternType="solid">
        <fgColor rgb="FF83CCEB"/>
        <bgColor rgb="FF000000"/>
      </patternFill>
    </fill>
    <fill>
      <patternFill patternType="solid">
        <fgColor rgb="FFD9D9D9"/>
        <bgColor rgb="FF000000"/>
      </patternFill>
    </fill>
    <fill>
      <patternFill patternType="solid">
        <fgColor rgb="FF203764"/>
        <bgColor rgb="FF000000"/>
      </patternFill>
    </fill>
    <fill>
      <patternFill patternType="lightUp"/>
    </fill>
    <fill>
      <patternFill patternType="solid">
        <fgColor rgb="FF92D050"/>
        <bgColor rgb="FF000000"/>
      </patternFill>
    </fill>
    <fill>
      <patternFill patternType="solid">
        <fgColor rgb="FFFFEBCD"/>
        <bgColor indexed="64"/>
      </patternFill>
    </fill>
    <fill>
      <patternFill patternType="solid">
        <fgColor theme="2"/>
        <bgColor indexed="64"/>
      </patternFill>
    </fill>
    <fill>
      <patternFill patternType="solid">
        <fgColor rgb="FFFFF2CC"/>
        <bgColor rgb="FF000000"/>
      </patternFill>
    </fill>
  </fills>
  <borders count="239">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808080"/>
      </left>
      <right style="thin">
        <color rgb="FF808080"/>
      </right>
      <top style="thin">
        <color rgb="FF808080"/>
      </top>
      <bottom style="thin">
        <color rgb="FF808080"/>
      </bottom>
      <diagonal/>
    </border>
    <border>
      <left style="thin">
        <color theme="0" tint="-0.499984740745262"/>
      </left>
      <right style="thin">
        <color theme="0" tint="-0.499984740745262"/>
      </right>
      <top style="medium">
        <color indexed="64"/>
      </top>
      <bottom/>
      <diagonal/>
    </border>
    <border>
      <left style="medium">
        <color indexed="64"/>
      </left>
      <right style="thin">
        <color theme="0" tint="-0.499984740745262"/>
      </right>
      <top style="medium">
        <color indexed="64"/>
      </top>
      <bottom/>
      <diagonal/>
    </border>
    <border>
      <left style="thin">
        <color theme="0" tint="-0.499984740745262"/>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diagonal/>
    </border>
    <border>
      <left style="thin">
        <color rgb="FF595959"/>
      </left>
      <right style="thin">
        <color rgb="FF595959"/>
      </right>
      <top style="thin">
        <color rgb="FF595959"/>
      </top>
      <bottom style="thin">
        <color rgb="FF595959"/>
      </bottom>
      <diagonal/>
    </border>
    <border>
      <left style="thin">
        <color rgb="FF595959"/>
      </left>
      <right/>
      <top style="thin">
        <color rgb="FF595959"/>
      </top>
      <bottom style="thin">
        <color rgb="FF595959"/>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808080"/>
      </left>
      <right/>
      <top style="thin">
        <color rgb="FF808080"/>
      </top>
      <bottom/>
      <diagonal/>
    </border>
    <border>
      <left style="thin">
        <color rgb="FF808080"/>
      </left>
      <right/>
      <top/>
      <bottom/>
      <diagonal/>
    </border>
    <border>
      <left style="thin">
        <color rgb="FF808080"/>
      </left>
      <right/>
      <top/>
      <bottom style="thin">
        <color rgb="FF808080"/>
      </bottom>
      <diagonal/>
    </border>
    <border>
      <left style="thin">
        <color rgb="FF595959"/>
      </left>
      <right style="thin">
        <color rgb="FF595959"/>
      </right>
      <top/>
      <bottom style="thin">
        <color rgb="FF595959"/>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style="thin">
        <color rgb="FF000000"/>
      </bottom>
      <diagonal/>
    </border>
    <border>
      <left style="thin">
        <color indexed="64"/>
      </left>
      <right style="thin">
        <color indexed="64"/>
      </right>
      <top style="thin">
        <color rgb="FF000000"/>
      </top>
      <bottom/>
      <diagonal/>
    </border>
    <border>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rgb="FF595959"/>
      </top>
      <bottom style="thin">
        <color rgb="FF59595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bottom style="thin">
        <color theme="1" tint="0.34998626667073579"/>
      </bottom>
      <diagonal/>
    </border>
    <border>
      <left style="thin">
        <color indexed="64"/>
      </left>
      <right style="medium">
        <color indexed="64"/>
      </right>
      <top/>
      <bottom style="thin">
        <color indexed="64"/>
      </bottom>
      <diagonal/>
    </border>
    <border>
      <left style="thin">
        <color theme="1" tint="0.34998626667073579"/>
      </left>
      <right style="medium">
        <color indexed="64"/>
      </right>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medium">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indexed="64"/>
      </bottom>
      <diagonal/>
    </border>
    <border>
      <left style="medium">
        <color indexed="64"/>
      </left>
      <right style="thin">
        <color indexed="64"/>
      </right>
      <top/>
      <bottom style="thin">
        <color indexed="64"/>
      </bottom>
      <diagonal/>
    </border>
    <border>
      <left style="thin">
        <color theme="1" tint="0.34998626667073579"/>
      </left>
      <right style="medium">
        <color indexed="64"/>
      </right>
      <top style="medium">
        <color indexed="64"/>
      </top>
      <bottom style="thin">
        <color theme="1" tint="0.34998626667073579"/>
      </bottom>
      <diagonal/>
    </border>
    <border>
      <left style="thin">
        <color theme="1" tint="0.34998626667073579"/>
      </left>
      <right style="medium">
        <color indexed="64"/>
      </right>
      <top style="thin">
        <color theme="1" tint="0.34998626667073579"/>
      </top>
      <bottom style="medium">
        <color indexed="64"/>
      </bottom>
      <diagonal/>
    </border>
    <border>
      <left style="thin">
        <color indexed="64"/>
      </left>
      <right style="thin">
        <color theme="1" tint="0.34998626667073579"/>
      </right>
      <top/>
      <bottom style="thin">
        <color theme="1" tint="0.34998626667073579"/>
      </bottom>
      <diagonal/>
    </border>
    <border>
      <left style="thin">
        <color indexed="64"/>
      </left>
      <right style="thin">
        <color theme="1" tint="0.34998626667073579"/>
      </right>
      <top style="thin">
        <color theme="1" tint="0.34998626667073579"/>
      </top>
      <bottom style="thin">
        <color theme="1" tint="0.34998626667073579"/>
      </bottom>
      <diagonal/>
    </border>
    <border>
      <left style="thin">
        <color indexed="64"/>
      </left>
      <right style="thin">
        <color theme="1" tint="0.34998626667073579"/>
      </right>
      <top style="thin">
        <color theme="1" tint="0.34998626667073579"/>
      </top>
      <bottom/>
      <diagonal/>
    </border>
    <border>
      <left style="thin">
        <color indexed="64"/>
      </left>
      <right style="thin">
        <color theme="1" tint="0.34998626667073579"/>
      </right>
      <top style="medium">
        <color theme="1" tint="0.34998626667073579"/>
      </top>
      <bottom style="thin">
        <color theme="1" tint="0.34998626667073579"/>
      </bottom>
      <diagonal/>
    </border>
    <border>
      <left style="thin">
        <color indexed="64"/>
      </left>
      <right style="thin">
        <color theme="1" tint="0.34998626667073579"/>
      </right>
      <top style="thin">
        <color theme="1" tint="0.34998626667073579"/>
      </top>
      <bottom style="medium">
        <color theme="1" tint="0.34998626667073579"/>
      </bottom>
      <diagonal/>
    </border>
    <border>
      <left/>
      <right style="thin">
        <color theme="1" tint="0.34998626667073579"/>
      </right>
      <top/>
      <bottom/>
      <diagonal/>
    </border>
    <border>
      <left/>
      <right style="thin">
        <color theme="1" tint="0.34998626667073579"/>
      </right>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diagonal/>
    </border>
    <border>
      <left style="thin">
        <color indexed="64"/>
      </left>
      <right style="medium">
        <color indexed="64"/>
      </right>
      <top style="medium">
        <color indexed="64"/>
      </top>
      <bottom style="thin">
        <color theme="1" tint="0.34998626667073579"/>
      </bottom>
      <diagonal/>
    </border>
    <border>
      <left style="thin">
        <color indexed="64"/>
      </left>
      <right style="medium">
        <color indexed="64"/>
      </right>
      <top style="thin">
        <color theme="1" tint="0.34998626667073579"/>
      </top>
      <bottom style="thin">
        <color theme="1" tint="0.34998626667073579"/>
      </bottom>
      <diagonal/>
    </border>
    <border>
      <left style="thin">
        <color indexed="64"/>
      </left>
      <right style="medium">
        <color indexed="64"/>
      </right>
      <top style="thin">
        <color theme="1" tint="0.34998626667073579"/>
      </top>
      <bottom style="medium">
        <color indexed="64"/>
      </bottom>
      <diagonal/>
    </border>
    <border>
      <left style="medium">
        <color indexed="64"/>
      </left>
      <right style="thin">
        <color indexed="64"/>
      </right>
      <top/>
      <bottom style="thin">
        <color theme="1" tint="0.34998626667073579"/>
      </bottom>
      <diagonal/>
    </border>
    <border>
      <left style="thin">
        <color indexed="64"/>
      </left>
      <right style="thin">
        <color indexed="64"/>
      </right>
      <top/>
      <bottom style="thin">
        <color theme="1" tint="0.34998626667073579"/>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style="medium">
        <color indexed="64"/>
      </top>
      <bottom style="thin">
        <color theme="1" tint="0.34998626667073579"/>
      </bottom>
      <diagonal/>
    </border>
    <border>
      <left style="thin">
        <color indexed="64"/>
      </left>
      <right style="thin">
        <color indexed="64"/>
      </right>
      <top style="medium">
        <color indexed="64"/>
      </top>
      <bottom style="thin">
        <color theme="1" tint="0.34998626667073579"/>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diagonal/>
    </border>
    <border>
      <left style="medium">
        <color indexed="64"/>
      </left>
      <right style="thin">
        <color indexed="64"/>
      </right>
      <top style="thin">
        <color indexed="64"/>
      </top>
      <bottom/>
      <diagonal/>
    </border>
    <border>
      <left style="thin">
        <color indexed="64"/>
      </left>
      <right style="medium">
        <color indexed="64"/>
      </right>
      <top/>
      <bottom style="thin">
        <color theme="1" tint="0.34998626667073579"/>
      </bottom>
      <diagonal/>
    </border>
    <border>
      <left style="thin">
        <color indexed="64"/>
      </left>
      <right style="medium">
        <color indexed="64"/>
      </right>
      <top style="thin">
        <color theme="1" tint="0.34998626667073579"/>
      </top>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diagonal/>
    </border>
    <border>
      <left style="medium">
        <color indexed="64"/>
      </left>
      <right style="thin">
        <color theme="1" tint="0.34998626667073579"/>
      </right>
      <top style="thin">
        <color theme="1" tint="0.34998626667073579"/>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right style="thin">
        <color theme="1" tint="0.34998626667073579"/>
      </right>
      <top style="medium">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top style="thin">
        <color indexed="64"/>
      </top>
      <bottom style="thin">
        <color indexed="64"/>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indexed="64"/>
      </top>
      <bottom style="medium">
        <color indexed="64"/>
      </bottom>
      <diagonal/>
    </border>
    <border>
      <left style="thin">
        <color theme="1" tint="0.34998626667073579"/>
      </left>
      <right/>
      <top style="thin">
        <color indexed="64"/>
      </top>
      <bottom style="medium">
        <color indexed="64"/>
      </bottom>
      <diagonal/>
    </border>
    <border>
      <left style="medium">
        <color indexed="64"/>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indexed="64"/>
      </bottom>
      <diagonal/>
    </border>
    <border>
      <left style="thin">
        <color theme="1" tint="0.34998626667073579"/>
      </left>
      <right/>
      <top/>
      <bottom style="thin">
        <color indexed="64"/>
      </bottom>
      <diagonal/>
    </border>
    <border>
      <left style="thin">
        <color theme="1" tint="0.34998626667073579"/>
      </left>
      <right/>
      <top/>
      <bottom/>
      <diagonal/>
    </border>
    <border>
      <left/>
      <right style="thin">
        <color theme="1" tint="0.499984740745262"/>
      </right>
      <top style="medium">
        <color theme="1"/>
      </top>
      <bottom style="thin">
        <color theme="1" tint="0.499984740745262"/>
      </bottom>
      <diagonal/>
    </border>
    <border>
      <left style="thin">
        <color theme="1" tint="0.499984740745262"/>
      </left>
      <right style="thin">
        <color theme="1" tint="0.499984740745262"/>
      </right>
      <top style="medium">
        <color theme="1"/>
      </top>
      <bottom style="thin">
        <color theme="1" tint="0.499984740745262"/>
      </bottom>
      <diagonal/>
    </border>
    <border>
      <left style="thin">
        <color theme="1" tint="0.499984740745262"/>
      </left>
      <right style="medium">
        <color theme="1"/>
      </right>
      <top style="medium">
        <color theme="1"/>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medium">
        <color theme="1"/>
      </right>
      <top style="thin">
        <color theme="1" tint="0.499984740745262"/>
      </top>
      <bottom style="thin">
        <color theme="1" tint="0.499984740745262"/>
      </bottom>
      <diagonal/>
    </border>
    <border>
      <left/>
      <right style="thin">
        <color theme="1" tint="0.499984740745262"/>
      </right>
      <top style="thin">
        <color theme="1" tint="0.499984740745262"/>
      </top>
      <bottom style="medium">
        <color theme="1"/>
      </bottom>
      <diagonal/>
    </border>
    <border>
      <left style="thin">
        <color theme="1" tint="0.499984740745262"/>
      </left>
      <right style="thin">
        <color theme="1" tint="0.499984740745262"/>
      </right>
      <top style="thin">
        <color theme="1" tint="0.499984740745262"/>
      </top>
      <bottom style="medium">
        <color theme="1"/>
      </bottom>
      <diagonal/>
    </border>
    <border>
      <left style="thin">
        <color theme="1" tint="0.499984740745262"/>
      </left>
      <right style="medium">
        <color theme="1"/>
      </right>
      <top style="thin">
        <color theme="1" tint="0.499984740745262"/>
      </top>
      <bottom style="medium">
        <color theme="1"/>
      </bottom>
      <diagonal/>
    </border>
    <border>
      <left style="thin">
        <color indexed="64"/>
      </left>
      <right style="thin">
        <color indexed="64"/>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medium">
        <color indexed="64"/>
      </right>
      <top/>
      <bottom style="thin">
        <color theme="1" tint="0.499984740745262"/>
      </bottom>
      <diagonal/>
    </border>
    <border>
      <left style="thin">
        <color indexed="64"/>
      </left>
      <right style="thin">
        <color indexed="64"/>
      </right>
      <top style="thin">
        <color theme="1" tint="0.499984740745262"/>
      </top>
      <bottom style="thin">
        <color theme="1" tint="0.499984740745262"/>
      </bottom>
      <diagonal/>
    </border>
    <border>
      <left style="thin">
        <color indexed="64"/>
      </left>
      <right style="thin">
        <color indexed="64"/>
      </right>
      <top style="thin">
        <color theme="1" tint="0.499984740745262"/>
      </top>
      <bottom style="medium">
        <color indexed="64"/>
      </bottom>
      <diagonal/>
    </border>
    <border>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medium">
        <color indexed="64"/>
      </right>
      <top style="thin">
        <color theme="1" tint="0.499984740745262"/>
      </top>
      <bottom/>
      <diagonal/>
    </border>
    <border>
      <left style="thin">
        <color indexed="64"/>
      </left>
      <right style="medium">
        <color theme="1"/>
      </right>
      <top/>
      <bottom/>
      <diagonal/>
    </border>
    <border>
      <left style="medium">
        <color theme="1"/>
      </left>
      <right style="thin">
        <color theme="1" tint="0.499984740745262"/>
      </right>
      <top style="medium">
        <color theme="1"/>
      </top>
      <bottom style="thin">
        <color theme="1" tint="0.499984740745262"/>
      </bottom>
      <diagonal/>
    </border>
    <border>
      <left style="medium">
        <color theme="1"/>
      </left>
      <right style="thin">
        <color theme="1" tint="0.499984740745262"/>
      </right>
      <top style="thin">
        <color theme="1" tint="0.499984740745262"/>
      </top>
      <bottom style="thin">
        <color theme="1" tint="0.499984740745262"/>
      </bottom>
      <diagonal/>
    </border>
    <border>
      <left style="thin">
        <color indexed="64"/>
      </left>
      <right style="thin">
        <color indexed="64"/>
      </right>
      <top style="thin">
        <color theme="1" tint="0.499984740745262"/>
      </top>
      <bottom style="medium">
        <color theme="1" tint="0.34998626667073579"/>
      </bottom>
      <diagonal/>
    </border>
    <border>
      <left style="thin">
        <color indexed="64"/>
      </left>
      <right style="medium">
        <color theme="1"/>
      </right>
      <top/>
      <bottom style="medium">
        <color indexed="64"/>
      </bottom>
      <diagonal/>
    </border>
    <border>
      <left style="medium">
        <color theme="1"/>
      </left>
      <right style="thin">
        <color theme="1" tint="0.499984740745262"/>
      </right>
      <top style="thin">
        <color theme="1" tint="0.499984740745262"/>
      </top>
      <bottom style="medium">
        <color theme="1"/>
      </bottom>
      <diagonal/>
    </border>
    <border>
      <left style="thin">
        <color indexed="64"/>
      </left>
      <right style="medium">
        <color theme="1"/>
      </right>
      <top style="medium">
        <color indexed="64"/>
      </top>
      <bottom/>
      <diagonal/>
    </border>
    <border>
      <left style="thin">
        <color theme="1" tint="0.499984740745262"/>
      </left>
      <right style="thin">
        <color theme="1" tint="0.499984740745262"/>
      </right>
      <top/>
      <bottom style="medium">
        <color theme="1"/>
      </bottom>
      <diagonal/>
    </border>
    <border>
      <left style="thin">
        <color indexed="64"/>
      </left>
      <right style="thin">
        <color indexed="64"/>
      </right>
      <top style="medium">
        <color indexed="64"/>
      </top>
      <bottom style="thin">
        <color theme="1" tint="0.499984740745262"/>
      </bottom>
      <diagonal/>
    </border>
    <border>
      <left style="thin">
        <color theme="1" tint="0.499984740745262"/>
      </left>
      <right style="thin">
        <color theme="1" tint="0.499984740745262"/>
      </right>
      <top style="medium">
        <color theme="1"/>
      </top>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diagonal/>
    </border>
    <border>
      <left style="thin">
        <color theme="1" tint="0.34998626667073579"/>
      </left>
      <right style="medium">
        <color indexed="64"/>
      </right>
      <top style="medium">
        <color indexed="64"/>
      </top>
      <bottom/>
      <diagonal/>
    </border>
    <border>
      <left style="thin">
        <color theme="1" tint="0.34998626667073579"/>
      </left>
      <right style="medium">
        <color indexed="64"/>
      </right>
      <top/>
      <bottom/>
      <diagonal/>
    </border>
    <border>
      <left style="thin">
        <color theme="1" tint="0.34998626667073579"/>
      </left>
      <right style="medium">
        <color indexed="64"/>
      </right>
      <top/>
      <bottom style="medium">
        <color indexed="64"/>
      </bottom>
      <diagonal/>
    </border>
    <border>
      <left style="thin">
        <color indexed="64"/>
      </left>
      <right style="thin">
        <color indexed="64"/>
      </right>
      <top style="thin">
        <color theme="1" tint="0.499984740745262"/>
      </top>
      <bottom/>
      <diagonal/>
    </border>
    <border>
      <left/>
      <right style="thin">
        <color theme="1" tint="0.499984740745262"/>
      </right>
      <top style="medium">
        <color indexed="64"/>
      </top>
      <bottom style="thin">
        <color theme="1" tint="0.499984740745262"/>
      </bottom>
      <diagonal/>
    </border>
    <border>
      <left/>
      <right style="thin">
        <color theme="1" tint="0.499984740745262"/>
      </right>
      <top style="thin">
        <color theme="1" tint="0.499984740745262"/>
      </top>
      <bottom style="medium">
        <color indexed="64"/>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style="thin">
        <color theme="1" tint="0.499984740745262"/>
      </left>
      <right style="thin">
        <color theme="1" tint="0.499984740745262"/>
      </right>
      <top/>
      <bottom/>
      <diagonal/>
    </border>
    <border>
      <left style="thin">
        <color theme="1" tint="0.499984740745262"/>
      </left>
      <right style="medium">
        <color theme="1"/>
      </right>
      <top style="thin">
        <color theme="1" tint="0.499984740745262"/>
      </top>
      <bottom/>
      <diagonal/>
    </border>
    <border>
      <left style="thin">
        <color theme="1" tint="0.34998626667073579"/>
      </left>
      <right/>
      <top style="medium">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thin">
        <color theme="1" tint="0.34998626667073579"/>
      </left>
      <right/>
      <top style="thin">
        <color theme="1" tint="0.34998626667073579"/>
      </top>
      <bottom/>
      <diagonal/>
    </border>
    <border>
      <left style="medium">
        <color theme="1"/>
      </left>
      <right style="thin">
        <color theme="1" tint="0.499984740745262"/>
      </right>
      <top style="thin">
        <color theme="1" tint="0.499984740745262"/>
      </top>
      <bottom/>
      <diagonal/>
    </border>
    <border>
      <left style="medium">
        <color indexed="64"/>
      </left>
      <right/>
      <top style="medium">
        <color indexed="64"/>
      </top>
      <bottom style="thin">
        <color rgb="FF000000"/>
      </bottom>
      <diagonal/>
    </border>
    <border>
      <left style="thin">
        <color theme="1" tint="0.34998626667073579"/>
      </left>
      <right/>
      <top style="medium">
        <color indexed="64"/>
      </top>
      <bottom style="thin">
        <color theme="1" tint="0.34998626667073579"/>
      </bottom>
      <diagonal/>
    </border>
    <border>
      <left style="thin">
        <color theme="1" tint="0.34998626667073579"/>
      </left>
      <right/>
      <top style="thin">
        <color theme="1" tint="0.34998626667073579"/>
      </top>
      <bottom style="medium">
        <color indexed="64"/>
      </bottom>
      <diagonal/>
    </border>
    <border>
      <left style="thin">
        <color rgb="FF000000"/>
      </left>
      <right style="thin">
        <color rgb="FF000000"/>
      </right>
      <top/>
      <bottom/>
      <diagonal/>
    </border>
    <border>
      <left style="thin">
        <color rgb="FF000000"/>
      </left>
      <right style="thin">
        <color indexed="64"/>
      </right>
      <top style="medium">
        <color indexed="64"/>
      </top>
      <bottom style="thin">
        <color rgb="FF000000"/>
      </bottom>
      <diagonal/>
    </border>
    <border>
      <left style="thin">
        <color indexed="64"/>
      </left>
      <right style="thin">
        <color indexed="64"/>
      </right>
      <top style="medium">
        <color indexed="64"/>
      </top>
      <bottom style="thin">
        <color rgb="FF000000"/>
      </bottom>
      <diagonal/>
    </border>
    <border>
      <left style="thin">
        <color indexed="64"/>
      </left>
      <right style="medium">
        <color indexed="64"/>
      </right>
      <top style="medium">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medium">
        <color indexed="64"/>
      </right>
      <top style="thin">
        <color rgb="FF000000"/>
      </top>
      <bottom style="thin">
        <color rgb="FF000000"/>
      </bottom>
      <diagonal/>
    </border>
    <border>
      <left style="thin">
        <color rgb="FF000000"/>
      </left>
      <right style="thin">
        <color indexed="64"/>
      </right>
      <top style="thin">
        <color rgb="FF000000"/>
      </top>
      <bottom style="medium">
        <color indexed="64"/>
      </bottom>
      <diagonal/>
    </border>
    <border>
      <left style="thin">
        <color indexed="64"/>
      </left>
      <right style="thin">
        <color indexed="64"/>
      </right>
      <top style="thin">
        <color rgb="FF000000"/>
      </top>
      <bottom style="medium">
        <color indexed="64"/>
      </bottom>
      <diagonal/>
    </border>
    <border>
      <left style="thin">
        <color indexed="64"/>
      </left>
      <right style="medium">
        <color indexed="64"/>
      </right>
      <top style="thin">
        <color rgb="FF000000"/>
      </top>
      <bottom style="medium">
        <color indexed="64"/>
      </bottom>
      <diagonal/>
    </border>
    <border>
      <left style="thin">
        <color theme="1" tint="0.34998626667073579"/>
      </left>
      <right style="medium">
        <color indexed="64"/>
      </right>
      <top/>
      <bottom style="medium">
        <color theme="1" tint="0.34998626667073579"/>
      </bottom>
      <diagonal/>
    </border>
    <border>
      <left style="thin">
        <color theme="1" tint="0.34998626667073579"/>
      </left>
      <right style="thin">
        <color theme="1" tint="0.34998626667073579"/>
      </right>
      <top style="medium">
        <color theme="1" tint="0.34998626667073579"/>
      </top>
      <bottom/>
      <diagonal/>
    </border>
    <border>
      <left style="thin">
        <color theme="1" tint="0.34998626667073579"/>
      </left>
      <right style="thin">
        <color theme="1" tint="0.34998626667073579"/>
      </right>
      <top/>
      <bottom style="medium">
        <color indexed="64"/>
      </bottom>
      <diagonal/>
    </border>
    <border>
      <left style="medium">
        <color indexed="64"/>
      </left>
      <right style="thin">
        <color theme="1" tint="0.34998626667073579"/>
      </right>
      <top style="medium">
        <color indexed="64"/>
      </top>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top style="thin">
        <color rgb="FF000000"/>
      </top>
      <bottom/>
      <diagonal/>
    </border>
    <border>
      <left style="thin">
        <color rgb="FF000000"/>
      </left>
      <right style="thin">
        <color rgb="FF000000"/>
      </right>
      <top style="medium">
        <color indexed="64"/>
      </top>
      <bottom/>
      <diagonal/>
    </border>
    <border>
      <left style="thin">
        <color rgb="FF000000"/>
      </left>
      <right style="thin">
        <color rgb="FF000000"/>
      </right>
      <top/>
      <bottom style="medium">
        <color indexed="64"/>
      </bottom>
      <diagonal/>
    </border>
    <border>
      <left/>
      <right/>
      <top style="medium">
        <color indexed="64"/>
      </top>
      <bottom style="medium">
        <color indexed="64"/>
      </bottom>
      <diagonal/>
    </border>
    <border>
      <left/>
      <right style="thin">
        <color theme="1" tint="0.34998626667073579"/>
      </right>
      <top style="medium">
        <color indexed="64"/>
      </top>
      <bottom style="medium">
        <color indexed="64"/>
      </bottom>
      <diagonal/>
    </border>
    <border>
      <left style="medium">
        <color rgb="FF000000"/>
      </left>
      <right style="thin">
        <color indexed="64"/>
      </right>
      <top style="medium">
        <color rgb="FF000000"/>
      </top>
      <bottom style="thin">
        <color indexed="64"/>
      </bottom>
      <diagonal/>
    </border>
    <border>
      <left style="thin">
        <color theme="1" tint="0.34998626667073579"/>
      </left>
      <right style="thin">
        <color theme="1" tint="0.34998626667073579"/>
      </right>
      <top style="medium">
        <color rgb="FF000000"/>
      </top>
      <bottom style="thin">
        <color theme="1" tint="0.34998626667073579"/>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499984740745262"/>
      </left>
      <right style="medium">
        <color theme="1"/>
      </right>
      <top/>
      <bottom style="thin">
        <color theme="1" tint="0.499984740745262"/>
      </bottom>
      <diagonal/>
    </border>
    <border>
      <left style="medium">
        <color rgb="FF000000"/>
      </left>
      <right/>
      <top style="medium">
        <color rgb="FF000000"/>
      </top>
      <bottom style="thin">
        <color theme="1" tint="0.499984740745262"/>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theme="1" tint="0.499984740745262"/>
      </top>
      <bottom style="thin">
        <color theme="1" tint="0.499984740745262"/>
      </bottom>
      <diagonal/>
    </border>
    <border>
      <left style="thin">
        <color rgb="FF000000"/>
      </left>
      <right style="medium">
        <color rgb="FF000000"/>
      </right>
      <top style="thin">
        <color rgb="FF000000"/>
      </top>
      <bottom style="thin">
        <color rgb="FF000000"/>
      </bottom>
      <diagonal/>
    </border>
    <border>
      <left style="medium">
        <color rgb="FF000000"/>
      </left>
      <right/>
      <top style="thin">
        <color theme="1" tint="0.499984740745262"/>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theme="1" tint="0.34998626667073579"/>
      </left>
      <right/>
      <top style="medium">
        <color rgb="FF000000"/>
      </top>
      <bottom style="thin">
        <color theme="1" tint="0.34998626667073579"/>
      </bottom>
      <diagonal/>
    </border>
    <border>
      <left style="thin">
        <color theme="1" tint="0.34998626667073579"/>
      </left>
      <right/>
      <top style="thin">
        <color theme="1" tint="0.34998626667073579"/>
      </top>
      <bottom style="medium">
        <color rgb="FF000000"/>
      </bottom>
      <diagonal/>
    </border>
    <border>
      <left style="medium">
        <color theme="1"/>
      </left>
      <right style="thin">
        <color theme="1" tint="0.499984740745262"/>
      </right>
      <top/>
      <bottom style="thin">
        <color theme="1" tint="0.499984740745262"/>
      </bottom>
      <diagonal/>
    </border>
    <border>
      <left style="thin">
        <color rgb="FF595959"/>
      </left>
      <right style="thin">
        <color rgb="FF595959"/>
      </right>
      <top style="thin">
        <color rgb="FF595959"/>
      </top>
      <bottom/>
      <diagonal/>
    </border>
    <border>
      <left style="thin">
        <color theme="1" tint="0.34998626667073579"/>
      </left>
      <right style="medium">
        <color indexed="64"/>
      </right>
      <top style="medium">
        <color theme="1" tint="0.34998626667073579"/>
      </top>
      <bottom/>
      <diagonal/>
    </border>
  </borders>
  <cellStyleXfs count="13">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2" fillId="0" borderId="0"/>
    <xf numFmtId="0" fontId="14" fillId="0" borderId="0" applyNumberFormat="0" applyFill="0" applyBorder="0" applyAlignment="0" applyProtection="0"/>
    <xf numFmtId="0" fontId="6" fillId="0" borderId="0"/>
    <xf numFmtId="0" fontId="6" fillId="0" borderId="0"/>
  </cellStyleXfs>
  <cellXfs count="882">
    <xf numFmtId="0" fontId="0" fillId="0" borderId="0" xfId="0"/>
    <xf numFmtId="0" fontId="10" fillId="0" borderId="0" xfId="0" applyFont="1"/>
    <xf numFmtId="0" fontId="10" fillId="0" borderId="0" xfId="0" applyFont="1" applyAlignment="1">
      <alignment horizontal="center" vertical="center"/>
    </xf>
    <xf numFmtId="0" fontId="6" fillId="0" borderId="0" xfId="0" applyFont="1"/>
    <xf numFmtId="0" fontId="7" fillId="0" borderId="0" xfId="0" applyFont="1"/>
    <xf numFmtId="0" fontId="6" fillId="0" borderId="0" xfId="0" applyFont="1" applyAlignment="1">
      <alignment horizontal="center" vertical="center"/>
    </xf>
    <xf numFmtId="0" fontId="6" fillId="0" borderId="0" xfId="0" applyFont="1" applyAlignment="1">
      <alignment vertical="center"/>
    </xf>
    <xf numFmtId="0" fontId="6" fillId="0" borderId="0" xfId="0" applyFont="1" applyAlignment="1">
      <alignment horizontal="center" vertical="center" wrapText="1"/>
    </xf>
    <xf numFmtId="0" fontId="14" fillId="0" borderId="0" xfId="5" applyFont="1"/>
    <xf numFmtId="0" fontId="13" fillId="0" borderId="0" xfId="0" applyFont="1" applyAlignment="1">
      <alignment vertical="center"/>
    </xf>
    <xf numFmtId="0" fontId="1" fillId="0" borderId="2" xfId="1" applyBorder="1" applyAlignment="1">
      <alignment vertical="center" wrapText="1"/>
    </xf>
    <xf numFmtId="3" fontId="1" fillId="0" borderId="2" xfId="1" applyNumberFormat="1" applyBorder="1" applyAlignment="1">
      <alignment horizontal="center" vertical="center" wrapText="1"/>
    </xf>
    <xf numFmtId="0" fontId="1" fillId="0" borderId="2" xfId="1" applyBorder="1" applyAlignment="1">
      <alignment vertical="center"/>
    </xf>
    <xf numFmtId="0" fontId="1" fillId="0" borderId="2" xfId="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vertical="center" wrapText="1"/>
    </xf>
    <xf numFmtId="0" fontId="17" fillId="8" borderId="2" xfId="0" applyFont="1" applyFill="1" applyBorder="1" applyAlignment="1">
      <alignment vertical="center"/>
    </xf>
    <xf numFmtId="0" fontId="17" fillId="8" borderId="2" xfId="0" applyFont="1" applyFill="1" applyBorder="1" applyAlignment="1">
      <alignment horizontal="left" vertical="center"/>
    </xf>
    <xf numFmtId="3" fontId="6" fillId="0" borderId="2" xfId="7" applyNumberFormat="1" applyFont="1" applyBorder="1" applyAlignment="1">
      <alignment horizontal="center" vertical="center"/>
    </xf>
    <xf numFmtId="3" fontId="9" fillId="0" borderId="2" xfId="3" applyNumberFormat="1" applyFont="1" applyBorder="1" applyAlignment="1">
      <alignment horizontal="center" vertical="center" wrapText="1"/>
    </xf>
    <xf numFmtId="3" fontId="9" fillId="0" borderId="2" xfId="3" applyNumberFormat="1" applyFont="1" applyFill="1" applyBorder="1" applyAlignment="1">
      <alignment horizontal="center" vertical="center" wrapText="1"/>
    </xf>
    <xf numFmtId="9" fontId="6" fillId="0" borderId="2" xfId="2" applyFont="1" applyBorder="1" applyAlignment="1">
      <alignment horizontal="center"/>
    </xf>
    <xf numFmtId="165" fontId="6" fillId="0" borderId="0" xfId="0" applyNumberFormat="1" applyFont="1" applyAlignment="1">
      <alignment horizontal="center" vertical="center"/>
    </xf>
    <xf numFmtId="0" fontId="1" fillId="0" borderId="0" xfId="0" applyFont="1" applyAlignment="1">
      <alignment vertical="top"/>
    </xf>
    <xf numFmtId="0" fontId="6" fillId="0" borderId="0" xfId="0" applyFont="1" applyAlignment="1">
      <alignment horizontal="center" vertical="top" wrapText="1"/>
    </xf>
    <xf numFmtId="0" fontId="6" fillId="0" borderId="0" xfId="0" applyFont="1" applyAlignment="1">
      <alignment horizontal="left" vertical="top" wrapText="1"/>
    </xf>
    <xf numFmtId="0" fontId="7" fillId="0" borderId="0" xfId="0" applyFont="1" applyAlignment="1">
      <alignment horizontal="center" vertical="top" wrapText="1"/>
    </xf>
    <xf numFmtId="168" fontId="14" fillId="0" borderId="0" xfId="5" applyNumberFormat="1" applyFont="1" applyAlignment="1">
      <alignment horizontal="left" vertical="top"/>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18" fillId="8" borderId="2" xfId="0" applyFont="1" applyFill="1" applyBorder="1" applyAlignment="1">
      <alignment horizontal="center" vertical="center" wrapText="1"/>
    </xf>
    <xf numFmtId="0" fontId="17" fillId="8" borderId="2" xfId="0" applyFont="1" applyFill="1" applyBorder="1" applyAlignment="1">
      <alignment horizontal="center" vertical="center"/>
    </xf>
    <xf numFmtId="9" fontId="6" fillId="0" borderId="0" xfId="2" applyFont="1" applyFill="1" applyBorder="1" applyAlignment="1">
      <alignment horizontal="center" vertical="center"/>
    </xf>
    <xf numFmtId="0" fontId="7" fillId="0" borderId="0" xfId="0" applyFont="1" applyAlignment="1">
      <alignment horizontal="left" vertical="center" wrapText="1"/>
    </xf>
    <xf numFmtId="1" fontId="6" fillId="0" borderId="0" xfId="0" applyNumberFormat="1" applyFont="1"/>
    <xf numFmtId="9" fontId="6" fillId="0" borderId="0" xfId="2" applyFont="1" applyFill="1" applyBorder="1"/>
    <xf numFmtId="9" fontId="6" fillId="0" borderId="0" xfId="0" applyNumberFormat="1" applyFont="1"/>
    <xf numFmtId="9" fontId="7" fillId="0" borderId="0" xfId="2" applyFont="1" applyFill="1" applyBorder="1"/>
    <xf numFmtId="164" fontId="6" fillId="0" borderId="0" xfId="0" applyNumberFormat="1" applyFont="1"/>
    <xf numFmtId="0" fontId="7" fillId="8" borderId="25" xfId="0" applyFont="1" applyFill="1" applyBorder="1" applyAlignment="1">
      <alignment horizontal="center" vertical="center"/>
    </xf>
    <xf numFmtId="9" fontId="6" fillId="0" borderId="0" xfId="0" applyNumberFormat="1" applyFont="1" applyAlignment="1">
      <alignment vertical="center"/>
    </xf>
    <xf numFmtId="0" fontId="7" fillId="0" borderId="0" xfId="0" applyFont="1" applyAlignment="1">
      <alignment vertical="center"/>
    </xf>
    <xf numFmtId="0" fontId="19" fillId="0" borderId="0" xfId="0" applyFont="1" applyAlignment="1">
      <alignment wrapText="1"/>
    </xf>
    <xf numFmtId="0" fontId="20" fillId="0" borderId="0" xfId="0" applyFont="1" applyAlignment="1">
      <alignment horizontal="center" vertical="center"/>
    </xf>
    <xf numFmtId="0" fontId="23" fillId="5" borderId="0" xfId="0" applyFont="1" applyFill="1" applyAlignment="1">
      <alignment vertical="center" wrapText="1"/>
    </xf>
    <xf numFmtId="0" fontId="20" fillId="5" borderId="0" xfId="0" applyFont="1" applyFill="1" applyAlignment="1">
      <alignment horizontal="center" vertical="center"/>
    </xf>
    <xf numFmtId="165" fontId="20" fillId="5" borderId="0" xfId="0" applyNumberFormat="1" applyFont="1" applyFill="1" applyAlignment="1">
      <alignment horizontal="center" vertical="center"/>
    </xf>
    <xf numFmtId="0" fontId="21" fillId="0" borderId="0" xfId="0" applyFont="1" applyAlignment="1">
      <alignment horizontal="left"/>
    </xf>
    <xf numFmtId="0" fontId="22" fillId="0" borderId="0" xfId="0" applyFont="1" applyAlignment="1">
      <alignment horizontal="left" vertical="center" wrapText="1"/>
    </xf>
    <xf numFmtId="0" fontId="22" fillId="0" borderId="0" xfId="0" applyFont="1" applyAlignment="1">
      <alignment horizontal="left" vertical="center"/>
    </xf>
    <xf numFmtId="0" fontId="22" fillId="0" borderId="0" xfId="0" applyFont="1" applyAlignment="1">
      <alignment horizontal="center" vertical="center" wrapText="1"/>
    </xf>
    <xf numFmtId="10" fontId="6" fillId="0" borderId="0" xfId="8" applyNumberFormat="1" applyFont="1" applyFill="1" applyBorder="1" applyAlignment="1">
      <alignment horizontal="center"/>
    </xf>
    <xf numFmtId="0" fontId="7" fillId="0" borderId="0" xfId="4" applyFont="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3" fontId="6" fillId="0" borderId="0" xfId="0" applyNumberFormat="1" applyFont="1" applyAlignment="1">
      <alignment horizontal="center" vertical="center"/>
    </xf>
    <xf numFmtId="0" fontId="7" fillId="2" borderId="0" xfId="0" applyFont="1" applyFill="1" applyAlignment="1">
      <alignment horizontal="center" vertical="center"/>
    </xf>
    <xf numFmtId="168" fontId="20" fillId="0" borderId="0" xfId="0" applyNumberFormat="1" applyFont="1" applyAlignment="1">
      <alignment horizontal="center" vertical="center"/>
    </xf>
    <xf numFmtId="3" fontId="6" fillId="0" borderId="0" xfId="7" applyNumberFormat="1" applyFont="1" applyAlignment="1">
      <alignment horizontal="center" vertical="center"/>
    </xf>
    <xf numFmtId="0" fontId="24" fillId="0" borderId="0" xfId="0" applyFont="1"/>
    <xf numFmtId="0" fontId="24" fillId="0" borderId="0" xfId="0" applyFont="1" applyAlignment="1">
      <alignment wrapText="1"/>
    </xf>
    <xf numFmtId="0" fontId="24" fillId="0" borderId="0" xfId="0" applyFont="1" applyAlignment="1">
      <alignment horizontal="center"/>
    </xf>
    <xf numFmtId="166" fontId="1" fillId="0" borderId="2" xfId="1" applyNumberFormat="1" applyBorder="1" applyAlignment="1">
      <alignment horizontal="center" vertical="center" wrapText="1"/>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9" fillId="0" borderId="2" xfId="3" applyFont="1" applyBorder="1" applyAlignment="1">
      <alignment horizontal="center" vertical="top" wrapText="1"/>
    </xf>
    <xf numFmtId="0" fontId="19" fillId="0" borderId="0" xfId="0" applyFont="1" applyAlignment="1">
      <alignment horizontal="left" vertical="center" wrapText="1"/>
    </xf>
    <xf numFmtId="10" fontId="6" fillId="0" borderId="2" xfId="0" applyNumberFormat="1" applyFont="1" applyBorder="1" applyAlignment="1">
      <alignment horizontal="center" vertical="center" wrapText="1"/>
    </xf>
    <xf numFmtId="0" fontId="9" fillId="0" borderId="2" xfId="3" applyFont="1" applyFill="1" applyBorder="1" applyAlignment="1">
      <alignment horizontal="left" vertical="top" wrapText="1"/>
    </xf>
    <xf numFmtId="169" fontId="9" fillId="0" borderId="2" xfId="6" applyNumberFormat="1" applyFont="1" applyFill="1" applyBorder="1" applyAlignment="1">
      <alignment horizontal="left" vertical="top" wrapText="1"/>
    </xf>
    <xf numFmtId="0" fontId="9" fillId="0" borderId="2" xfId="3" applyFont="1" applyFill="1" applyBorder="1" applyAlignment="1">
      <alignment horizontal="center" vertical="center" wrapText="1"/>
    </xf>
    <xf numFmtId="169" fontId="9" fillId="0" borderId="2" xfId="6" applyNumberFormat="1" applyFont="1" applyBorder="1" applyAlignment="1">
      <alignment horizontal="center" vertical="center" wrapText="1"/>
    </xf>
    <xf numFmtId="1" fontId="10" fillId="0" borderId="2" xfId="0" applyNumberFormat="1" applyFont="1" applyBorder="1" applyAlignment="1">
      <alignment horizontal="center" vertical="center"/>
    </xf>
    <xf numFmtId="0" fontId="10" fillId="0" borderId="2" xfId="0" applyFont="1" applyBorder="1" applyAlignment="1">
      <alignment horizontal="center" vertical="center"/>
    </xf>
    <xf numFmtId="0" fontId="10" fillId="0" borderId="2" xfId="0" applyFont="1" applyBorder="1" applyAlignment="1">
      <alignment horizontal="center" vertical="center" wrapText="1"/>
    </xf>
    <xf numFmtId="43" fontId="10" fillId="0" borderId="2" xfId="0" applyNumberFormat="1" applyFont="1" applyBorder="1" applyAlignment="1">
      <alignment horizontal="center" vertical="center"/>
    </xf>
    <xf numFmtId="2" fontId="10" fillId="0" borderId="2" xfId="0" applyNumberFormat="1" applyFont="1" applyBorder="1" applyAlignment="1">
      <alignment horizontal="center" vertical="center"/>
    </xf>
    <xf numFmtId="0" fontId="19" fillId="0" borderId="0" xfId="0" applyFont="1" applyAlignment="1">
      <alignment vertical="center" wrapText="1"/>
    </xf>
    <xf numFmtId="0" fontId="0" fillId="0" borderId="0" xfId="0" applyAlignment="1">
      <alignment vertical="center" wrapText="1"/>
    </xf>
    <xf numFmtId="0" fontId="0" fillId="0" borderId="20" xfId="0" applyBorder="1"/>
    <xf numFmtId="0" fontId="0" fillId="0" borderId="21" xfId="0" applyBorder="1"/>
    <xf numFmtId="0" fontId="0" fillId="0" borderId="22" xfId="0" applyBorder="1"/>
    <xf numFmtId="0" fontId="0" fillId="0" borderId="17" xfId="0" applyBorder="1"/>
    <xf numFmtId="0" fontId="0" fillId="0" borderId="18" xfId="0" applyBorder="1"/>
    <xf numFmtId="16" fontId="0" fillId="0" borderId="17" xfId="0" applyNumberFormat="1" applyBorder="1"/>
    <xf numFmtId="0" fontId="11" fillId="0" borderId="0" xfId="0" applyFont="1" applyAlignment="1">
      <alignment vertical="center"/>
    </xf>
    <xf numFmtId="0" fontId="10" fillId="0" borderId="0" xfId="0" applyFont="1" applyAlignment="1">
      <alignment horizontal="center"/>
    </xf>
    <xf numFmtId="0" fontId="6" fillId="0" borderId="2" xfId="0" applyFont="1" applyBorder="1"/>
    <xf numFmtId="0" fontId="11" fillId="0" borderId="0" xfId="0" applyFont="1" applyAlignment="1">
      <alignment vertical="center" wrapText="1"/>
    </xf>
    <xf numFmtId="43" fontId="6" fillId="0" borderId="0" xfId="0" applyNumberFormat="1" applyFont="1"/>
    <xf numFmtId="0" fontId="9" fillId="0" borderId="0" xfId="3" applyFont="1" applyBorder="1" applyAlignment="1">
      <alignment horizontal="left" vertical="center" wrapText="1"/>
    </xf>
    <xf numFmtId="169" fontId="6" fillId="0" borderId="0" xfId="6" applyNumberFormat="1" applyFont="1" applyBorder="1" applyAlignment="1">
      <alignment horizontal="left" vertical="center"/>
    </xf>
    <xf numFmtId="0" fontId="17" fillId="8" borderId="1" xfId="0" applyFont="1" applyFill="1" applyBorder="1" applyAlignment="1">
      <alignment horizontal="center" vertical="center" wrapText="1"/>
    </xf>
    <xf numFmtId="169" fontId="6" fillId="0" borderId="2" xfId="0" applyNumberFormat="1" applyFont="1" applyBorder="1"/>
    <xf numFmtId="0" fontId="9" fillId="0" borderId="8" xfId="3" applyFont="1" applyBorder="1" applyAlignment="1">
      <alignment horizontal="left" vertical="center" wrapText="1"/>
    </xf>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2"/>
    </xf>
    <xf numFmtId="0" fontId="7" fillId="8" borderId="50" xfId="0" applyFont="1" applyFill="1" applyBorder="1" applyAlignment="1">
      <alignment horizontal="center" vertical="center"/>
    </xf>
    <xf numFmtId="0" fontId="7" fillId="8" borderId="49" xfId="0" applyFont="1" applyFill="1" applyBorder="1" applyAlignment="1">
      <alignment horizontal="center" vertical="center" wrapText="1"/>
    </xf>
    <xf numFmtId="0" fontId="7" fillId="8" borderId="51" xfId="0" applyFont="1" applyFill="1" applyBorder="1" applyAlignment="1">
      <alignment horizontal="center" vertical="center"/>
    </xf>
    <xf numFmtId="1" fontId="9" fillId="0" borderId="6" xfId="3" applyNumberFormat="1" applyFont="1" applyBorder="1" applyAlignment="1">
      <alignment horizontal="left" vertical="center" wrapText="1"/>
    </xf>
    <xf numFmtId="0" fontId="9" fillId="0" borderId="6" xfId="3" applyFont="1" applyBorder="1" applyAlignment="1">
      <alignment horizontal="left" vertical="center" wrapText="1"/>
    </xf>
    <xf numFmtId="0" fontId="9" fillId="0" borderId="6" xfId="3" applyFont="1" applyFill="1" applyBorder="1" applyAlignment="1">
      <alignment horizontal="left" vertical="center" wrapText="1"/>
    </xf>
    <xf numFmtId="169" fontId="9" fillId="0" borderId="37" xfId="6" applyNumberFormat="1" applyFont="1" applyBorder="1" applyAlignment="1">
      <alignment horizontal="center" vertical="center" wrapText="1"/>
    </xf>
    <xf numFmtId="0" fontId="10" fillId="0" borderId="37" xfId="0" applyFont="1" applyBorder="1" applyAlignment="1">
      <alignment horizontal="center" vertical="center"/>
    </xf>
    <xf numFmtId="0" fontId="9" fillId="0" borderId="2" xfId="3" applyFont="1" applyBorder="1" applyAlignment="1">
      <alignment horizontal="center" vertical="center" wrapText="1"/>
    </xf>
    <xf numFmtId="0" fontId="9" fillId="0" borderId="2" xfId="3" applyFont="1" applyBorder="1" applyAlignment="1">
      <alignment horizontal="left" vertical="top" wrapText="1"/>
    </xf>
    <xf numFmtId="0" fontId="30" fillId="15" borderId="2" xfId="0" applyFont="1" applyFill="1" applyBorder="1" applyAlignment="1">
      <alignment horizontal="center" vertical="center"/>
    </xf>
    <xf numFmtId="0" fontId="29" fillId="17" borderId="2" xfId="0" applyFont="1" applyFill="1" applyBorder="1" applyAlignment="1">
      <alignment horizontal="center" vertical="center"/>
    </xf>
    <xf numFmtId="0" fontId="30" fillId="17" borderId="2" xfId="0" applyFont="1" applyFill="1" applyBorder="1" applyAlignment="1">
      <alignment horizontal="center" vertical="center" wrapText="1"/>
    </xf>
    <xf numFmtId="0" fontId="31" fillId="15" borderId="2" xfId="0" applyFont="1" applyFill="1" applyBorder="1" applyAlignment="1">
      <alignment horizontal="center" vertical="center" wrapText="1"/>
    </xf>
    <xf numFmtId="0" fontId="31" fillId="16" borderId="2" xfId="0" applyFont="1" applyFill="1" applyBorder="1" applyAlignment="1">
      <alignment horizontal="center" vertical="center" wrapText="1"/>
    </xf>
    <xf numFmtId="0" fontId="31" fillId="17" borderId="2" xfId="0" applyFont="1" applyFill="1" applyBorder="1" applyAlignment="1">
      <alignment horizontal="center" vertical="center" wrapText="1"/>
    </xf>
    <xf numFmtId="0" fontId="34" fillId="0" borderId="2" xfId="0" applyFont="1" applyBorder="1" applyAlignment="1">
      <alignment horizontal="left" vertical="center" wrapText="1"/>
    </xf>
    <xf numFmtId="0" fontId="30" fillId="0" borderId="2" xfId="0" applyFont="1" applyBorder="1" applyAlignment="1">
      <alignment horizontal="left" vertical="center" wrapText="1"/>
    </xf>
    <xf numFmtId="0" fontId="25" fillId="0" borderId="0" xfId="0" applyFont="1"/>
    <xf numFmtId="0" fontId="24" fillId="2" borderId="0" xfId="0" applyFont="1" applyFill="1"/>
    <xf numFmtId="169" fontId="10" fillId="0" borderId="37" xfId="6" applyNumberFormat="1" applyFont="1" applyBorder="1" applyAlignment="1">
      <alignment horizontal="center" vertical="center"/>
    </xf>
    <xf numFmtId="0" fontId="38" fillId="0" borderId="0" xfId="0" applyFont="1"/>
    <xf numFmtId="0" fontId="33" fillId="0" borderId="0" xfId="0" applyFont="1"/>
    <xf numFmtId="0" fontId="33" fillId="0" borderId="0" xfId="0" applyFont="1" applyAlignment="1">
      <alignment vertical="center"/>
    </xf>
    <xf numFmtId="0" fontId="7" fillId="2" borderId="0" xfId="0" applyFont="1" applyFill="1" applyAlignment="1">
      <alignment vertical="center"/>
    </xf>
    <xf numFmtId="1" fontId="6" fillId="0" borderId="0" xfId="0" applyNumberFormat="1" applyFont="1" applyAlignment="1">
      <alignment horizontal="left" vertical="center"/>
    </xf>
    <xf numFmtId="169" fontId="10" fillId="0" borderId="7" xfId="6" applyNumberFormat="1" applyFont="1" applyFill="1" applyBorder="1" applyAlignment="1">
      <alignment horizontal="center" vertical="center"/>
    </xf>
    <xf numFmtId="169" fontId="10" fillId="0" borderId="9" xfId="6" applyNumberFormat="1" applyFont="1" applyBorder="1" applyAlignment="1">
      <alignment horizontal="center" vertical="center"/>
    </xf>
    <xf numFmtId="0" fontId="39" fillId="0" borderId="0" xfId="0" applyFont="1"/>
    <xf numFmtId="0" fontId="21" fillId="0" borderId="0" xfId="0" applyFont="1" applyAlignment="1">
      <alignment wrapText="1"/>
    </xf>
    <xf numFmtId="0" fontId="10" fillId="0" borderId="0" xfId="0" applyFont="1" applyAlignment="1">
      <alignment vertical="center"/>
    </xf>
    <xf numFmtId="0" fontId="6" fillId="0" borderId="0" xfId="0" applyFont="1" applyAlignment="1">
      <alignment wrapText="1"/>
    </xf>
    <xf numFmtId="0" fontId="40" fillId="0" borderId="48" xfId="0" applyFont="1" applyBorder="1" applyAlignment="1">
      <alignment horizontal="left" vertical="top" wrapText="1"/>
    </xf>
    <xf numFmtId="3" fontId="40" fillId="0" borderId="48" xfId="0" applyNumberFormat="1" applyFont="1" applyBorder="1" applyAlignment="1">
      <alignment horizontal="center" vertical="center" wrapText="1"/>
    </xf>
    <xf numFmtId="0" fontId="21" fillId="0" borderId="0" xfId="0" applyFont="1" applyAlignment="1">
      <alignment horizontal="center" vertical="center" wrapText="1"/>
    </xf>
    <xf numFmtId="0" fontId="21" fillId="0" borderId="0" xfId="0" applyFont="1" applyAlignment="1">
      <alignment horizontal="center" vertical="center"/>
    </xf>
    <xf numFmtId="0" fontId="17" fillId="11" borderId="2" xfId="0" applyFont="1" applyFill="1" applyBorder="1" applyAlignment="1">
      <alignment horizontal="center" vertical="center" wrapText="1"/>
    </xf>
    <xf numFmtId="0" fontId="22" fillId="0" borderId="0" xfId="0" applyFont="1" applyAlignment="1">
      <alignment horizontal="center" vertical="center"/>
    </xf>
    <xf numFmtId="0" fontId="17" fillId="0" borderId="0" xfId="0" applyFont="1" applyAlignment="1">
      <alignment horizontal="center" vertical="center" wrapText="1"/>
    </xf>
    <xf numFmtId="169" fontId="6" fillId="0" borderId="0" xfId="6" applyNumberFormat="1" applyFont="1" applyBorder="1"/>
    <xf numFmtId="169" fontId="1" fillId="0" borderId="0" xfId="6" applyNumberFormat="1" applyFont="1" applyBorder="1" applyAlignment="1">
      <alignment horizontal="left" vertical="center"/>
    </xf>
    <xf numFmtId="0" fontId="21" fillId="0" borderId="55" xfId="0" applyFont="1" applyBorder="1"/>
    <xf numFmtId="0" fontId="12" fillId="0" borderId="0" xfId="0" applyFont="1"/>
    <xf numFmtId="0" fontId="1" fillId="0" borderId="0" xfId="0" applyFont="1" applyAlignment="1">
      <alignment horizontal="center" vertical="center" wrapText="1"/>
    </xf>
    <xf numFmtId="0" fontId="15" fillId="0" borderId="0" xfId="0" applyFont="1"/>
    <xf numFmtId="172" fontId="37" fillId="0" borderId="0" xfId="0" applyNumberFormat="1" applyFont="1"/>
    <xf numFmtId="3" fontId="6" fillId="0" borderId="0" xfId="0" applyNumberFormat="1" applyFont="1"/>
    <xf numFmtId="169" fontId="6" fillId="0" borderId="0" xfId="6" applyNumberFormat="1" applyFont="1"/>
    <xf numFmtId="171" fontId="6" fillId="0" borderId="2" xfId="6" applyNumberFormat="1" applyFont="1" applyBorder="1"/>
    <xf numFmtId="165" fontId="6" fillId="0" borderId="2" xfId="0" applyNumberFormat="1" applyFont="1" applyBorder="1"/>
    <xf numFmtId="165" fontId="21" fillId="0" borderId="2" xfId="0" applyNumberFormat="1" applyFont="1" applyBorder="1"/>
    <xf numFmtId="171" fontId="21" fillId="14" borderId="2" xfId="0" applyNumberFormat="1" applyFont="1" applyFill="1" applyBorder="1" applyAlignment="1">
      <alignment vertical="center"/>
    </xf>
    <xf numFmtId="0" fontId="22" fillId="11" borderId="2" xfId="0" applyFont="1" applyFill="1" applyBorder="1" applyAlignment="1">
      <alignment horizontal="center" vertical="center" wrapText="1"/>
    </xf>
    <xf numFmtId="3" fontId="6" fillId="0" borderId="3" xfId="7" applyNumberFormat="1" applyFont="1" applyBorder="1" applyAlignment="1">
      <alignment horizontal="center" vertical="center"/>
    </xf>
    <xf numFmtId="0" fontId="18" fillId="8" borderId="12" xfId="0" applyFont="1" applyFill="1" applyBorder="1" applyAlignment="1">
      <alignment horizontal="center" vertical="center" wrapText="1"/>
    </xf>
    <xf numFmtId="1" fontId="1" fillId="0" borderId="30" xfId="7" applyNumberFormat="1" applyFont="1" applyBorder="1" applyAlignment="1">
      <alignment horizontal="center" vertical="center"/>
    </xf>
    <xf numFmtId="0" fontId="6" fillId="0" borderId="30" xfId="0" applyFont="1" applyBorder="1"/>
    <xf numFmtId="167" fontId="6" fillId="0" borderId="30" xfId="0" applyNumberFormat="1" applyFont="1" applyBorder="1"/>
    <xf numFmtId="0" fontId="7" fillId="0" borderId="0" xfId="0" applyFont="1" applyAlignment="1">
      <alignment horizontal="center" vertical="center" wrapText="1"/>
    </xf>
    <xf numFmtId="0" fontId="7" fillId="8" borderId="30" xfId="0" applyFont="1" applyFill="1" applyBorder="1" applyAlignment="1">
      <alignment horizontal="center" vertical="center" wrapText="1"/>
    </xf>
    <xf numFmtId="0" fontId="8" fillId="0" borderId="30" xfId="5" applyBorder="1" applyAlignment="1">
      <alignment horizontal="center" vertical="center"/>
    </xf>
    <xf numFmtId="0" fontId="21" fillId="0" borderId="2" xfId="0" applyFont="1" applyBorder="1" applyAlignment="1">
      <alignment wrapText="1"/>
    </xf>
    <xf numFmtId="0" fontId="21" fillId="0" borderId="19" xfId="0" applyFont="1" applyBorder="1" applyAlignment="1">
      <alignment wrapText="1"/>
    </xf>
    <xf numFmtId="0" fontId="21" fillId="0" borderId="2" xfId="0" applyFont="1" applyBorder="1" applyAlignment="1">
      <alignment horizontal="center" vertical="center" wrapText="1"/>
    </xf>
    <xf numFmtId="0" fontId="21" fillId="0" borderId="19" xfId="0" applyFont="1" applyBorder="1" applyAlignment="1">
      <alignment horizontal="center" vertical="center" wrapText="1"/>
    </xf>
    <xf numFmtId="168" fontId="6" fillId="0" borderId="30" xfId="0" applyNumberFormat="1" applyFont="1" applyBorder="1" applyAlignment="1">
      <alignment horizontal="center" vertical="center"/>
    </xf>
    <xf numFmtId="0" fontId="6" fillId="9" borderId="30" xfId="0" applyFont="1" applyFill="1" applyBorder="1" applyAlignment="1">
      <alignment horizontal="center" vertical="center"/>
    </xf>
    <xf numFmtId="168" fontId="6" fillId="9" borderId="30" xfId="0" applyNumberFormat="1" applyFont="1" applyFill="1" applyBorder="1" applyAlignment="1">
      <alignment horizontal="center" vertical="center" wrapText="1"/>
    </xf>
    <xf numFmtId="0" fontId="1" fillId="13" borderId="30" xfId="0" applyFont="1" applyFill="1" applyBorder="1" applyAlignment="1">
      <alignment horizontal="center" vertical="center"/>
    </xf>
    <xf numFmtId="0" fontId="6" fillId="6" borderId="30" xfId="0" applyFont="1" applyFill="1" applyBorder="1" applyAlignment="1">
      <alignment horizontal="center" vertical="center"/>
    </xf>
    <xf numFmtId="168" fontId="6" fillId="6" borderId="30" xfId="0" applyNumberFormat="1" applyFont="1" applyFill="1" applyBorder="1" applyAlignment="1">
      <alignment horizontal="center" vertical="center"/>
    </xf>
    <xf numFmtId="0" fontId="6" fillId="3" borderId="30" xfId="0" applyFont="1" applyFill="1" applyBorder="1" applyAlignment="1">
      <alignment horizontal="center" vertical="center"/>
    </xf>
    <xf numFmtId="168" fontId="6" fillId="3" borderId="30" xfId="0" applyNumberFormat="1" applyFont="1" applyFill="1" applyBorder="1" applyAlignment="1">
      <alignment horizontal="center" vertical="center"/>
    </xf>
    <xf numFmtId="0" fontId="6" fillId="12" borderId="30" xfId="0" applyFont="1" applyFill="1" applyBorder="1" applyAlignment="1">
      <alignment horizontal="center" vertical="center"/>
    </xf>
    <xf numFmtId="0" fontId="1" fillId="12" borderId="30" xfId="0" applyFont="1" applyFill="1" applyBorder="1" applyAlignment="1">
      <alignment horizontal="center" vertical="center"/>
    </xf>
    <xf numFmtId="168" fontId="6" fillId="12" borderId="30" xfId="0" applyNumberFormat="1" applyFont="1" applyFill="1" applyBorder="1" applyAlignment="1">
      <alignment horizontal="center" vertical="center"/>
    </xf>
    <xf numFmtId="2" fontId="6" fillId="0" borderId="30" xfId="0" applyNumberFormat="1" applyFont="1" applyBorder="1" applyAlignment="1">
      <alignment horizontal="center" vertical="center"/>
    </xf>
    <xf numFmtId="0" fontId="6" fillId="5" borderId="30" xfId="0" applyFont="1" applyFill="1" applyBorder="1" applyAlignment="1">
      <alignment horizontal="center" vertical="center"/>
    </xf>
    <xf numFmtId="2" fontId="6" fillId="9" borderId="30" xfId="0" applyNumberFormat="1" applyFont="1" applyFill="1" applyBorder="1" applyAlignment="1">
      <alignment horizontal="center" vertical="center"/>
    </xf>
    <xf numFmtId="0" fontId="6" fillId="6" borderId="30" xfId="0" applyFont="1" applyFill="1" applyBorder="1" applyAlignment="1">
      <alignment horizontal="center" vertical="center" wrapText="1"/>
    </xf>
    <xf numFmtId="0" fontId="7" fillId="8" borderId="29" xfId="0" applyFont="1" applyFill="1" applyBorder="1" applyAlignment="1">
      <alignment horizontal="center" vertical="center"/>
    </xf>
    <xf numFmtId="0" fontId="22" fillId="22" borderId="0" xfId="0" applyFont="1" applyFill="1"/>
    <xf numFmtId="0" fontId="17" fillId="8" borderId="30" xfId="0" applyFont="1" applyFill="1" applyBorder="1" applyAlignment="1">
      <alignment horizontal="center" vertical="center" wrapText="1"/>
    </xf>
    <xf numFmtId="3" fontId="6" fillId="0" borderId="30" xfId="0" applyNumberFormat="1" applyFont="1" applyBorder="1" applyAlignment="1">
      <alignment horizontal="center" vertical="center"/>
    </xf>
    <xf numFmtId="0" fontId="22" fillId="8" borderId="30" xfId="0" applyFont="1" applyFill="1" applyBorder="1" applyAlignment="1">
      <alignment horizontal="left" vertical="center" wrapText="1"/>
    </xf>
    <xf numFmtId="0" fontId="6" fillId="0" borderId="30" xfId="0" applyFont="1" applyBorder="1" applyAlignment="1">
      <alignment vertical="center"/>
    </xf>
    <xf numFmtId="0" fontId="6" fillId="0" borderId="30" xfId="0" applyFont="1" applyBorder="1" applyAlignment="1">
      <alignment horizontal="right" vertical="center"/>
    </xf>
    <xf numFmtId="172" fontId="6" fillId="0" borderId="30" xfId="0" applyNumberFormat="1" applyFont="1" applyBorder="1" applyAlignment="1">
      <alignment vertical="center"/>
    </xf>
    <xf numFmtId="169" fontId="6" fillId="0" borderId="30" xfId="6" applyNumberFormat="1" applyFont="1" applyBorder="1" applyAlignment="1">
      <alignment horizontal="right" vertical="center" wrapText="1"/>
    </xf>
    <xf numFmtId="169" fontId="6" fillId="0" borderId="30" xfId="6" applyNumberFormat="1" applyFont="1" applyBorder="1" applyAlignment="1">
      <alignment horizontal="right" vertical="center"/>
    </xf>
    <xf numFmtId="172" fontId="1" fillId="0" borderId="30" xfId="0" applyNumberFormat="1" applyFont="1" applyBorder="1" applyAlignment="1">
      <alignment vertical="center"/>
    </xf>
    <xf numFmtId="169" fontId="6" fillId="0" borderId="30" xfId="0" applyNumberFormat="1" applyFont="1" applyBorder="1" applyAlignment="1">
      <alignment horizontal="right" vertical="center"/>
    </xf>
    <xf numFmtId="0" fontId="21" fillId="0" borderId="19" xfId="0" applyFont="1" applyBorder="1"/>
    <xf numFmtId="0" fontId="21" fillId="0" borderId="55" xfId="0" applyFont="1" applyBorder="1" applyAlignment="1">
      <alignment horizontal="center" vertical="center"/>
    </xf>
    <xf numFmtId="0" fontId="21" fillId="0" borderId="66" xfId="0" applyFont="1" applyBorder="1" applyAlignment="1">
      <alignment horizontal="center" vertical="center"/>
    </xf>
    <xf numFmtId="0" fontId="21" fillId="0" borderId="22" xfId="0" applyFont="1" applyBorder="1" applyAlignment="1">
      <alignment horizontal="left" vertical="center" wrapText="1"/>
    </xf>
    <xf numFmtId="1" fontId="6" fillId="0" borderId="30" xfId="0" applyNumberFormat="1" applyFont="1" applyBorder="1" applyAlignment="1">
      <alignment horizontal="left" vertical="center"/>
    </xf>
    <xf numFmtId="0" fontId="1" fillId="0" borderId="30" xfId="0" applyFont="1" applyBorder="1" applyAlignment="1">
      <alignment vertical="center" wrapText="1"/>
    </xf>
    <xf numFmtId="0" fontId="1" fillId="0" borderId="30" xfId="0" applyFont="1" applyBorder="1" applyAlignment="1">
      <alignment vertical="center"/>
    </xf>
    <xf numFmtId="1" fontId="9" fillId="0" borderId="30" xfId="3" applyNumberFormat="1" applyFont="1" applyBorder="1" applyAlignment="1">
      <alignment horizontal="left" vertical="center" wrapText="1"/>
    </xf>
    <xf numFmtId="1" fontId="9" fillId="0" borderId="30" xfId="3" applyNumberFormat="1" applyFont="1" applyBorder="1" applyAlignment="1">
      <alignment horizontal="center" vertical="center" wrapText="1"/>
    </xf>
    <xf numFmtId="169" fontId="6" fillId="0" borderId="30" xfId="0" applyNumberFormat="1" applyFont="1" applyBorder="1" applyAlignment="1">
      <alignment horizontal="center" vertical="center" wrapText="1"/>
    </xf>
    <xf numFmtId="169" fontId="6" fillId="0" borderId="30" xfId="6" applyNumberFormat="1" applyFont="1" applyBorder="1" applyAlignment="1">
      <alignment horizontal="center" vertical="center" wrapText="1"/>
    </xf>
    <xf numFmtId="170" fontId="6" fillId="0" borderId="30" xfId="6" applyNumberFormat="1" applyFont="1" applyBorder="1" applyAlignment="1">
      <alignment horizontal="center" vertical="center" wrapText="1"/>
    </xf>
    <xf numFmtId="0" fontId="22" fillId="11" borderId="30" xfId="0" applyFont="1" applyFill="1" applyBorder="1" applyAlignment="1">
      <alignment horizontal="center" vertical="center" wrapText="1"/>
    </xf>
    <xf numFmtId="0" fontId="22" fillId="11" borderId="30" xfId="0" applyFont="1" applyFill="1" applyBorder="1" applyAlignment="1">
      <alignment horizontal="center" vertical="center"/>
    </xf>
    <xf numFmtId="0" fontId="9" fillId="0" borderId="30" xfId="3" applyFont="1" applyBorder="1" applyAlignment="1">
      <alignment horizontal="left" vertical="center" wrapText="1"/>
    </xf>
    <xf numFmtId="0" fontId="17" fillId="11" borderId="30" xfId="0" applyFont="1" applyFill="1" applyBorder="1" applyAlignment="1">
      <alignment horizontal="center" vertical="center" wrapText="1"/>
    </xf>
    <xf numFmtId="3" fontId="6" fillId="0" borderId="30" xfId="7" applyNumberFormat="1" applyFont="1" applyBorder="1" applyAlignment="1">
      <alignment horizontal="center" vertical="center"/>
    </xf>
    <xf numFmtId="0" fontId="22" fillId="0" borderId="30" xfId="0" applyFont="1" applyBorder="1" applyAlignment="1">
      <alignment horizontal="center" vertical="center" wrapText="1"/>
    </xf>
    <xf numFmtId="43" fontId="21" fillId="0" borderId="30" xfId="6" applyFont="1" applyBorder="1" applyAlignment="1">
      <alignment horizontal="center" vertical="center" wrapText="1"/>
    </xf>
    <xf numFmtId="169" fontId="21" fillId="0" borderId="30" xfId="6" applyNumberFormat="1" applyFont="1" applyBorder="1" applyAlignment="1">
      <alignment horizontal="center" vertical="center"/>
    </xf>
    <xf numFmtId="169" fontId="21" fillId="0" borderId="30" xfId="6" applyNumberFormat="1" applyFont="1" applyFill="1" applyBorder="1" applyAlignment="1">
      <alignment horizontal="center" vertical="center" wrapText="1"/>
    </xf>
    <xf numFmtId="169" fontId="21" fillId="0" borderId="30" xfId="6" applyNumberFormat="1" applyFont="1" applyBorder="1" applyAlignment="1">
      <alignment horizontal="center" vertical="center" wrapText="1"/>
    </xf>
    <xf numFmtId="169" fontId="21" fillId="0" borderId="30" xfId="0" applyNumberFormat="1" applyFont="1" applyBorder="1" applyAlignment="1">
      <alignment vertical="center"/>
    </xf>
    <xf numFmtId="0" fontId="10" fillId="0" borderId="30" xfId="0" applyFont="1" applyBorder="1"/>
    <xf numFmtId="4" fontId="6" fillId="0" borderId="30" xfId="7" applyNumberFormat="1" applyFont="1" applyBorder="1" applyAlignment="1">
      <alignment horizontal="center" vertical="center"/>
    </xf>
    <xf numFmtId="0" fontId="13" fillId="0" borderId="30" xfId="0" applyFont="1" applyBorder="1"/>
    <xf numFmtId="173" fontId="6" fillId="0" borderId="30" xfId="7" applyNumberFormat="1" applyFont="1" applyBorder="1" applyAlignment="1">
      <alignment horizontal="center" vertical="center"/>
    </xf>
    <xf numFmtId="0" fontId="9" fillId="0" borderId="30" xfId="3" applyFont="1" applyBorder="1" applyAlignment="1">
      <alignment horizontal="center" vertical="center" wrapText="1"/>
    </xf>
    <xf numFmtId="0" fontId="1" fillId="0" borderId="30" xfId="0" quotePrefix="1" applyFont="1" applyBorder="1" applyAlignment="1">
      <alignment horizontal="center" vertical="center" wrapText="1"/>
    </xf>
    <xf numFmtId="0" fontId="6" fillId="0" borderId="30" xfId="0" applyFont="1" applyBorder="1" applyAlignment="1">
      <alignment horizontal="left" vertical="center" wrapText="1"/>
    </xf>
    <xf numFmtId="0" fontId="1" fillId="0" borderId="30" xfId="0" applyFont="1" applyBorder="1" applyAlignment="1">
      <alignment horizontal="center" vertical="center"/>
    </xf>
    <xf numFmtId="0" fontId="22" fillId="0" borderId="30" xfId="0" applyFont="1" applyBorder="1" applyAlignment="1">
      <alignment horizontal="center" vertical="center"/>
    </xf>
    <xf numFmtId="2" fontId="21" fillId="0" borderId="30" xfId="0" applyNumberFormat="1" applyFont="1" applyBorder="1" applyAlignment="1">
      <alignment horizontal="center" vertical="center"/>
    </xf>
    <xf numFmtId="0" fontId="21" fillId="0" borderId="54" xfId="0" applyFont="1" applyBorder="1" applyAlignment="1">
      <alignment horizontal="center" vertical="center" wrapText="1"/>
    </xf>
    <xf numFmtId="0" fontId="6" fillId="0" borderId="54" xfId="0" applyFont="1" applyBorder="1"/>
    <xf numFmtId="0" fontId="21" fillId="0" borderId="31" xfId="0" applyFont="1" applyBorder="1" applyAlignment="1">
      <alignment horizontal="center" vertical="center" wrapText="1"/>
    </xf>
    <xf numFmtId="2" fontId="21" fillId="0" borderId="31" xfId="0" applyNumberFormat="1" applyFont="1" applyBorder="1" applyAlignment="1">
      <alignment horizontal="center" vertical="center"/>
    </xf>
    <xf numFmtId="0" fontId="6" fillId="0" borderId="31" xfId="0" applyFont="1" applyBorder="1"/>
    <xf numFmtId="0" fontId="17" fillId="8" borderId="58" xfId="0" applyFont="1" applyFill="1" applyBorder="1" applyAlignment="1">
      <alignment horizontal="center" vertical="center" wrapText="1"/>
    </xf>
    <xf numFmtId="0" fontId="17" fillId="8" borderId="69" xfId="0" applyFont="1" applyFill="1" applyBorder="1" applyAlignment="1">
      <alignment horizontal="center" vertical="center" wrapText="1"/>
    </xf>
    <xf numFmtId="0" fontId="6" fillId="0" borderId="58" xfId="0" applyFont="1" applyBorder="1" applyAlignment="1">
      <alignment horizontal="left" vertical="center" wrapText="1"/>
    </xf>
    <xf numFmtId="0" fontId="9" fillId="0" borderId="59" xfId="3" applyFont="1" applyBorder="1" applyAlignment="1">
      <alignment horizontal="left" vertical="center" wrapText="1"/>
    </xf>
    <xf numFmtId="169" fontId="6" fillId="0" borderId="70" xfId="0" applyNumberFormat="1" applyFont="1" applyBorder="1"/>
    <xf numFmtId="174" fontId="6" fillId="0" borderId="70" xfId="0" applyNumberFormat="1" applyFont="1" applyBorder="1"/>
    <xf numFmtId="169" fontId="6" fillId="0" borderId="70" xfId="6" applyNumberFormat="1" applyFont="1" applyBorder="1" applyAlignment="1">
      <alignment horizontal="left" vertical="center"/>
    </xf>
    <xf numFmtId="0" fontId="21" fillId="0" borderId="70" xfId="0" applyFont="1" applyBorder="1"/>
    <xf numFmtId="169" fontId="6" fillId="0" borderId="30" xfId="6" applyNumberFormat="1" applyFont="1" applyBorder="1" applyAlignment="1">
      <alignment horizontal="left" vertical="center" wrapText="1"/>
    </xf>
    <xf numFmtId="169" fontId="6" fillId="0" borderId="30" xfId="6" applyNumberFormat="1" applyFont="1" applyBorder="1" applyAlignment="1">
      <alignment horizontal="left" vertical="center"/>
    </xf>
    <xf numFmtId="43" fontId="6" fillId="0" borderId="30" xfId="6" applyFont="1" applyBorder="1" applyAlignment="1">
      <alignment horizontal="left" vertical="center"/>
    </xf>
    <xf numFmtId="170" fontId="6" fillId="0" borderId="30" xfId="6" applyNumberFormat="1" applyFont="1" applyBorder="1" applyAlignment="1">
      <alignment horizontal="left" vertical="center"/>
    </xf>
    <xf numFmtId="169" fontId="1" fillId="0" borderId="30" xfId="6" applyNumberFormat="1" applyFont="1" applyBorder="1" applyAlignment="1">
      <alignment horizontal="left" vertical="center"/>
    </xf>
    <xf numFmtId="169" fontId="1" fillId="0" borderId="30" xfId="0" applyNumberFormat="1" applyFont="1" applyBorder="1" applyAlignment="1">
      <alignment horizontal="center" vertical="center" wrapText="1"/>
    </xf>
    <xf numFmtId="1" fontId="6" fillId="0" borderId="30" xfId="0" applyNumberFormat="1" applyFont="1" applyBorder="1" applyAlignment="1">
      <alignment horizontal="left" vertical="center" wrapText="1"/>
    </xf>
    <xf numFmtId="0" fontId="10" fillId="0" borderId="0" xfId="0" applyFont="1" applyAlignment="1">
      <alignment wrapText="1"/>
    </xf>
    <xf numFmtId="0" fontId="6" fillId="0" borderId="0" xfId="0" applyFont="1" applyAlignment="1">
      <alignment horizontal="center"/>
    </xf>
    <xf numFmtId="0" fontId="6" fillId="0" borderId="30" xfId="0" quotePrefix="1" applyFont="1" applyBorder="1" applyAlignment="1">
      <alignment horizontal="center" vertical="center" wrapText="1"/>
    </xf>
    <xf numFmtId="0" fontId="0" fillId="0" borderId="30" xfId="0" applyBorder="1" applyAlignment="1">
      <alignment horizontal="center" vertical="center" wrapText="1"/>
    </xf>
    <xf numFmtId="169" fontId="6" fillId="0" borderId="30" xfId="0" applyNumberFormat="1" applyFont="1" applyBorder="1"/>
    <xf numFmtId="169" fontId="6" fillId="0" borderId="3" xfId="6" applyNumberFormat="1" applyFont="1" applyBorder="1" applyAlignment="1">
      <alignment horizontal="left" vertical="center"/>
    </xf>
    <xf numFmtId="0" fontId="17" fillId="8" borderId="12" xfId="0" applyFont="1" applyFill="1" applyBorder="1" applyAlignment="1">
      <alignment horizontal="center" vertical="center" wrapText="1"/>
    </xf>
    <xf numFmtId="169" fontId="6" fillId="0" borderId="72" xfId="0" applyNumberFormat="1" applyFont="1" applyBorder="1"/>
    <xf numFmtId="0" fontId="6" fillId="0" borderId="5" xfId="0" applyFont="1" applyBorder="1" applyAlignment="1">
      <alignment horizontal="center" vertical="center"/>
    </xf>
    <xf numFmtId="0" fontId="6" fillId="0" borderId="7" xfId="0" applyFont="1" applyBorder="1" applyAlignment="1">
      <alignment horizontal="center" vertical="center"/>
    </xf>
    <xf numFmtId="0" fontId="6" fillId="0" borderId="9" xfId="0" applyFont="1" applyBorder="1" applyAlignment="1">
      <alignment horizontal="center" vertical="center"/>
    </xf>
    <xf numFmtId="0" fontId="6" fillId="0" borderId="36"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5" xfId="0" applyFont="1" applyBorder="1" applyAlignment="1">
      <alignment horizontal="center" vertical="center"/>
    </xf>
    <xf numFmtId="0" fontId="6" fillId="0" borderId="32" xfId="0" applyFont="1" applyBorder="1" applyAlignment="1">
      <alignment horizontal="center" vertical="center"/>
    </xf>
    <xf numFmtId="2" fontId="6" fillId="0" borderId="1" xfId="0" applyNumberFormat="1" applyFont="1" applyBorder="1" applyAlignment="1">
      <alignment horizontal="center" vertical="center"/>
    </xf>
    <xf numFmtId="2" fontId="6" fillId="0" borderId="5" xfId="0" applyNumberFormat="1" applyFont="1" applyBorder="1" applyAlignment="1">
      <alignment horizontal="center" vertical="center"/>
    </xf>
    <xf numFmtId="2" fontId="6" fillId="0" borderId="2" xfId="0" applyNumberFormat="1" applyFont="1" applyBorder="1" applyAlignment="1">
      <alignment horizontal="center" vertical="center"/>
    </xf>
    <xf numFmtId="2" fontId="6" fillId="0" borderId="7" xfId="0" applyNumberFormat="1" applyFont="1" applyBorder="1" applyAlignment="1">
      <alignment horizontal="center" vertical="center"/>
    </xf>
    <xf numFmtId="2" fontId="6" fillId="0" borderId="37" xfId="0" applyNumberFormat="1" applyFont="1" applyBorder="1" applyAlignment="1">
      <alignment horizontal="center" vertical="center"/>
    </xf>
    <xf numFmtId="2" fontId="6" fillId="0" borderId="9" xfId="0" applyNumberFormat="1" applyFont="1" applyBorder="1" applyAlignment="1">
      <alignment horizontal="center" vertical="center"/>
    </xf>
    <xf numFmtId="2" fontId="6" fillId="0" borderId="12" xfId="0" applyNumberFormat="1" applyFont="1" applyBorder="1" applyAlignment="1">
      <alignment horizontal="center" vertical="center"/>
    </xf>
    <xf numFmtId="2" fontId="6" fillId="0" borderId="44" xfId="0" applyNumberFormat="1" applyFont="1" applyBorder="1" applyAlignment="1">
      <alignment horizontal="center" vertical="center"/>
    </xf>
    <xf numFmtId="1" fontId="6" fillId="0" borderId="1" xfId="0" applyNumberFormat="1" applyFont="1" applyBorder="1" applyAlignment="1">
      <alignment horizontal="center" vertical="center"/>
    </xf>
    <xf numFmtId="1" fontId="6" fillId="0" borderId="5" xfId="0" applyNumberFormat="1" applyFont="1" applyBorder="1" applyAlignment="1">
      <alignment horizontal="center" vertical="center"/>
    </xf>
    <xf numFmtId="1" fontId="6" fillId="0" borderId="2" xfId="0" applyNumberFormat="1" applyFont="1" applyBorder="1" applyAlignment="1">
      <alignment horizontal="center" vertical="center"/>
    </xf>
    <xf numFmtId="1" fontId="6" fillId="0" borderId="7" xfId="0" applyNumberFormat="1" applyFont="1" applyBorder="1" applyAlignment="1">
      <alignment horizontal="center" vertical="center"/>
    </xf>
    <xf numFmtId="167" fontId="6" fillId="0" borderId="30" xfId="0" applyNumberFormat="1" applyFont="1" applyBorder="1" applyAlignment="1">
      <alignment wrapText="1"/>
    </xf>
    <xf numFmtId="0" fontId="9" fillId="0" borderId="2" xfId="3" applyFont="1" applyFill="1" applyBorder="1" applyAlignment="1">
      <alignment horizontal="left" vertical="center" wrapText="1"/>
    </xf>
    <xf numFmtId="0" fontId="9" fillId="0" borderId="2" xfId="3" applyFont="1" applyBorder="1" applyAlignment="1">
      <alignment horizontal="left" vertical="center" wrapText="1"/>
    </xf>
    <xf numFmtId="9" fontId="6" fillId="0" borderId="2" xfId="2" applyFont="1" applyBorder="1" applyAlignment="1">
      <alignment horizontal="center" vertical="center"/>
    </xf>
    <xf numFmtId="169" fontId="9" fillId="0" borderId="2" xfId="6" applyNumberFormat="1" applyFont="1" applyFill="1" applyBorder="1" applyAlignment="1">
      <alignment horizontal="left" vertical="center" wrapText="1"/>
    </xf>
    <xf numFmtId="0" fontId="9" fillId="0" borderId="2" xfId="3" applyFont="1" applyFill="1" applyBorder="1" applyAlignment="1">
      <alignment horizontal="center" vertical="top" wrapText="1"/>
    </xf>
    <xf numFmtId="0" fontId="7" fillId="0" borderId="0" xfId="0" applyFont="1" applyAlignment="1">
      <alignment horizontal="center"/>
    </xf>
    <xf numFmtId="0" fontId="14" fillId="0" borderId="0" xfId="5" applyFont="1" applyAlignment="1">
      <alignment horizontal="center"/>
    </xf>
    <xf numFmtId="168" fontId="14" fillId="0" borderId="0" xfId="5" applyNumberFormat="1" applyFont="1" applyAlignment="1">
      <alignment horizontal="center" vertical="top"/>
    </xf>
    <xf numFmtId="0" fontId="1" fillId="0" borderId="0" xfId="0" applyFont="1" applyAlignment="1">
      <alignment horizontal="center" vertical="top"/>
    </xf>
    <xf numFmtId="0" fontId="17" fillId="11" borderId="2" xfId="0" applyFont="1" applyFill="1" applyBorder="1" applyAlignment="1">
      <alignment horizontal="left" vertical="center"/>
    </xf>
    <xf numFmtId="0" fontId="27" fillId="0" borderId="0" xfId="0" applyFont="1"/>
    <xf numFmtId="0" fontId="41" fillId="14" borderId="13" xfId="0" applyFont="1" applyFill="1" applyBorder="1" applyAlignment="1">
      <alignment horizontal="left" vertical="center"/>
    </xf>
    <xf numFmtId="0" fontId="21" fillId="14" borderId="14" xfId="0" applyFont="1" applyFill="1" applyBorder="1" applyAlignment="1">
      <alignment vertical="center"/>
    </xf>
    <xf numFmtId="0" fontId="21" fillId="14" borderId="15" xfId="0" applyFont="1" applyFill="1" applyBorder="1" applyAlignment="1">
      <alignment vertical="center"/>
    </xf>
    <xf numFmtId="0" fontId="41" fillId="14" borderId="20" xfId="0" applyFont="1" applyFill="1" applyBorder="1" applyAlignment="1">
      <alignment horizontal="left" vertical="center"/>
    </xf>
    <xf numFmtId="0" fontId="21" fillId="14" borderId="21" xfId="0" applyFont="1" applyFill="1" applyBorder="1" applyAlignment="1">
      <alignment vertical="center"/>
    </xf>
    <xf numFmtId="0" fontId="21" fillId="14" borderId="22" xfId="0" applyFont="1" applyFill="1" applyBorder="1" applyAlignment="1">
      <alignment vertical="center"/>
    </xf>
    <xf numFmtId="0" fontId="10" fillId="0" borderId="30" xfId="0" applyFont="1" applyBorder="1" applyAlignment="1">
      <alignment wrapText="1"/>
    </xf>
    <xf numFmtId="0" fontId="9" fillId="0" borderId="30" xfId="3" applyFont="1" applyFill="1" applyBorder="1" applyAlignment="1">
      <alignment horizontal="left" vertical="center" wrapText="1"/>
    </xf>
    <xf numFmtId="0" fontId="10" fillId="0" borderId="30" xfId="0" applyFont="1" applyBorder="1" applyAlignment="1">
      <alignment vertical="center"/>
    </xf>
    <xf numFmtId="169" fontId="10" fillId="0" borderId="30" xfId="0" applyNumberFormat="1" applyFont="1" applyBorder="1" applyAlignment="1">
      <alignment vertical="center"/>
    </xf>
    <xf numFmtId="0" fontId="17" fillId="8" borderId="30" xfId="0" applyFont="1" applyFill="1" applyBorder="1" applyAlignment="1">
      <alignment horizontal="left" vertical="center"/>
    </xf>
    <xf numFmtId="0" fontId="17" fillId="11" borderId="30" xfId="0" applyFont="1" applyFill="1" applyBorder="1" applyAlignment="1">
      <alignment horizontal="left" vertical="center"/>
    </xf>
    <xf numFmtId="0" fontId="22" fillId="11" borderId="54" xfId="0" applyFont="1" applyFill="1" applyBorder="1" applyAlignment="1">
      <alignment horizontal="center" vertical="center" wrapText="1"/>
    </xf>
    <xf numFmtId="0" fontId="22" fillId="11" borderId="54" xfId="0" applyFont="1" applyFill="1" applyBorder="1" applyAlignment="1">
      <alignment horizontal="center" vertical="center"/>
    </xf>
    <xf numFmtId="0" fontId="9" fillId="0" borderId="71" xfId="3" applyFont="1" applyBorder="1" applyAlignment="1">
      <alignment horizontal="center" vertical="center" wrapText="1"/>
    </xf>
    <xf numFmtId="0" fontId="9" fillId="0" borderId="73" xfId="3" applyFont="1" applyBorder="1" applyAlignment="1">
      <alignment horizontal="center" vertical="center" wrapText="1"/>
    </xf>
    <xf numFmtId="1" fontId="9" fillId="0" borderId="73" xfId="3" applyNumberFormat="1" applyFont="1" applyBorder="1" applyAlignment="1">
      <alignment horizontal="center" vertical="center" wrapText="1"/>
    </xf>
    <xf numFmtId="169" fontId="9" fillId="0" borderId="73" xfId="6" applyNumberFormat="1" applyFont="1" applyBorder="1" applyAlignment="1">
      <alignment horizontal="center" vertical="center" wrapText="1"/>
    </xf>
    <xf numFmtId="0" fontId="9" fillId="0" borderId="19" xfId="3" applyFont="1" applyBorder="1" applyAlignment="1">
      <alignment horizontal="center" vertical="center" wrapText="1"/>
    </xf>
    <xf numFmtId="169" fontId="9" fillId="0" borderId="19" xfId="6" applyNumberFormat="1" applyFont="1" applyBorder="1" applyAlignment="1">
      <alignment horizontal="center" vertical="center" wrapText="1"/>
    </xf>
    <xf numFmtId="0" fontId="6" fillId="0" borderId="73" xfId="0" applyFont="1" applyBorder="1" applyAlignment="1">
      <alignment horizontal="center" vertical="center" wrapText="1"/>
    </xf>
    <xf numFmtId="0" fontId="6" fillId="0" borderId="59" xfId="0" applyFont="1" applyBorder="1" applyAlignment="1">
      <alignment horizontal="center" vertical="center" wrapText="1"/>
    </xf>
    <xf numFmtId="169" fontId="6" fillId="0" borderId="10" xfId="0" applyNumberFormat="1" applyFont="1" applyBorder="1"/>
    <xf numFmtId="0" fontId="6" fillId="0" borderId="11" xfId="0" applyFont="1" applyBorder="1"/>
    <xf numFmtId="0" fontId="6" fillId="0" borderId="76" xfId="0" applyFont="1" applyBorder="1"/>
    <xf numFmtId="0" fontId="6" fillId="0" borderId="75" xfId="0" applyFont="1" applyBorder="1"/>
    <xf numFmtId="3" fontId="21" fillId="0" borderId="56" xfId="0" applyNumberFormat="1" applyFont="1" applyBorder="1"/>
    <xf numFmtId="0" fontId="21" fillId="14" borderId="77" xfId="0" applyFont="1" applyFill="1" applyBorder="1" applyAlignment="1">
      <alignment vertical="center"/>
    </xf>
    <xf numFmtId="0" fontId="6" fillId="0" borderId="62" xfId="0" applyFont="1" applyBorder="1" applyAlignment="1">
      <alignment horizontal="left" vertical="center" wrapText="1"/>
    </xf>
    <xf numFmtId="169" fontId="6" fillId="0" borderId="60" xfId="0" applyNumberFormat="1" applyFont="1" applyBorder="1" applyAlignment="1">
      <alignment vertical="center" wrapText="1"/>
    </xf>
    <xf numFmtId="1" fontId="6" fillId="0" borderId="30" xfId="0" applyNumberFormat="1" applyFont="1" applyBorder="1" applyAlignment="1">
      <alignment vertical="center"/>
    </xf>
    <xf numFmtId="43" fontId="6" fillId="0" borderId="30" xfId="0" applyNumberFormat="1" applyFont="1" applyBorder="1" applyAlignment="1">
      <alignment vertical="center"/>
    </xf>
    <xf numFmtId="169" fontId="6" fillId="0" borderId="30" xfId="6" applyNumberFormat="1" applyFont="1" applyBorder="1" applyAlignment="1">
      <alignment vertical="center"/>
    </xf>
    <xf numFmtId="172" fontId="1" fillId="9" borderId="30" xfId="0" applyNumberFormat="1" applyFont="1" applyFill="1" applyBorder="1" applyAlignment="1">
      <alignment vertical="center"/>
    </xf>
    <xf numFmtId="0" fontId="6" fillId="0" borderId="30" xfId="0" applyFont="1" applyBorder="1" applyAlignment="1">
      <alignment vertical="center" wrapText="1"/>
    </xf>
    <xf numFmtId="0" fontId="6" fillId="0" borderId="78" xfId="4" applyBorder="1" applyAlignment="1">
      <alignment horizontal="center" vertical="center"/>
    </xf>
    <xf numFmtId="9" fontId="6" fillId="0" borderId="78" xfId="0" applyNumberFormat="1" applyFont="1" applyBorder="1" applyAlignment="1">
      <alignment horizontal="center"/>
    </xf>
    <xf numFmtId="0" fontId="6" fillId="0" borderId="54" xfId="0" quotePrefix="1" applyFont="1" applyBorder="1" applyAlignment="1">
      <alignment horizontal="center" vertical="center" wrapText="1"/>
    </xf>
    <xf numFmtId="0" fontId="6" fillId="0" borderId="54" xfId="0" applyFont="1" applyBorder="1" applyAlignment="1">
      <alignment horizontal="left" vertical="center" wrapText="1"/>
    </xf>
    <xf numFmtId="0" fontId="1" fillId="0" borderId="2" xfId="0" applyFont="1" applyBorder="1" applyAlignment="1">
      <alignment horizontal="center" vertical="center"/>
    </xf>
    <xf numFmtId="0" fontId="8" fillId="0" borderId="0" xfId="5"/>
    <xf numFmtId="0" fontId="9" fillId="0" borderId="30" xfId="3" applyFont="1" applyBorder="1" applyAlignment="1">
      <alignment horizontal="left" vertical="top" wrapText="1"/>
    </xf>
    <xf numFmtId="3" fontId="6" fillId="0" borderId="30" xfId="0" applyNumberFormat="1" applyFont="1" applyBorder="1"/>
    <xf numFmtId="0" fontId="17" fillId="8" borderId="54" xfId="0" applyFont="1" applyFill="1" applyBorder="1" applyAlignment="1">
      <alignment horizontal="center" vertical="center" wrapText="1"/>
    </xf>
    <xf numFmtId="1" fontId="6" fillId="0" borderId="30" xfId="0" applyNumberFormat="1" applyFont="1" applyBorder="1"/>
    <xf numFmtId="0" fontId="20" fillId="0" borderId="52" xfId="0" applyFont="1" applyBorder="1" applyAlignment="1">
      <alignment horizontal="center" vertical="center"/>
    </xf>
    <xf numFmtId="0" fontId="20" fillId="0" borderId="5" xfId="0" applyFont="1" applyBorder="1" applyAlignment="1">
      <alignment horizontal="center" vertical="center"/>
    </xf>
    <xf numFmtId="0" fontId="20" fillId="0" borderId="11" xfId="0" applyFont="1" applyBorder="1" applyAlignment="1">
      <alignment horizontal="center" vertical="center"/>
    </xf>
    <xf numFmtId="0" fontId="20" fillId="0" borderId="7" xfId="0" applyFont="1" applyBorder="1" applyAlignment="1">
      <alignment horizontal="center" vertical="center"/>
    </xf>
    <xf numFmtId="0" fontId="20" fillId="0" borderId="53" xfId="0" applyFont="1" applyBorder="1" applyAlignment="1">
      <alignment horizontal="center" vertical="center"/>
    </xf>
    <xf numFmtId="0" fontId="20" fillId="0" borderId="9" xfId="0" applyFont="1" applyBorder="1" applyAlignment="1">
      <alignment horizontal="center" vertical="center"/>
    </xf>
    <xf numFmtId="1" fontId="6" fillId="0" borderId="12" xfId="0" applyNumberFormat="1" applyFont="1" applyBorder="1" applyAlignment="1">
      <alignment horizontal="center" vertical="center"/>
    </xf>
    <xf numFmtId="1" fontId="6" fillId="0" borderId="44" xfId="0" applyNumberFormat="1" applyFont="1" applyBorder="1" applyAlignment="1">
      <alignment horizontal="center" vertical="center"/>
    </xf>
    <xf numFmtId="0" fontId="20" fillId="0" borderId="96" xfId="0" applyFont="1" applyBorder="1" applyAlignment="1">
      <alignment horizontal="center" vertical="center"/>
    </xf>
    <xf numFmtId="0" fontId="20" fillId="0" borderId="97" xfId="0" applyFont="1" applyBorder="1" applyAlignment="1">
      <alignment horizontal="center" vertical="center"/>
    </xf>
    <xf numFmtId="1" fontId="20" fillId="0" borderId="78" xfId="0" applyNumberFormat="1" applyFont="1" applyBorder="1" applyAlignment="1">
      <alignment horizontal="center" vertical="center"/>
    </xf>
    <xf numFmtId="1" fontId="42" fillId="0" borderId="78" xfId="0" applyNumberFormat="1" applyFont="1" applyBorder="1" applyAlignment="1">
      <alignment horizontal="center" vertical="center"/>
    </xf>
    <xf numFmtId="0" fontId="20" fillId="0" borderId="98" xfId="0" applyFont="1" applyBorder="1" applyAlignment="1">
      <alignment horizontal="center" vertical="center"/>
    </xf>
    <xf numFmtId="1" fontId="42" fillId="0" borderId="79" xfId="0" applyNumberFormat="1" applyFont="1" applyBorder="1" applyAlignment="1">
      <alignment horizontal="center" vertical="center"/>
    </xf>
    <xf numFmtId="1" fontId="20" fillId="0" borderId="2" xfId="0" applyNumberFormat="1" applyFont="1" applyBorder="1" applyAlignment="1">
      <alignment horizontal="center" vertical="center"/>
    </xf>
    <xf numFmtId="1" fontId="20" fillId="0" borderId="19" xfId="0" applyNumberFormat="1" applyFont="1" applyBorder="1" applyAlignment="1">
      <alignment horizontal="center" vertical="center"/>
    </xf>
    <xf numFmtId="1" fontId="20" fillId="0" borderId="1" xfId="0" applyNumberFormat="1" applyFont="1" applyBorder="1" applyAlignment="1">
      <alignment horizontal="center" vertical="center"/>
    </xf>
    <xf numFmtId="1" fontId="20" fillId="0" borderId="5" xfId="0" applyNumberFormat="1" applyFont="1" applyBorder="1" applyAlignment="1">
      <alignment horizontal="center" vertical="center"/>
    </xf>
    <xf numFmtId="1" fontId="20" fillId="0" borderId="7" xfId="0" applyNumberFormat="1" applyFont="1" applyBorder="1" applyAlignment="1">
      <alignment horizontal="center" vertical="center"/>
    </xf>
    <xf numFmtId="1" fontId="20" fillId="0" borderId="37" xfId="0" applyNumberFormat="1" applyFont="1" applyBorder="1" applyAlignment="1">
      <alignment horizontal="center" vertical="center"/>
    </xf>
    <xf numFmtId="1" fontId="20" fillId="0" borderId="9" xfId="0" applyNumberFormat="1" applyFont="1" applyBorder="1" applyAlignment="1">
      <alignment horizontal="center" vertical="center"/>
    </xf>
    <xf numFmtId="1" fontId="20" fillId="0" borderId="12" xfId="0" applyNumberFormat="1" applyFont="1" applyBorder="1" applyAlignment="1">
      <alignment horizontal="center" vertical="center"/>
    </xf>
    <xf numFmtId="1" fontId="42" fillId="0" borderId="80" xfId="0" applyNumberFormat="1" applyFont="1" applyBorder="1" applyAlignment="1">
      <alignment horizontal="center" vertical="center"/>
    </xf>
    <xf numFmtId="1" fontId="20" fillId="0" borderId="83" xfId="0" applyNumberFormat="1" applyFont="1" applyBorder="1" applyAlignment="1">
      <alignment horizontal="center" vertical="center"/>
    </xf>
    <xf numFmtId="0" fontId="20" fillId="0" borderId="111" xfId="0" applyFont="1" applyBorder="1" applyAlignment="1">
      <alignment horizontal="center" vertical="center"/>
    </xf>
    <xf numFmtId="1" fontId="20" fillId="0" borderId="86" xfId="0" applyNumberFormat="1" applyFont="1" applyBorder="1" applyAlignment="1">
      <alignment horizontal="center" vertical="center"/>
    </xf>
    <xf numFmtId="1" fontId="20" fillId="0" borderId="89" xfId="0" applyNumberFormat="1" applyFont="1" applyBorder="1" applyAlignment="1">
      <alignment horizontal="center" vertical="center"/>
    </xf>
    <xf numFmtId="1" fontId="42" fillId="0" borderId="82" xfId="0" applyNumberFormat="1" applyFont="1" applyBorder="1" applyAlignment="1">
      <alignment horizontal="center" vertical="center"/>
    </xf>
    <xf numFmtId="1" fontId="42" fillId="0" borderId="83" xfId="0" applyNumberFormat="1" applyFont="1" applyBorder="1" applyAlignment="1">
      <alignment horizontal="center" vertical="center"/>
    </xf>
    <xf numFmtId="1" fontId="42" fillId="0" borderId="112" xfId="0" applyNumberFormat="1" applyFont="1" applyBorder="1" applyAlignment="1">
      <alignment horizontal="center" vertical="center"/>
    </xf>
    <xf numFmtId="1" fontId="20" fillId="0" borderId="81" xfId="0" applyNumberFormat="1" applyFont="1" applyBorder="1" applyAlignment="1">
      <alignment horizontal="center" vertical="center"/>
    </xf>
    <xf numFmtId="1" fontId="20" fillId="0" borderId="44" xfId="0" applyNumberFormat="1" applyFont="1" applyBorder="1" applyAlignment="1">
      <alignment horizontal="center" vertical="center"/>
    </xf>
    <xf numFmtId="0" fontId="20" fillId="0" borderId="22" xfId="0" applyFont="1" applyBorder="1" applyAlignment="1">
      <alignment horizontal="center" vertical="center"/>
    </xf>
    <xf numFmtId="0" fontId="20" fillId="0" borderId="15" xfId="0" applyFont="1" applyBorder="1" applyAlignment="1">
      <alignment horizontal="center" vertical="center"/>
    </xf>
    <xf numFmtId="0" fontId="6" fillId="0" borderId="52" xfId="0" applyFont="1" applyBorder="1" applyAlignment="1">
      <alignment horizontal="center" vertical="center"/>
    </xf>
    <xf numFmtId="0" fontId="6" fillId="0" borderId="11" xfId="0" applyFont="1" applyBorder="1" applyAlignment="1">
      <alignment horizontal="center" vertical="center"/>
    </xf>
    <xf numFmtId="0" fontId="6" fillId="0" borderId="15" xfId="0" applyFont="1" applyBorder="1" applyAlignment="1">
      <alignment horizontal="center" vertical="center"/>
    </xf>
    <xf numFmtId="0" fontId="7" fillId="0" borderId="0" xfId="0" applyFont="1" applyAlignment="1">
      <alignment horizontal="center" vertical="center"/>
    </xf>
    <xf numFmtId="2" fontId="20" fillId="0" borderId="1" xfId="0" applyNumberFormat="1" applyFont="1" applyBorder="1" applyAlignment="1">
      <alignment horizontal="center" vertical="center"/>
    </xf>
    <xf numFmtId="2" fontId="20" fillId="0" borderId="5" xfId="0" applyNumberFormat="1" applyFont="1" applyBorder="1" applyAlignment="1">
      <alignment horizontal="center" vertical="center"/>
    </xf>
    <xf numFmtId="0" fontId="44" fillId="14" borderId="0" xfId="0" applyFont="1" applyFill="1" applyAlignment="1">
      <alignment horizontal="center" vertical="center"/>
    </xf>
    <xf numFmtId="2" fontId="20" fillId="0" borderId="2" xfId="0" applyNumberFormat="1" applyFont="1" applyBorder="1" applyAlignment="1">
      <alignment horizontal="center" vertical="center"/>
    </xf>
    <xf numFmtId="2" fontId="45" fillId="0" borderId="12" xfId="0" applyNumberFormat="1" applyFont="1" applyBorder="1" applyAlignment="1">
      <alignment horizontal="center" vertical="center"/>
    </xf>
    <xf numFmtId="2" fontId="45" fillId="0" borderId="2" xfId="0" applyNumberFormat="1" applyFont="1" applyBorder="1" applyAlignment="1">
      <alignment horizontal="center" vertical="center"/>
    </xf>
    <xf numFmtId="2" fontId="20" fillId="0" borderId="7" xfId="0" applyNumberFormat="1" applyFont="1" applyBorder="1" applyAlignment="1">
      <alignment horizontal="center" vertical="center"/>
    </xf>
    <xf numFmtId="2" fontId="20" fillId="0" borderId="12" xfId="0" applyNumberFormat="1" applyFont="1" applyBorder="1" applyAlignment="1">
      <alignment horizontal="center" vertical="center"/>
    </xf>
    <xf numFmtId="2" fontId="20" fillId="0" borderId="44" xfId="0" applyNumberFormat="1" applyFont="1" applyBorder="1" applyAlignment="1">
      <alignment horizontal="center" vertical="center"/>
    </xf>
    <xf numFmtId="0" fontId="20" fillId="0" borderId="123" xfId="0" applyFont="1" applyBorder="1" applyAlignment="1">
      <alignment horizontal="center" vertical="center"/>
    </xf>
    <xf numFmtId="0" fontId="44" fillId="0" borderId="0" xfId="0" applyFont="1" applyAlignment="1">
      <alignment horizontal="center" vertical="center"/>
    </xf>
    <xf numFmtId="2" fontId="20" fillId="0" borderId="37" xfId="0" applyNumberFormat="1" applyFont="1" applyBorder="1" applyAlignment="1">
      <alignment horizontal="center" vertical="center"/>
    </xf>
    <xf numFmtId="2" fontId="20" fillId="0" borderId="9" xfId="0" applyNumberFormat="1" applyFont="1" applyBorder="1" applyAlignment="1">
      <alignment horizontal="center" vertical="center"/>
    </xf>
    <xf numFmtId="2" fontId="45" fillId="0" borderId="124" xfId="0" applyNumberFormat="1" applyFont="1" applyBorder="1" applyAlignment="1">
      <alignment horizontal="center" vertical="center"/>
    </xf>
    <xf numFmtId="2" fontId="45" fillId="0" borderId="125" xfId="0" applyNumberFormat="1" applyFont="1" applyBorder="1" applyAlignment="1">
      <alignment horizontal="center" vertical="center"/>
    </xf>
    <xf numFmtId="2" fontId="45" fillId="0" borderId="126" xfId="0" applyNumberFormat="1" applyFont="1" applyBorder="1" applyAlignment="1">
      <alignment horizontal="center" vertical="center"/>
    </xf>
    <xf numFmtId="2" fontId="45" fillId="0" borderId="127" xfId="0" applyNumberFormat="1" applyFont="1" applyBorder="1" applyAlignment="1">
      <alignment horizontal="center" vertical="center"/>
    </xf>
    <xf numFmtId="0" fontId="20" fillId="0" borderId="129" xfId="0" applyFont="1" applyBorder="1" applyAlignment="1">
      <alignment horizontal="center" vertical="center"/>
    </xf>
    <xf numFmtId="2" fontId="45" fillId="0" borderId="130" xfId="0" applyNumberFormat="1" applyFont="1" applyBorder="1" applyAlignment="1">
      <alignment horizontal="center" vertical="center"/>
    </xf>
    <xf numFmtId="2" fontId="45" fillId="0" borderId="131" xfId="0" applyNumberFormat="1" applyFont="1" applyBorder="1" applyAlignment="1">
      <alignment horizontal="center" vertical="center"/>
    </xf>
    <xf numFmtId="2" fontId="20" fillId="0" borderId="19" xfId="0" applyNumberFormat="1" applyFont="1" applyBorder="1" applyAlignment="1">
      <alignment horizontal="center" vertical="center"/>
    </xf>
    <xf numFmtId="2" fontId="20" fillId="0" borderId="81" xfId="0" applyNumberFormat="1" applyFont="1" applyBorder="1" applyAlignment="1">
      <alignment horizontal="center" vertical="center"/>
    </xf>
    <xf numFmtId="2" fontId="20" fillId="0" borderId="80" xfId="0" applyNumberFormat="1" applyFont="1" applyBorder="1" applyAlignment="1">
      <alignment horizontal="center" vertical="center"/>
    </xf>
    <xf numFmtId="2" fontId="20" fillId="0" borderId="132" xfId="0" applyNumberFormat="1" applyFont="1" applyBorder="1" applyAlignment="1">
      <alignment horizontal="center" vertical="center"/>
    </xf>
    <xf numFmtId="2" fontId="20" fillId="0" borderId="78" xfId="0" applyNumberFormat="1" applyFont="1" applyBorder="1" applyAlignment="1">
      <alignment horizontal="center" vertical="center"/>
    </xf>
    <xf numFmtId="2" fontId="20" fillId="0" borderId="133" xfId="0" applyNumberFormat="1" applyFont="1" applyBorder="1" applyAlignment="1">
      <alignment horizontal="center" vertical="center"/>
    </xf>
    <xf numFmtId="2" fontId="20" fillId="0" borderId="128" xfId="0" applyNumberFormat="1" applyFont="1" applyBorder="1" applyAlignment="1">
      <alignment horizontal="center" vertical="center"/>
    </xf>
    <xf numFmtId="2" fontId="20" fillId="0" borderId="134" xfId="0" applyNumberFormat="1" applyFont="1" applyBorder="1" applyAlignment="1">
      <alignment horizontal="center" vertical="center"/>
    </xf>
    <xf numFmtId="0" fontId="20" fillId="0" borderId="4" xfId="0" applyFont="1" applyBorder="1" applyAlignment="1">
      <alignment horizontal="center" vertical="center"/>
    </xf>
    <xf numFmtId="0" fontId="20" fillId="0" borderId="6" xfId="0" applyFont="1" applyBorder="1" applyAlignment="1">
      <alignment horizontal="center" vertical="center"/>
    </xf>
    <xf numFmtId="0" fontId="20" fillId="0" borderId="8" xfId="0" applyFont="1" applyBorder="1" applyAlignment="1">
      <alignment horizontal="center" vertical="center"/>
    </xf>
    <xf numFmtId="0" fontId="20" fillId="0" borderId="87" xfId="0" applyFont="1" applyBorder="1" applyAlignment="1">
      <alignment horizontal="center" vertical="center"/>
    </xf>
    <xf numFmtId="2" fontId="20" fillId="0" borderId="146" xfId="0" applyNumberFormat="1" applyFont="1" applyBorder="1" applyAlignment="1">
      <alignment horizontal="center" vertical="center"/>
    </xf>
    <xf numFmtId="2" fontId="20" fillId="0" borderId="147" xfId="0" applyNumberFormat="1" applyFont="1" applyBorder="1" applyAlignment="1">
      <alignment horizontal="center" vertical="center"/>
    </xf>
    <xf numFmtId="2" fontId="20" fillId="0" borderId="148" xfId="0" applyNumberFormat="1" applyFont="1" applyBorder="1" applyAlignment="1">
      <alignment horizontal="center" vertical="center"/>
    </xf>
    <xf numFmtId="2" fontId="20" fillId="0" borderId="149" xfId="0" applyNumberFormat="1" applyFont="1" applyBorder="1" applyAlignment="1">
      <alignment horizontal="center" vertical="center"/>
    </xf>
    <xf numFmtId="2" fontId="20" fillId="0" borderId="126" xfId="0" applyNumberFormat="1" applyFont="1" applyBorder="1" applyAlignment="1">
      <alignment horizontal="center" vertical="center"/>
    </xf>
    <xf numFmtId="2" fontId="20" fillId="0" borderId="150" xfId="0" applyNumberFormat="1" applyFont="1" applyBorder="1" applyAlignment="1">
      <alignment horizontal="center" vertical="center"/>
    </xf>
    <xf numFmtId="2" fontId="20" fillId="0" borderId="151" xfId="0" applyNumberFormat="1" applyFont="1" applyBorder="1" applyAlignment="1">
      <alignment horizontal="center" vertical="center"/>
    </xf>
    <xf numFmtId="2" fontId="20" fillId="0" borderId="152" xfId="0" applyNumberFormat="1" applyFont="1" applyBorder="1" applyAlignment="1">
      <alignment horizontal="center" vertical="center"/>
    </xf>
    <xf numFmtId="2" fontId="20" fillId="0" borderId="153" xfId="0" applyNumberFormat="1" applyFont="1" applyBorder="1" applyAlignment="1">
      <alignment horizontal="center" vertical="center"/>
    </xf>
    <xf numFmtId="0" fontId="20" fillId="0" borderId="155" xfId="0" applyFont="1" applyBorder="1" applyAlignment="1">
      <alignment horizontal="center" vertical="center"/>
    </xf>
    <xf numFmtId="2" fontId="20" fillId="0" borderId="156" xfId="0" applyNumberFormat="1" applyFont="1" applyBorder="1" applyAlignment="1">
      <alignment horizontal="center" vertical="center"/>
    </xf>
    <xf numFmtId="2" fontId="46" fillId="0" borderId="156" xfId="0" applyNumberFormat="1" applyFont="1" applyBorder="1" applyAlignment="1">
      <alignment horizontal="center" vertical="center"/>
    </xf>
    <xf numFmtId="2" fontId="20" fillId="0" borderId="157" xfId="0" applyNumberFormat="1" applyFont="1" applyBorder="1" applyAlignment="1">
      <alignment horizontal="center" vertical="center"/>
    </xf>
    <xf numFmtId="0" fontId="20" fillId="0" borderId="149" xfId="0" applyFont="1" applyBorder="1" applyAlignment="1">
      <alignment horizontal="center" vertical="center"/>
    </xf>
    <xf numFmtId="2" fontId="46" fillId="0" borderId="126" xfId="0" applyNumberFormat="1" applyFont="1" applyBorder="1" applyAlignment="1">
      <alignment horizontal="center" vertical="center"/>
    </xf>
    <xf numFmtId="2" fontId="20" fillId="0" borderId="127" xfId="0" applyNumberFormat="1" applyFont="1" applyBorder="1" applyAlignment="1">
      <alignment horizontal="center" vertical="center"/>
    </xf>
    <xf numFmtId="0" fontId="20" fillId="0" borderId="160" xfId="0" applyFont="1" applyBorder="1" applyAlignment="1">
      <alignment horizontal="center" vertical="center"/>
    </xf>
    <xf numFmtId="2" fontId="20" fillId="0" borderId="161" xfId="0" applyNumberFormat="1" applyFont="1" applyBorder="1" applyAlignment="1">
      <alignment horizontal="center" vertical="center"/>
    </xf>
    <xf numFmtId="2" fontId="46" fillId="0" borderId="161" xfId="0" applyNumberFormat="1" applyFont="1" applyBorder="1" applyAlignment="1">
      <alignment horizontal="center" vertical="center"/>
    </xf>
    <xf numFmtId="2" fontId="20" fillId="0" borderId="162" xfId="0" applyNumberFormat="1" applyFont="1" applyBorder="1" applyAlignment="1">
      <alignment horizontal="center" vertical="center"/>
    </xf>
    <xf numFmtId="0" fontId="20" fillId="0" borderId="164" xfId="0" applyFont="1" applyBorder="1" applyAlignment="1">
      <alignment horizontal="center" vertical="center"/>
    </xf>
    <xf numFmtId="2" fontId="45" fillId="0" borderId="147" xfId="0" applyNumberFormat="1" applyFont="1" applyBorder="1" applyAlignment="1">
      <alignment horizontal="center" vertical="center"/>
    </xf>
    <xf numFmtId="0" fontId="20" fillId="0" borderId="165" xfId="0" applyFont="1" applyBorder="1" applyAlignment="1">
      <alignment horizontal="center" vertical="center"/>
    </xf>
    <xf numFmtId="0" fontId="20" fillId="0" borderId="168" xfId="0" applyFont="1" applyBorder="1" applyAlignment="1">
      <alignment horizontal="center" vertical="center"/>
    </xf>
    <xf numFmtId="2" fontId="45" fillId="0" borderId="152" xfId="0" applyNumberFormat="1" applyFont="1" applyBorder="1" applyAlignment="1">
      <alignment horizontal="center" vertical="center"/>
    </xf>
    <xf numFmtId="2" fontId="46" fillId="0" borderId="147" xfId="0" applyNumberFormat="1" applyFont="1" applyBorder="1" applyAlignment="1">
      <alignment horizontal="center" vertical="center"/>
    </xf>
    <xf numFmtId="2" fontId="46" fillId="0" borderId="170" xfId="0" applyNumberFormat="1" applyFont="1" applyBorder="1" applyAlignment="1">
      <alignment horizontal="center" vertical="center"/>
    </xf>
    <xf numFmtId="2" fontId="46" fillId="0" borderId="152" xfId="0" applyNumberFormat="1" applyFont="1" applyBorder="1" applyAlignment="1">
      <alignment horizontal="center" vertical="center"/>
    </xf>
    <xf numFmtId="2" fontId="46" fillId="0" borderId="172" xfId="0" applyNumberFormat="1" applyFont="1" applyBorder="1" applyAlignment="1">
      <alignment horizontal="center" vertical="center"/>
    </xf>
    <xf numFmtId="2" fontId="20" fillId="0" borderId="172" xfId="0" applyNumberFormat="1" applyFont="1" applyBorder="1" applyAlignment="1">
      <alignment horizontal="center" vertical="center"/>
    </xf>
    <xf numFmtId="0" fontId="20" fillId="0" borderId="146" xfId="0" applyFont="1" applyBorder="1" applyAlignment="1">
      <alignment horizontal="center" vertical="center"/>
    </xf>
    <xf numFmtId="0" fontId="20" fillId="0" borderId="151" xfId="0" applyFont="1" applyBorder="1" applyAlignment="1">
      <alignment horizontal="center" vertical="center"/>
    </xf>
    <xf numFmtId="2" fontId="46" fillId="0" borderId="1" xfId="0" applyNumberFormat="1" applyFont="1" applyBorder="1" applyAlignment="1">
      <alignment horizontal="center" vertical="center"/>
    </xf>
    <xf numFmtId="2" fontId="46" fillId="0" borderId="2" xfId="0" applyNumberFormat="1" applyFont="1" applyBorder="1" applyAlignment="1">
      <alignment horizontal="center" vertical="center"/>
    </xf>
    <xf numFmtId="2" fontId="46" fillId="0" borderId="12" xfId="0" applyNumberFormat="1" applyFont="1" applyBorder="1" applyAlignment="1">
      <alignment horizontal="center" vertical="center"/>
    </xf>
    <xf numFmtId="0" fontId="20" fillId="0" borderId="180" xfId="0" applyFont="1" applyBorder="1" applyAlignment="1">
      <alignment horizontal="center" vertical="center"/>
    </xf>
    <xf numFmtId="2" fontId="47" fillId="0" borderId="124" xfId="0" applyNumberFormat="1" applyFont="1" applyBorder="1" applyAlignment="1">
      <alignment horizontal="center" vertical="center"/>
    </xf>
    <xf numFmtId="2" fontId="46" fillId="0" borderId="124" xfId="0" applyNumberFormat="1" applyFont="1" applyBorder="1" applyAlignment="1">
      <alignment horizontal="center" vertical="center"/>
    </xf>
    <xf numFmtId="2" fontId="47" fillId="0" borderId="125" xfId="0" applyNumberFormat="1" applyFont="1" applyBorder="1" applyAlignment="1">
      <alignment horizontal="center" vertical="center"/>
    </xf>
    <xf numFmtId="2" fontId="47" fillId="0" borderId="126" xfId="0" applyNumberFormat="1" applyFont="1" applyBorder="1" applyAlignment="1">
      <alignment horizontal="center" vertical="center"/>
    </xf>
    <xf numFmtId="2" fontId="47" fillId="0" borderId="127" xfId="0" applyNumberFormat="1" applyFont="1" applyBorder="1" applyAlignment="1">
      <alignment horizontal="center" vertical="center"/>
    </xf>
    <xf numFmtId="0" fontId="20" fillId="0" borderId="181" xfId="0" applyFont="1" applyBorder="1" applyAlignment="1">
      <alignment horizontal="center" vertical="center"/>
    </xf>
    <xf numFmtId="2" fontId="47" fillId="0" borderId="130" xfId="0" applyNumberFormat="1" applyFont="1" applyBorder="1" applyAlignment="1">
      <alignment horizontal="center" vertical="center"/>
    </xf>
    <xf numFmtId="2" fontId="46" fillId="0" borderId="130" xfId="0" applyNumberFormat="1" applyFont="1" applyBorder="1" applyAlignment="1">
      <alignment horizontal="center" vertical="center"/>
    </xf>
    <xf numFmtId="2" fontId="47" fillId="0" borderId="131" xfId="0" applyNumberFormat="1" applyFont="1" applyBorder="1" applyAlignment="1">
      <alignment horizontal="center" vertical="center"/>
    </xf>
    <xf numFmtId="2" fontId="46" fillId="0" borderId="19" xfId="0" applyNumberFormat="1" applyFont="1" applyBorder="1" applyAlignment="1">
      <alignment horizontal="center" vertical="center"/>
    </xf>
    <xf numFmtId="2" fontId="46" fillId="0" borderId="184" xfId="0" applyNumberFormat="1" applyFont="1" applyBorder="1" applyAlignment="1">
      <alignment horizontal="center" vertical="center"/>
    </xf>
    <xf numFmtId="2" fontId="20" fillId="0" borderId="185" xfId="0" applyNumberFormat="1" applyFont="1" applyBorder="1" applyAlignment="1">
      <alignment horizontal="center" vertical="center"/>
    </xf>
    <xf numFmtId="0" fontId="20" fillId="0" borderId="189" xfId="0" applyFont="1" applyBorder="1" applyAlignment="1">
      <alignment horizontal="center" vertical="center"/>
    </xf>
    <xf numFmtId="0" fontId="20" fillId="0" borderId="190" xfId="0" applyFont="1" applyBorder="1" applyAlignment="1">
      <alignment horizontal="center" vertical="center"/>
    </xf>
    <xf numFmtId="0" fontId="20" fillId="0" borderId="182" xfId="0" applyFont="1" applyBorder="1" applyAlignment="1">
      <alignment horizontal="center" vertical="center"/>
    </xf>
    <xf numFmtId="0" fontId="20" fillId="0" borderId="183" xfId="0" applyFont="1" applyBorder="1" applyAlignment="1">
      <alignment horizontal="center" vertical="center"/>
    </xf>
    <xf numFmtId="1" fontId="20" fillId="0" borderId="4" xfId="0" applyNumberFormat="1" applyFont="1" applyBorder="1" applyAlignment="1">
      <alignment horizontal="center" vertical="center"/>
    </xf>
    <xf numFmtId="1" fontId="20" fillId="0" borderId="6" xfId="0" applyNumberFormat="1" applyFont="1" applyBorder="1" applyAlignment="1">
      <alignment horizontal="center" vertical="center"/>
    </xf>
    <xf numFmtId="1" fontId="20" fillId="0" borderId="8" xfId="0" applyNumberFormat="1" applyFont="1" applyBorder="1" applyAlignment="1">
      <alignment horizontal="center" vertical="center"/>
    </xf>
    <xf numFmtId="1" fontId="20" fillId="0" borderId="113" xfId="0" applyNumberFormat="1" applyFont="1" applyBorder="1" applyAlignment="1">
      <alignment horizontal="center" vertical="center"/>
    </xf>
    <xf numFmtId="0" fontId="9" fillId="23" borderId="2" xfId="3" applyFont="1" applyFill="1" applyBorder="1" applyAlignment="1">
      <alignment horizontal="left" vertical="top" wrapText="1"/>
    </xf>
    <xf numFmtId="0" fontId="9" fillId="7" borderId="2" xfId="3" applyFont="1" applyFill="1" applyBorder="1" applyAlignment="1">
      <alignment horizontal="center" vertical="top" wrapText="1"/>
    </xf>
    <xf numFmtId="0" fontId="43" fillId="0" borderId="32" xfId="0" applyFont="1" applyBorder="1" applyAlignment="1">
      <alignment horizontal="center" vertical="center"/>
    </xf>
    <xf numFmtId="0" fontId="43" fillId="0" borderId="30" xfId="0" applyFont="1" applyBorder="1" applyAlignment="1">
      <alignment horizontal="center" vertical="center"/>
    </xf>
    <xf numFmtId="0" fontId="43" fillId="0" borderId="34" xfId="0" applyFont="1" applyBorder="1" applyAlignment="1">
      <alignment horizontal="center" vertical="center"/>
    </xf>
    <xf numFmtId="1" fontId="20" fillId="0" borderId="80" xfId="0" applyNumberFormat="1" applyFont="1" applyBorder="1" applyAlignment="1">
      <alignment horizontal="center" vertical="center"/>
    </xf>
    <xf numFmtId="0" fontId="48" fillId="0" borderId="2" xfId="0" applyFont="1" applyBorder="1" applyAlignment="1">
      <alignment horizontal="center" vertical="center"/>
    </xf>
    <xf numFmtId="1" fontId="20" fillId="0" borderId="82" xfId="0" applyNumberFormat="1" applyFont="1" applyBorder="1" applyAlignment="1">
      <alignment horizontal="center" vertical="center"/>
    </xf>
    <xf numFmtId="0" fontId="6" fillId="0" borderId="190" xfId="0" applyFont="1" applyBorder="1" applyAlignment="1">
      <alignment horizontal="center" vertical="center"/>
    </xf>
    <xf numFmtId="0" fontId="48" fillId="0" borderId="1" xfId="0" applyFont="1" applyBorder="1" applyAlignment="1">
      <alignment horizontal="center" vertical="center"/>
    </xf>
    <xf numFmtId="0" fontId="48" fillId="0" borderId="5" xfId="0" applyFont="1" applyBorder="1" applyAlignment="1">
      <alignment horizontal="center" vertical="center"/>
    </xf>
    <xf numFmtId="0" fontId="6" fillId="0" borderId="182" xfId="0" applyFont="1" applyBorder="1" applyAlignment="1">
      <alignment horizontal="center" vertical="center"/>
    </xf>
    <xf numFmtId="0" fontId="48" fillId="0" borderId="7" xfId="0" applyFont="1" applyBorder="1" applyAlignment="1">
      <alignment horizontal="center" vertical="center"/>
    </xf>
    <xf numFmtId="0" fontId="6" fillId="0" borderId="183" xfId="0" applyFont="1" applyBorder="1" applyAlignment="1">
      <alignment horizontal="center" vertical="center"/>
    </xf>
    <xf numFmtId="0" fontId="48" fillId="0" borderId="37" xfId="0" applyFont="1" applyBorder="1" applyAlignment="1">
      <alignment horizontal="center" vertical="center"/>
    </xf>
    <xf numFmtId="0" fontId="48" fillId="0" borderId="9" xfId="0" applyFont="1" applyBorder="1" applyAlignment="1">
      <alignment horizontal="center" vertical="center"/>
    </xf>
    <xf numFmtId="169" fontId="9" fillId="0" borderId="2" xfId="3" applyNumberFormat="1" applyFont="1" applyBorder="1" applyAlignment="1">
      <alignment horizontal="center" vertical="center" wrapText="1"/>
    </xf>
    <xf numFmtId="0" fontId="9" fillId="4" borderId="2" xfId="3" applyFont="1" applyFill="1" applyBorder="1" applyAlignment="1">
      <alignment horizontal="center" vertical="top" wrapText="1"/>
    </xf>
    <xf numFmtId="2" fontId="48" fillId="0" borderId="1" xfId="0" applyNumberFormat="1" applyFont="1" applyBorder="1" applyAlignment="1">
      <alignment horizontal="center" vertical="center"/>
    </xf>
    <xf numFmtId="2" fontId="48" fillId="0" borderId="5" xfId="0" applyNumberFormat="1" applyFont="1" applyBorder="1" applyAlignment="1">
      <alignment horizontal="center" vertical="center"/>
    </xf>
    <xf numFmtId="2" fontId="48" fillId="0" borderId="2" xfId="0" applyNumberFormat="1" applyFont="1" applyBorder="1" applyAlignment="1">
      <alignment horizontal="center" vertical="center"/>
    </xf>
    <xf numFmtId="2" fontId="48" fillId="0" borderId="7" xfId="0" applyNumberFormat="1" applyFont="1" applyBorder="1" applyAlignment="1">
      <alignment horizontal="center" vertical="center"/>
    </xf>
    <xf numFmtId="2" fontId="48" fillId="0" borderId="37" xfId="0" applyNumberFormat="1" applyFont="1" applyBorder="1" applyAlignment="1">
      <alignment horizontal="center" vertical="center"/>
    </xf>
    <xf numFmtId="2" fontId="48" fillId="0" borderId="9" xfId="0" applyNumberFormat="1" applyFont="1" applyBorder="1" applyAlignment="1">
      <alignment horizontal="center" vertical="center"/>
    </xf>
    <xf numFmtId="2" fontId="1" fillId="0" borderId="194" xfId="0" applyNumberFormat="1" applyFont="1" applyBorder="1" applyAlignment="1">
      <alignment horizontal="center" vertical="center"/>
    </xf>
    <xf numFmtId="2" fontId="1" fillId="0" borderId="195" xfId="0" applyNumberFormat="1" applyFont="1" applyBorder="1" applyAlignment="1">
      <alignment horizontal="center" vertical="center"/>
    </xf>
    <xf numFmtId="2" fontId="1" fillId="0" borderId="196" xfId="0" applyNumberFormat="1" applyFont="1" applyBorder="1" applyAlignment="1">
      <alignment horizontal="center" vertical="center"/>
    </xf>
    <xf numFmtId="2" fontId="1" fillId="0" borderId="197" xfId="0" applyNumberFormat="1" applyFont="1" applyBorder="1" applyAlignment="1">
      <alignment horizontal="center" vertical="center"/>
    </xf>
    <xf numFmtId="2" fontId="1" fillId="0" borderId="198" xfId="0" applyNumberFormat="1" applyFont="1" applyBorder="1" applyAlignment="1">
      <alignment horizontal="center" vertical="center"/>
    </xf>
    <xf numFmtId="2" fontId="1" fillId="0" borderId="199" xfId="0" applyNumberFormat="1" applyFont="1" applyBorder="1" applyAlignment="1">
      <alignment horizontal="center" vertical="center"/>
    </xf>
    <xf numFmtId="2" fontId="1" fillId="0" borderId="200" xfId="0" applyNumberFormat="1" applyFont="1" applyBorder="1" applyAlignment="1">
      <alignment horizontal="center" vertical="center"/>
    </xf>
    <xf numFmtId="2" fontId="1" fillId="0" borderId="201" xfId="0" applyNumberFormat="1" applyFont="1" applyBorder="1" applyAlignment="1">
      <alignment horizontal="center" vertical="center"/>
    </xf>
    <xf numFmtId="2" fontId="1" fillId="0" borderId="202" xfId="0" applyNumberFormat="1" applyFont="1" applyBorder="1" applyAlignment="1">
      <alignment horizontal="center" vertical="center"/>
    </xf>
    <xf numFmtId="0" fontId="6" fillId="0" borderId="4" xfId="0" applyFont="1" applyBorder="1" applyAlignment="1">
      <alignment horizontal="center" vertical="center"/>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3" fillId="0" borderId="0" xfId="0" applyFont="1" applyAlignment="1">
      <alignment vertical="center" wrapText="1"/>
    </xf>
    <xf numFmtId="0" fontId="48" fillId="0" borderId="31" xfId="0" applyFont="1" applyBorder="1" applyAlignment="1">
      <alignment horizontal="center" vertical="center"/>
    </xf>
    <xf numFmtId="0" fontId="48" fillId="0" borderId="36" xfId="0" applyFont="1" applyBorder="1" applyAlignment="1">
      <alignment horizontal="center" vertical="center"/>
    </xf>
    <xf numFmtId="0" fontId="48" fillId="0" borderId="30" xfId="0" applyFont="1" applyBorder="1" applyAlignment="1">
      <alignment horizontal="center" vertical="center"/>
    </xf>
    <xf numFmtId="0" fontId="48" fillId="0" borderId="33" xfId="0" applyFont="1" applyBorder="1" applyAlignment="1">
      <alignment horizontal="center" vertical="center"/>
    </xf>
    <xf numFmtId="0" fontId="48" fillId="0" borderId="34" xfId="0" applyFont="1" applyBorder="1" applyAlignment="1">
      <alignment horizontal="center" vertical="center"/>
    </xf>
    <xf numFmtId="0" fontId="48" fillId="0" borderId="35" xfId="0" applyFont="1" applyBorder="1" applyAlignment="1">
      <alignment horizontal="center" vertical="center"/>
    </xf>
    <xf numFmtId="0" fontId="1" fillId="0" borderId="0" xfId="0" applyFont="1" applyAlignment="1">
      <alignment horizontal="center" vertical="center"/>
    </xf>
    <xf numFmtId="0" fontId="6" fillId="0" borderId="209" xfId="0" applyFont="1" applyBorder="1" applyAlignment="1">
      <alignment horizontal="left" vertical="center"/>
    </xf>
    <xf numFmtId="0" fontId="1" fillId="0" borderId="1" xfId="0" applyFont="1" applyBorder="1" applyAlignment="1">
      <alignment horizontal="center" vertical="center"/>
    </xf>
    <xf numFmtId="0" fontId="6" fillId="0" borderId="212" xfId="0" applyFont="1" applyBorder="1" applyAlignment="1">
      <alignment horizontal="left" vertical="center"/>
    </xf>
    <xf numFmtId="0" fontId="6" fillId="0" borderId="213" xfId="0" applyFont="1" applyBorder="1" applyAlignment="1">
      <alignment horizontal="left" vertical="center"/>
    </xf>
    <xf numFmtId="0" fontId="1" fillId="0" borderId="37" xfId="0" applyFont="1" applyBorder="1" applyAlignment="1">
      <alignment horizontal="center" vertical="center"/>
    </xf>
    <xf numFmtId="0" fontId="22" fillId="11" borderId="215" xfId="0" applyFont="1" applyFill="1" applyBorder="1" applyAlignment="1">
      <alignment horizontal="center"/>
    </xf>
    <xf numFmtId="0" fontId="22" fillId="11" borderId="54" xfId="0" applyFont="1" applyFill="1" applyBorder="1" applyAlignment="1">
      <alignment horizontal="center"/>
    </xf>
    <xf numFmtId="9" fontId="6" fillId="0" borderId="2" xfId="0" applyNumberFormat="1" applyFont="1" applyBorder="1"/>
    <xf numFmtId="0" fontId="45" fillId="0" borderId="0" xfId="0" applyFont="1"/>
    <xf numFmtId="0" fontId="47" fillId="0" borderId="0" xfId="0" applyFont="1"/>
    <xf numFmtId="2" fontId="20" fillId="0" borderId="30" xfId="0" applyNumberFormat="1" applyFont="1" applyBorder="1" applyAlignment="1">
      <alignment horizontal="center" vertical="center"/>
    </xf>
    <xf numFmtId="2" fontId="45" fillId="0" borderId="161" xfId="0" applyNumberFormat="1" applyFont="1" applyBorder="1" applyAlignment="1">
      <alignment horizontal="center" vertical="center"/>
    </xf>
    <xf numFmtId="2" fontId="20" fillId="0" borderId="225" xfId="0" applyNumberFormat="1" applyFont="1" applyBorder="1" applyAlignment="1">
      <alignment horizontal="center" vertical="center"/>
    </xf>
    <xf numFmtId="0" fontId="20" fillId="0" borderId="226" xfId="0" applyFont="1" applyBorder="1" applyAlignment="1">
      <alignment horizontal="center" vertical="center"/>
    </xf>
    <xf numFmtId="2" fontId="20" fillId="0" borderId="227" xfId="0" applyNumberFormat="1" applyFont="1" applyBorder="1" applyAlignment="1">
      <alignment horizontal="center" vertical="center"/>
    </xf>
    <xf numFmtId="2" fontId="20" fillId="0" borderId="228" xfId="0" applyNumberFormat="1" applyFont="1" applyBorder="1" applyAlignment="1">
      <alignment horizontal="center" vertical="center"/>
    </xf>
    <xf numFmtId="0" fontId="20" fillId="0" borderId="229" xfId="0" applyFont="1" applyBorder="1" applyAlignment="1">
      <alignment horizontal="center" vertical="center"/>
    </xf>
    <xf numFmtId="2" fontId="20" fillId="0" borderId="230" xfId="0" applyNumberFormat="1" applyFont="1" applyBorder="1" applyAlignment="1">
      <alignment horizontal="center" vertical="center"/>
    </xf>
    <xf numFmtId="0" fontId="20" fillId="0" borderId="231" xfId="0" applyFont="1" applyBorder="1" applyAlignment="1">
      <alignment horizontal="center" vertical="center"/>
    </xf>
    <xf numFmtId="2" fontId="20" fillId="0" borderId="232" xfId="0" applyNumberFormat="1" applyFont="1" applyBorder="1" applyAlignment="1">
      <alignment horizontal="center" vertical="center"/>
    </xf>
    <xf numFmtId="2" fontId="20" fillId="0" borderId="233" xfId="0" applyNumberFormat="1" applyFont="1" applyBorder="1" applyAlignment="1">
      <alignment horizontal="center" vertical="center"/>
    </xf>
    <xf numFmtId="0" fontId="20" fillId="0" borderId="236" xfId="0" applyFont="1" applyBorder="1" applyAlignment="1">
      <alignment horizontal="center" vertical="center"/>
    </xf>
    <xf numFmtId="0" fontId="22" fillId="11" borderId="237" xfId="0" applyFont="1" applyFill="1" applyBorder="1" applyAlignment="1">
      <alignment horizontal="center" vertical="center" wrapText="1"/>
    </xf>
    <xf numFmtId="0" fontId="21" fillId="0" borderId="30" xfId="0" applyFont="1" applyBorder="1" applyAlignment="1">
      <alignment wrapText="1"/>
    </xf>
    <xf numFmtId="0" fontId="7" fillId="8" borderId="54" xfId="0" applyFont="1" applyFill="1" applyBorder="1" applyAlignment="1">
      <alignment horizontal="center" vertical="center" wrapText="1"/>
    </xf>
    <xf numFmtId="0" fontId="7" fillId="8" borderId="12" xfId="0" applyFont="1" applyFill="1" applyBorder="1" applyAlignment="1">
      <alignment horizontal="center" vertical="center" wrapText="1"/>
    </xf>
    <xf numFmtId="0" fontId="21" fillId="0" borderId="0" xfId="0" applyFont="1"/>
    <xf numFmtId="2" fontId="20" fillId="0" borderId="46" xfId="0" applyNumberFormat="1" applyFont="1" applyBorder="1" applyAlignment="1">
      <alignment horizontal="center" vertical="center"/>
    </xf>
    <xf numFmtId="0" fontId="9" fillId="7" borderId="2" xfId="3" applyFont="1" applyFill="1" applyBorder="1" applyAlignment="1">
      <alignment horizontal="center" vertical="center" wrapText="1"/>
    </xf>
    <xf numFmtId="0" fontId="6" fillId="0" borderId="0" xfId="0" applyFont="1" applyAlignment="1">
      <alignment horizontal="left" vertical="center"/>
    </xf>
    <xf numFmtId="0" fontId="6" fillId="0" borderId="0" xfId="0" applyFont="1" applyAlignment="1">
      <alignment horizontal="left"/>
    </xf>
    <xf numFmtId="0" fontId="6" fillId="0" borderId="0" xfId="0" applyFont="1" applyAlignment="1">
      <alignment vertical="center" wrapText="1"/>
    </xf>
    <xf numFmtId="0" fontId="21" fillId="0" borderId="0" xfId="0" applyFont="1" applyAlignment="1">
      <alignment horizontal="left" vertical="center"/>
    </xf>
    <xf numFmtId="0" fontId="6" fillId="0" borderId="30" xfId="0" applyFont="1" applyBorder="1" applyAlignment="1">
      <alignment horizontal="center" vertical="center" wrapText="1"/>
    </xf>
    <xf numFmtId="0" fontId="6" fillId="0" borderId="30" xfId="0" applyFont="1" applyBorder="1" applyAlignment="1">
      <alignment horizontal="center" vertical="center"/>
    </xf>
    <xf numFmtId="0" fontId="1" fillId="0" borderId="30" xfId="0" applyFont="1" applyBorder="1" applyAlignment="1">
      <alignment horizontal="center" vertical="center" wrapText="1"/>
    </xf>
    <xf numFmtId="0" fontId="6" fillId="0" borderId="30" xfId="0" applyFont="1" applyBorder="1" applyAlignment="1">
      <alignment horizontal="left" vertical="center"/>
    </xf>
    <xf numFmtId="0" fontId="21" fillId="0" borderId="30" xfId="0" applyFont="1" applyBorder="1" applyAlignment="1">
      <alignment horizontal="center" vertical="center" wrapText="1"/>
    </xf>
    <xf numFmtId="0" fontId="6" fillId="0" borderId="54" xfId="0" applyFont="1" applyBorder="1" applyAlignment="1">
      <alignment horizontal="center" vertical="center"/>
    </xf>
    <xf numFmtId="0" fontId="21" fillId="0" borderId="30" xfId="0" applyFont="1" applyBorder="1" applyAlignment="1">
      <alignment horizontal="center" vertical="center"/>
    </xf>
    <xf numFmtId="0" fontId="30" fillId="15" borderId="2" xfId="0" applyFont="1" applyFill="1" applyBorder="1" applyAlignment="1">
      <alignment horizontal="center" vertical="center" wrapText="1"/>
    </xf>
    <xf numFmtId="0" fontId="30" fillId="16" borderId="2" xfId="0" applyFont="1" applyFill="1" applyBorder="1" applyAlignment="1">
      <alignment horizontal="center" vertical="center" wrapText="1"/>
    </xf>
    <xf numFmtId="0" fontId="30" fillId="18" borderId="2" xfId="0" applyFont="1" applyFill="1" applyBorder="1" applyAlignment="1">
      <alignment horizontal="center" vertical="center"/>
    </xf>
    <xf numFmtId="0" fontId="6" fillId="0" borderId="31" xfId="0" applyFont="1" applyBorder="1" applyAlignment="1">
      <alignment horizontal="center" vertical="center"/>
    </xf>
    <xf numFmtId="0" fontId="1" fillId="0" borderId="54" xfId="0" applyFont="1" applyBorder="1" applyAlignment="1">
      <alignment horizontal="center" vertical="center" wrapText="1"/>
    </xf>
    <xf numFmtId="0" fontId="7" fillId="2" borderId="0" xfId="0" applyFont="1" applyFill="1" applyAlignment="1">
      <alignment horizontal="left" vertical="center"/>
    </xf>
    <xf numFmtId="0" fontId="21" fillId="0" borderId="0" xfId="0" applyFont="1" applyAlignment="1">
      <alignment horizontal="left" wrapText="1"/>
    </xf>
    <xf numFmtId="0" fontId="22" fillId="8" borderId="30" xfId="0" applyFont="1" applyFill="1" applyBorder="1" applyAlignment="1">
      <alignment horizontal="center" vertical="center" wrapText="1"/>
    </xf>
    <xf numFmtId="0" fontId="7" fillId="8" borderId="30" xfId="0" applyFont="1" applyFill="1" applyBorder="1" applyAlignment="1">
      <alignment horizontal="center" vertical="center"/>
    </xf>
    <xf numFmtId="0" fontId="7" fillId="8" borderId="54" xfId="0" applyFont="1" applyFill="1" applyBorder="1" applyAlignment="1">
      <alignment horizontal="center" vertical="center"/>
    </xf>
    <xf numFmtId="0" fontId="6" fillId="0" borderId="54" xfId="0" applyFont="1" applyBorder="1" applyAlignment="1">
      <alignment horizontal="center" vertical="center" wrapText="1"/>
    </xf>
    <xf numFmtId="0" fontId="6" fillId="0" borderId="2" xfId="0" applyFont="1" applyBorder="1" applyAlignment="1">
      <alignment horizontal="center" vertical="center" wrapText="1"/>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7" xfId="0" applyFont="1" applyBorder="1" applyAlignment="1">
      <alignment horizontal="center" vertical="center"/>
    </xf>
    <xf numFmtId="0" fontId="7" fillId="8" borderId="12" xfId="0" applyFont="1" applyFill="1" applyBorder="1" applyAlignment="1">
      <alignment horizontal="center" vertical="center"/>
    </xf>
    <xf numFmtId="0" fontId="17" fillId="8" borderId="2" xfId="0" applyFont="1" applyFill="1" applyBorder="1" applyAlignment="1">
      <alignment horizontal="center" vertical="center" wrapText="1"/>
    </xf>
    <xf numFmtId="0" fontId="7" fillId="8" borderId="0" xfId="0" applyFont="1" applyFill="1" applyAlignment="1">
      <alignment horizontal="center" vertical="center"/>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20" fillId="0" borderId="37" xfId="0" applyFont="1" applyBorder="1" applyAlignment="1">
      <alignment horizontal="center" vertical="center"/>
    </xf>
    <xf numFmtId="9" fontId="6" fillId="0" borderId="78" xfId="2" applyFont="1" applyFill="1" applyBorder="1" applyAlignment="1">
      <alignment horizontal="center" vertical="center"/>
    </xf>
    <xf numFmtId="0" fontId="22" fillId="8" borderId="78" xfId="0" applyFont="1" applyFill="1" applyBorder="1" applyAlignment="1">
      <alignment horizontal="center" vertical="center"/>
    </xf>
    <xf numFmtId="0" fontId="21" fillId="0" borderId="2" xfId="0" applyFont="1" applyBorder="1" applyAlignment="1">
      <alignment horizontal="center" vertical="center"/>
    </xf>
    <xf numFmtId="0" fontId="17" fillId="25" borderId="2" xfId="0" applyFont="1" applyFill="1" applyBorder="1" applyAlignment="1">
      <alignment horizontal="center" vertical="center" wrapText="1"/>
    </xf>
    <xf numFmtId="0" fontId="22" fillId="8" borderId="2" xfId="0" applyFont="1" applyFill="1" applyBorder="1" applyAlignment="1">
      <alignment horizontal="center" vertical="center"/>
    </xf>
    <xf numFmtId="0" fontId="6" fillId="0" borderId="2" xfId="4" applyBorder="1" applyAlignment="1">
      <alignment horizontal="center" vertical="center"/>
    </xf>
    <xf numFmtId="169" fontId="6" fillId="0" borderId="2" xfId="6" applyNumberFormat="1" applyFont="1" applyBorder="1" applyAlignment="1">
      <alignment horizontal="center" vertical="center"/>
    </xf>
    <xf numFmtId="171" fontId="6" fillId="0" borderId="2" xfId="6" applyNumberFormat="1" applyFont="1" applyBorder="1" applyAlignment="1">
      <alignment horizontal="center" vertical="center"/>
    </xf>
    <xf numFmtId="171" fontId="6" fillId="0" borderId="2" xfId="0" applyNumberFormat="1" applyFont="1" applyBorder="1"/>
    <xf numFmtId="171" fontId="21" fillId="0" borderId="2" xfId="0" applyNumberFormat="1" applyFont="1" applyBorder="1" applyAlignment="1">
      <alignment horizontal="center" vertical="center"/>
    </xf>
    <xf numFmtId="9" fontId="6" fillId="0" borderId="0" xfId="2" applyFont="1"/>
    <xf numFmtId="164" fontId="6" fillId="0" borderId="78" xfId="2" applyNumberFormat="1" applyFont="1" applyFill="1" applyBorder="1" applyAlignment="1">
      <alignment horizontal="center" vertical="center"/>
    </xf>
    <xf numFmtId="165" fontId="21" fillId="0" borderId="2" xfId="0" applyNumberFormat="1" applyFont="1" applyBorder="1" applyAlignment="1">
      <alignment horizontal="center" vertical="center"/>
    </xf>
    <xf numFmtId="10" fontId="6" fillId="0" borderId="0" xfId="2" applyNumberFormat="1" applyFont="1"/>
    <xf numFmtId="10" fontId="7" fillId="2" borderId="0" xfId="2" applyNumberFormat="1" applyFont="1" applyFill="1"/>
    <xf numFmtId="0" fontId="21" fillId="0" borderId="0" xfId="0" applyFont="1"/>
    <xf numFmtId="0" fontId="6" fillId="0" borderId="0" xfId="0" applyFont="1" applyAlignment="1">
      <alignment horizontal="left" vertical="center"/>
    </xf>
    <xf numFmtId="0" fontId="11" fillId="10" borderId="0" xfId="0" applyFont="1" applyFill="1" applyAlignment="1">
      <alignment horizontal="center" vertical="center"/>
    </xf>
    <xf numFmtId="0" fontId="6" fillId="0" borderId="0" xfId="0" applyFont="1" applyAlignment="1">
      <alignment horizontal="center"/>
    </xf>
    <xf numFmtId="0" fontId="8" fillId="0" borderId="0" xfId="5" applyAlignment="1">
      <alignment horizontal="left"/>
    </xf>
    <xf numFmtId="0" fontId="6" fillId="0" borderId="0" xfId="0" applyFont="1" applyAlignment="1">
      <alignment horizontal="left"/>
    </xf>
    <xf numFmtId="0" fontId="36" fillId="0" borderId="0" xfId="5" applyFont="1" applyAlignment="1">
      <alignment vertical="center" wrapText="1"/>
    </xf>
    <xf numFmtId="0" fontId="6" fillId="0" borderId="0" xfId="0" applyFont="1" applyAlignment="1">
      <alignment vertical="center" wrapText="1"/>
    </xf>
    <xf numFmtId="0" fontId="6" fillId="0" borderId="0" xfId="0" applyFont="1" applyAlignment="1">
      <alignment horizontal="left" vertical="center" wrapText="1"/>
    </xf>
    <xf numFmtId="0" fontId="8" fillId="0" borderId="0" xfId="5" applyFill="1" applyBorder="1" applyAlignment="1"/>
    <xf numFmtId="0" fontId="8" fillId="0" borderId="0" xfId="5" applyAlignment="1"/>
    <xf numFmtId="0" fontId="21" fillId="0" borderId="0" xfId="0" applyFont="1" applyAlignment="1">
      <alignment horizontal="left" vertical="center"/>
    </xf>
    <xf numFmtId="0" fontId="16" fillId="0" borderId="21" xfId="0" applyFont="1" applyBorder="1" applyAlignment="1">
      <alignment horizontal="left" vertical="center"/>
    </xf>
    <xf numFmtId="0" fontId="11" fillId="10" borderId="3" xfId="1" applyFont="1" applyFill="1" applyBorder="1" applyAlignment="1">
      <alignment horizontal="center" vertical="center" wrapText="1"/>
    </xf>
    <xf numFmtId="0" fontId="11" fillId="10" borderId="10" xfId="1" applyFont="1" applyFill="1" applyBorder="1" applyAlignment="1">
      <alignment horizontal="center" vertical="center" wrapText="1"/>
    </xf>
    <xf numFmtId="0" fontId="11" fillId="10" borderId="20" xfId="0" applyFont="1" applyFill="1" applyBorder="1" applyAlignment="1">
      <alignment horizontal="center" vertical="center"/>
    </xf>
    <xf numFmtId="0" fontId="11" fillId="10" borderId="21" xfId="0" applyFont="1" applyFill="1" applyBorder="1" applyAlignment="1">
      <alignment horizontal="center" vertical="center"/>
    </xf>
    <xf numFmtId="0" fontId="7" fillId="0" borderId="40" xfId="0" applyFont="1" applyBorder="1" applyAlignment="1">
      <alignment horizontal="center" vertical="center"/>
    </xf>
    <xf numFmtId="0" fontId="7" fillId="0" borderId="41" xfId="0" applyFont="1" applyBorder="1" applyAlignment="1">
      <alignment horizontal="center" vertical="center"/>
    </xf>
    <xf numFmtId="0" fontId="7" fillId="0" borderId="42" xfId="0" applyFont="1" applyBorder="1" applyAlignment="1">
      <alignment horizontal="center" vertical="center"/>
    </xf>
    <xf numFmtId="0" fontId="7" fillId="0" borderId="24" xfId="0" applyFont="1" applyBorder="1" applyAlignment="1">
      <alignment horizontal="center" vertical="center"/>
    </xf>
    <xf numFmtId="0" fontId="7" fillId="0" borderId="0" xfId="0" applyFont="1" applyAlignment="1">
      <alignment horizontal="center" vertical="center"/>
    </xf>
    <xf numFmtId="0" fontId="7" fillId="0" borderId="23" xfId="0" applyFont="1" applyBorder="1" applyAlignment="1">
      <alignment horizontal="center" vertical="center"/>
    </xf>
    <xf numFmtId="0" fontId="7" fillId="0" borderId="43" xfId="0" applyFont="1" applyBorder="1" applyAlignment="1">
      <alignment horizontal="center" vertical="center"/>
    </xf>
    <xf numFmtId="0" fontId="7" fillId="0" borderId="38" xfId="0" applyFont="1" applyBorder="1" applyAlignment="1">
      <alignment horizontal="center" vertical="center"/>
    </xf>
    <xf numFmtId="0" fontId="7" fillId="0" borderId="39" xfId="0" applyFont="1" applyBorder="1" applyAlignment="1">
      <alignment horizontal="center" vertical="center"/>
    </xf>
    <xf numFmtId="0" fontId="6" fillId="0" borderId="30" xfId="0" applyFont="1" applyBorder="1" applyAlignment="1">
      <alignment horizontal="center" vertical="center" wrapText="1"/>
    </xf>
    <xf numFmtId="0" fontId="6" fillId="0" borderId="25" xfId="0" applyFont="1" applyBorder="1" applyAlignment="1">
      <alignment horizontal="center" vertical="center"/>
    </xf>
    <xf numFmtId="0" fontId="6" fillId="0" borderId="30" xfId="0" applyFont="1" applyBorder="1" applyAlignment="1">
      <alignment horizontal="center" vertical="center"/>
    </xf>
    <xf numFmtId="0" fontId="6" fillId="0" borderId="29" xfId="0" applyFont="1" applyBorder="1" applyAlignment="1">
      <alignment horizontal="center" vertical="center"/>
    </xf>
    <xf numFmtId="0" fontId="6" fillId="0" borderId="28"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7" xfId="0" applyFont="1" applyBorder="1" applyAlignment="1">
      <alignment horizontal="center" vertical="center" wrapText="1"/>
    </xf>
    <xf numFmtId="0" fontId="1" fillId="0" borderId="30" xfId="0" applyFont="1" applyBorder="1" applyAlignment="1">
      <alignment horizontal="center" vertical="center" wrapText="1"/>
    </xf>
    <xf numFmtId="0" fontId="11" fillId="10" borderId="30" xfId="0" applyFont="1" applyFill="1" applyBorder="1" applyAlignment="1">
      <alignment horizontal="center" vertical="center"/>
    </xf>
    <xf numFmtId="0" fontId="7" fillId="8" borderId="60" xfId="0" applyFont="1" applyFill="1" applyBorder="1" applyAlignment="1">
      <alignment horizontal="center" vertical="center" wrapText="1"/>
    </xf>
    <xf numFmtId="0" fontId="7" fillId="8" borderId="61" xfId="0" applyFont="1" applyFill="1" applyBorder="1" applyAlignment="1">
      <alignment horizontal="center" vertical="center" wrapText="1"/>
    </xf>
    <xf numFmtId="0" fontId="7" fillId="8" borderId="62" xfId="0" applyFont="1" applyFill="1" applyBorder="1" applyAlignment="1">
      <alignment horizontal="center" vertical="center" wrapText="1"/>
    </xf>
    <xf numFmtId="0" fontId="6" fillId="0" borderId="60" xfId="0" applyFont="1" applyBorder="1" applyAlignment="1">
      <alignment horizontal="center" vertical="center" wrapText="1"/>
    </xf>
    <xf numFmtId="0" fontId="6" fillId="0" borderId="61" xfId="0" applyFont="1" applyBorder="1" applyAlignment="1">
      <alignment horizontal="center" vertical="center" wrapText="1"/>
    </xf>
    <xf numFmtId="0" fontId="6" fillId="0" borderId="62" xfId="0" applyFont="1" applyBorder="1" applyAlignment="1">
      <alignment horizontal="center" vertical="center" wrapText="1"/>
    </xf>
    <xf numFmtId="0" fontId="11" fillId="10" borderId="0" xfId="0" applyFont="1" applyFill="1" applyAlignment="1">
      <alignment horizontal="center" vertical="center" wrapText="1"/>
    </xf>
    <xf numFmtId="0" fontId="6" fillId="0" borderId="25" xfId="0" applyFont="1" applyBorder="1" applyAlignment="1">
      <alignment horizontal="center" vertical="center" wrapText="1"/>
    </xf>
    <xf numFmtId="0" fontId="21" fillId="0" borderId="63" xfId="0" applyFont="1" applyBorder="1" applyAlignment="1">
      <alignment horizontal="center" vertical="center" wrapText="1"/>
    </xf>
    <xf numFmtId="0" fontId="21" fillId="0" borderId="64" xfId="0" applyFont="1" applyBorder="1" applyAlignment="1">
      <alignment horizontal="center" vertical="center" wrapText="1"/>
    </xf>
    <xf numFmtId="0" fontId="21" fillId="0" borderId="65"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0" xfId="0" applyFont="1" applyBorder="1" applyAlignment="1">
      <alignment horizontal="left" vertical="center"/>
    </xf>
    <xf numFmtId="0" fontId="10" fillId="0" borderId="60" xfId="0" applyFont="1" applyBorder="1" applyAlignment="1">
      <alignment horizontal="center"/>
    </xf>
    <xf numFmtId="0" fontId="10" fillId="0" borderId="61" xfId="0" applyFont="1" applyBorder="1" applyAlignment="1">
      <alignment horizontal="center"/>
    </xf>
    <xf numFmtId="0" fontId="10" fillId="0" borderId="62" xfId="0" applyFont="1" applyBorder="1" applyAlignment="1">
      <alignment horizontal="center"/>
    </xf>
    <xf numFmtId="0" fontId="21" fillId="0" borderId="30" xfId="0" applyFont="1" applyBorder="1" applyAlignment="1">
      <alignment horizontal="center" vertical="center" wrapText="1"/>
    </xf>
    <xf numFmtId="0" fontId="6" fillId="0" borderId="54" xfId="0" applyFont="1" applyBorder="1" applyAlignment="1">
      <alignment horizontal="center" vertical="center"/>
    </xf>
    <xf numFmtId="0" fontId="35" fillId="20" borderId="30" xfId="0" applyFont="1" applyFill="1" applyBorder="1" applyAlignment="1">
      <alignment horizontal="center" vertical="center"/>
    </xf>
    <xf numFmtId="0" fontId="21" fillId="0" borderId="30" xfId="0" applyFont="1" applyBorder="1" applyAlignment="1">
      <alignment horizontal="center" vertical="center"/>
    </xf>
    <xf numFmtId="0" fontId="21" fillId="0" borderId="54" xfId="0" applyFont="1" applyBorder="1" applyAlignment="1">
      <alignment horizontal="center" vertical="center"/>
    </xf>
    <xf numFmtId="0" fontId="22" fillId="21" borderId="30" xfId="0" applyFont="1" applyFill="1" applyBorder="1" applyAlignment="1">
      <alignment horizontal="center" vertical="center" wrapText="1"/>
    </xf>
    <xf numFmtId="0" fontId="22" fillId="21" borderId="54" xfId="0" applyFont="1" applyFill="1" applyBorder="1" applyAlignment="1">
      <alignment horizontal="center" vertical="center" wrapText="1"/>
    </xf>
    <xf numFmtId="9" fontId="30" fillId="0" borderId="2" xfId="0" applyNumberFormat="1" applyFont="1" applyBorder="1" applyAlignment="1">
      <alignment horizontal="center" vertical="center"/>
    </xf>
    <xf numFmtId="0" fontId="32" fillId="19" borderId="2" xfId="0" applyFont="1" applyFill="1" applyBorder="1" applyAlignment="1">
      <alignment horizontal="left" vertical="center"/>
    </xf>
    <xf numFmtId="9" fontId="33" fillId="0" borderId="2" xfId="0" applyNumberFormat="1" applyFont="1" applyBorder="1" applyAlignment="1">
      <alignment horizontal="center" vertical="center"/>
    </xf>
    <xf numFmtId="9" fontId="30" fillId="0" borderId="2" xfId="0" applyNumberFormat="1" applyFont="1" applyBorder="1" applyAlignment="1">
      <alignment horizontal="center" vertical="center" wrapText="1"/>
    </xf>
    <xf numFmtId="0" fontId="29" fillId="18" borderId="2" xfId="0" applyFont="1" applyFill="1" applyBorder="1" applyAlignment="1">
      <alignment horizontal="center" vertical="center"/>
    </xf>
    <xf numFmtId="0" fontId="30" fillId="15" borderId="2" xfId="0" applyFont="1" applyFill="1" applyBorder="1" applyAlignment="1">
      <alignment horizontal="center" vertical="center" wrapText="1"/>
    </xf>
    <xf numFmtId="0" fontId="30" fillId="16" borderId="2" xfId="0" applyFont="1" applyFill="1" applyBorder="1" applyAlignment="1">
      <alignment horizontal="center" vertical="center" wrapText="1"/>
    </xf>
    <xf numFmtId="0" fontId="30" fillId="18" borderId="2" xfId="0" applyFont="1" applyFill="1" applyBorder="1" applyAlignment="1">
      <alignment horizontal="center" vertical="center"/>
    </xf>
    <xf numFmtId="0" fontId="11" fillId="10" borderId="30" xfId="0" applyFont="1" applyFill="1" applyBorder="1" applyAlignment="1">
      <alignment horizontal="center" vertical="center" wrapText="1"/>
    </xf>
    <xf numFmtId="0" fontId="29" fillId="14" borderId="2" xfId="0" applyFont="1" applyFill="1" applyBorder="1" applyAlignment="1">
      <alignment horizontal="center" vertical="center" wrapText="1"/>
    </xf>
    <xf numFmtId="0" fontId="28" fillId="15" borderId="2" xfId="0" applyFont="1" applyFill="1" applyBorder="1" applyAlignment="1">
      <alignment horizontal="center" vertical="center"/>
    </xf>
    <xf numFmtId="0" fontId="28" fillId="16" borderId="2" xfId="0" applyFont="1" applyFill="1" applyBorder="1" applyAlignment="1">
      <alignment horizontal="center" vertical="center"/>
    </xf>
    <xf numFmtId="0" fontId="21" fillId="0" borderId="31" xfId="0" applyFont="1" applyBorder="1" applyAlignment="1">
      <alignment horizontal="center" vertical="center"/>
    </xf>
    <xf numFmtId="0" fontId="6" fillId="0" borderId="31" xfId="0" applyFont="1" applyBorder="1" applyAlignment="1">
      <alignment horizontal="center" vertical="center"/>
    </xf>
    <xf numFmtId="0" fontId="35" fillId="10" borderId="30" xfId="0" applyFont="1" applyFill="1" applyBorder="1" applyAlignment="1">
      <alignment horizontal="center" vertical="center" wrapText="1"/>
    </xf>
    <xf numFmtId="0" fontId="35" fillId="20" borderId="45" xfId="0" applyFont="1" applyFill="1" applyBorder="1" applyAlignment="1">
      <alignment horizontal="center" vertical="center" wrapText="1"/>
    </xf>
    <xf numFmtId="0" fontId="35" fillId="20" borderId="46" xfId="0" applyFont="1" applyFill="1" applyBorder="1" applyAlignment="1">
      <alignment horizontal="center" vertical="center" wrapText="1"/>
    </xf>
    <xf numFmtId="0" fontId="35" fillId="20" borderId="47" xfId="0" applyFont="1" applyFill="1" applyBorder="1" applyAlignment="1">
      <alignment horizontal="center" vertical="center" wrapText="1"/>
    </xf>
    <xf numFmtId="0" fontId="11" fillId="10" borderId="40" xfId="0" applyFont="1" applyFill="1" applyBorder="1" applyAlignment="1">
      <alignment horizontal="center" vertical="center" wrapText="1"/>
    </xf>
    <xf numFmtId="0" fontId="11" fillId="10" borderId="41" xfId="0" applyFont="1" applyFill="1" applyBorder="1" applyAlignment="1">
      <alignment horizontal="center" vertical="center" wrapText="1"/>
    </xf>
    <xf numFmtId="0" fontId="6" fillId="0" borderId="16"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74"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193" xfId="0" applyFont="1" applyBorder="1" applyAlignment="1">
      <alignment horizontal="center" vertical="center" wrapText="1"/>
    </xf>
    <xf numFmtId="0" fontId="1" fillId="0" borderId="31" xfId="0" applyFont="1" applyBorder="1" applyAlignment="1">
      <alignment horizontal="center" vertical="center" wrapText="1"/>
    </xf>
    <xf numFmtId="0" fontId="6" fillId="0" borderId="210" xfId="0" applyFont="1" applyBorder="1" applyAlignment="1">
      <alignment horizontal="center" vertical="center" wrapText="1"/>
    </xf>
    <xf numFmtId="0" fontId="6" fillId="0" borderId="214" xfId="0" applyFont="1" applyBorder="1" applyAlignment="1">
      <alignment horizontal="center" vertical="center" wrapText="1"/>
    </xf>
    <xf numFmtId="0" fontId="6" fillId="0" borderId="211"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35" xfId="0" applyFont="1" applyBorder="1" applyAlignment="1">
      <alignment horizontal="center" vertical="center" wrapText="1"/>
    </xf>
    <xf numFmtId="0" fontId="26" fillId="0" borderId="0" xfId="0" applyFont="1" applyAlignment="1">
      <alignment horizontal="left" vertical="center" wrapText="1"/>
    </xf>
    <xf numFmtId="0" fontId="7" fillId="2" borderId="0" xfId="0" applyFont="1" applyFill="1" applyAlignment="1">
      <alignment horizontal="left" vertic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8" xfId="0" applyBorder="1" applyAlignment="1">
      <alignment horizontal="center" vertical="center"/>
    </xf>
    <xf numFmtId="0" fontId="1" fillId="0" borderId="216" xfId="0" applyFont="1" applyBorder="1" applyAlignment="1">
      <alignment horizontal="center" vertical="center" wrapText="1"/>
    </xf>
    <xf numFmtId="0" fontId="1" fillId="0" borderId="217" xfId="0" applyFont="1" applyBorder="1" applyAlignment="1">
      <alignment horizontal="center" vertical="center" wrapText="1"/>
    </xf>
    <xf numFmtId="0" fontId="11" fillId="10" borderId="60" xfId="0" applyFont="1" applyFill="1" applyBorder="1" applyAlignment="1">
      <alignment horizontal="center" vertical="center" wrapText="1"/>
    </xf>
    <xf numFmtId="0" fontId="11" fillId="10" borderId="61" xfId="0" applyFont="1" applyFill="1" applyBorder="1" applyAlignment="1">
      <alignment horizontal="center" vertical="center" wrapText="1"/>
    </xf>
    <xf numFmtId="0" fontId="11" fillId="10" borderId="62" xfId="0" applyFont="1" applyFill="1" applyBorder="1" applyAlignment="1">
      <alignment horizontal="center" vertical="center" wrapText="1"/>
    </xf>
    <xf numFmtId="0" fontId="17" fillId="8" borderId="60" xfId="0" applyFont="1" applyFill="1" applyBorder="1" applyAlignment="1">
      <alignment horizontal="center" vertical="center" wrapText="1"/>
    </xf>
    <xf numFmtId="0" fontId="17" fillId="8" borderId="62" xfId="0" applyFont="1" applyFill="1" applyBorder="1" applyAlignment="1">
      <alignment horizontal="center" vertical="center" wrapText="1"/>
    </xf>
    <xf numFmtId="0" fontId="21" fillId="0" borderId="0" xfId="0" applyFont="1" applyAlignment="1">
      <alignment horizontal="left" wrapText="1"/>
    </xf>
    <xf numFmtId="0" fontId="6" fillId="0" borderId="69" xfId="0" applyFont="1" applyBorder="1" applyAlignment="1">
      <alignment horizontal="center" vertical="center" wrapText="1"/>
    </xf>
    <xf numFmtId="0" fontId="6" fillId="0" borderId="69" xfId="0" applyFont="1" applyBorder="1" applyAlignment="1">
      <alignment horizontal="center" vertical="center"/>
    </xf>
    <xf numFmtId="0" fontId="6" fillId="0" borderId="71" xfId="0" applyFont="1" applyBorder="1" applyAlignment="1">
      <alignment horizontal="center" vertical="center"/>
    </xf>
    <xf numFmtId="0" fontId="35" fillId="20" borderId="57" xfId="0" applyFont="1" applyFill="1" applyBorder="1" applyAlignment="1">
      <alignment horizontal="center" vertical="center" wrapText="1"/>
    </xf>
    <xf numFmtId="0" fontId="35" fillId="20" borderId="67" xfId="0" applyFont="1" applyFill="1" applyBorder="1" applyAlignment="1">
      <alignment horizontal="center" vertical="center" wrapText="1"/>
    </xf>
    <xf numFmtId="0" fontId="35" fillId="20" borderId="68" xfId="0" applyFont="1" applyFill="1" applyBorder="1" applyAlignment="1">
      <alignment horizontal="center" vertical="center" wrapText="1"/>
    </xf>
    <xf numFmtId="0" fontId="17" fillId="8" borderId="3" xfId="0" applyFont="1" applyFill="1" applyBorder="1" applyAlignment="1">
      <alignment horizontal="center" vertical="center" wrapText="1"/>
    </xf>
    <xf numFmtId="0" fontId="17" fillId="8" borderId="11" xfId="0" applyFont="1" applyFill="1" applyBorder="1" applyAlignment="1">
      <alignment horizontal="center" vertical="center" wrapText="1"/>
    </xf>
    <xf numFmtId="0" fontId="6" fillId="9" borderId="60" xfId="0" applyFont="1" applyFill="1" applyBorder="1" applyAlignment="1">
      <alignment horizontal="left" vertical="center"/>
    </xf>
    <xf numFmtId="0" fontId="6" fillId="9" borderId="61" xfId="0" applyFont="1" applyFill="1" applyBorder="1" applyAlignment="1">
      <alignment horizontal="left" vertical="center"/>
    </xf>
    <xf numFmtId="0" fontId="6" fillId="9" borderId="62" xfId="0" applyFont="1" applyFill="1" applyBorder="1" applyAlignment="1">
      <alignment horizontal="left" vertical="center"/>
    </xf>
    <xf numFmtId="0" fontId="22" fillId="8" borderId="30" xfId="0" applyFont="1" applyFill="1" applyBorder="1" applyAlignment="1">
      <alignment horizontal="center" vertical="center" wrapText="1"/>
    </xf>
    <xf numFmtId="0" fontId="7" fillId="8" borderId="30" xfId="0" applyFont="1" applyFill="1" applyBorder="1" applyAlignment="1">
      <alignment horizontal="center" vertical="center"/>
    </xf>
    <xf numFmtId="0" fontId="7" fillId="8" borderId="54" xfId="0" applyFont="1" applyFill="1" applyBorder="1" applyAlignment="1">
      <alignment horizontal="center" vertical="center"/>
    </xf>
    <xf numFmtId="0" fontId="6" fillId="0" borderId="54" xfId="0" applyFont="1" applyBorder="1" applyAlignment="1">
      <alignment horizontal="center" vertical="center" wrapText="1"/>
    </xf>
    <xf numFmtId="0" fontId="6" fillId="0" borderId="193"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0" xfId="0" applyFont="1" applyAlignment="1">
      <alignment horizontal="left" vertical="center"/>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7" xfId="0" applyFont="1" applyBorder="1" applyAlignment="1">
      <alignment horizontal="center" vertical="center" wrapText="1"/>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7" xfId="0" applyFont="1" applyBorder="1" applyAlignment="1">
      <alignment horizontal="center" vertical="center"/>
    </xf>
    <xf numFmtId="0" fontId="20" fillId="0" borderId="90" xfId="0" applyFont="1" applyBorder="1" applyAlignment="1">
      <alignment horizontal="center" vertical="center" wrapText="1"/>
    </xf>
    <xf numFmtId="0" fontId="20" fillId="0" borderId="91" xfId="0" applyFont="1" applyBorder="1" applyAlignment="1">
      <alignment horizontal="center" vertical="center" wrapText="1"/>
    </xf>
    <xf numFmtId="0" fontId="20" fillId="0" borderId="94" xfId="0" applyFont="1" applyBorder="1" applyAlignment="1">
      <alignment horizontal="center" vertical="center" wrapText="1"/>
    </xf>
    <xf numFmtId="0" fontId="20" fillId="0" borderId="88" xfId="0" applyFont="1" applyBorder="1" applyAlignment="1">
      <alignment horizontal="center" vertical="center" wrapText="1"/>
    </xf>
    <xf numFmtId="0" fontId="20" fillId="0" borderId="83" xfId="0" applyFont="1" applyBorder="1" applyAlignment="1">
      <alignment horizontal="center" vertical="center" wrapText="1"/>
    </xf>
    <xf numFmtId="0" fontId="20" fillId="0" borderId="89" xfId="0" applyFont="1" applyBorder="1" applyAlignment="1">
      <alignment horizontal="center" vertical="center" wrapText="1"/>
    </xf>
    <xf numFmtId="0" fontId="17" fillId="8" borderId="218" xfId="0" applyFont="1" applyFill="1" applyBorder="1" applyAlignment="1">
      <alignment horizontal="center" vertical="center" wrapText="1"/>
    </xf>
    <xf numFmtId="0" fontId="17" fillId="8" borderId="219"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6" xfId="0" applyFont="1" applyBorder="1" applyAlignment="1">
      <alignment horizontal="center" vertical="center" wrapText="1"/>
    </xf>
    <xf numFmtId="0" fontId="6" fillId="0" borderId="8" xfId="0" applyFont="1" applyBorder="1" applyAlignment="1">
      <alignment horizontal="center" vertical="center" wrapText="1"/>
    </xf>
    <xf numFmtId="0" fontId="20" fillId="0" borderId="85" xfId="0" applyFont="1" applyBorder="1" applyAlignment="1">
      <alignment horizontal="center" vertical="center"/>
    </xf>
    <xf numFmtId="0" fontId="20" fillId="0" borderId="78" xfId="0" applyFont="1" applyBorder="1" applyAlignment="1">
      <alignment horizontal="center" vertical="center"/>
    </xf>
    <xf numFmtId="0" fontId="20" fillId="0" borderId="86" xfId="0" applyFont="1" applyBorder="1" applyAlignment="1">
      <alignment horizontal="center" vertical="center"/>
    </xf>
    <xf numFmtId="0" fontId="20" fillId="0" borderId="88" xfId="0" applyFont="1" applyBorder="1" applyAlignment="1">
      <alignment horizontal="center" vertical="center"/>
    </xf>
    <xf numFmtId="0" fontId="20" fillId="0" borderId="83" xfId="0" applyFont="1" applyBorder="1" applyAlignment="1">
      <alignment horizontal="center" vertical="center"/>
    </xf>
    <xf numFmtId="0" fontId="20" fillId="0" borderId="89" xfId="0" applyFont="1" applyBorder="1" applyAlignment="1">
      <alignment horizontal="center" vertical="center"/>
    </xf>
    <xf numFmtId="0" fontId="6" fillId="0" borderId="19" xfId="0" applyFont="1" applyBorder="1" applyAlignment="1">
      <alignment horizontal="center" vertical="center"/>
    </xf>
    <xf numFmtId="0" fontId="20" fillId="0" borderId="92" xfId="0" applyFont="1" applyBorder="1" applyAlignment="1">
      <alignment horizontal="center" vertical="center" wrapText="1"/>
    </xf>
    <xf numFmtId="0" fontId="20" fillId="0" borderId="93" xfId="0" applyFont="1" applyBorder="1" applyAlignment="1">
      <alignment horizontal="center" vertical="center" wrapText="1"/>
    </xf>
    <xf numFmtId="0" fontId="17" fillId="8" borderId="0" xfId="0" applyFont="1" applyFill="1" applyAlignment="1">
      <alignment horizontal="center" vertical="center" wrapText="1"/>
    </xf>
    <xf numFmtId="0" fontId="17" fillId="8" borderId="95" xfId="0" applyFont="1" applyFill="1" applyBorder="1" applyAlignment="1">
      <alignment horizontal="center" vertical="center" wrapText="1"/>
    </xf>
    <xf numFmtId="0" fontId="20" fillId="0" borderId="87"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37" xfId="0" applyFont="1" applyBorder="1" applyAlignment="1">
      <alignment horizontal="center" vertical="center" wrapText="1"/>
    </xf>
    <xf numFmtId="0" fontId="20" fillId="24" borderId="19" xfId="0" applyFont="1" applyFill="1" applyBorder="1" applyAlignment="1">
      <alignment horizontal="center" vertical="center" wrapText="1"/>
    </xf>
    <xf numFmtId="0" fontId="20" fillId="24" borderId="2" xfId="0" applyFont="1" applyFill="1" applyBorder="1" applyAlignment="1">
      <alignment horizontal="center" vertical="center" wrapText="1"/>
    </xf>
    <xf numFmtId="0" fontId="20" fillId="24" borderId="37" xfId="0" applyFont="1" applyFill="1" applyBorder="1" applyAlignment="1">
      <alignment horizontal="center" vertical="center" wrapText="1"/>
    </xf>
    <xf numFmtId="0" fontId="20" fillId="0" borderId="81"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9" xfId="0" applyFont="1" applyBorder="1" applyAlignment="1">
      <alignment horizontal="center" vertical="center" wrapText="1"/>
    </xf>
    <xf numFmtId="0" fontId="6" fillId="24" borderId="1" xfId="0" applyFont="1" applyFill="1" applyBorder="1" applyAlignment="1">
      <alignment horizontal="center" vertical="center" wrapText="1"/>
    </xf>
    <xf numFmtId="0" fontId="6" fillId="24" borderId="2" xfId="0" applyFont="1" applyFill="1" applyBorder="1" applyAlignment="1">
      <alignment horizontal="center" vertical="center" wrapText="1"/>
    </xf>
    <xf numFmtId="0" fontId="6" fillId="24" borderId="37"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7" xfId="0" applyFont="1" applyBorder="1" applyAlignment="1">
      <alignment horizontal="center" vertical="center" wrapText="1"/>
    </xf>
    <xf numFmtId="0" fontId="6" fillId="0" borderId="9" xfId="0" applyFont="1" applyBorder="1" applyAlignment="1">
      <alignment horizontal="center" vertical="center" wrapText="1"/>
    </xf>
    <xf numFmtId="0" fontId="6" fillId="0" borderId="87" xfId="0" applyFont="1" applyBorder="1" applyAlignment="1">
      <alignment horizontal="center" vertical="center" wrapText="1"/>
    </xf>
    <xf numFmtId="0" fontId="6" fillId="0" borderId="113" xfId="0" applyFont="1" applyBorder="1" applyAlignment="1">
      <alignment horizontal="center" vertical="center" wrapText="1"/>
    </xf>
    <xf numFmtId="0" fontId="6" fillId="0" borderId="12" xfId="0" applyFont="1" applyBorder="1" applyAlignment="1">
      <alignment horizontal="center" vertical="center" wrapText="1"/>
    </xf>
    <xf numFmtId="0" fontId="6" fillId="24" borderId="19" xfId="0" applyFont="1" applyFill="1" applyBorder="1" applyAlignment="1">
      <alignment horizontal="center" vertical="center" wrapText="1"/>
    </xf>
    <xf numFmtId="0" fontId="6" fillId="24" borderId="12" xfId="0" applyFont="1" applyFill="1" applyBorder="1" applyAlignment="1">
      <alignment horizontal="center" vertical="center" wrapText="1"/>
    </xf>
    <xf numFmtId="0" fontId="6" fillId="0" borderId="81"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102" xfId="0" applyFont="1" applyBorder="1" applyAlignment="1">
      <alignment horizontal="center" vertical="center" wrapText="1"/>
    </xf>
    <xf numFmtId="0" fontId="6" fillId="0" borderId="105" xfId="0" applyFont="1" applyBorder="1" applyAlignment="1">
      <alignment horizontal="center" vertical="center" wrapText="1"/>
    </xf>
    <xf numFmtId="0" fontId="6" fillId="0" borderId="103" xfId="0" applyFont="1" applyBorder="1" applyAlignment="1">
      <alignment horizontal="center" vertical="center" wrapText="1"/>
    </xf>
    <xf numFmtId="0" fontId="43" fillId="0" borderId="103" xfId="0" applyFont="1" applyBorder="1" applyAlignment="1">
      <alignment horizontal="center" vertical="center" wrapText="1"/>
    </xf>
    <xf numFmtId="0" fontId="43" fillId="0" borderId="16" xfId="0" applyFont="1" applyBorder="1" applyAlignment="1">
      <alignment horizontal="center" vertical="center" wrapText="1"/>
    </xf>
    <xf numFmtId="0" fontId="6" fillId="0" borderId="104" xfId="0" applyFont="1" applyBorder="1" applyAlignment="1">
      <alignment horizontal="center" vertical="center" wrapText="1"/>
    </xf>
    <xf numFmtId="0" fontId="6" fillId="0" borderId="106" xfId="0" applyFont="1" applyBorder="1" applyAlignment="1">
      <alignment horizontal="center" vertical="center" wrapText="1"/>
    </xf>
    <xf numFmtId="0" fontId="6" fillId="0" borderId="108" xfId="0" applyFont="1" applyBorder="1" applyAlignment="1">
      <alignment horizontal="center" vertical="center" wrapText="1"/>
    </xf>
    <xf numFmtId="0" fontId="6" fillId="0" borderId="107" xfId="0" applyFont="1" applyBorder="1" applyAlignment="1">
      <alignment horizontal="center" vertical="center" wrapText="1"/>
    </xf>
    <xf numFmtId="0" fontId="6" fillId="0" borderId="109" xfId="0" applyFont="1" applyBorder="1" applyAlignment="1">
      <alignment horizontal="center" vertical="center" wrapText="1"/>
    </xf>
    <xf numFmtId="0" fontId="43" fillId="0" borderId="107" xfId="0" applyFont="1" applyBorder="1" applyAlignment="1">
      <alignment horizontal="center" vertical="center" wrapText="1"/>
    </xf>
    <xf numFmtId="0" fontId="43" fillId="0" borderId="109"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110" xfId="0" applyFont="1" applyBorder="1" applyAlignment="1">
      <alignment horizontal="center" vertical="center" wrapText="1"/>
    </xf>
    <xf numFmtId="0" fontId="20" fillId="0" borderId="176" xfId="0" applyFont="1" applyBorder="1" applyAlignment="1">
      <alignment horizontal="center" vertical="center" wrapText="1"/>
    </xf>
    <xf numFmtId="0" fontId="20" fillId="0" borderId="177" xfId="0" applyFont="1" applyBorder="1" applyAlignment="1">
      <alignment horizontal="center" vertical="center" wrapText="1"/>
    </xf>
    <xf numFmtId="0" fontId="20" fillId="0" borderId="178" xfId="0" applyFont="1" applyBorder="1" applyAlignment="1">
      <alignment horizontal="center" vertical="center" wrapText="1"/>
    </xf>
    <xf numFmtId="0" fontId="20" fillId="0" borderId="117" xfId="0" applyFont="1" applyBorder="1" applyAlignment="1">
      <alignment horizontal="center" vertical="center"/>
    </xf>
    <xf numFmtId="0" fontId="20" fillId="0" borderId="119" xfId="0" applyFont="1" applyBorder="1" applyAlignment="1">
      <alignment horizontal="center" vertical="center"/>
    </xf>
    <xf numFmtId="0" fontId="20" fillId="0" borderId="205" xfId="0" applyFont="1" applyBorder="1" applyAlignment="1">
      <alignment horizontal="center" vertical="center"/>
    </xf>
    <xf numFmtId="0" fontId="20" fillId="0" borderId="204" xfId="0" applyFont="1" applyBorder="1" applyAlignment="1">
      <alignment horizontal="center" vertical="center" wrapText="1"/>
    </xf>
    <xf numFmtId="0" fontId="20" fillId="0" borderId="119" xfId="0" applyFont="1" applyBorder="1" applyAlignment="1">
      <alignment horizontal="center" vertical="center" wrapText="1"/>
    </xf>
    <xf numFmtId="0" fontId="20" fillId="0" borderId="121" xfId="0" applyFont="1" applyBorder="1" applyAlignment="1">
      <alignment horizontal="center" vertical="center" wrapText="1"/>
    </xf>
    <xf numFmtId="0" fontId="20" fillId="0" borderId="203" xfId="0" applyFont="1" applyBorder="1" applyAlignment="1">
      <alignment horizontal="center" vertical="center" wrapText="1"/>
    </xf>
    <xf numFmtId="0" fontId="20" fillId="0" borderId="121" xfId="0" applyFont="1" applyBorder="1" applyAlignment="1">
      <alignment horizontal="center" vertical="center"/>
    </xf>
    <xf numFmtId="0" fontId="20" fillId="0" borderId="80" xfId="0" applyFont="1" applyBorder="1" applyAlignment="1">
      <alignment horizontal="center" vertical="center" wrapText="1"/>
    </xf>
    <xf numFmtId="0" fontId="20" fillId="0" borderId="78" xfId="0" applyFont="1" applyBorder="1" applyAlignment="1">
      <alignment horizontal="center" vertical="center" wrapText="1"/>
    </xf>
    <xf numFmtId="0" fontId="20" fillId="0" borderId="128" xfId="0" applyFont="1" applyBorder="1" applyAlignment="1">
      <alignment horizontal="center" vertical="center" wrapText="1"/>
    </xf>
    <xf numFmtId="0" fontId="20" fillId="0" borderId="112" xfId="0" applyFont="1" applyBorder="1" applyAlignment="1">
      <alignment horizontal="center" vertical="center" wrapText="1"/>
    </xf>
    <xf numFmtId="0" fontId="45" fillId="0" borderId="238" xfId="0" applyFont="1" applyBorder="1" applyAlignment="1">
      <alignment horizontal="center" vertical="center" wrapText="1"/>
    </xf>
    <xf numFmtId="0" fontId="45" fillId="0" borderId="177" xfId="0" applyFont="1" applyBorder="1" applyAlignment="1">
      <alignment horizontal="center" vertical="center" wrapText="1"/>
    </xf>
    <xf numFmtId="0" fontId="45" fillId="0" borderId="178" xfId="0" applyFont="1" applyBorder="1" applyAlignment="1">
      <alignment horizontal="center" vertical="center" wrapText="1"/>
    </xf>
    <xf numFmtId="0" fontId="20" fillId="0" borderId="116" xfId="0" applyFont="1" applyBorder="1" applyAlignment="1">
      <alignment horizontal="center" vertical="center" wrapText="1"/>
    </xf>
    <xf numFmtId="0" fontId="20" fillId="0" borderId="118" xfId="0" applyFont="1" applyBorder="1" applyAlignment="1">
      <alignment horizontal="center" vertical="center" wrapText="1"/>
    </xf>
    <xf numFmtId="0" fontId="20" fillId="0" borderId="120" xfId="0" applyFont="1" applyBorder="1" applyAlignment="1">
      <alignment horizontal="center" vertical="center" wrapText="1"/>
    </xf>
    <xf numFmtId="0" fontId="20" fillId="0" borderId="114" xfId="0" applyFont="1" applyBorder="1" applyAlignment="1">
      <alignment horizontal="center" vertical="center" wrapText="1"/>
    </xf>
    <xf numFmtId="0" fontId="20" fillId="0" borderId="100" xfId="0" applyFont="1" applyBorder="1" applyAlignment="1">
      <alignment horizontal="center" vertical="center" wrapText="1"/>
    </xf>
    <xf numFmtId="0" fontId="20" fillId="0" borderId="115" xfId="0" applyFont="1" applyBorder="1" applyAlignment="1">
      <alignment horizontal="center" vertical="center" wrapText="1"/>
    </xf>
    <xf numFmtId="0" fontId="6" fillId="0" borderId="99" xfId="0" applyFont="1" applyBorder="1" applyAlignment="1">
      <alignment horizontal="center" vertical="center" wrapText="1"/>
    </xf>
    <xf numFmtId="0" fontId="6" fillId="0" borderId="100" xfId="0" applyFont="1" applyBorder="1" applyAlignment="1">
      <alignment horizontal="center" vertical="center" wrapText="1"/>
    </xf>
    <xf numFmtId="0" fontId="6" fillId="0" borderId="101" xfId="0" applyFont="1" applyBorder="1" applyAlignment="1">
      <alignment horizontal="center" vertical="center" wrapText="1"/>
    </xf>
    <xf numFmtId="0" fontId="20" fillId="0" borderId="117" xfId="0" applyFont="1" applyBorder="1" applyAlignment="1">
      <alignment horizontal="center" vertical="center" wrapText="1"/>
    </xf>
    <xf numFmtId="0" fontId="20" fillId="0" borderId="206" xfId="0" applyFont="1" applyBorder="1" applyAlignment="1">
      <alignment horizontal="center" vertical="center" wrapText="1"/>
    </xf>
    <xf numFmtId="0" fontId="20" fillId="0" borderId="207" xfId="0" applyFont="1" applyBorder="1" applyAlignment="1">
      <alignment horizontal="center" vertical="center" wrapText="1"/>
    </xf>
    <xf numFmtId="0" fontId="20" fillId="0" borderId="208" xfId="0" applyFont="1" applyBorder="1" applyAlignment="1">
      <alignment horizontal="center" vertical="center" wrapText="1"/>
    </xf>
    <xf numFmtId="0" fontId="20" fillId="0" borderId="122" xfId="0" applyFont="1" applyBorder="1" applyAlignment="1">
      <alignment horizontal="center" vertical="center" wrapText="1"/>
    </xf>
    <xf numFmtId="0" fontId="20" fillId="0" borderId="79" xfId="0" applyFont="1" applyBorder="1" applyAlignment="1">
      <alignment horizontal="center" vertical="center" wrapText="1"/>
    </xf>
    <xf numFmtId="0" fontId="6" fillId="0" borderId="12" xfId="0" applyFont="1" applyBorder="1" applyAlignment="1">
      <alignment horizontal="center" vertical="center"/>
    </xf>
    <xf numFmtId="0" fontId="7" fillId="8" borderId="2" xfId="0" applyFont="1" applyFill="1" applyBorder="1" applyAlignment="1">
      <alignment horizontal="center" vertical="center"/>
    </xf>
    <xf numFmtId="0" fontId="7" fillId="8" borderId="12" xfId="0" applyFont="1" applyFill="1" applyBorder="1" applyAlignment="1">
      <alignment horizontal="center" vertical="center"/>
    </xf>
    <xf numFmtId="0" fontId="20" fillId="0" borderId="82" xfId="0" applyFont="1" applyBorder="1" applyAlignment="1">
      <alignment horizontal="center" vertical="center" wrapText="1"/>
    </xf>
    <xf numFmtId="0" fontId="20" fillId="0" borderId="84" xfId="0" applyFont="1" applyBorder="1" applyAlignment="1">
      <alignment horizontal="center" vertical="center" wrapText="1"/>
    </xf>
    <xf numFmtId="0" fontId="20" fillId="0" borderId="99" xfId="0" applyFont="1" applyBorder="1" applyAlignment="1">
      <alignment horizontal="center" vertical="center" wrapText="1"/>
    </xf>
    <xf numFmtId="0" fontId="20" fillId="0" borderId="101" xfId="0" applyFont="1" applyBorder="1" applyAlignment="1">
      <alignment horizontal="center" vertical="center" wrapText="1"/>
    </xf>
    <xf numFmtId="0" fontId="11" fillId="10" borderId="21" xfId="0" applyFont="1" applyFill="1" applyBorder="1" applyAlignment="1">
      <alignment horizontal="center" vertical="center" wrapText="1"/>
    </xf>
    <xf numFmtId="0" fontId="11" fillId="10" borderId="22"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7" fillId="8" borderId="145" xfId="0" applyFont="1" applyFill="1" applyBorder="1" applyAlignment="1">
      <alignment horizontal="center" vertical="center"/>
    </xf>
    <xf numFmtId="0" fontId="7" fillId="8" borderId="0" xfId="0" applyFont="1" applyFill="1" applyAlignment="1">
      <alignment horizontal="center" vertical="center"/>
    </xf>
    <xf numFmtId="0" fontId="7" fillId="8" borderId="95" xfId="0" applyFont="1" applyFill="1" applyBorder="1" applyAlignment="1">
      <alignment horizontal="center" vertical="center"/>
    </xf>
    <xf numFmtId="0" fontId="20" fillId="0" borderId="4" xfId="0" applyFont="1" applyBorder="1" applyAlignment="1">
      <alignment horizontal="center" vertical="center" wrapText="1"/>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20" fillId="0" borderId="37" xfId="0" applyFont="1" applyBorder="1" applyAlignment="1">
      <alignment horizontal="center" vertical="center"/>
    </xf>
    <xf numFmtId="0" fontId="20" fillId="0" borderId="47" xfId="0" applyFont="1" applyBorder="1" applyAlignment="1">
      <alignment horizontal="center" vertical="center" wrapText="1"/>
    </xf>
    <xf numFmtId="0" fontId="20" fillId="0" borderId="104" xfId="0" applyFont="1" applyBorder="1" applyAlignment="1">
      <alignment horizontal="center" vertical="center" wrapText="1"/>
    </xf>
    <xf numFmtId="0" fontId="20" fillId="0" borderId="110" xfId="0" applyFont="1" applyBorder="1" applyAlignment="1">
      <alignment horizontal="center" vertical="center" wrapText="1"/>
    </xf>
    <xf numFmtId="0" fontId="20" fillId="0" borderId="139" xfId="0" applyFont="1" applyBorder="1" applyAlignment="1">
      <alignment horizontal="center" vertical="center" wrapText="1"/>
    </xf>
    <xf numFmtId="0" fontId="20" fillId="0" borderId="135" xfId="0" applyFont="1" applyBorder="1" applyAlignment="1">
      <alignment horizontal="center" vertical="center" wrapText="1"/>
    </xf>
    <xf numFmtId="0" fontId="20" fillId="0" borderId="137" xfId="0" applyFont="1" applyBorder="1" applyAlignment="1">
      <alignment horizontal="center" vertical="center" wrapText="1"/>
    </xf>
    <xf numFmtId="0" fontId="20" fillId="0" borderId="140" xfId="0" applyFont="1" applyBorder="1" applyAlignment="1">
      <alignment horizontal="center" vertical="center" wrapText="1"/>
    </xf>
    <xf numFmtId="0" fontId="20" fillId="0" borderId="136" xfId="0" applyFont="1" applyBorder="1" applyAlignment="1">
      <alignment horizontal="center" vertical="center" wrapText="1"/>
    </xf>
    <xf numFmtId="0" fontId="20" fillId="0" borderId="138" xfId="0" applyFont="1" applyBorder="1" applyAlignment="1">
      <alignment horizontal="center" vertical="center" wrapText="1"/>
    </xf>
    <xf numFmtId="0" fontId="20" fillId="0" borderId="141" xfId="0" applyFont="1" applyBorder="1" applyAlignment="1">
      <alignment horizontal="center" vertical="center" wrapText="1"/>
    </xf>
    <xf numFmtId="0" fontId="20" fillId="0" borderId="142" xfId="0" applyFont="1" applyBorder="1" applyAlignment="1">
      <alignment horizontal="center" vertical="center" wrapText="1"/>
    </xf>
    <xf numFmtId="0" fontId="20" fillId="0" borderId="143" xfId="0" applyFont="1" applyBorder="1" applyAlignment="1">
      <alignment horizontal="center" vertical="center" wrapText="1"/>
    </xf>
    <xf numFmtId="0" fontId="20" fillId="0" borderId="144" xfId="0" applyFont="1" applyBorder="1" applyAlignment="1">
      <alignment horizontal="center" vertical="center" wrapText="1"/>
    </xf>
    <xf numFmtId="0" fontId="20" fillId="0" borderId="19" xfId="0" applyFont="1" applyBorder="1" applyAlignment="1">
      <alignment horizontal="center" vertical="center"/>
    </xf>
    <xf numFmtId="0" fontId="20" fillId="0" borderId="154" xfId="0" applyFont="1" applyBorder="1" applyAlignment="1">
      <alignment horizontal="center" vertical="center" wrapText="1"/>
    </xf>
    <xf numFmtId="0" fontId="20" fillId="0" borderId="158" xfId="0" applyFont="1" applyBorder="1" applyAlignment="1">
      <alignment horizontal="center" vertical="center" wrapText="1"/>
    </xf>
    <xf numFmtId="0" fontId="20" fillId="0" borderId="159" xfId="0" applyFont="1" applyBorder="1" applyAlignment="1">
      <alignment horizontal="center" vertical="center" wrapText="1"/>
    </xf>
    <xf numFmtId="0" fontId="20" fillId="0" borderId="163" xfId="0" applyFont="1" applyBorder="1" applyAlignment="1">
      <alignment horizontal="center" vertical="center" wrapText="1"/>
    </xf>
    <xf numFmtId="0" fontId="20" fillId="0" borderId="167" xfId="0" applyFont="1" applyBorder="1" applyAlignment="1">
      <alignment horizontal="center" vertical="center" wrapText="1"/>
    </xf>
    <xf numFmtId="0" fontId="20" fillId="0" borderId="171" xfId="0" applyFont="1" applyBorder="1" applyAlignment="1">
      <alignment horizontal="center" vertical="center" wrapText="1"/>
    </xf>
    <xf numFmtId="0" fontId="20" fillId="0" borderId="154" xfId="0" applyFont="1" applyBorder="1" applyAlignment="1">
      <alignment horizontal="center" vertical="center"/>
    </xf>
    <xf numFmtId="0" fontId="20" fillId="0" borderId="158" xfId="0" applyFont="1" applyBorder="1" applyAlignment="1">
      <alignment horizontal="center" vertical="center"/>
    </xf>
    <xf numFmtId="0" fontId="20" fillId="0" borderId="159" xfId="0" applyFont="1" applyBorder="1" applyAlignment="1">
      <alignment horizontal="center" vertical="center"/>
    </xf>
    <xf numFmtId="0" fontId="20" fillId="0" borderId="113" xfId="0" applyFont="1" applyBorder="1" applyAlignment="1">
      <alignment horizontal="center" vertical="center" wrapText="1"/>
    </xf>
    <xf numFmtId="0" fontId="20" fillId="0" borderId="12" xfId="0" applyFont="1" applyBorder="1" applyAlignment="1">
      <alignment horizontal="center" vertical="center"/>
    </xf>
    <xf numFmtId="0" fontId="20" fillId="0" borderId="179" xfId="0" applyFont="1" applyBorder="1" applyAlignment="1">
      <alignment horizontal="center" vertical="center"/>
    </xf>
    <xf numFmtId="0" fontId="45" fillId="0" borderId="163" xfId="0" applyFont="1" applyBorder="1" applyAlignment="1">
      <alignment horizontal="center" vertical="center" wrapText="1"/>
    </xf>
    <xf numFmtId="0" fontId="20" fillId="0" borderId="220" xfId="0" applyFont="1" applyBorder="1" applyAlignment="1">
      <alignment horizontal="center" vertical="center" wrapText="1"/>
    </xf>
    <xf numFmtId="0" fontId="20" fillId="0" borderId="222" xfId="0" applyFont="1" applyBorder="1" applyAlignment="1">
      <alignment horizontal="center" vertical="center" wrapText="1"/>
    </xf>
    <xf numFmtId="0" fontId="20" fillId="0" borderId="223" xfId="0" applyFont="1" applyBorder="1" applyAlignment="1">
      <alignment horizontal="center" vertical="center" wrapText="1"/>
    </xf>
    <xf numFmtId="0" fontId="47" fillId="0" borderId="221" xfId="0" applyFont="1" applyBorder="1" applyAlignment="1">
      <alignment horizontal="center" vertical="center"/>
    </xf>
    <xf numFmtId="0" fontId="47" fillId="0" borderId="78" xfId="0" applyFont="1" applyBorder="1" applyAlignment="1">
      <alignment horizontal="center" vertical="center"/>
    </xf>
    <xf numFmtId="0" fontId="47" fillId="0" borderId="224" xfId="0" applyFont="1" applyBorder="1" applyAlignment="1">
      <alignment horizontal="center" vertical="center"/>
    </xf>
    <xf numFmtId="0" fontId="20" fillId="0" borderId="221" xfId="0" applyFont="1" applyBorder="1" applyAlignment="1">
      <alignment horizontal="center" vertical="center" wrapText="1"/>
    </xf>
    <xf numFmtId="0" fontId="20" fillId="0" borderId="224" xfId="0" applyFont="1" applyBorder="1" applyAlignment="1">
      <alignment horizontal="center" vertical="center" wrapText="1"/>
    </xf>
    <xf numFmtId="0" fontId="20" fillId="0" borderId="234" xfId="0" applyFont="1" applyBorder="1" applyAlignment="1">
      <alignment horizontal="center" vertical="center" wrapText="1"/>
    </xf>
    <xf numFmtId="0" fontId="20" fillId="0" borderId="187" xfId="0" applyFont="1" applyBorder="1" applyAlignment="1">
      <alignment horizontal="center" vertical="center" wrapText="1"/>
    </xf>
    <xf numFmtId="0" fontId="20" fillId="0" borderId="235" xfId="0" applyFont="1" applyBorder="1" applyAlignment="1">
      <alignment horizontal="center" vertical="center" wrapText="1"/>
    </xf>
    <xf numFmtId="0" fontId="47" fillId="0" borderId="85" xfId="0" applyFont="1" applyBorder="1" applyAlignment="1">
      <alignment horizontal="center" vertical="center"/>
    </xf>
    <xf numFmtId="0" fontId="47" fillId="0" borderId="86" xfId="0" applyFont="1" applyBorder="1" applyAlignment="1">
      <alignment horizontal="center" vertical="center"/>
    </xf>
    <xf numFmtId="0" fontId="20" fillId="0" borderId="85" xfId="0" applyFont="1" applyBorder="1" applyAlignment="1">
      <alignment horizontal="center" vertical="center" wrapText="1"/>
    </xf>
    <xf numFmtId="0" fontId="20" fillId="0" borderId="86" xfId="0" applyFont="1" applyBorder="1" applyAlignment="1">
      <alignment horizontal="center" vertical="center" wrapText="1"/>
    </xf>
    <xf numFmtId="0" fontId="20" fillId="0" borderId="169" xfId="0" applyFont="1" applyBorder="1" applyAlignment="1">
      <alignment horizontal="center" vertical="center" wrapText="1"/>
    </xf>
    <xf numFmtId="0" fontId="20" fillId="0" borderId="173" xfId="0" applyFont="1" applyBorder="1" applyAlignment="1">
      <alignment horizontal="center" vertical="center" wrapText="1"/>
    </xf>
    <xf numFmtId="0" fontId="20" fillId="0" borderId="174" xfId="0" applyFont="1" applyBorder="1" applyAlignment="1">
      <alignment horizontal="center" vertical="center" wrapText="1"/>
    </xf>
    <xf numFmtId="0" fontId="20" fillId="0" borderId="175" xfId="0" applyFont="1" applyBorder="1" applyAlignment="1">
      <alignment horizontal="center" vertical="center" wrapText="1"/>
    </xf>
    <xf numFmtId="0" fontId="47" fillId="0" borderId="122" xfId="0" applyFont="1" applyBorder="1" applyAlignment="1">
      <alignment horizontal="center" vertical="center"/>
    </xf>
    <xf numFmtId="0" fontId="47" fillId="0" borderId="79" xfId="0" applyFont="1" applyBorder="1" applyAlignment="1">
      <alignment horizontal="center" vertical="center"/>
    </xf>
    <xf numFmtId="0" fontId="20" fillId="0" borderId="186" xfId="0" applyFont="1" applyBorder="1" applyAlignment="1">
      <alignment horizontal="center" vertical="center" wrapText="1"/>
    </xf>
    <xf numFmtId="0" fontId="20" fillId="0" borderId="188" xfId="0" applyFont="1" applyBorder="1" applyAlignment="1">
      <alignment horizontal="center" vertical="center" wrapText="1"/>
    </xf>
    <xf numFmtId="0" fontId="20" fillId="0" borderId="166" xfId="0" applyFont="1" applyBorder="1" applyAlignment="1">
      <alignment horizontal="center" vertical="center"/>
    </xf>
    <xf numFmtId="0" fontId="45" fillId="0" borderId="167" xfId="0" applyFont="1" applyBorder="1" applyAlignment="1">
      <alignment horizontal="center" vertical="center" wrapText="1"/>
    </xf>
    <xf numFmtId="0" fontId="20" fillId="0" borderId="171" xfId="0" applyFont="1" applyBorder="1" applyAlignment="1">
      <alignment horizontal="center" vertical="center"/>
    </xf>
    <xf numFmtId="0" fontId="20" fillId="0" borderId="1"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79" xfId="0" applyFont="1" applyBorder="1" applyAlignment="1">
      <alignment horizontal="center" vertical="center" wrapText="1"/>
    </xf>
    <xf numFmtId="0" fontId="20" fillId="0" borderId="191" xfId="0" applyFont="1" applyBorder="1" applyAlignment="1">
      <alignment horizontal="center" vertical="center" wrapText="1"/>
    </xf>
    <xf numFmtId="0" fontId="20" fillId="0" borderId="192" xfId="0" applyFont="1" applyBorder="1" applyAlignment="1">
      <alignment horizontal="center" vertical="center" wrapText="1"/>
    </xf>
    <xf numFmtId="0" fontId="21" fillId="0" borderId="2" xfId="0" applyFont="1" applyBorder="1" applyAlignment="1">
      <alignment horizontal="center" vertical="center"/>
    </xf>
    <xf numFmtId="0" fontId="35" fillId="20" borderId="20" xfId="0" applyFont="1" applyFill="1" applyBorder="1" applyAlignment="1">
      <alignment horizontal="center" vertical="center"/>
    </xf>
    <xf numFmtId="0" fontId="35" fillId="20" borderId="21" xfId="0" applyFont="1" applyFill="1" applyBorder="1" applyAlignment="1">
      <alignment horizontal="center" vertical="center"/>
    </xf>
    <xf numFmtId="9" fontId="6" fillId="0" borderId="78" xfId="2" applyFont="1" applyFill="1" applyBorder="1" applyAlignment="1">
      <alignment horizontal="center" vertical="center"/>
    </xf>
    <xf numFmtId="0" fontId="6" fillId="0" borderId="78" xfId="0" applyFont="1" applyBorder="1" applyAlignment="1">
      <alignment horizontal="center" vertical="center"/>
    </xf>
    <xf numFmtId="0" fontId="11" fillId="10" borderId="78" xfId="0" applyFont="1" applyFill="1" applyBorder="1" applyAlignment="1">
      <alignment horizontal="center" vertical="center" wrapText="1"/>
    </xf>
    <xf numFmtId="0" fontId="22" fillId="8" borderId="78" xfId="0" applyFont="1" applyFill="1" applyBorder="1" applyAlignment="1">
      <alignment horizontal="center" vertical="center"/>
    </xf>
    <xf numFmtId="0" fontId="0" fillId="0" borderId="0" xfId="0" applyAlignment="1">
      <alignment horizontal="center"/>
    </xf>
  </cellXfs>
  <cellStyles count="13">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001132"/>
      <color rgb="FFFFEBCD"/>
      <color rgb="FFFF9900"/>
      <color rgb="FFCCCCFF"/>
      <color rgb="FF8238BA"/>
      <color rgb="FF002F8E"/>
      <color rgb="FF0000CC"/>
      <color rgb="FF2E9F17"/>
      <color rgb="FFFFFAF3"/>
      <color rgb="FF2DC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c:v>
                </c:pt>
                <c:pt idx="1">
                  <c:v>0</c:v>
                </c:pt>
                <c:pt idx="2">
                  <c:v>0</c:v>
                </c:pt>
                <c:pt idx="3">
                  <c:v>0</c:v>
                </c:pt>
                <c:pt idx="4">
                  <c:v>0</c:v>
                </c:pt>
                <c:pt idx="5">
                  <c:v>0</c:v>
                </c:pt>
                <c:pt idx="6">
                  <c:v>0</c:v>
                </c:pt>
                <c:pt idx="7">
                  <c:v>0.1</c:v>
                </c:pt>
                <c:pt idx="8">
                  <c:v>0.5</c:v>
                </c:pt>
                <c:pt idx="9">
                  <c:v>0.8</c:v>
                </c:pt>
                <c:pt idx="10">
                  <c:v>0.8</c:v>
                </c:pt>
                <c:pt idx="11">
                  <c:v>0.8</c:v>
                </c:pt>
                <c:pt idx="12">
                  <c:v>0.8</c:v>
                </c:pt>
                <c:pt idx="13">
                  <c:v>0.8</c:v>
                </c:pt>
                <c:pt idx="14">
                  <c:v>0.8</c:v>
                </c:pt>
                <c:pt idx="15">
                  <c:v>0.8</c:v>
                </c:pt>
                <c:pt idx="16">
                  <c:v>0.8</c:v>
                </c:pt>
                <c:pt idx="17">
                  <c:v>0.5</c:v>
                </c:pt>
                <c:pt idx="18">
                  <c:v>0.3</c:v>
                </c:pt>
                <c:pt idx="19">
                  <c:v>0.3</c:v>
                </c:pt>
                <c:pt idx="20">
                  <c:v>0.2</c:v>
                </c:pt>
                <c:pt idx="21">
                  <c:v>0.2</c:v>
                </c:pt>
                <c:pt idx="22">
                  <c:v>0</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c:v>
                </c:pt>
                <c:pt idx="1">
                  <c:v>0</c:v>
                </c:pt>
                <c:pt idx="2">
                  <c:v>0</c:v>
                </c:pt>
                <c:pt idx="3">
                  <c:v>0</c:v>
                </c:pt>
                <c:pt idx="4">
                  <c:v>0</c:v>
                </c:pt>
                <c:pt idx="5">
                  <c:v>0</c:v>
                </c:pt>
                <c:pt idx="6">
                  <c:v>0</c:v>
                </c:pt>
                <c:pt idx="7">
                  <c:v>0.1</c:v>
                </c:pt>
                <c:pt idx="8">
                  <c:v>0.3</c:v>
                </c:pt>
                <c:pt idx="9">
                  <c:v>0.4</c:v>
                </c:pt>
                <c:pt idx="10">
                  <c:v>0.4</c:v>
                </c:pt>
                <c:pt idx="11">
                  <c:v>0.4</c:v>
                </c:pt>
                <c:pt idx="12">
                  <c:v>0.4</c:v>
                </c:pt>
                <c:pt idx="13">
                  <c:v>0.4</c:v>
                </c:pt>
                <c:pt idx="14">
                  <c:v>0.4</c:v>
                </c:pt>
                <c:pt idx="15">
                  <c:v>0.4</c:v>
                </c:pt>
                <c:pt idx="16">
                  <c:v>0.4</c:v>
                </c:pt>
                <c:pt idx="17">
                  <c:v>0.1</c:v>
                </c:pt>
                <c:pt idx="18">
                  <c:v>0.1</c:v>
                </c:pt>
                <c:pt idx="19">
                  <c:v>0</c:v>
                </c:pt>
                <c:pt idx="20">
                  <c:v>0</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c:v>
                </c:pt>
                <c:pt idx="1">
                  <c:v>0</c:v>
                </c:pt>
                <c:pt idx="2">
                  <c:v>0</c:v>
                </c:pt>
                <c:pt idx="3">
                  <c:v>0</c:v>
                </c:pt>
                <c:pt idx="4">
                  <c:v>0</c:v>
                </c:pt>
                <c:pt idx="5">
                  <c:v>0</c:v>
                </c:pt>
                <c:pt idx="6">
                  <c:v>0</c:v>
                </c:pt>
                <c:pt idx="7">
                  <c:v>0</c:v>
                </c:pt>
                <c:pt idx="8">
                  <c:v>0.05</c:v>
                </c:pt>
                <c:pt idx="9">
                  <c:v>0.05</c:v>
                </c:pt>
                <c:pt idx="10">
                  <c:v>0.05</c:v>
                </c:pt>
                <c:pt idx="11">
                  <c:v>0.05</c:v>
                </c:pt>
                <c:pt idx="12">
                  <c:v>0.05</c:v>
                </c:pt>
                <c:pt idx="13">
                  <c:v>0.05</c:v>
                </c:pt>
                <c:pt idx="14">
                  <c:v>0.05</c:v>
                </c:pt>
                <c:pt idx="15">
                  <c:v>0.05</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General</c:formatCode>
                <c:ptCount val="24"/>
                <c:pt idx="0">
                  <c:v>0.1</c:v>
                </c:pt>
                <c:pt idx="1">
                  <c:v>0.1</c:v>
                </c:pt>
                <c:pt idx="2">
                  <c:v>0.1</c:v>
                </c:pt>
                <c:pt idx="3">
                  <c:v>0.1</c:v>
                </c:pt>
                <c:pt idx="4">
                  <c:v>0.1</c:v>
                </c:pt>
                <c:pt idx="5">
                  <c:v>0.1</c:v>
                </c:pt>
                <c:pt idx="6">
                  <c:v>0.1</c:v>
                </c:pt>
                <c:pt idx="7">
                  <c:v>0.45</c:v>
                </c:pt>
                <c:pt idx="8">
                  <c:v>0.8</c:v>
                </c:pt>
                <c:pt idx="9">
                  <c:v>0.8</c:v>
                </c:pt>
                <c:pt idx="10">
                  <c:v>0.8</c:v>
                </c:pt>
                <c:pt idx="11">
                  <c:v>0.8</c:v>
                </c:pt>
                <c:pt idx="12">
                  <c:v>0.8</c:v>
                </c:pt>
                <c:pt idx="13">
                  <c:v>0.8</c:v>
                </c:pt>
                <c:pt idx="14">
                  <c:v>0.8</c:v>
                </c:pt>
                <c:pt idx="15">
                  <c:v>0.8</c:v>
                </c:pt>
                <c:pt idx="16">
                  <c:v>0.3</c:v>
                </c:pt>
                <c:pt idx="17">
                  <c:v>0.3</c:v>
                </c:pt>
                <c:pt idx="18">
                  <c:v>0.3</c:v>
                </c:pt>
                <c:pt idx="19">
                  <c:v>0.3</c:v>
                </c:pt>
                <c:pt idx="20">
                  <c:v>0.3</c:v>
                </c:pt>
                <c:pt idx="21">
                  <c:v>0.3</c:v>
                </c:pt>
                <c:pt idx="22">
                  <c:v>0.3</c:v>
                </c:pt>
                <c:pt idx="23">
                  <c:v>0.1</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General</c:formatCode>
                <c:ptCount val="24"/>
                <c:pt idx="0">
                  <c:v>0.1</c:v>
                </c:pt>
                <c:pt idx="1">
                  <c:v>0.1</c:v>
                </c:pt>
                <c:pt idx="2">
                  <c:v>0.1</c:v>
                </c:pt>
                <c:pt idx="3">
                  <c:v>0.1</c:v>
                </c:pt>
                <c:pt idx="4">
                  <c:v>0.1</c:v>
                </c:pt>
                <c:pt idx="5">
                  <c:v>0.1</c:v>
                </c:pt>
                <c:pt idx="6">
                  <c:v>0.1</c:v>
                </c:pt>
                <c:pt idx="7">
                  <c:v>0.2</c:v>
                </c:pt>
                <c:pt idx="8">
                  <c:v>0.35</c:v>
                </c:pt>
                <c:pt idx="9">
                  <c:v>0.35</c:v>
                </c:pt>
                <c:pt idx="10">
                  <c:v>0.35</c:v>
                </c:pt>
                <c:pt idx="11">
                  <c:v>0.35</c:v>
                </c:pt>
                <c:pt idx="12">
                  <c:v>0.35</c:v>
                </c:pt>
                <c:pt idx="13">
                  <c:v>0.35</c:v>
                </c:pt>
                <c:pt idx="14">
                  <c:v>0.35</c:v>
                </c:pt>
                <c:pt idx="15">
                  <c:v>0.35</c:v>
                </c:pt>
                <c:pt idx="16">
                  <c:v>0.35</c:v>
                </c:pt>
                <c:pt idx="17">
                  <c:v>0.35</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General</c:formatCode>
                <c:ptCount val="24"/>
                <c:pt idx="0">
                  <c:v>0.05</c:v>
                </c:pt>
                <c:pt idx="1">
                  <c:v>0.05</c:v>
                </c:pt>
                <c:pt idx="2">
                  <c:v>0.05</c:v>
                </c:pt>
                <c:pt idx="3">
                  <c:v>0.05</c:v>
                </c:pt>
                <c:pt idx="4">
                  <c:v>0.05</c:v>
                </c:pt>
                <c:pt idx="5">
                  <c:v>0.05</c:v>
                </c:pt>
                <c:pt idx="6">
                  <c:v>0.05</c:v>
                </c:pt>
                <c:pt idx="7">
                  <c:v>0.05</c:v>
                </c:pt>
                <c:pt idx="8">
                  <c:v>0.1</c:v>
                </c:pt>
                <c:pt idx="9">
                  <c:v>0.1</c:v>
                </c:pt>
                <c:pt idx="10">
                  <c:v>0.1</c:v>
                </c:pt>
                <c:pt idx="11">
                  <c:v>0.1</c:v>
                </c:pt>
                <c:pt idx="12">
                  <c:v>0.1</c:v>
                </c:pt>
                <c:pt idx="13">
                  <c:v>0.1</c:v>
                </c:pt>
                <c:pt idx="14">
                  <c:v>0.1</c:v>
                </c:pt>
                <c:pt idx="15">
                  <c:v>0.1</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0.1</c:v>
                </c:pt>
                <c:pt idx="1">
                  <c:v>0.1</c:v>
                </c:pt>
                <c:pt idx="2">
                  <c:v>0.1</c:v>
                </c:pt>
                <c:pt idx="3">
                  <c:v>0.1</c:v>
                </c:pt>
                <c:pt idx="4">
                  <c:v>0.1</c:v>
                </c:pt>
                <c:pt idx="5">
                  <c:v>0.1</c:v>
                </c:pt>
                <c:pt idx="6">
                  <c:v>0.1</c:v>
                </c:pt>
                <c:pt idx="7">
                  <c:v>0.5</c:v>
                </c:pt>
                <c:pt idx="8">
                  <c:v>0.9</c:v>
                </c:pt>
                <c:pt idx="9">
                  <c:v>0.9</c:v>
                </c:pt>
                <c:pt idx="10">
                  <c:v>0.9</c:v>
                </c:pt>
                <c:pt idx="11">
                  <c:v>0.9</c:v>
                </c:pt>
                <c:pt idx="12">
                  <c:v>0.9</c:v>
                </c:pt>
                <c:pt idx="13">
                  <c:v>0.9</c:v>
                </c:pt>
                <c:pt idx="14">
                  <c:v>0.9</c:v>
                </c:pt>
                <c:pt idx="15">
                  <c:v>0.9</c:v>
                </c:pt>
                <c:pt idx="16">
                  <c:v>0.3</c:v>
                </c:pt>
                <c:pt idx="17">
                  <c:v>0.3</c:v>
                </c:pt>
                <c:pt idx="18">
                  <c:v>0.3</c:v>
                </c:pt>
                <c:pt idx="19">
                  <c:v>0.3</c:v>
                </c:pt>
                <c:pt idx="20">
                  <c:v>0.3</c:v>
                </c:pt>
                <c:pt idx="21">
                  <c:v>0.3</c:v>
                </c:pt>
                <c:pt idx="22">
                  <c:v>0.3</c:v>
                </c:pt>
                <c:pt idx="23">
                  <c:v>0.1</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0.1</c:v>
                </c:pt>
                <c:pt idx="1">
                  <c:v>0.1</c:v>
                </c:pt>
                <c:pt idx="2">
                  <c:v>0.1</c:v>
                </c:pt>
                <c:pt idx="3">
                  <c:v>0.1</c:v>
                </c:pt>
                <c:pt idx="4">
                  <c:v>0.1</c:v>
                </c:pt>
                <c:pt idx="5">
                  <c:v>0.1</c:v>
                </c:pt>
                <c:pt idx="6">
                  <c:v>0.1</c:v>
                </c:pt>
                <c:pt idx="7">
                  <c:v>0.2</c:v>
                </c:pt>
                <c:pt idx="8">
                  <c:v>0.4</c:v>
                </c:pt>
                <c:pt idx="9">
                  <c:v>0.4</c:v>
                </c:pt>
                <c:pt idx="10">
                  <c:v>0.4</c:v>
                </c:pt>
                <c:pt idx="11">
                  <c:v>0.4</c:v>
                </c:pt>
                <c:pt idx="12">
                  <c:v>0.4</c:v>
                </c:pt>
                <c:pt idx="13">
                  <c:v>0.4</c:v>
                </c:pt>
                <c:pt idx="14">
                  <c:v>0.4</c:v>
                </c:pt>
                <c:pt idx="15">
                  <c:v>0.4</c:v>
                </c:pt>
                <c:pt idx="16">
                  <c:v>0.4</c:v>
                </c:pt>
                <c:pt idx="17">
                  <c:v>0.4</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0.05</c:v>
                </c:pt>
                <c:pt idx="8">
                  <c:v>0.1</c:v>
                </c:pt>
                <c:pt idx="9">
                  <c:v>0.1</c:v>
                </c:pt>
                <c:pt idx="10">
                  <c:v>0.1</c:v>
                </c:pt>
                <c:pt idx="11">
                  <c:v>0.1</c:v>
                </c:pt>
                <c:pt idx="12">
                  <c:v>0.1</c:v>
                </c:pt>
                <c:pt idx="13">
                  <c:v>0.1</c:v>
                </c:pt>
                <c:pt idx="14">
                  <c:v>0.1</c:v>
                </c:pt>
                <c:pt idx="15">
                  <c:v>0.1</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Schedules!$C$203</c:f>
          <c:strCache>
            <c:ptCount val="1"/>
            <c:pt idx="0">
              <c:v>Elevator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Schedules!$F$203:$AC$203</c:f>
              <c:numCache>
                <c:formatCode>General</c:formatCode>
                <c:ptCount val="24"/>
                <c:pt idx="0">
                  <c:v>0.02</c:v>
                </c:pt>
                <c:pt idx="1">
                  <c:v>0.02</c:v>
                </c:pt>
                <c:pt idx="2">
                  <c:v>0.02</c:v>
                </c:pt>
                <c:pt idx="3">
                  <c:v>0.02</c:v>
                </c:pt>
                <c:pt idx="4">
                  <c:v>0.02</c:v>
                </c:pt>
                <c:pt idx="5">
                  <c:v>0.02</c:v>
                </c:pt>
                <c:pt idx="6">
                  <c:v>0.02</c:v>
                </c:pt>
                <c:pt idx="7">
                  <c:v>0.02</c:v>
                </c:pt>
                <c:pt idx="8">
                  <c:v>0.75</c:v>
                </c:pt>
                <c:pt idx="9">
                  <c:v>1</c:v>
                </c:pt>
                <c:pt idx="10">
                  <c:v>1</c:v>
                </c:pt>
                <c:pt idx="11">
                  <c:v>1</c:v>
                </c:pt>
                <c:pt idx="12">
                  <c:v>0.75</c:v>
                </c:pt>
                <c:pt idx="13">
                  <c:v>1</c:v>
                </c:pt>
                <c:pt idx="14">
                  <c:v>1</c:v>
                </c:pt>
                <c:pt idx="15">
                  <c:v>1</c:v>
                </c:pt>
                <c:pt idx="16">
                  <c:v>1</c:v>
                </c:pt>
                <c:pt idx="17">
                  <c:v>1</c:v>
                </c:pt>
                <c:pt idx="18">
                  <c:v>0.52</c:v>
                </c:pt>
                <c:pt idx="19">
                  <c:v>0.52</c:v>
                </c:pt>
                <c:pt idx="20">
                  <c:v>0.52</c:v>
                </c:pt>
                <c:pt idx="21">
                  <c:v>0.28000000000000003</c:v>
                </c:pt>
                <c:pt idx="22">
                  <c:v>0.02</c:v>
                </c:pt>
                <c:pt idx="23">
                  <c:v>0.02</c:v>
                </c:pt>
              </c:numCache>
            </c:numRef>
          </c:val>
          <c:smooth val="0"/>
          <c:extLst>
            <c:ext xmlns:c16="http://schemas.microsoft.com/office/drawing/2014/chart" uri="{C3380CC4-5D6E-409C-BE32-E72D297353CC}">
              <c16:uniqueId val="{00000000-51AB-482C-B7A9-C5F811A81F2E}"/>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Schedules!$F$204:$AC$204</c:f>
              <c:numCache>
                <c:formatCode>General</c:formatCode>
                <c:ptCount val="24"/>
                <c:pt idx="0">
                  <c:v>0.02</c:v>
                </c:pt>
                <c:pt idx="1">
                  <c:v>0.02</c:v>
                </c:pt>
                <c:pt idx="2">
                  <c:v>0.02</c:v>
                </c:pt>
                <c:pt idx="3">
                  <c:v>0.02</c:v>
                </c:pt>
                <c:pt idx="4">
                  <c:v>0.02</c:v>
                </c:pt>
                <c:pt idx="5">
                  <c:v>0.02</c:v>
                </c:pt>
                <c:pt idx="6">
                  <c:v>0.02</c:v>
                </c:pt>
                <c:pt idx="7">
                  <c:v>0.02</c:v>
                </c:pt>
                <c:pt idx="8">
                  <c:v>0.46</c:v>
                </c:pt>
                <c:pt idx="9">
                  <c:v>0.7</c:v>
                </c:pt>
                <c:pt idx="10">
                  <c:v>0.7</c:v>
                </c:pt>
                <c:pt idx="11">
                  <c:v>0.7</c:v>
                </c:pt>
                <c:pt idx="12">
                  <c:v>0.51</c:v>
                </c:pt>
                <c:pt idx="13">
                  <c:v>0.51</c:v>
                </c:pt>
                <c:pt idx="14">
                  <c:v>0.51</c:v>
                </c:pt>
                <c:pt idx="15">
                  <c:v>0.51</c:v>
                </c:pt>
                <c:pt idx="16">
                  <c:v>0.51</c:v>
                </c:pt>
                <c:pt idx="17">
                  <c:v>0.25</c:v>
                </c:pt>
                <c:pt idx="18">
                  <c:v>0.02</c:v>
                </c:pt>
                <c:pt idx="19">
                  <c:v>0.02</c:v>
                </c:pt>
                <c:pt idx="20">
                  <c:v>0.02</c:v>
                </c:pt>
                <c:pt idx="21">
                  <c:v>0.02</c:v>
                </c:pt>
                <c:pt idx="22">
                  <c:v>0.02</c:v>
                </c:pt>
                <c:pt idx="23">
                  <c:v>0.02</c:v>
                </c:pt>
              </c:numCache>
            </c:numRef>
          </c:val>
          <c:smooth val="0"/>
          <c:extLst>
            <c:ext xmlns:c16="http://schemas.microsoft.com/office/drawing/2014/chart" uri="{C3380CC4-5D6E-409C-BE32-E72D297353CC}">
              <c16:uniqueId val="{00000001-51AB-482C-B7A9-C5F811A81F2E}"/>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Schedules!$F$205:$AC$205</c:f>
              <c:numCache>
                <c:formatCode>General</c:formatCode>
                <c:ptCount val="24"/>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numCache>
            </c:numRef>
          </c:val>
          <c:smooth val="0"/>
          <c:extLst>
            <c:ext xmlns:c16="http://schemas.microsoft.com/office/drawing/2014/chart" uri="{C3380CC4-5D6E-409C-BE32-E72D297353CC}">
              <c16:uniqueId val="{00000002-51AB-482C-B7A9-C5F811A81F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0.75</c:v>
                </c:pt>
                <c:pt idx="8">
                  <c:v>0.9</c:v>
                </c:pt>
                <c:pt idx="9">
                  <c:v>0.9</c:v>
                </c:pt>
                <c:pt idx="10">
                  <c:v>0.9</c:v>
                </c:pt>
                <c:pt idx="11">
                  <c:v>0.9</c:v>
                </c:pt>
                <c:pt idx="12">
                  <c:v>0.9</c:v>
                </c:pt>
                <c:pt idx="13">
                  <c:v>0.9</c:v>
                </c:pt>
                <c:pt idx="14">
                  <c:v>0.9</c:v>
                </c:pt>
                <c:pt idx="15">
                  <c:v>0.9</c:v>
                </c:pt>
                <c:pt idx="16">
                  <c:v>0.9</c:v>
                </c:pt>
                <c:pt idx="17">
                  <c:v>0.75</c:v>
                </c:pt>
                <c:pt idx="18">
                  <c:v>0.2</c:v>
                </c:pt>
                <c:pt idx="19">
                  <c:v>0.1</c:v>
                </c:pt>
                <c:pt idx="20">
                  <c:v>0</c:v>
                </c:pt>
                <c:pt idx="21">
                  <c:v>0</c:v>
                </c:pt>
                <c:pt idx="22">
                  <c:v>0</c:v>
                </c:pt>
                <c:pt idx="23">
                  <c:v>0</c:v>
                </c:pt>
              </c:numCache>
            </c:numRef>
          </c:val>
          <c:smooth val="0"/>
          <c:extLst>
            <c:ext xmlns:c16="http://schemas.microsoft.com/office/drawing/2014/chart" uri="{C3380CC4-5D6E-409C-BE32-E72D297353CC}">
              <c16:uniqueId val="{00000000-2D5E-43D9-9D39-369DFAAB902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0.3</c:v>
                </c:pt>
                <c:pt idx="8">
                  <c:v>0.5</c:v>
                </c:pt>
                <c:pt idx="9">
                  <c:v>0.5</c:v>
                </c:pt>
                <c:pt idx="10">
                  <c:v>0.5</c:v>
                </c:pt>
                <c:pt idx="11">
                  <c:v>0.5</c:v>
                </c:pt>
                <c:pt idx="12">
                  <c:v>0.5</c:v>
                </c:pt>
                <c:pt idx="13">
                  <c:v>0.5</c:v>
                </c:pt>
                <c:pt idx="14">
                  <c:v>0.5</c:v>
                </c:pt>
                <c:pt idx="15">
                  <c:v>0.5</c:v>
                </c:pt>
                <c:pt idx="16">
                  <c:v>0.5</c:v>
                </c:pt>
                <c:pt idx="17">
                  <c:v>0.3</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2D5E-43D9-9D39-369DFAAB9026}"/>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2D5E-43D9-9D39-369DFAAB90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Refrigeration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CC28-48CD-BF25-42D80026CFAB}"/>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CC28-48CD-BF25-42D80026CFAB}"/>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CC28-48CD-BF25-42D80026CFA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General</c:formatCode>
                <c:ptCount val="24"/>
                <c:pt idx="0">
                  <c:v>0.01</c:v>
                </c:pt>
                <c:pt idx="1">
                  <c:v>0.01</c:v>
                </c:pt>
                <c:pt idx="2">
                  <c:v>0.01</c:v>
                </c:pt>
                <c:pt idx="3">
                  <c:v>0.01</c:v>
                </c:pt>
                <c:pt idx="4">
                  <c:v>0.01</c:v>
                </c:pt>
                <c:pt idx="5">
                  <c:v>0.01</c:v>
                </c:pt>
                <c:pt idx="6">
                  <c:v>0.01</c:v>
                </c:pt>
                <c:pt idx="7">
                  <c:v>0.17</c:v>
                </c:pt>
                <c:pt idx="8">
                  <c:v>0.57999999999999996</c:v>
                </c:pt>
                <c:pt idx="9">
                  <c:v>0.66</c:v>
                </c:pt>
                <c:pt idx="10">
                  <c:v>0.78</c:v>
                </c:pt>
                <c:pt idx="11">
                  <c:v>0.82</c:v>
                </c:pt>
                <c:pt idx="12">
                  <c:v>0.71</c:v>
                </c:pt>
                <c:pt idx="13">
                  <c:v>0.82</c:v>
                </c:pt>
                <c:pt idx="14">
                  <c:v>0.78</c:v>
                </c:pt>
                <c:pt idx="15">
                  <c:v>0.74</c:v>
                </c:pt>
                <c:pt idx="16">
                  <c:v>0.63</c:v>
                </c:pt>
                <c:pt idx="17">
                  <c:v>0.41</c:v>
                </c:pt>
                <c:pt idx="18">
                  <c:v>0.18</c:v>
                </c:pt>
                <c:pt idx="19">
                  <c:v>0.18</c:v>
                </c:pt>
                <c:pt idx="20">
                  <c:v>0.18</c:v>
                </c:pt>
                <c:pt idx="21">
                  <c:v>0.1</c:v>
                </c:pt>
                <c:pt idx="22">
                  <c:v>0.01</c:v>
                </c:pt>
                <c:pt idx="23">
                  <c:v>0.01</c:v>
                </c:pt>
              </c:numCache>
            </c:numRef>
          </c:val>
          <c:smooth val="0"/>
          <c:extLst>
            <c:ext xmlns:c16="http://schemas.microsoft.com/office/drawing/2014/chart" uri="{C3380CC4-5D6E-409C-BE32-E72D297353CC}">
              <c16:uniqueId val="{00000000-3135-48D8-A067-570C878F17DC}"/>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General</c:formatCode>
                <c:ptCount val="24"/>
                <c:pt idx="0">
                  <c:v>0.01</c:v>
                </c:pt>
                <c:pt idx="1">
                  <c:v>0.01</c:v>
                </c:pt>
                <c:pt idx="2">
                  <c:v>0.01</c:v>
                </c:pt>
                <c:pt idx="3">
                  <c:v>0.01</c:v>
                </c:pt>
                <c:pt idx="4">
                  <c:v>0.01</c:v>
                </c:pt>
                <c:pt idx="5">
                  <c:v>0.01</c:v>
                </c:pt>
                <c:pt idx="6">
                  <c:v>0.01</c:v>
                </c:pt>
                <c:pt idx="7">
                  <c:v>0.01</c:v>
                </c:pt>
                <c:pt idx="8">
                  <c:v>0.2</c:v>
                </c:pt>
                <c:pt idx="9">
                  <c:v>0.28000000000000003</c:v>
                </c:pt>
                <c:pt idx="10">
                  <c:v>0.3</c:v>
                </c:pt>
                <c:pt idx="11">
                  <c:v>0.3</c:v>
                </c:pt>
                <c:pt idx="12">
                  <c:v>0.24</c:v>
                </c:pt>
                <c:pt idx="13">
                  <c:v>0.24</c:v>
                </c:pt>
                <c:pt idx="14">
                  <c:v>0.23</c:v>
                </c:pt>
                <c:pt idx="15">
                  <c:v>0.23</c:v>
                </c:pt>
                <c:pt idx="16">
                  <c:v>0.23</c:v>
                </c:pt>
                <c:pt idx="17">
                  <c:v>0.1</c:v>
                </c:pt>
                <c:pt idx="18">
                  <c:v>0.01</c:v>
                </c:pt>
                <c:pt idx="19">
                  <c:v>0.01</c:v>
                </c:pt>
                <c:pt idx="20">
                  <c:v>0.01</c:v>
                </c:pt>
                <c:pt idx="21">
                  <c:v>0.01</c:v>
                </c:pt>
                <c:pt idx="22">
                  <c:v>0.01</c:v>
                </c:pt>
                <c:pt idx="23">
                  <c:v>0.01</c:v>
                </c:pt>
              </c:numCache>
            </c:numRef>
          </c:val>
          <c:smooth val="0"/>
          <c:extLst>
            <c:ext xmlns:c16="http://schemas.microsoft.com/office/drawing/2014/chart" uri="{C3380CC4-5D6E-409C-BE32-E72D297353CC}">
              <c16:uniqueId val="{00000001-3135-48D8-A067-570C878F17DC}"/>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General</c:formatCode>
                <c:ptCount val="24"/>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numCache>
            </c:numRef>
          </c:val>
          <c:smooth val="0"/>
          <c:extLst>
            <c:ext xmlns:c16="http://schemas.microsoft.com/office/drawing/2014/chart" uri="{C3380CC4-5D6E-409C-BE32-E72D297353CC}">
              <c16:uniqueId val="{00000002-3135-48D8-A067-570C878F17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Schedules!$C$113</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Schedules!$E$113</c:f>
              <c:strCache>
                <c:ptCount val="1"/>
                <c:pt idx="0">
                  <c:v>Weekday</c:v>
                </c:pt>
              </c:strCache>
            </c:strRef>
          </c:tx>
          <c:spPr>
            <a:ln w="28575" cap="rnd">
              <a:solidFill>
                <a:schemeClr val="accent1"/>
              </a:solidFill>
              <a:round/>
            </a:ln>
            <a:effectLst/>
          </c:spPr>
          <c:marker>
            <c:symbol val="none"/>
          </c:marker>
          <c:val>
            <c:numRef>
              <c:f>Schedules!$F$113:$AC$113</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39B9-4015-9BB2-440604C1A03D}"/>
            </c:ext>
          </c:extLst>
        </c:ser>
        <c:ser>
          <c:idx val="1"/>
          <c:order val="1"/>
          <c:tx>
            <c:strRef>
              <c:f>Schedules!$E$114</c:f>
              <c:strCache>
                <c:ptCount val="1"/>
                <c:pt idx="0">
                  <c:v>Saturday</c:v>
                </c:pt>
              </c:strCache>
            </c:strRef>
          </c:tx>
          <c:spPr>
            <a:ln w="28575" cap="rnd">
              <a:solidFill>
                <a:schemeClr val="accent2"/>
              </a:solidFill>
              <a:round/>
            </a:ln>
            <a:effectLst/>
          </c:spPr>
          <c:marker>
            <c:symbol val="none"/>
          </c:marker>
          <c:val>
            <c:numRef>
              <c:f>Schedules!$F$114:$AC$114</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39B9-4015-9BB2-440604C1A03D}"/>
            </c:ext>
          </c:extLst>
        </c:ser>
        <c:ser>
          <c:idx val="2"/>
          <c:order val="2"/>
          <c:tx>
            <c:strRef>
              <c:f>Schedules!$E$115</c:f>
              <c:strCache>
                <c:ptCount val="1"/>
                <c:pt idx="0">
                  <c:v>Sunday</c:v>
                </c:pt>
              </c:strCache>
            </c:strRef>
          </c:tx>
          <c:spPr>
            <a:ln w="28575" cap="rnd">
              <a:solidFill>
                <a:schemeClr val="accent3"/>
              </a:solidFill>
              <a:round/>
            </a:ln>
            <a:effectLst/>
          </c:spPr>
          <c:marker>
            <c:symbol val="none"/>
          </c:marker>
          <c:val>
            <c:numRef>
              <c:f>Schedules!$F$115:$AC$115</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39B9-4015-9BB2-440604C1A03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Schedules!$C$116</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Schedules!$E$116</c:f>
              <c:strCache>
                <c:ptCount val="1"/>
                <c:pt idx="0">
                  <c:v>Weekday</c:v>
                </c:pt>
              </c:strCache>
            </c:strRef>
          </c:tx>
          <c:spPr>
            <a:ln w="28575" cap="rnd">
              <a:solidFill>
                <a:schemeClr val="accent1"/>
              </a:solidFill>
              <a:round/>
            </a:ln>
            <a:effectLst/>
          </c:spPr>
          <c:marker>
            <c:symbol val="none"/>
          </c:marker>
          <c:val>
            <c:numRef>
              <c:f>Schedules!$F$116:$AC$116</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6267-43C7-878A-C90CEE2C9700}"/>
            </c:ext>
          </c:extLst>
        </c:ser>
        <c:ser>
          <c:idx val="1"/>
          <c:order val="1"/>
          <c:tx>
            <c:strRef>
              <c:f>Schedules!$E$117</c:f>
              <c:strCache>
                <c:ptCount val="1"/>
                <c:pt idx="0">
                  <c:v>Saturday</c:v>
                </c:pt>
              </c:strCache>
            </c:strRef>
          </c:tx>
          <c:spPr>
            <a:ln w="28575" cap="rnd">
              <a:solidFill>
                <a:schemeClr val="accent2"/>
              </a:solidFill>
              <a:round/>
            </a:ln>
            <a:effectLst/>
          </c:spPr>
          <c:marker>
            <c:symbol val="none"/>
          </c:marker>
          <c:val>
            <c:numRef>
              <c:f>Schedules!$F$117:$AC$117</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6267-43C7-878A-C90CEE2C9700}"/>
            </c:ext>
          </c:extLst>
        </c:ser>
        <c:ser>
          <c:idx val="2"/>
          <c:order val="2"/>
          <c:tx>
            <c:strRef>
              <c:f>Schedules!$E$118</c:f>
              <c:strCache>
                <c:ptCount val="1"/>
                <c:pt idx="0">
                  <c:v>Sunday</c:v>
                </c:pt>
              </c:strCache>
            </c:strRef>
          </c:tx>
          <c:spPr>
            <a:ln w="28575" cap="rnd">
              <a:solidFill>
                <a:schemeClr val="accent3"/>
              </a:solidFill>
              <a:round/>
            </a:ln>
            <a:effectLst/>
          </c:spPr>
          <c:marker>
            <c:symbol val="none"/>
          </c:marker>
          <c:val>
            <c:numRef>
              <c:f>Schedules!$F$118:$AC$118</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6267-43C7-878A-C90CEE2C970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Schedules!$C$119</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Schedules!$E$119</c:f>
              <c:strCache>
                <c:ptCount val="1"/>
                <c:pt idx="0">
                  <c:v>Weekday</c:v>
                </c:pt>
              </c:strCache>
            </c:strRef>
          </c:tx>
          <c:spPr>
            <a:ln w="28575" cap="rnd">
              <a:solidFill>
                <a:schemeClr val="accent1"/>
              </a:solidFill>
              <a:round/>
            </a:ln>
            <a:effectLst/>
          </c:spPr>
          <c:marker>
            <c:symbol val="none"/>
          </c:marker>
          <c:val>
            <c:numRef>
              <c:f>Schedules!$F$119:$AC$119</c:f>
              <c:numCache>
                <c:formatCode>0.00</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36E4-4460-80DC-FB03CA44783A}"/>
            </c:ext>
          </c:extLst>
        </c:ser>
        <c:ser>
          <c:idx val="1"/>
          <c:order val="1"/>
          <c:tx>
            <c:strRef>
              <c:f>Schedules!$E$120</c:f>
              <c:strCache>
                <c:ptCount val="1"/>
                <c:pt idx="0">
                  <c:v>Saturday</c:v>
                </c:pt>
              </c:strCache>
            </c:strRef>
          </c:tx>
          <c:spPr>
            <a:ln w="28575" cap="rnd">
              <a:solidFill>
                <a:schemeClr val="accent2"/>
              </a:solidFill>
              <a:round/>
            </a:ln>
            <a:effectLst/>
          </c:spPr>
          <c:marker>
            <c:symbol val="none"/>
          </c:marker>
          <c:val>
            <c:numRef>
              <c:f>Schedules!$F$120:$AC$120</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36E4-4460-80DC-FB03CA44783A}"/>
            </c:ext>
          </c:extLst>
        </c:ser>
        <c:ser>
          <c:idx val="2"/>
          <c:order val="2"/>
          <c:tx>
            <c:strRef>
              <c:f>Schedules!$E$121</c:f>
              <c:strCache>
                <c:ptCount val="1"/>
                <c:pt idx="0">
                  <c:v>Sunday</c:v>
                </c:pt>
              </c:strCache>
            </c:strRef>
          </c:tx>
          <c:spPr>
            <a:ln w="28575" cap="rnd">
              <a:solidFill>
                <a:schemeClr val="accent3"/>
              </a:solidFill>
              <a:round/>
            </a:ln>
            <a:effectLst/>
          </c:spPr>
          <c:marker>
            <c:symbol val="none"/>
          </c:marker>
          <c:val>
            <c:numRef>
              <c:f>Schedules!$F$121:$AC$121</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36E4-4460-80DC-FB03CA44783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General</c:formatCode>
                <c:ptCount val="24"/>
                <c:pt idx="0">
                  <c:v>0.4</c:v>
                </c:pt>
                <c:pt idx="1">
                  <c:v>0.4</c:v>
                </c:pt>
                <c:pt idx="2">
                  <c:v>0.4</c:v>
                </c:pt>
                <c:pt idx="3">
                  <c:v>0.4</c:v>
                </c:pt>
                <c:pt idx="4">
                  <c:v>0.4</c:v>
                </c:pt>
                <c:pt idx="5">
                  <c:v>0.4</c:v>
                </c:pt>
                <c:pt idx="6">
                  <c:v>0.4</c:v>
                </c:pt>
                <c:pt idx="7">
                  <c:v>0.5</c:v>
                </c:pt>
                <c:pt idx="8">
                  <c:v>0.6</c:v>
                </c:pt>
                <c:pt idx="9">
                  <c:v>0.8</c:v>
                </c:pt>
                <c:pt idx="10">
                  <c:v>0.8</c:v>
                </c:pt>
                <c:pt idx="11">
                  <c:v>0.8</c:v>
                </c:pt>
                <c:pt idx="12">
                  <c:v>0.8</c:v>
                </c:pt>
                <c:pt idx="13">
                  <c:v>0.8</c:v>
                </c:pt>
                <c:pt idx="14">
                  <c:v>0.8</c:v>
                </c:pt>
                <c:pt idx="15">
                  <c:v>0.8</c:v>
                </c:pt>
                <c:pt idx="16">
                  <c:v>0.8</c:v>
                </c:pt>
                <c:pt idx="17">
                  <c:v>0.6</c:v>
                </c:pt>
                <c:pt idx="18">
                  <c:v>0.5</c:v>
                </c:pt>
                <c:pt idx="19">
                  <c:v>0.5</c:v>
                </c:pt>
                <c:pt idx="20">
                  <c:v>0.4</c:v>
                </c:pt>
                <c:pt idx="21">
                  <c:v>0.4</c:v>
                </c:pt>
                <c:pt idx="22">
                  <c:v>0.4</c:v>
                </c:pt>
                <c:pt idx="23">
                  <c:v>0.4</c:v>
                </c:pt>
              </c:numCache>
            </c:numRef>
          </c:val>
          <c:smooth val="0"/>
          <c:extLst>
            <c:ext xmlns:c16="http://schemas.microsoft.com/office/drawing/2014/chart" uri="{C3380CC4-5D6E-409C-BE32-E72D297353CC}">
              <c16:uniqueId val="{00000000-98C1-48DF-BBA2-B8A6054D87D3}"/>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General</c:formatCode>
                <c:ptCount val="24"/>
                <c:pt idx="0">
                  <c:v>0.4</c:v>
                </c:pt>
                <c:pt idx="1">
                  <c:v>0.4</c:v>
                </c:pt>
                <c:pt idx="2">
                  <c:v>0.4</c:v>
                </c:pt>
                <c:pt idx="3">
                  <c:v>0.4</c:v>
                </c:pt>
                <c:pt idx="4">
                  <c:v>0.4</c:v>
                </c:pt>
                <c:pt idx="5">
                  <c:v>0.4</c:v>
                </c:pt>
                <c:pt idx="6">
                  <c:v>0.4</c:v>
                </c:pt>
                <c:pt idx="7">
                  <c:v>0.5</c:v>
                </c:pt>
                <c:pt idx="8">
                  <c:v>0.6</c:v>
                </c:pt>
                <c:pt idx="9">
                  <c:v>0.6</c:v>
                </c:pt>
                <c:pt idx="10">
                  <c:v>0.6</c:v>
                </c:pt>
                <c:pt idx="11">
                  <c:v>0.6</c:v>
                </c:pt>
                <c:pt idx="12">
                  <c:v>0.6</c:v>
                </c:pt>
                <c:pt idx="13">
                  <c:v>0.6</c:v>
                </c:pt>
                <c:pt idx="14">
                  <c:v>0.6</c:v>
                </c:pt>
                <c:pt idx="15">
                  <c:v>0.6</c:v>
                </c:pt>
                <c:pt idx="16">
                  <c:v>0.6</c:v>
                </c:pt>
                <c:pt idx="17">
                  <c:v>0.5</c:v>
                </c:pt>
                <c:pt idx="18">
                  <c:v>0.5</c:v>
                </c:pt>
                <c:pt idx="19">
                  <c:v>0.4</c:v>
                </c:pt>
                <c:pt idx="20">
                  <c:v>0.4</c:v>
                </c:pt>
                <c:pt idx="21">
                  <c:v>0.4</c:v>
                </c:pt>
                <c:pt idx="22">
                  <c:v>0.4</c:v>
                </c:pt>
                <c:pt idx="23">
                  <c:v>0.4</c:v>
                </c:pt>
              </c:numCache>
            </c:numRef>
          </c:val>
          <c:smooth val="0"/>
          <c:extLst>
            <c:ext xmlns:c16="http://schemas.microsoft.com/office/drawing/2014/chart" uri="{C3380CC4-5D6E-409C-BE32-E72D297353CC}">
              <c16:uniqueId val="{00000001-98C1-48DF-BBA2-B8A6054D87D3}"/>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General</c:formatCode>
                <c:ptCount val="24"/>
                <c:pt idx="0">
                  <c:v>0.4</c:v>
                </c:pt>
                <c:pt idx="1">
                  <c:v>0.4</c:v>
                </c:pt>
                <c:pt idx="2">
                  <c:v>0.4</c:v>
                </c:pt>
                <c:pt idx="3">
                  <c:v>0.4</c:v>
                </c:pt>
                <c:pt idx="4">
                  <c:v>0.4</c:v>
                </c:pt>
                <c:pt idx="5">
                  <c:v>0.4</c:v>
                </c:pt>
                <c:pt idx="6">
                  <c:v>0.4</c:v>
                </c:pt>
                <c:pt idx="7">
                  <c:v>0.4</c:v>
                </c:pt>
                <c:pt idx="8">
                  <c:v>0.6</c:v>
                </c:pt>
                <c:pt idx="9">
                  <c:v>0.6</c:v>
                </c:pt>
                <c:pt idx="10">
                  <c:v>0.6</c:v>
                </c:pt>
                <c:pt idx="11">
                  <c:v>0.6</c:v>
                </c:pt>
                <c:pt idx="12">
                  <c:v>0.6</c:v>
                </c:pt>
                <c:pt idx="13">
                  <c:v>0.6</c:v>
                </c:pt>
                <c:pt idx="14">
                  <c:v>0.6</c:v>
                </c:pt>
                <c:pt idx="15">
                  <c:v>0.6</c:v>
                </c:pt>
                <c:pt idx="16">
                  <c:v>0.4</c:v>
                </c:pt>
                <c:pt idx="17">
                  <c:v>0.4</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2-98C1-48DF-BBA2-B8A6054D87D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General</c:formatCode>
                <c:ptCount val="24"/>
                <c:pt idx="0">
                  <c:v>0.45</c:v>
                </c:pt>
                <c:pt idx="1">
                  <c:v>0.45</c:v>
                </c:pt>
                <c:pt idx="2">
                  <c:v>0.45</c:v>
                </c:pt>
                <c:pt idx="3">
                  <c:v>0.45</c:v>
                </c:pt>
                <c:pt idx="4">
                  <c:v>0.45</c:v>
                </c:pt>
                <c:pt idx="5">
                  <c:v>0.45</c:v>
                </c:pt>
                <c:pt idx="6">
                  <c:v>0.45</c:v>
                </c:pt>
                <c:pt idx="7">
                  <c:v>0.45</c:v>
                </c:pt>
                <c:pt idx="8">
                  <c:v>0.81</c:v>
                </c:pt>
                <c:pt idx="9">
                  <c:v>0.81</c:v>
                </c:pt>
                <c:pt idx="10">
                  <c:v>0.81</c:v>
                </c:pt>
                <c:pt idx="11">
                  <c:v>0.81</c:v>
                </c:pt>
                <c:pt idx="12">
                  <c:v>0.81</c:v>
                </c:pt>
                <c:pt idx="13">
                  <c:v>0.81</c:v>
                </c:pt>
                <c:pt idx="14">
                  <c:v>0.81</c:v>
                </c:pt>
                <c:pt idx="15">
                  <c:v>0.81</c:v>
                </c:pt>
                <c:pt idx="16">
                  <c:v>0.45</c:v>
                </c:pt>
                <c:pt idx="17">
                  <c:v>0.45</c:v>
                </c:pt>
                <c:pt idx="18">
                  <c:v>0.45</c:v>
                </c:pt>
                <c:pt idx="19">
                  <c:v>0.45</c:v>
                </c:pt>
                <c:pt idx="20">
                  <c:v>0.45</c:v>
                </c:pt>
                <c:pt idx="21">
                  <c:v>0.45</c:v>
                </c:pt>
                <c:pt idx="22">
                  <c:v>0.45</c:v>
                </c:pt>
                <c:pt idx="23">
                  <c:v>0.45</c:v>
                </c:pt>
              </c:numCache>
            </c:numRef>
          </c:val>
          <c:smooth val="0"/>
          <c:extLst>
            <c:ext xmlns:c16="http://schemas.microsoft.com/office/drawing/2014/chart" uri="{C3380CC4-5D6E-409C-BE32-E72D297353CC}">
              <c16:uniqueId val="{00000000-9A06-47E6-A215-813824CD4726}"/>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General</c:formatCode>
                <c:ptCount val="24"/>
                <c:pt idx="0">
                  <c:v>0.45</c:v>
                </c:pt>
                <c:pt idx="1">
                  <c:v>0.45</c:v>
                </c:pt>
                <c:pt idx="2">
                  <c:v>0.45</c:v>
                </c:pt>
                <c:pt idx="3">
                  <c:v>0.45</c:v>
                </c:pt>
                <c:pt idx="4">
                  <c:v>0.45</c:v>
                </c:pt>
                <c:pt idx="5">
                  <c:v>0.45</c:v>
                </c:pt>
                <c:pt idx="6">
                  <c:v>0.45</c:v>
                </c:pt>
                <c:pt idx="7">
                  <c:v>0.45</c:v>
                </c:pt>
                <c:pt idx="8">
                  <c:v>0.72</c:v>
                </c:pt>
                <c:pt idx="9">
                  <c:v>0.72</c:v>
                </c:pt>
                <c:pt idx="10">
                  <c:v>0.72</c:v>
                </c:pt>
                <c:pt idx="11">
                  <c:v>0.72</c:v>
                </c:pt>
                <c:pt idx="12">
                  <c:v>0.72</c:v>
                </c:pt>
                <c:pt idx="13">
                  <c:v>0.72</c:v>
                </c:pt>
                <c:pt idx="14">
                  <c:v>0.72</c:v>
                </c:pt>
                <c:pt idx="15">
                  <c:v>0.72</c:v>
                </c:pt>
                <c:pt idx="16">
                  <c:v>0.72</c:v>
                </c:pt>
                <c:pt idx="17">
                  <c:v>0.72</c:v>
                </c:pt>
                <c:pt idx="18">
                  <c:v>0.45</c:v>
                </c:pt>
                <c:pt idx="19">
                  <c:v>0.45</c:v>
                </c:pt>
                <c:pt idx="20">
                  <c:v>0.45</c:v>
                </c:pt>
                <c:pt idx="21">
                  <c:v>0.45</c:v>
                </c:pt>
                <c:pt idx="22">
                  <c:v>0.45</c:v>
                </c:pt>
                <c:pt idx="23">
                  <c:v>0.45</c:v>
                </c:pt>
              </c:numCache>
            </c:numRef>
          </c:val>
          <c:smooth val="0"/>
          <c:extLst>
            <c:ext xmlns:c16="http://schemas.microsoft.com/office/drawing/2014/chart" uri="{C3380CC4-5D6E-409C-BE32-E72D297353CC}">
              <c16:uniqueId val="{00000001-9A06-47E6-A215-813824CD4726}"/>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General</c:formatCode>
                <c:ptCount val="24"/>
                <c:pt idx="0">
                  <c:v>0.45</c:v>
                </c:pt>
                <c:pt idx="1">
                  <c:v>0.45</c:v>
                </c:pt>
                <c:pt idx="2">
                  <c:v>0.45</c:v>
                </c:pt>
                <c:pt idx="3">
                  <c:v>0.45</c:v>
                </c:pt>
                <c:pt idx="4">
                  <c:v>0.45</c:v>
                </c:pt>
                <c:pt idx="5">
                  <c:v>0.45</c:v>
                </c:pt>
                <c:pt idx="6">
                  <c:v>0.45</c:v>
                </c:pt>
                <c:pt idx="7">
                  <c:v>0.45</c:v>
                </c:pt>
                <c:pt idx="8">
                  <c:v>0.63</c:v>
                </c:pt>
                <c:pt idx="9">
                  <c:v>0.63</c:v>
                </c:pt>
                <c:pt idx="10">
                  <c:v>0.63</c:v>
                </c:pt>
                <c:pt idx="11">
                  <c:v>0.63</c:v>
                </c:pt>
                <c:pt idx="12">
                  <c:v>0.63</c:v>
                </c:pt>
                <c:pt idx="13">
                  <c:v>0.63</c:v>
                </c:pt>
                <c:pt idx="14">
                  <c:v>0.63</c:v>
                </c:pt>
                <c:pt idx="15">
                  <c:v>0.63</c:v>
                </c:pt>
                <c:pt idx="16">
                  <c:v>0.45</c:v>
                </c:pt>
                <c:pt idx="17">
                  <c:v>0.45</c:v>
                </c:pt>
                <c:pt idx="18">
                  <c:v>0.45</c:v>
                </c:pt>
                <c:pt idx="19">
                  <c:v>0.45</c:v>
                </c:pt>
                <c:pt idx="20">
                  <c:v>0.45</c:v>
                </c:pt>
                <c:pt idx="21">
                  <c:v>0.45</c:v>
                </c:pt>
                <c:pt idx="22">
                  <c:v>0.45</c:v>
                </c:pt>
                <c:pt idx="23">
                  <c:v>0.45</c:v>
                </c:pt>
              </c:numCache>
            </c:numRef>
          </c:val>
          <c:smooth val="0"/>
          <c:extLst>
            <c:ext xmlns:c16="http://schemas.microsoft.com/office/drawing/2014/chart" uri="{C3380CC4-5D6E-409C-BE32-E72D297353CC}">
              <c16:uniqueId val="{00000002-9A06-47E6-A215-813824CD47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0.4</c:v>
                </c:pt>
                <c:pt idx="1">
                  <c:v>0.4</c:v>
                </c:pt>
                <c:pt idx="2">
                  <c:v>0.4</c:v>
                </c:pt>
                <c:pt idx="3">
                  <c:v>0.4</c:v>
                </c:pt>
                <c:pt idx="4">
                  <c:v>0.4</c:v>
                </c:pt>
                <c:pt idx="5">
                  <c:v>0.4</c:v>
                </c:pt>
                <c:pt idx="6">
                  <c:v>0.4</c:v>
                </c:pt>
                <c:pt idx="7">
                  <c:v>0.7</c:v>
                </c:pt>
                <c:pt idx="8">
                  <c:v>0.9</c:v>
                </c:pt>
                <c:pt idx="9">
                  <c:v>0.9</c:v>
                </c:pt>
                <c:pt idx="10">
                  <c:v>0.9</c:v>
                </c:pt>
                <c:pt idx="11">
                  <c:v>0.9</c:v>
                </c:pt>
                <c:pt idx="12">
                  <c:v>0.9</c:v>
                </c:pt>
                <c:pt idx="13">
                  <c:v>0.9</c:v>
                </c:pt>
                <c:pt idx="14">
                  <c:v>0.9</c:v>
                </c:pt>
                <c:pt idx="15">
                  <c:v>0.9</c:v>
                </c:pt>
                <c:pt idx="16">
                  <c:v>0.6</c:v>
                </c:pt>
                <c:pt idx="17">
                  <c:v>0.6</c:v>
                </c:pt>
                <c:pt idx="18">
                  <c:v>0.6</c:v>
                </c:pt>
                <c:pt idx="19">
                  <c:v>0.6</c:v>
                </c:pt>
                <c:pt idx="20">
                  <c:v>0.6</c:v>
                </c:pt>
                <c:pt idx="21">
                  <c:v>0.6</c:v>
                </c:pt>
                <c:pt idx="22">
                  <c:v>0.6</c:v>
                </c:pt>
                <c:pt idx="23">
                  <c:v>0.4</c:v>
                </c:pt>
              </c:numCache>
            </c:numRef>
          </c:val>
          <c:smooth val="0"/>
          <c:extLst>
            <c:ext xmlns:c16="http://schemas.microsoft.com/office/drawing/2014/chart" uri="{C3380CC4-5D6E-409C-BE32-E72D297353CC}">
              <c16:uniqueId val="{00000000-F6A8-49B7-B5EF-F80469C6616F}"/>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0.4</c:v>
                </c:pt>
                <c:pt idx="1">
                  <c:v>0.4</c:v>
                </c:pt>
                <c:pt idx="2">
                  <c:v>0.4</c:v>
                </c:pt>
                <c:pt idx="3">
                  <c:v>0.4</c:v>
                </c:pt>
                <c:pt idx="4">
                  <c:v>0.4</c:v>
                </c:pt>
                <c:pt idx="5">
                  <c:v>0.4</c:v>
                </c:pt>
                <c:pt idx="6">
                  <c:v>0.4</c:v>
                </c:pt>
                <c:pt idx="7">
                  <c:v>0.8</c:v>
                </c:pt>
                <c:pt idx="8">
                  <c:v>0.65</c:v>
                </c:pt>
                <c:pt idx="9">
                  <c:v>0.65</c:v>
                </c:pt>
                <c:pt idx="10">
                  <c:v>0.65</c:v>
                </c:pt>
                <c:pt idx="11">
                  <c:v>0.65</c:v>
                </c:pt>
                <c:pt idx="12">
                  <c:v>0.65</c:v>
                </c:pt>
                <c:pt idx="13">
                  <c:v>0.65</c:v>
                </c:pt>
                <c:pt idx="14">
                  <c:v>0.65</c:v>
                </c:pt>
                <c:pt idx="15">
                  <c:v>0.65</c:v>
                </c:pt>
                <c:pt idx="16">
                  <c:v>0.65</c:v>
                </c:pt>
                <c:pt idx="17">
                  <c:v>0.65</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1-F6A8-49B7-B5EF-F80469C6616F}"/>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0.4</c:v>
                </c:pt>
                <c:pt idx="1">
                  <c:v>0.4</c:v>
                </c:pt>
                <c:pt idx="2">
                  <c:v>0.4</c:v>
                </c:pt>
                <c:pt idx="3">
                  <c:v>0.4</c:v>
                </c:pt>
                <c:pt idx="4">
                  <c:v>0.4</c:v>
                </c:pt>
                <c:pt idx="5">
                  <c:v>0.4</c:v>
                </c:pt>
                <c:pt idx="6">
                  <c:v>0.4</c:v>
                </c:pt>
                <c:pt idx="7">
                  <c:v>0.4</c:v>
                </c:pt>
                <c:pt idx="8">
                  <c:v>0.6</c:v>
                </c:pt>
                <c:pt idx="9">
                  <c:v>0.6</c:v>
                </c:pt>
                <c:pt idx="10">
                  <c:v>0.6</c:v>
                </c:pt>
                <c:pt idx="11">
                  <c:v>0.6</c:v>
                </c:pt>
                <c:pt idx="12">
                  <c:v>0.6</c:v>
                </c:pt>
                <c:pt idx="13">
                  <c:v>0.6</c:v>
                </c:pt>
                <c:pt idx="14">
                  <c:v>0.6</c:v>
                </c:pt>
                <c:pt idx="15">
                  <c:v>0.6</c:v>
                </c:pt>
                <c:pt idx="16">
                  <c:v>0.4</c:v>
                </c:pt>
                <c:pt idx="17">
                  <c:v>0.4</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2-F6A8-49B7-B5EF-F80469C6616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Schedules!$E$47</c:f>
              <c:strCache>
                <c:ptCount val="1"/>
                <c:pt idx="0">
                  <c:v>Weekday</c:v>
                </c:pt>
              </c:strCache>
            </c:strRef>
          </c:tx>
          <c:spPr>
            <a:ln w="28575" cap="rnd">
              <a:solidFill>
                <a:schemeClr val="accent1"/>
              </a:solidFill>
              <a:round/>
            </a:ln>
            <a:effectLst/>
          </c:spPr>
          <c:marker>
            <c:symbol val="none"/>
          </c:marker>
          <c:val>
            <c:numRef>
              <c:f>Schedules!$F$47:$AC$47</c:f>
              <c:numCache>
                <c:formatCode>0.00</c:formatCode>
                <c:ptCount val="24"/>
                <c:pt idx="0">
                  <c:v>0.1</c:v>
                </c:pt>
                <c:pt idx="1">
                  <c:v>0.1</c:v>
                </c:pt>
                <c:pt idx="2">
                  <c:v>0.1</c:v>
                </c:pt>
                <c:pt idx="3">
                  <c:v>0.1</c:v>
                </c:pt>
                <c:pt idx="4">
                  <c:v>0.1</c:v>
                </c:pt>
                <c:pt idx="5">
                  <c:v>0.1</c:v>
                </c:pt>
                <c:pt idx="6">
                  <c:v>0.1</c:v>
                </c:pt>
                <c:pt idx="7">
                  <c:v>0.75</c:v>
                </c:pt>
                <c:pt idx="8">
                  <c:v>0.9</c:v>
                </c:pt>
                <c:pt idx="9">
                  <c:v>0.9</c:v>
                </c:pt>
                <c:pt idx="10">
                  <c:v>0.9</c:v>
                </c:pt>
                <c:pt idx="11">
                  <c:v>0.9</c:v>
                </c:pt>
                <c:pt idx="12">
                  <c:v>0.9</c:v>
                </c:pt>
                <c:pt idx="13">
                  <c:v>0.9</c:v>
                </c:pt>
                <c:pt idx="14">
                  <c:v>0.9</c:v>
                </c:pt>
                <c:pt idx="15">
                  <c:v>0.9</c:v>
                </c:pt>
                <c:pt idx="16">
                  <c:v>0.9</c:v>
                </c:pt>
                <c:pt idx="17">
                  <c:v>0.75</c:v>
                </c:pt>
                <c:pt idx="18">
                  <c:v>0.2</c:v>
                </c:pt>
                <c:pt idx="19">
                  <c:v>0.1</c:v>
                </c:pt>
                <c:pt idx="20">
                  <c:v>0.1</c:v>
                </c:pt>
                <c:pt idx="21">
                  <c:v>0.1</c:v>
                </c:pt>
                <c:pt idx="22">
                  <c:v>0.1</c:v>
                </c:pt>
                <c:pt idx="23">
                  <c:v>0.1</c:v>
                </c:pt>
              </c:numCache>
            </c:numRef>
          </c:val>
          <c:smooth val="0"/>
          <c:extLst>
            <c:ext xmlns:c16="http://schemas.microsoft.com/office/drawing/2014/chart" uri="{C3380CC4-5D6E-409C-BE32-E72D297353CC}">
              <c16:uniqueId val="{00000000-8CCD-488E-ACA1-BC05498CCC28}"/>
            </c:ext>
          </c:extLst>
        </c:ser>
        <c:ser>
          <c:idx val="1"/>
          <c:order val="1"/>
          <c:tx>
            <c:strRef>
              <c:f>Schedules!$E$48</c:f>
              <c:strCache>
                <c:ptCount val="1"/>
                <c:pt idx="0">
                  <c:v>Saturday</c:v>
                </c:pt>
              </c:strCache>
            </c:strRef>
          </c:tx>
          <c:spPr>
            <a:ln w="28575" cap="rnd">
              <a:solidFill>
                <a:schemeClr val="accent2"/>
              </a:solidFill>
              <a:round/>
            </a:ln>
            <a:effectLst/>
          </c:spPr>
          <c:marker>
            <c:symbol val="none"/>
          </c:marker>
          <c:val>
            <c:numRef>
              <c:f>Schedules!$F$48:$AC$48</c:f>
              <c:numCache>
                <c:formatCode>0.00</c:formatCode>
                <c:ptCount val="24"/>
                <c:pt idx="0">
                  <c:v>0.1</c:v>
                </c:pt>
                <c:pt idx="1">
                  <c:v>0.1</c:v>
                </c:pt>
                <c:pt idx="2">
                  <c:v>0.1</c:v>
                </c:pt>
                <c:pt idx="3">
                  <c:v>0.1</c:v>
                </c:pt>
                <c:pt idx="4">
                  <c:v>0.1</c:v>
                </c:pt>
                <c:pt idx="5">
                  <c:v>0.1</c:v>
                </c:pt>
                <c:pt idx="6">
                  <c:v>0.1</c:v>
                </c:pt>
                <c:pt idx="7">
                  <c:v>0.3</c:v>
                </c:pt>
                <c:pt idx="8">
                  <c:v>0.5</c:v>
                </c:pt>
                <c:pt idx="9">
                  <c:v>0.5</c:v>
                </c:pt>
                <c:pt idx="10">
                  <c:v>0.5</c:v>
                </c:pt>
                <c:pt idx="11">
                  <c:v>0.5</c:v>
                </c:pt>
                <c:pt idx="12">
                  <c:v>0.5</c:v>
                </c:pt>
                <c:pt idx="13">
                  <c:v>0.5</c:v>
                </c:pt>
                <c:pt idx="14">
                  <c:v>0.5</c:v>
                </c:pt>
                <c:pt idx="15">
                  <c:v>0.5</c:v>
                </c:pt>
                <c:pt idx="16">
                  <c:v>0.5</c:v>
                </c:pt>
                <c:pt idx="17">
                  <c:v>0.3</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8CCD-488E-ACA1-BC05498CCC28}"/>
            </c:ext>
          </c:extLst>
        </c:ser>
        <c:ser>
          <c:idx val="2"/>
          <c:order val="2"/>
          <c:tx>
            <c:strRef>
              <c:f>Schedules!$E$49</c:f>
              <c:strCache>
                <c:ptCount val="1"/>
                <c:pt idx="0">
                  <c:v>Sunday</c:v>
                </c:pt>
              </c:strCache>
            </c:strRef>
          </c:tx>
          <c:spPr>
            <a:ln w="28575" cap="rnd">
              <a:solidFill>
                <a:schemeClr val="accent3"/>
              </a:solidFill>
              <a:round/>
            </a:ln>
            <a:effectLst/>
          </c:spPr>
          <c:marker>
            <c:symbol val="none"/>
          </c:marker>
          <c:val>
            <c:numRef>
              <c:f>Schedules!$F$49:$AC$49</c:f>
              <c:numCache>
                <c:formatCode>0.00</c:formatCode>
                <c:ptCount val="24"/>
                <c:pt idx="0">
                  <c:v>0.1</c:v>
                </c:pt>
                <c:pt idx="1">
                  <c:v>0.1</c:v>
                </c:pt>
                <c:pt idx="2">
                  <c:v>0.1</c:v>
                </c:pt>
                <c:pt idx="3">
                  <c:v>0.1</c:v>
                </c:pt>
                <c:pt idx="4">
                  <c:v>0.1</c:v>
                </c:pt>
                <c:pt idx="5">
                  <c:v>0.1</c:v>
                </c:pt>
                <c:pt idx="6">
                  <c:v>0.1</c:v>
                </c:pt>
                <c:pt idx="7">
                  <c:v>0.3</c:v>
                </c:pt>
                <c:pt idx="8">
                  <c:v>0.5</c:v>
                </c:pt>
                <c:pt idx="9">
                  <c:v>0.5</c:v>
                </c:pt>
                <c:pt idx="10">
                  <c:v>0.5</c:v>
                </c:pt>
                <c:pt idx="11">
                  <c:v>0.5</c:v>
                </c:pt>
                <c:pt idx="12">
                  <c:v>0.5</c:v>
                </c:pt>
                <c:pt idx="13">
                  <c:v>0.5</c:v>
                </c:pt>
                <c:pt idx="14">
                  <c:v>0.5</c:v>
                </c:pt>
                <c:pt idx="15">
                  <c:v>0.5</c:v>
                </c:pt>
                <c:pt idx="16">
                  <c:v>0.5</c:v>
                </c:pt>
                <c:pt idx="17">
                  <c:v>0.3</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2-8CCD-488E-ACA1-BC05498CCC2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General</c:formatCode>
                <c:ptCount val="24"/>
                <c:pt idx="0">
                  <c:v>0.3</c:v>
                </c:pt>
                <c:pt idx="1">
                  <c:v>0.3</c:v>
                </c:pt>
                <c:pt idx="2">
                  <c:v>0.3</c:v>
                </c:pt>
                <c:pt idx="3">
                  <c:v>0.3</c:v>
                </c:pt>
                <c:pt idx="4">
                  <c:v>0.3</c:v>
                </c:pt>
                <c:pt idx="5">
                  <c:v>0.3</c:v>
                </c:pt>
                <c:pt idx="6">
                  <c:v>0.5</c:v>
                </c:pt>
                <c:pt idx="7">
                  <c:v>0.57999999999999996</c:v>
                </c:pt>
                <c:pt idx="8">
                  <c:v>0.66</c:v>
                </c:pt>
                <c:pt idx="9">
                  <c:v>0.78</c:v>
                </c:pt>
                <c:pt idx="10">
                  <c:v>0.82</c:v>
                </c:pt>
                <c:pt idx="11">
                  <c:v>0.71</c:v>
                </c:pt>
                <c:pt idx="12">
                  <c:v>0.82</c:v>
                </c:pt>
                <c:pt idx="13">
                  <c:v>0.78</c:v>
                </c:pt>
                <c:pt idx="14">
                  <c:v>0.74</c:v>
                </c:pt>
                <c:pt idx="15">
                  <c:v>0.63</c:v>
                </c:pt>
                <c:pt idx="16">
                  <c:v>0.41</c:v>
                </c:pt>
                <c:pt idx="17">
                  <c:v>0.35</c:v>
                </c:pt>
                <c:pt idx="18">
                  <c:v>0.35</c:v>
                </c:pt>
                <c:pt idx="19">
                  <c:v>0.35</c:v>
                </c:pt>
                <c:pt idx="20">
                  <c:v>0.3</c:v>
                </c:pt>
                <c:pt idx="21">
                  <c:v>0.3</c:v>
                </c:pt>
                <c:pt idx="22">
                  <c:v>0.3</c:v>
                </c:pt>
                <c:pt idx="23">
                  <c:v>0.3</c:v>
                </c:pt>
              </c:numCache>
            </c:numRef>
          </c:val>
          <c:smooth val="0"/>
          <c:extLst>
            <c:ext xmlns:c16="http://schemas.microsoft.com/office/drawing/2014/chart" uri="{C3380CC4-5D6E-409C-BE32-E72D297353CC}">
              <c16:uniqueId val="{00000000-C381-4A7C-AA89-D882BDD2E8BE}"/>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General</c:formatCode>
                <c:ptCount val="24"/>
                <c:pt idx="0">
                  <c:v>0.3</c:v>
                </c:pt>
                <c:pt idx="1">
                  <c:v>0.3</c:v>
                </c:pt>
                <c:pt idx="2">
                  <c:v>0.3</c:v>
                </c:pt>
                <c:pt idx="3">
                  <c:v>0.3</c:v>
                </c:pt>
                <c:pt idx="4">
                  <c:v>0.3</c:v>
                </c:pt>
                <c:pt idx="5">
                  <c:v>0.3</c:v>
                </c:pt>
                <c:pt idx="6">
                  <c:v>0.3</c:v>
                </c:pt>
                <c:pt idx="7">
                  <c:v>0.4</c:v>
                </c:pt>
                <c:pt idx="8">
                  <c:v>0.5</c:v>
                </c:pt>
                <c:pt idx="9">
                  <c:v>0.6</c:v>
                </c:pt>
                <c:pt idx="10">
                  <c:v>0.6</c:v>
                </c:pt>
                <c:pt idx="11">
                  <c:v>0.6</c:v>
                </c:pt>
                <c:pt idx="12">
                  <c:v>0.6</c:v>
                </c:pt>
                <c:pt idx="13">
                  <c:v>0.6</c:v>
                </c:pt>
                <c:pt idx="14">
                  <c:v>0.6</c:v>
                </c:pt>
                <c:pt idx="15">
                  <c:v>0.6</c:v>
                </c:pt>
                <c:pt idx="16">
                  <c:v>0.5</c:v>
                </c:pt>
                <c:pt idx="17">
                  <c:v>0.3</c:v>
                </c:pt>
                <c:pt idx="18">
                  <c:v>0.3</c:v>
                </c:pt>
                <c:pt idx="19">
                  <c:v>0.3</c:v>
                </c:pt>
                <c:pt idx="20">
                  <c:v>0.3</c:v>
                </c:pt>
                <c:pt idx="21">
                  <c:v>0.3</c:v>
                </c:pt>
                <c:pt idx="22">
                  <c:v>0.3</c:v>
                </c:pt>
                <c:pt idx="23">
                  <c:v>0.3</c:v>
                </c:pt>
              </c:numCache>
            </c:numRef>
          </c:val>
          <c:smooth val="0"/>
          <c:extLst>
            <c:ext xmlns:c16="http://schemas.microsoft.com/office/drawing/2014/chart" uri="{C3380CC4-5D6E-409C-BE32-E72D297353CC}">
              <c16:uniqueId val="{00000001-C381-4A7C-AA89-D882BDD2E8BE}"/>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General</c:formatCode>
                <c:ptCount val="24"/>
                <c:pt idx="0">
                  <c:v>0.3</c:v>
                </c:pt>
                <c:pt idx="1">
                  <c:v>0.3</c:v>
                </c:pt>
                <c:pt idx="2">
                  <c:v>0.3</c:v>
                </c:pt>
                <c:pt idx="3">
                  <c:v>0.3</c:v>
                </c:pt>
                <c:pt idx="4">
                  <c:v>0.3</c:v>
                </c:pt>
                <c:pt idx="5">
                  <c:v>0.3</c:v>
                </c:pt>
                <c:pt idx="6">
                  <c:v>0.3</c:v>
                </c:pt>
                <c:pt idx="7">
                  <c:v>0.4</c:v>
                </c:pt>
                <c:pt idx="8">
                  <c:v>0.5</c:v>
                </c:pt>
                <c:pt idx="9">
                  <c:v>0.6</c:v>
                </c:pt>
                <c:pt idx="10">
                  <c:v>0.6</c:v>
                </c:pt>
                <c:pt idx="11">
                  <c:v>0.6</c:v>
                </c:pt>
                <c:pt idx="12">
                  <c:v>0.6</c:v>
                </c:pt>
                <c:pt idx="13">
                  <c:v>0.6</c:v>
                </c:pt>
                <c:pt idx="14">
                  <c:v>0.6</c:v>
                </c:pt>
                <c:pt idx="15">
                  <c:v>0.6</c:v>
                </c:pt>
                <c:pt idx="16">
                  <c:v>0.5</c:v>
                </c:pt>
                <c:pt idx="17">
                  <c:v>0.3</c:v>
                </c:pt>
                <c:pt idx="18">
                  <c:v>0.3</c:v>
                </c:pt>
                <c:pt idx="19">
                  <c:v>0.3</c:v>
                </c:pt>
                <c:pt idx="20">
                  <c:v>0.3</c:v>
                </c:pt>
                <c:pt idx="21">
                  <c:v>0.3</c:v>
                </c:pt>
                <c:pt idx="22">
                  <c:v>0.3</c:v>
                </c:pt>
                <c:pt idx="23">
                  <c:v>0.3</c:v>
                </c:pt>
              </c:numCache>
            </c:numRef>
          </c:val>
          <c:smooth val="0"/>
          <c:extLst>
            <c:ext xmlns:c16="http://schemas.microsoft.com/office/drawing/2014/chart" uri="{C3380CC4-5D6E-409C-BE32-E72D297353CC}">
              <c16:uniqueId val="{00000002-C381-4A7C-AA89-D882BDD2E8B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0.1</c:v>
                </c:pt>
                <c:pt idx="1">
                  <c:v>0.1</c:v>
                </c:pt>
                <c:pt idx="2">
                  <c:v>0.1</c:v>
                </c:pt>
                <c:pt idx="3">
                  <c:v>0.1</c:v>
                </c:pt>
                <c:pt idx="4">
                  <c:v>0.1</c:v>
                </c:pt>
                <c:pt idx="5">
                  <c:v>0.1</c:v>
                </c:pt>
                <c:pt idx="6">
                  <c:v>0.1</c:v>
                </c:pt>
                <c:pt idx="7">
                  <c:v>0.5</c:v>
                </c:pt>
                <c:pt idx="8">
                  <c:v>0.9</c:v>
                </c:pt>
                <c:pt idx="9">
                  <c:v>0.9</c:v>
                </c:pt>
                <c:pt idx="10">
                  <c:v>0.9</c:v>
                </c:pt>
                <c:pt idx="11">
                  <c:v>0.9</c:v>
                </c:pt>
                <c:pt idx="12">
                  <c:v>0.9</c:v>
                </c:pt>
                <c:pt idx="13">
                  <c:v>0.9</c:v>
                </c:pt>
                <c:pt idx="14">
                  <c:v>0.9</c:v>
                </c:pt>
                <c:pt idx="15">
                  <c:v>0.9</c:v>
                </c:pt>
                <c:pt idx="16">
                  <c:v>0.3</c:v>
                </c:pt>
                <c:pt idx="17">
                  <c:v>0.3</c:v>
                </c:pt>
                <c:pt idx="18">
                  <c:v>0.3</c:v>
                </c:pt>
                <c:pt idx="19">
                  <c:v>0.3</c:v>
                </c:pt>
                <c:pt idx="20">
                  <c:v>0.3</c:v>
                </c:pt>
                <c:pt idx="21">
                  <c:v>0.3</c:v>
                </c:pt>
                <c:pt idx="22">
                  <c:v>0.3</c:v>
                </c:pt>
                <c:pt idx="23">
                  <c:v>0.1</c:v>
                </c:pt>
              </c:numCache>
            </c:numRef>
          </c:val>
          <c:smooth val="0"/>
          <c:extLst>
            <c:ext xmlns:c16="http://schemas.microsoft.com/office/drawing/2014/chart" uri="{C3380CC4-5D6E-409C-BE32-E72D297353CC}">
              <c16:uniqueId val="{00000000-8E12-4EE4-A8CB-27B09112B33F}"/>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0.1</c:v>
                </c:pt>
                <c:pt idx="1">
                  <c:v>0.1</c:v>
                </c:pt>
                <c:pt idx="2">
                  <c:v>0.1</c:v>
                </c:pt>
                <c:pt idx="3">
                  <c:v>0.1</c:v>
                </c:pt>
                <c:pt idx="4">
                  <c:v>0.1</c:v>
                </c:pt>
                <c:pt idx="5">
                  <c:v>0.1</c:v>
                </c:pt>
                <c:pt idx="6">
                  <c:v>0.1</c:v>
                </c:pt>
                <c:pt idx="7">
                  <c:v>0.2</c:v>
                </c:pt>
                <c:pt idx="8">
                  <c:v>0.4</c:v>
                </c:pt>
                <c:pt idx="9">
                  <c:v>0.4</c:v>
                </c:pt>
                <c:pt idx="10">
                  <c:v>0.4</c:v>
                </c:pt>
                <c:pt idx="11">
                  <c:v>0.4</c:v>
                </c:pt>
                <c:pt idx="12">
                  <c:v>0.4</c:v>
                </c:pt>
                <c:pt idx="13">
                  <c:v>0.4</c:v>
                </c:pt>
                <c:pt idx="14">
                  <c:v>0.4</c:v>
                </c:pt>
                <c:pt idx="15">
                  <c:v>0.4</c:v>
                </c:pt>
                <c:pt idx="16">
                  <c:v>0.4</c:v>
                </c:pt>
                <c:pt idx="17">
                  <c:v>0.4</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8E12-4EE4-A8CB-27B09112B33F}"/>
            </c:ext>
          </c:extLst>
        </c:ser>
        <c:ser>
          <c:idx val="2"/>
          <c:order val="2"/>
          <c:tx>
            <c:strRef>
              <c:f>Schedules!$E$12</c:f>
              <c:strCache>
                <c:ptCount val="1"/>
                <c:pt idx="0">
                  <c:v>Sunday</c:v>
                </c:pt>
              </c:strCache>
            </c:strRef>
          </c:tx>
          <c:spPr>
            <a:ln w="28575" cap="rnd">
              <a:solidFill>
                <a:schemeClr val="accent3"/>
              </a:solidFill>
              <a:prstDash val="solid"/>
              <a:round/>
              <a:extLst>
                <a:ext uri="{C807C97D-BFC1-408E-A445-0C87EB9F89A2}">
                  <ask:lineSketchStyleProps xmlns:ask="http://schemas.microsoft.com/office/drawing/2018/sketchyshapes">
                    <ask:type>
                      <ask:lineSketchNone/>
                    </ask:type>
                  </ask:lineSketchStyleProps>
                </a:ext>
              </a:extLst>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0.05</c:v>
                </c:pt>
                <c:pt idx="8">
                  <c:v>0.1</c:v>
                </c:pt>
                <c:pt idx="9">
                  <c:v>0.1</c:v>
                </c:pt>
                <c:pt idx="10">
                  <c:v>0.1</c:v>
                </c:pt>
                <c:pt idx="11">
                  <c:v>0.1</c:v>
                </c:pt>
                <c:pt idx="12">
                  <c:v>0.1</c:v>
                </c:pt>
                <c:pt idx="13">
                  <c:v>0.1</c:v>
                </c:pt>
                <c:pt idx="14">
                  <c:v>0.1</c:v>
                </c:pt>
                <c:pt idx="15">
                  <c:v>0.1</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8E12-4EE4-A8CB-27B09112B33F}"/>
            </c:ext>
          </c:extLst>
        </c:ser>
        <c:ser>
          <c:idx val="3"/>
          <c:order val="3"/>
          <c:tx>
            <c:v>Weekday PNNL</c:v>
          </c:tx>
          <c:spPr>
            <a:ln w="28575" cap="rnd">
              <a:solidFill>
                <a:schemeClr val="accent4"/>
              </a:solidFill>
              <a:prstDash val="sysDash"/>
              <a:round/>
            </a:ln>
            <a:effectLst/>
          </c:spPr>
          <c:marker>
            <c:symbol val="none"/>
          </c:marker>
          <c:val>
            <c:numRef>
              <c:f>Schedules!$AN$10:$BK$10</c:f>
              <c:numCache>
                <c:formatCode>General</c:formatCode>
                <c:ptCount val="24"/>
                <c:pt idx="0">
                  <c:v>0.34899999999999998</c:v>
                </c:pt>
                <c:pt idx="1">
                  <c:v>0.34899999999999998</c:v>
                </c:pt>
                <c:pt idx="2">
                  <c:v>0.34899999999999998</c:v>
                </c:pt>
                <c:pt idx="3">
                  <c:v>0.34899999999999998</c:v>
                </c:pt>
                <c:pt idx="4">
                  <c:v>0.34899999999999998</c:v>
                </c:pt>
                <c:pt idx="5">
                  <c:v>0.34899999999999998</c:v>
                </c:pt>
                <c:pt idx="6">
                  <c:v>0.34899999999999998</c:v>
                </c:pt>
                <c:pt idx="7">
                  <c:v>0.68200000000000005</c:v>
                </c:pt>
                <c:pt idx="8">
                  <c:v>0.877</c:v>
                </c:pt>
                <c:pt idx="9">
                  <c:v>0.877</c:v>
                </c:pt>
                <c:pt idx="10">
                  <c:v>0.877</c:v>
                </c:pt>
                <c:pt idx="11">
                  <c:v>0.877</c:v>
                </c:pt>
                <c:pt idx="12">
                  <c:v>0.877</c:v>
                </c:pt>
                <c:pt idx="13">
                  <c:v>0.877</c:v>
                </c:pt>
                <c:pt idx="14">
                  <c:v>0.877</c:v>
                </c:pt>
                <c:pt idx="15">
                  <c:v>0.877</c:v>
                </c:pt>
                <c:pt idx="16">
                  <c:v>0.58399999999999996</c:v>
                </c:pt>
                <c:pt idx="17">
                  <c:v>0.58399999999999996</c:v>
                </c:pt>
                <c:pt idx="18">
                  <c:v>0.58399999999999996</c:v>
                </c:pt>
                <c:pt idx="19">
                  <c:v>0.58399999999999996</c:v>
                </c:pt>
                <c:pt idx="20">
                  <c:v>0.58399999999999996</c:v>
                </c:pt>
                <c:pt idx="21">
                  <c:v>0.58399999999999996</c:v>
                </c:pt>
                <c:pt idx="22">
                  <c:v>0.52400000000000002</c:v>
                </c:pt>
                <c:pt idx="23">
                  <c:v>0.34899999999999998</c:v>
                </c:pt>
              </c:numCache>
            </c:numRef>
          </c:val>
          <c:smooth val="0"/>
          <c:extLst>
            <c:ext xmlns:c16="http://schemas.microsoft.com/office/drawing/2014/chart" uri="{C3380CC4-5D6E-409C-BE32-E72D297353CC}">
              <c16:uniqueId val="{00000005-8E12-4EE4-A8CB-27B09112B33F}"/>
            </c:ext>
          </c:extLst>
        </c:ser>
        <c:ser>
          <c:idx val="4"/>
          <c:order val="4"/>
          <c:tx>
            <c:v>Saturday PNNL</c:v>
          </c:tx>
          <c:spPr>
            <a:ln w="28575" cap="rnd">
              <a:solidFill>
                <a:schemeClr val="accent5"/>
              </a:solidFill>
              <a:prstDash val="sysDash"/>
              <a:round/>
            </a:ln>
            <a:effectLst/>
          </c:spPr>
          <c:marker>
            <c:symbol val="none"/>
          </c:marker>
          <c:val>
            <c:numRef>
              <c:f>Schedules!$AN$11:$BK$11</c:f>
              <c:numCache>
                <c:formatCode>General</c:formatCode>
                <c:ptCount val="24"/>
                <c:pt idx="0">
                  <c:v>0.34899999999999998</c:v>
                </c:pt>
                <c:pt idx="1">
                  <c:v>0.34899999999999998</c:v>
                </c:pt>
                <c:pt idx="2">
                  <c:v>0.34899999999999998</c:v>
                </c:pt>
                <c:pt idx="3">
                  <c:v>0.34899999999999998</c:v>
                </c:pt>
                <c:pt idx="4">
                  <c:v>0.34899999999999998</c:v>
                </c:pt>
                <c:pt idx="5">
                  <c:v>0.34899999999999998</c:v>
                </c:pt>
                <c:pt idx="6">
                  <c:v>0.34899999999999998</c:v>
                </c:pt>
                <c:pt idx="7">
                  <c:v>0.48699999999999999</c:v>
                </c:pt>
                <c:pt idx="8">
                  <c:v>0.63300000000000001</c:v>
                </c:pt>
                <c:pt idx="9">
                  <c:v>0.63300000000000001</c:v>
                </c:pt>
                <c:pt idx="10">
                  <c:v>0.63300000000000001</c:v>
                </c:pt>
                <c:pt idx="11">
                  <c:v>0.63300000000000001</c:v>
                </c:pt>
                <c:pt idx="12">
                  <c:v>0.63300000000000001</c:v>
                </c:pt>
                <c:pt idx="13">
                  <c:v>0.63300000000000001</c:v>
                </c:pt>
                <c:pt idx="14">
                  <c:v>0.63300000000000001</c:v>
                </c:pt>
                <c:pt idx="15">
                  <c:v>0.63300000000000001</c:v>
                </c:pt>
                <c:pt idx="16">
                  <c:v>0.63300000000000001</c:v>
                </c:pt>
                <c:pt idx="17">
                  <c:v>0.63300000000000001</c:v>
                </c:pt>
                <c:pt idx="18">
                  <c:v>0.34899999999999998</c:v>
                </c:pt>
                <c:pt idx="19">
                  <c:v>0.34899999999999998</c:v>
                </c:pt>
                <c:pt idx="20">
                  <c:v>0.34899999999999998</c:v>
                </c:pt>
                <c:pt idx="21">
                  <c:v>0.34899999999999998</c:v>
                </c:pt>
                <c:pt idx="22">
                  <c:v>0.34899999999999998</c:v>
                </c:pt>
                <c:pt idx="23">
                  <c:v>0.34899999999999998</c:v>
                </c:pt>
              </c:numCache>
            </c:numRef>
          </c:val>
          <c:smooth val="0"/>
          <c:extLst>
            <c:ext xmlns:c16="http://schemas.microsoft.com/office/drawing/2014/chart" uri="{C3380CC4-5D6E-409C-BE32-E72D297353CC}">
              <c16:uniqueId val="{00000006-8E12-4EE4-A8CB-27B09112B33F}"/>
            </c:ext>
          </c:extLst>
        </c:ser>
        <c:ser>
          <c:idx val="5"/>
          <c:order val="5"/>
          <c:tx>
            <c:v>Sunday PNNL</c:v>
          </c:tx>
          <c:spPr>
            <a:ln w="28575" cap="rnd">
              <a:solidFill>
                <a:schemeClr val="accent6"/>
              </a:solidFill>
              <a:prstDash val="sysDash"/>
              <a:round/>
            </a:ln>
            <a:effectLst/>
          </c:spPr>
          <c:marker>
            <c:symbol val="none"/>
          </c:marker>
          <c:val>
            <c:numRef>
              <c:f>Schedules!$AN$12:$BK$12</c:f>
              <c:numCache>
                <c:formatCode>General</c:formatCode>
                <c:ptCount val="24"/>
                <c:pt idx="0">
                  <c:v>0.26200000000000001</c:v>
                </c:pt>
                <c:pt idx="1">
                  <c:v>0.26200000000000001</c:v>
                </c:pt>
                <c:pt idx="2">
                  <c:v>0.26200000000000001</c:v>
                </c:pt>
                <c:pt idx="3">
                  <c:v>0.26200000000000001</c:v>
                </c:pt>
                <c:pt idx="4">
                  <c:v>0.26200000000000001</c:v>
                </c:pt>
                <c:pt idx="5">
                  <c:v>0.26200000000000001</c:v>
                </c:pt>
                <c:pt idx="6">
                  <c:v>0.26200000000000001</c:v>
                </c:pt>
                <c:pt idx="7">
                  <c:v>0.26200000000000001</c:v>
                </c:pt>
                <c:pt idx="8">
                  <c:v>0.34899999999999998</c:v>
                </c:pt>
                <c:pt idx="9">
                  <c:v>0.34899999999999998</c:v>
                </c:pt>
                <c:pt idx="10">
                  <c:v>0.34899999999999998</c:v>
                </c:pt>
                <c:pt idx="11">
                  <c:v>0.34899999999999998</c:v>
                </c:pt>
                <c:pt idx="12">
                  <c:v>0.34899999999999998</c:v>
                </c:pt>
                <c:pt idx="13">
                  <c:v>0.34899999999999998</c:v>
                </c:pt>
                <c:pt idx="14">
                  <c:v>0.34899999999999998</c:v>
                </c:pt>
                <c:pt idx="15">
                  <c:v>0.34899999999999998</c:v>
                </c:pt>
                <c:pt idx="16">
                  <c:v>0.26200000000000001</c:v>
                </c:pt>
                <c:pt idx="17">
                  <c:v>0.26200000000000001</c:v>
                </c:pt>
                <c:pt idx="18">
                  <c:v>0.26200000000000001</c:v>
                </c:pt>
                <c:pt idx="19">
                  <c:v>0.26200000000000001</c:v>
                </c:pt>
                <c:pt idx="20">
                  <c:v>0.26200000000000001</c:v>
                </c:pt>
                <c:pt idx="21">
                  <c:v>0.26200000000000001</c:v>
                </c:pt>
                <c:pt idx="22">
                  <c:v>0.26200000000000001</c:v>
                </c:pt>
                <c:pt idx="23">
                  <c:v>0.26200000000000001</c:v>
                </c:pt>
              </c:numCache>
            </c:numRef>
          </c:val>
          <c:smooth val="0"/>
          <c:extLst>
            <c:ext xmlns:c16="http://schemas.microsoft.com/office/drawing/2014/chart" uri="{C3380CC4-5D6E-409C-BE32-E72D297353CC}">
              <c16:uniqueId val="{00000007-8E12-4EE4-A8CB-27B09112B33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18212159679"/>
          <c:y val="7.8761096990921625E-2"/>
          <c:w val="0.30762381787840321"/>
          <c:h val="0.307946273747992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c:v>
                </c:pt>
                <c:pt idx="1">
                  <c:v>0</c:v>
                </c:pt>
                <c:pt idx="2">
                  <c:v>0</c:v>
                </c:pt>
                <c:pt idx="3">
                  <c:v>0</c:v>
                </c:pt>
                <c:pt idx="4">
                  <c:v>0</c:v>
                </c:pt>
                <c:pt idx="5">
                  <c:v>0</c:v>
                </c:pt>
                <c:pt idx="6">
                  <c:v>0</c:v>
                </c:pt>
                <c:pt idx="7">
                  <c:v>0.1</c:v>
                </c:pt>
                <c:pt idx="8">
                  <c:v>0.5</c:v>
                </c:pt>
                <c:pt idx="9">
                  <c:v>0.8</c:v>
                </c:pt>
                <c:pt idx="10">
                  <c:v>0.8</c:v>
                </c:pt>
                <c:pt idx="11">
                  <c:v>0.8</c:v>
                </c:pt>
                <c:pt idx="12">
                  <c:v>0.8</c:v>
                </c:pt>
                <c:pt idx="13">
                  <c:v>0.8</c:v>
                </c:pt>
                <c:pt idx="14">
                  <c:v>0.8</c:v>
                </c:pt>
                <c:pt idx="15">
                  <c:v>0.8</c:v>
                </c:pt>
                <c:pt idx="16">
                  <c:v>0.8</c:v>
                </c:pt>
                <c:pt idx="17">
                  <c:v>0.5</c:v>
                </c:pt>
                <c:pt idx="18">
                  <c:v>0.3</c:v>
                </c:pt>
                <c:pt idx="19">
                  <c:v>0.3</c:v>
                </c:pt>
                <c:pt idx="20">
                  <c:v>0.2</c:v>
                </c:pt>
                <c:pt idx="21">
                  <c:v>0.2</c:v>
                </c:pt>
                <c:pt idx="22">
                  <c:v>0</c:v>
                </c:pt>
                <c:pt idx="23">
                  <c:v>0</c:v>
                </c:pt>
              </c:numCache>
            </c:numRef>
          </c:val>
          <c:smooth val="0"/>
          <c:extLst>
            <c:ext xmlns:c16="http://schemas.microsoft.com/office/drawing/2014/chart" uri="{C3380CC4-5D6E-409C-BE32-E72D297353CC}">
              <c16:uniqueId val="{00000000-DF14-4A22-AD37-8364F749E092}"/>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c:v>
                </c:pt>
                <c:pt idx="1">
                  <c:v>0</c:v>
                </c:pt>
                <c:pt idx="2">
                  <c:v>0</c:v>
                </c:pt>
                <c:pt idx="3">
                  <c:v>0</c:v>
                </c:pt>
                <c:pt idx="4">
                  <c:v>0</c:v>
                </c:pt>
                <c:pt idx="5">
                  <c:v>0</c:v>
                </c:pt>
                <c:pt idx="6">
                  <c:v>0</c:v>
                </c:pt>
                <c:pt idx="7">
                  <c:v>0.1</c:v>
                </c:pt>
                <c:pt idx="8">
                  <c:v>0.3</c:v>
                </c:pt>
                <c:pt idx="9">
                  <c:v>0.4</c:v>
                </c:pt>
                <c:pt idx="10">
                  <c:v>0.4</c:v>
                </c:pt>
                <c:pt idx="11">
                  <c:v>0.4</c:v>
                </c:pt>
                <c:pt idx="12">
                  <c:v>0.4</c:v>
                </c:pt>
                <c:pt idx="13">
                  <c:v>0.4</c:v>
                </c:pt>
                <c:pt idx="14">
                  <c:v>0.4</c:v>
                </c:pt>
                <c:pt idx="15">
                  <c:v>0.4</c:v>
                </c:pt>
                <c:pt idx="16">
                  <c:v>0.4</c:v>
                </c:pt>
                <c:pt idx="17">
                  <c:v>0.1</c:v>
                </c:pt>
                <c:pt idx="18">
                  <c:v>0.1</c:v>
                </c:pt>
                <c:pt idx="19">
                  <c:v>0</c:v>
                </c:pt>
                <c:pt idx="20">
                  <c:v>0</c:v>
                </c:pt>
                <c:pt idx="21">
                  <c:v>0</c:v>
                </c:pt>
                <c:pt idx="22">
                  <c:v>0</c:v>
                </c:pt>
                <c:pt idx="23">
                  <c:v>0</c:v>
                </c:pt>
              </c:numCache>
            </c:numRef>
          </c:val>
          <c:smooth val="0"/>
          <c:extLst>
            <c:ext xmlns:c16="http://schemas.microsoft.com/office/drawing/2014/chart" uri="{C3380CC4-5D6E-409C-BE32-E72D297353CC}">
              <c16:uniqueId val="{00000001-DF14-4A22-AD37-8364F749E092}"/>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c:v>
                </c:pt>
                <c:pt idx="1">
                  <c:v>0</c:v>
                </c:pt>
                <c:pt idx="2">
                  <c:v>0</c:v>
                </c:pt>
                <c:pt idx="3">
                  <c:v>0</c:v>
                </c:pt>
                <c:pt idx="4">
                  <c:v>0</c:v>
                </c:pt>
                <c:pt idx="5">
                  <c:v>0</c:v>
                </c:pt>
                <c:pt idx="6">
                  <c:v>0</c:v>
                </c:pt>
                <c:pt idx="7">
                  <c:v>0</c:v>
                </c:pt>
                <c:pt idx="8">
                  <c:v>0.05</c:v>
                </c:pt>
                <c:pt idx="9">
                  <c:v>0.05</c:v>
                </c:pt>
                <c:pt idx="10">
                  <c:v>0.05</c:v>
                </c:pt>
                <c:pt idx="11">
                  <c:v>0.05</c:v>
                </c:pt>
                <c:pt idx="12">
                  <c:v>0.05</c:v>
                </c:pt>
                <c:pt idx="13">
                  <c:v>0.05</c:v>
                </c:pt>
                <c:pt idx="14">
                  <c:v>0.05</c:v>
                </c:pt>
                <c:pt idx="15">
                  <c:v>0.05</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DF14-4A22-AD37-8364F749E092}"/>
            </c:ext>
          </c:extLst>
        </c:ser>
        <c:ser>
          <c:idx val="3"/>
          <c:order val="3"/>
          <c:tx>
            <c:v>Weekday PNNL</c:v>
          </c:tx>
          <c:spPr>
            <a:ln w="28575" cap="rnd">
              <a:solidFill>
                <a:schemeClr val="accent4"/>
              </a:solidFill>
              <a:prstDash val="sysDash"/>
              <a:round/>
            </a:ln>
            <a:effectLst/>
          </c:spPr>
          <c:marker>
            <c:symbol val="none"/>
          </c:marker>
          <c:val>
            <c:numRef>
              <c:f>Schedules!$AN$4:$BK$4</c:f>
              <c:numCache>
                <c:formatCode>General</c:formatCode>
                <c:ptCount val="24"/>
                <c:pt idx="0">
                  <c:v>0.34899999999999998</c:v>
                </c:pt>
                <c:pt idx="1">
                  <c:v>0.34899999999999998</c:v>
                </c:pt>
                <c:pt idx="2">
                  <c:v>0.34899999999999998</c:v>
                </c:pt>
                <c:pt idx="3">
                  <c:v>0.34899999999999998</c:v>
                </c:pt>
                <c:pt idx="4">
                  <c:v>0.34899999999999998</c:v>
                </c:pt>
                <c:pt idx="5">
                  <c:v>0.34899999999999998</c:v>
                </c:pt>
                <c:pt idx="6">
                  <c:v>0.34899999999999998</c:v>
                </c:pt>
                <c:pt idx="7">
                  <c:v>0.68200000000000005</c:v>
                </c:pt>
                <c:pt idx="8">
                  <c:v>0.877</c:v>
                </c:pt>
                <c:pt idx="9">
                  <c:v>0.877</c:v>
                </c:pt>
                <c:pt idx="10">
                  <c:v>0.877</c:v>
                </c:pt>
                <c:pt idx="11">
                  <c:v>0.877</c:v>
                </c:pt>
                <c:pt idx="12">
                  <c:v>0.877</c:v>
                </c:pt>
                <c:pt idx="13">
                  <c:v>0.877</c:v>
                </c:pt>
                <c:pt idx="14">
                  <c:v>0.877</c:v>
                </c:pt>
                <c:pt idx="15">
                  <c:v>0.877</c:v>
                </c:pt>
                <c:pt idx="16">
                  <c:v>0.58399999999999996</c:v>
                </c:pt>
                <c:pt idx="17">
                  <c:v>0.58399999999999996</c:v>
                </c:pt>
                <c:pt idx="18">
                  <c:v>0.58399999999999996</c:v>
                </c:pt>
                <c:pt idx="19">
                  <c:v>0.58399999999999996</c:v>
                </c:pt>
                <c:pt idx="20">
                  <c:v>0.58399999999999996</c:v>
                </c:pt>
                <c:pt idx="21">
                  <c:v>0.58399999999999996</c:v>
                </c:pt>
                <c:pt idx="22">
                  <c:v>0.52400000000000002</c:v>
                </c:pt>
                <c:pt idx="23">
                  <c:v>0.34899999999999998</c:v>
                </c:pt>
              </c:numCache>
            </c:numRef>
          </c:val>
          <c:smooth val="0"/>
          <c:extLst>
            <c:ext xmlns:c16="http://schemas.microsoft.com/office/drawing/2014/chart" uri="{C3380CC4-5D6E-409C-BE32-E72D297353CC}">
              <c16:uniqueId val="{00000003-DF14-4A22-AD37-8364F749E092}"/>
            </c:ext>
          </c:extLst>
        </c:ser>
        <c:ser>
          <c:idx val="4"/>
          <c:order val="4"/>
          <c:tx>
            <c:v>Saturday PNNL</c:v>
          </c:tx>
          <c:spPr>
            <a:ln w="28575" cap="rnd">
              <a:solidFill>
                <a:schemeClr val="accent5"/>
              </a:solidFill>
              <a:prstDash val="sysDash"/>
              <a:round/>
            </a:ln>
            <a:effectLst/>
          </c:spPr>
          <c:marker>
            <c:symbol val="none"/>
          </c:marker>
          <c:val>
            <c:numRef>
              <c:f>Schedules!$AN$5:$BK$5</c:f>
              <c:numCache>
                <c:formatCode>General</c:formatCode>
                <c:ptCount val="24"/>
                <c:pt idx="0">
                  <c:v>0.34899999999999998</c:v>
                </c:pt>
                <c:pt idx="1">
                  <c:v>0.34899999999999998</c:v>
                </c:pt>
                <c:pt idx="2">
                  <c:v>0.34899999999999998</c:v>
                </c:pt>
                <c:pt idx="3">
                  <c:v>0.34899999999999998</c:v>
                </c:pt>
                <c:pt idx="4">
                  <c:v>0.34899999999999998</c:v>
                </c:pt>
                <c:pt idx="5">
                  <c:v>0.34899999999999998</c:v>
                </c:pt>
                <c:pt idx="6">
                  <c:v>0.34899999999999998</c:v>
                </c:pt>
                <c:pt idx="7">
                  <c:v>0.48699999999999999</c:v>
                </c:pt>
                <c:pt idx="8">
                  <c:v>0.63300000000000001</c:v>
                </c:pt>
                <c:pt idx="9">
                  <c:v>0.63300000000000001</c:v>
                </c:pt>
                <c:pt idx="10">
                  <c:v>0.63300000000000001</c:v>
                </c:pt>
                <c:pt idx="11">
                  <c:v>0.63300000000000001</c:v>
                </c:pt>
                <c:pt idx="12">
                  <c:v>0.63300000000000001</c:v>
                </c:pt>
                <c:pt idx="13">
                  <c:v>0.63300000000000001</c:v>
                </c:pt>
                <c:pt idx="14">
                  <c:v>0.63300000000000001</c:v>
                </c:pt>
                <c:pt idx="15">
                  <c:v>0.63300000000000001</c:v>
                </c:pt>
                <c:pt idx="16">
                  <c:v>0.63300000000000001</c:v>
                </c:pt>
                <c:pt idx="17">
                  <c:v>0.63300000000000001</c:v>
                </c:pt>
                <c:pt idx="18">
                  <c:v>0.34899999999999998</c:v>
                </c:pt>
                <c:pt idx="19">
                  <c:v>0.34899999999999998</c:v>
                </c:pt>
                <c:pt idx="20">
                  <c:v>0.34899999999999998</c:v>
                </c:pt>
                <c:pt idx="21">
                  <c:v>0.34899999999999998</c:v>
                </c:pt>
                <c:pt idx="22">
                  <c:v>0.34899999999999998</c:v>
                </c:pt>
                <c:pt idx="23">
                  <c:v>0.34899999999999998</c:v>
                </c:pt>
              </c:numCache>
            </c:numRef>
          </c:val>
          <c:smooth val="0"/>
          <c:extLst>
            <c:ext xmlns:c16="http://schemas.microsoft.com/office/drawing/2014/chart" uri="{C3380CC4-5D6E-409C-BE32-E72D297353CC}">
              <c16:uniqueId val="{00000004-DF14-4A22-AD37-8364F749E092}"/>
            </c:ext>
          </c:extLst>
        </c:ser>
        <c:ser>
          <c:idx val="5"/>
          <c:order val="5"/>
          <c:tx>
            <c:v>Sunday PNNL</c:v>
          </c:tx>
          <c:spPr>
            <a:ln w="28575" cap="rnd">
              <a:solidFill>
                <a:schemeClr val="accent6"/>
              </a:solidFill>
              <a:prstDash val="sysDash"/>
              <a:round/>
            </a:ln>
            <a:effectLst/>
          </c:spPr>
          <c:marker>
            <c:symbol val="none"/>
          </c:marker>
          <c:val>
            <c:numRef>
              <c:f>Schedules!$AN$6:$BK$6</c:f>
              <c:numCache>
                <c:formatCode>General</c:formatCode>
                <c:ptCount val="24"/>
                <c:pt idx="0">
                  <c:v>0.26200000000000001</c:v>
                </c:pt>
                <c:pt idx="1">
                  <c:v>0.26200000000000001</c:v>
                </c:pt>
                <c:pt idx="2">
                  <c:v>0.26200000000000001</c:v>
                </c:pt>
                <c:pt idx="3">
                  <c:v>0.26200000000000001</c:v>
                </c:pt>
                <c:pt idx="4">
                  <c:v>0.26200000000000001</c:v>
                </c:pt>
                <c:pt idx="5">
                  <c:v>0.26200000000000001</c:v>
                </c:pt>
                <c:pt idx="6">
                  <c:v>0.26200000000000001</c:v>
                </c:pt>
                <c:pt idx="7">
                  <c:v>0.26200000000000001</c:v>
                </c:pt>
                <c:pt idx="8">
                  <c:v>0.34899999999999998</c:v>
                </c:pt>
                <c:pt idx="9">
                  <c:v>0.34899999999999998</c:v>
                </c:pt>
                <c:pt idx="10">
                  <c:v>0.34899999999999998</c:v>
                </c:pt>
                <c:pt idx="11">
                  <c:v>0.34899999999999998</c:v>
                </c:pt>
                <c:pt idx="12">
                  <c:v>0.34899999999999998</c:v>
                </c:pt>
                <c:pt idx="13">
                  <c:v>0.34899999999999998</c:v>
                </c:pt>
                <c:pt idx="14">
                  <c:v>0.34899999999999998</c:v>
                </c:pt>
                <c:pt idx="15">
                  <c:v>0.34899999999999998</c:v>
                </c:pt>
                <c:pt idx="16">
                  <c:v>0.26200000000000001</c:v>
                </c:pt>
                <c:pt idx="17">
                  <c:v>0.26200000000000001</c:v>
                </c:pt>
                <c:pt idx="18">
                  <c:v>0.26200000000000001</c:v>
                </c:pt>
                <c:pt idx="19">
                  <c:v>0.26200000000000001</c:v>
                </c:pt>
                <c:pt idx="20">
                  <c:v>0.26200000000000001</c:v>
                </c:pt>
                <c:pt idx="21">
                  <c:v>0.26200000000000001</c:v>
                </c:pt>
                <c:pt idx="22">
                  <c:v>0.26200000000000001</c:v>
                </c:pt>
                <c:pt idx="23">
                  <c:v>0.26200000000000001</c:v>
                </c:pt>
              </c:numCache>
            </c:numRef>
          </c:val>
          <c:smooth val="0"/>
          <c:extLst>
            <c:ext xmlns:c16="http://schemas.microsoft.com/office/drawing/2014/chart" uri="{C3380CC4-5D6E-409C-BE32-E72D297353CC}">
              <c16:uniqueId val="{00000005-DF14-4A22-AD37-8364F749E09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16119428991"/>
          <c:y val="5.3792544604985924E-3"/>
          <c:w val="0.30762389370353427"/>
          <c:h val="0.401269881242021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Schedules!$E$47</c:f>
              <c:strCache>
                <c:ptCount val="1"/>
                <c:pt idx="0">
                  <c:v>Weekday</c:v>
                </c:pt>
              </c:strCache>
            </c:strRef>
          </c:tx>
          <c:spPr>
            <a:ln w="28575" cap="rnd">
              <a:solidFill>
                <a:schemeClr val="accent1"/>
              </a:solidFill>
              <a:round/>
            </a:ln>
            <a:effectLst/>
          </c:spPr>
          <c:marker>
            <c:symbol val="none"/>
          </c:marker>
          <c:val>
            <c:numRef>
              <c:f>Schedules!$F$47:$AC$47</c:f>
              <c:numCache>
                <c:formatCode>0.00</c:formatCode>
                <c:ptCount val="24"/>
                <c:pt idx="0">
                  <c:v>0.1</c:v>
                </c:pt>
                <c:pt idx="1">
                  <c:v>0.1</c:v>
                </c:pt>
                <c:pt idx="2">
                  <c:v>0.1</c:v>
                </c:pt>
                <c:pt idx="3">
                  <c:v>0.1</c:v>
                </c:pt>
                <c:pt idx="4">
                  <c:v>0.1</c:v>
                </c:pt>
                <c:pt idx="5">
                  <c:v>0.1</c:v>
                </c:pt>
                <c:pt idx="6">
                  <c:v>0.1</c:v>
                </c:pt>
                <c:pt idx="7">
                  <c:v>0.75</c:v>
                </c:pt>
                <c:pt idx="8">
                  <c:v>0.9</c:v>
                </c:pt>
                <c:pt idx="9">
                  <c:v>0.9</c:v>
                </c:pt>
                <c:pt idx="10">
                  <c:v>0.9</c:v>
                </c:pt>
                <c:pt idx="11">
                  <c:v>0.9</c:v>
                </c:pt>
                <c:pt idx="12">
                  <c:v>0.9</c:v>
                </c:pt>
                <c:pt idx="13">
                  <c:v>0.9</c:v>
                </c:pt>
                <c:pt idx="14">
                  <c:v>0.9</c:v>
                </c:pt>
                <c:pt idx="15">
                  <c:v>0.9</c:v>
                </c:pt>
                <c:pt idx="16">
                  <c:v>0.9</c:v>
                </c:pt>
                <c:pt idx="17">
                  <c:v>0.75</c:v>
                </c:pt>
                <c:pt idx="18">
                  <c:v>0.2</c:v>
                </c:pt>
                <c:pt idx="19">
                  <c:v>0.1</c:v>
                </c:pt>
                <c:pt idx="20">
                  <c:v>0.1</c:v>
                </c:pt>
                <c:pt idx="21">
                  <c:v>0.1</c:v>
                </c:pt>
                <c:pt idx="22">
                  <c:v>0.1</c:v>
                </c:pt>
                <c:pt idx="23">
                  <c:v>0.1</c:v>
                </c:pt>
              </c:numCache>
            </c:numRef>
          </c:val>
          <c:smooth val="0"/>
          <c:extLst>
            <c:ext xmlns:c16="http://schemas.microsoft.com/office/drawing/2014/chart" uri="{C3380CC4-5D6E-409C-BE32-E72D297353CC}">
              <c16:uniqueId val="{00000000-6B5C-40F5-A291-B53D82B35DBB}"/>
            </c:ext>
          </c:extLst>
        </c:ser>
        <c:ser>
          <c:idx val="1"/>
          <c:order val="1"/>
          <c:tx>
            <c:strRef>
              <c:f>Schedules!$E$48</c:f>
              <c:strCache>
                <c:ptCount val="1"/>
                <c:pt idx="0">
                  <c:v>Saturday</c:v>
                </c:pt>
              </c:strCache>
            </c:strRef>
          </c:tx>
          <c:spPr>
            <a:ln w="28575" cap="rnd">
              <a:solidFill>
                <a:schemeClr val="accent2"/>
              </a:solidFill>
              <a:round/>
            </a:ln>
            <a:effectLst/>
          </c:spPr>
          <c:marker>
            <c:symbol val="none"/>
          </c:marker>
          <c:val>
            <c:numRef>
              <c:f>Schedules!$F$48:$AC$48</c:f>
              <c:numCache>
                <c:formatCode>0.00</c:formatCode>
                <c:ptCount val="24"/>
                <c:pt idx="0">
                  <c:v>0.1</c:v>
                </c:pt>
                <c:pt idx="1">
                  <c:v>0.1</c:v>
                </c:pt>
                <c:pt idx="2">
                  <c:v>0.1</c:v>
                </c:pt>
                <c:pt idx="3">
                  <c:v>0.1</c:v>
                </c:pt>
                <c:pt idx="4">
                  <c:v>0.1</c:v>
                </c:pt>
                <c:pt idx="5">
                  <c:v>0.1</c:v>
                </c:pt>
                <c:pt idx="6">
                  <c:v>0.1</c:v>
                </c:pt>
                <c:pt idx="7">
                  <c:v>0.3</c:v>
                </c:pt>
                <c:pt idx="8">
                  <c:v>0.5</c:v>
                </c:pt>
                <c:pt idx="9">
                  <c:v>0.5</c:v>
                </c:pt>
                <c:pt idx="10">
                  <c:v>0.5</c:v>
                </c:pt>
                <c:pt idx="11">
                  <c:v>0.5</c:v>
                </c:pt>
                <c:pt idx="12">
                  <c:v>0.5</c:v>
                </c:pt>
                <c:pt idx="13">
                  <c:v>0.5</c:v>
                </c:pt>
                <c:pt idx="14">
                  <c:v>0.5</c:v>
                </c:pt>
                <c:pt idx="15">
                  <c:v>0.5</c:v>
                </c:pt>
                <c:pt idx="16">
                  <c:v>0.5</c:v>
                </c:pt>
                <c:pt idx="17">
                  <c:v>0.3</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6B5C-40F5-A291-B53D82B35DBB}"/>
            </c:ext>
          </c:extLst>
        </c:ser>
        <c:ser>
          <c:idx val="2"/>
          <c:order val="2"/>
          <c:tx>
            <c:strRef>
              <c:f>Schedules!$E$49</c:f>
              <c:strCache>
                <c:ptCount val="1"/>
                <c:pt idx="0">
                  <c:v>Sunday</c:v>
                </c:pt>
              </c:strCache>
            </c:strRef>
          </c:tx>
          <c:spPr>
            <a:ln w="28575" cap="rnd">
              <a:solidFill>
                <a:schemeClr val="accent3"/>
              </a:solidFill>
              <a:round/>
            </a:ln>
            <a:effectLst/>
          </c:spPr>
          <c:marker>
            <c:symbol val="none"/>
          </c:marker>
          <c:val>
            <c:numRef>
              <c:f>Schedules!$F$49:$AC$49</c:f>
              <c:numCache>
                <c:formatCode>0.00</c:formatCode>
                <c:ptCount val="24"/>
                <c:pt idx="0">
                  <c:v>0.1</c:v>
                </c:pt>
                <c:pt idx="1">
                  <c:v>0.1</c:v>
                </c:pt>
                <c:pt idx="2">
                  <c:v>0.1</c:v>
                </c:pt>
                <c:pt idx="3">
                  <c:v>0.1</c:v>
                </c:pt>
                <c:pt idx="4">
                  <c:v>0.1</c:v>
                </c:pt>
                <c:pt idx="5">
                  <c:v>0.1</c:v>
                </c:pt>
                <c:pt idx="6">
                  <c:v>0.1</c:v>
                </c:pt>
                <c:pt idx="7">
                  <c:v>0.3</c:v>
                </c:pt>
                <c:pt idx="8">
                  <c:v>0.5</c:v>
                </c:pt>
                <c:pt idx="9">
                  <c:v>0.5</c:v>
                </c:pt>
                <c:pt idx="10">
                  <c:v>0.5</c:v>
                </c:pt>
                <c:pt idx="11">
                  <c:v>0.5</c:v>
                </c:pt>
                <c:pt idx="12">
                  <c:v>0.5</c:v>
                </c:pt>
                <c:pt idx="13">
                  <c:v>0.5</c:v>
                </c:pt>
                <c:pt idx="14">
                  <c:v>0.5</c:v>
                </c:pt>
                <c:pt idx="15">
                  <c:v>0.5</c:v>
                </c:pt>
                <c:pt idx="16">
                  <c:v>0.5</c:v>
                </c:pt>
                <c:pt idx="17">
                  <c:v>0.3</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2-6B5C-40F5-A291-B53D82B35DBB}"/>
            </c:ext>
          </c:extLst>
        </c:ser>
        <c:ser>
          <c:idx val="3"/>
          <c:order val="3"/>
          <c:tx>
            <c:v>Weekly PNNL</c:v>
          </c:tx>
          <c:spPr>
            <a:ln w="28575" cap="rnd">
              <a:solidFill>
                <a:schemeClr val="accent4"/>
              </a:solidFill>
              <a:prstDash val="sysDash"/>
              <a:round/>
            </a:ln>
            <a:effectLst/>
          </c:spPr>
          <c:marker>
            <c:symbol val="none"/>
          </c:marker>
          <c:val>
            <c:numRef>
              <c:f>Schedules!$AN$47:$BK$47</c:f>
              <c:numCache>
                <c:formatCode>0.00</c:formatCode>
                <c:ptCount val="24"/>
                <c:pt idx="0">
                  <c:v>0.4</c:v>
                </c:pt>
                <c:pt idx="1">
                  <c:v>0.4</c:v>
                </c:pt>
                <c:pt idx="2">
                  <c:v>0.4</c:v>
                </c:pt>
                <c:pt idx="3">
                  <c:v>0.4</c:v>
                </c:pt>
                <c:pt idx="4">
                  <c:v>0.4</c:v>
                </c:pt>
                <c:pt idx="5">
                  <c:v>0.4</c:v>
                </c:pt>
                <c:pt idx="6">
                  <c:v>0.4</c:v>
                </c:pt>
                <c:pt idx="7">
                  <c:v>0.7</c:v>
                </c:pt>
                <c:pt idx="8">
                  <c:v>0.9</c:v>
                </c:pt>
                <c:pt idx="9">
                  <c:v>0.9</c:v>
                </c:pt>
                <c:pt idx="10">
                  <c:v>0.9</c:v>
                </c:pt>
                <c:pt idx="11">
                  <c:v>0.9</c:v>
                </c:pt>
                <c:pt idx="12">
                  <c:v>0.9</c:v>
                </c:pt>
                <c:pt idx="13">
                  <c:v>0.9</c:v>
                </c:pt>
                <c:pt idx="14">
                  <c:v>0.9</c:v>
                </c:pt>
                <c:pt idx="15">
                  <c:v>0.9</c:v>
                </c:pt>
                <c:pt idx="16">
                  <c:v>0.6</c:v>
                </c:pt>
                <c:pt idx="17">
                  <c:v>0.6</c:v>
                </c:pt>
                <c:pt idx="18">
                  <c:v>0.6</c:v>
                </c:pt>
                <c:pt idx="19">
                  <c:v>0.6</c:v>
                </c:pt>
                <c:pt idx="20">
                  <c:v>0.6</c:v>
                </c:pt>
                <c:pt idx="21">
                  <c:v>0.6</c:v>
                </c:pt>
                <c:pt idx="22">
                  <c:v>0.6</c:v>
                </c:pt>
                <c:pt idx="23">
                  <c:v>0.4</c:v>
                </c:pt>
              </c:numCache>
            </c:numRef>
          </c:val>
          <c:smooth val="0"/>
          <c:extLst>
            <c:ext xmlns:c16="http://schemas.microsoft.com/office/drawing/2014/chart" uri="{C3380CC4-5D6E-409C-BE32-E72D297353CC}">
              <c16:uniqueId val="{00000004-6B5C-40F5-A291-B53D82B35DBB}"/>
            </c:ext>
          </c:extLst>
        </c:ser>
        <c:ser>
          <c:idx val="4"/>
          <c:order val="4"/>
          <c:tx>
            <c:v>Saturday PNNL</c:v>
          </c:tx>
          <c:spPr>
            <a:ln w="28575" cap="rnd">
              <a:solidFill>
                <a:schemeClr val="accent5"/>
              </a:solidFill>
              <a:prstDash val="sysDash"/>
              <a:round/>
            </a:ln>
            <a:effectLst/>
          </c:spPr>
          <c:marker>
            <c:symbol val="none"/>
          </c:marker>
          <c:val>
            <c:numRef>
              <c:f>Schedules!$AN$48:$BK$48</c:f>
              <c:numCache>
                <c:formatCode>0.00</c:formatCode>
                <c:ptCount val="24"/>
                <c:pt idx="0">
                  <c:v>0.4</c:v>
                </c:pt>
                <c:pt idx="1">
                  <c:v>0.4</c:v>
                </c:pt>
                <c:pt idx="2">
                  <c:v>0.4</c:v>
                </c:pt>
                <c:pt idx="3">
                  <c:v>0.4</c:v>
                </c:pt>
                <c:pt idx="4">
                  <c:v>0.4</c:v>
                </c:pt>
                <c:pt idx="5">
                  <c:v>0.4</c:v>
                </c:pt>
                <c:pt idx="6">
                  <c:v>0.4</c:v>
                </c:pt>
                <c:pt idx="7">
                  <c:v>0.8</c:v>
                </c:pt>
                <c:pt idx="8">
                  <c:v>0.65</c:v>
                </c:pt>
                <c:pt idx="9">
                  <c:v>0.65</c:v>
                </c:pt>
                <c:pt idx="10">
                  <c:v>0.65</c:v>
                </c:pt>
                <c:pt idx="11">
                  <c:v>0.65</c:v>
                </c:pt>
                <c:pt idx="12">
                  <c:v>0.65</c:v>
                </c:pt>
                <c:pt idx="13">
                  <c:v>0.65</c:v>
                </c:pt>
                <c:pt idx="14">
                  <c:v>0.65</c:v>
                </c:pt>
                <c:pt idx="15">
                  <c:v>0.65</c:v>
                </c:pt>
                <c:pt idx="16">
                  <c:v>0.65</c:v>
                </c:pt>
                <c:pt idx="17">
                  <c:v>0.65</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5-6B5C-40F5-A291-B53D82B35DBB}"/>
            </c:ext>
          </c:extLst>
        </c:ser>
        <c:ser>
          <c:idx val="5"/>
          <c:order val="5"/>
          <c:tx>
            <c:v>Sunday PNNL</c:v>
          </c:tx>
          <c:spPr>
            <a:ln w="28575" cap="rnd">
              <a:solidFill>
                <a:schemeClr val="accent6"/>
              </a:solidFill>
              <a:prstDash val="sysDash"/>
              <a:round/>
            </a:ln>
            <a:effectLst/>
          </c:spPr>
          <c:marker>
            <c:symbol val="none"/>
          </c:marker>
          <c:val>
            <c:numRef>
              <c:f>Schedules!$AN$49:$BK$49</c:f>
              <c:numCache>
                <c:formatCode>0.00</c:formatCode>
                <c:ptCount val="24"/>
                <c:pt idx="0">
                  <c:v>0.4</c:v>
                </c:pt>
                <c:pt idx="1">
                  <c:v>0.4</c:v>
                </c:pt>
                <c:pt idx="2">
                  <c:v>0.4</c:v>
                </c:pt>
                <c:pt idx="3">
                  <c:v>0.4</c:v>
                </c:pt>
                <c:pt idx="4">
                  <c:v>0.4</c:v>
                </c:pt>
                <c:pt idx="5">
                  <c:v>0.4</c:v>
                </c:pt>
                <c:pt idx="6">
                  <c:v>0.4</c:v>
                </c:pt>
                <c:pt idx="7">
                  <c:v>0.4</c:v>
                </c:pt>
                <c:pt idx="8">
                  <c:v>0.6</c:v>
                </c:pt>
                <c:pt idx="9">
                  <c:v>0.6</c:v>
                </c:pt>
                <c:pt idx="10">
                  <c:v>0.6</c:v>
                </c:pt>
                <c:pt idx="11">
                  <c:v>0.6</c:v>
                </c:pt>
                <c:pt idx="12">
                  <c:v>0.6</c:v>
                </c:pt>
                <c:pt idx="13">
                  <c:v>0.6</c:v>
                </c:pt>
                <c:pt idx="14">
                  <c:v>0.6</c:v>
                </c:pt>
                <c:pt idx="15">
                  <c:v>0.6</c:v>
                </c:pt>
                <c:pt idx="16">
                  <c:v>0.4</c:v>
                </c:pt>
                <c:pt idx="17">
                  <c:v>0.4</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6-6B5C-40F5-A291-B53D82B35DB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2724239688947145"/>
          <c:y val="5.1254109139228224E-3"/>
          <c:w val="0.2727576031105286"/>
          <c:h val="0.358986844931880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General</c:formatCode>
                <c:ptCount val="24"/>
                <c:pt idx="0">
                  <c:v>0.4</c:v>
                </c:pt>
                <c:pt idx="1">
                  <c:v>0.4</c:v>
                </c:pt>
                <c:pt idx="2">
                  <c:v>0.4</c:v>
                </c:pt>
                <c:pt idx="3">
                  <c:v>0.4</c:v>
                </c:pt>
                <c:pt idx="4">
                  <c:v>0.4</c:v>
                </c:pt>
                <c:pt idx="5">
                  <c:v>0.4</c:v>
                </c:pt>
                <c:pt idx="6">
                  <c:v>0.4</c:v>
                </c:pt>
                <c:pt idx="7">
                  <c:v>0.5</c:v>
                </c:pt>
                <c:pt idx="8">
                  <c:v>0.6</c:v>
                </c:pt>
                <c:pt idx="9">
                  <c:v>0.8</c:v>
                </c:pt>
                <c:pt idx="10">
                  <c:v>0.8</c:v>
                </c:pt>
                <c:pt idx="11">
                  <c:v>0.8</c:v>
                </c:pt>
                <c:pt idx="12">
                  <c:v>0.8</c:v>
                </c:pt>
                <c:pt idx="13">
                  <c:v>0.8</c:v>
                </c:pt>
                <c:pt idx="14">
                  <c:v>0.8</c:v>
                </c:pt>
                <c:pt idx="15">
                  <c:v>0.8</c:v>
                </c:pt>
                <c:pt idx="16">
                  <c:v>0.8</c:v>
                </c:pt>
                <c:pt idx="17">
                  <c:v>0.6</c:v>
                </c:pt>
                <c:pt idx="18">
                  <c:v>0.5</c:v>
                </c:pt>
                <c:pt idx="19">
                  <c:v>0.5</c:v>
                </c:pt>
                <c:pt idx="20">
                  <c:v>0.4</c:v>
                </c:pt>
                <c:pt idx="21">
                  <c:v>0.4</c:v>
                </c:pt>
                <c:pt idx="22">
                  <c:v>0.4</c:v>
                </c:pt>
                <c:pt idx="23">
                  <c:v>0.4</c:v>
                </c:pt>
              </c:numCache>
            </c:numRef>
          </c:val>
          <c:smooth val="0"/>
          <c:extLst>
            <c:ext xmlns:c16="http://schemas.microsoft.com/office/drawing/2014/chart" uri="{C3380CC4-5D6E-409C-BE32-E72D297353CC}">
              <c16:uniqueId val="{00000000-1C87-4060-844F-199617D5D7AA}"/>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General</c:formatCode>
                <c:ptCount val="24"/>
                <c:pt idx="0">
                  <c:v>0.4</c:v>
                </c:pt>
                <c:pt idx="1">
                  <c:v>0.4</c:v>
                </c:pt>
                <c:pt idx="2">
                  <c:v>0.4</c:v>
                </c:pt>
                <c:pt idx="3">
                  <c:v>0.4</c:v>
                </c:pt>
                <c:pt idx="4">
                  <c:v>0.4</c:v>
                </c:pt>
                <c:pt idx="5">
                  <c:v>0.4</c:v>
                </c:pt>
                <c:pt idx="6">
                  <c:v>0.4</c:v>
                </c:pt>
                <c:pt idx="7">
                  <c:v>0.5</c:v>
                </c:pt>
                <c:pt idx="8">
                  <c:v>0.6</c:v>
                </c:pt>
                <c:pt idx="9">
                  <c:v>0.6</c:v>
                </c:pt>
                <c:pt idx="10">
                  <c:v>0.6</c:v>
                </c:pt>
                <c:pt idx="11">
                  <c:v>0.6</c:v>
                </c:pt>
                <c:pt idx="12">
                  <c:v>0.6</c:v>
                </c:pt>
                <c:pt idx="13">
                  <c:v>0.6</c:v>
                </c:pt>
                <c:pt idx="14">
                  <c:v>0.6</c:v>
                </c:pt>
                <c:pt idx="15">
                  <c:v>0.6</c:v>
                </c:pt>
                <c:pt idx="16">
                  <c:v>0.6</c:v>
                </c:pt>
                <c:pt idx="17">
                  <c:v>0.5</c:v>
                </c:pt>
                <c:pt idx="18">
                  <c:v>0.5</c:v>
                </c:pt>
                <c:pt idx="19">
                  <c:v>0.4</c:v>
                </c:pt>
                <c:pt idx="20">
                  <c:v>0.4</c:v>
                </c:pt>
                <c:pt idx="21">
                  <c:v>0.4</c:v>
                </c:pt>
                <c:pt idx="22">
                  <c:v>0.4</c:v>
                </c:pt>
                <c:pt idx="23">
                  <c:v>0.4</c:v>
                </c:pt>
              </c:numCache>
            </c:numRef>
          </c:val>
          <c:smooth val="0"/>
          <c:extLst>
            <c:ext xmlns:c16="http://schemas.microsoft.com/office/drawing/2014/chart" uri="{C3380CC4-5D6E-409C-BE32-E72D297353CC}">
              <c16:uniqueId val="{00000001-1C87-4060-844F-199617D5D7AA}"/>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General</c:formatCode>
                <c:ptCount val="24"/>
                <c:pt idx="0">
                  <c:v>0.4</c:v>
                </c:pt>
                <c:pt idx="1">
                  <c:v>0.4</c:v>
                </c:pt>
                <c:pt idx="2">
                  <c:v>0.4</c:v>
                </c:pt>
                <c:pt idx="3">
                  <c:v>0.4</c:v>
                </c:pt>
                <c:pt idx="4">
                  <c:v>0.4</c:v>
                </c:pt>
                <c:pt idx="5">
                  <c:v>0.4</c:v>
                </c:pt>
                <c:pt idx="6">
                  <c:v>0.4</c:v>
                </c:pt>
                <c:pt idx="7">
                  <c:v>0.4</c:v>
                </c:pt>
                <c:pt idx="8">
                  <c:v>0.6</c:v>
                </c:pt>
                <c:pt idx="9">
                  <c:v>0.6</c:v>
                </c:pt>
                <c:pt idx="10">
                  <c:v>0.6</c:v>
                </c:pt>
                <c:pt idx="11">
                  <c:v>0.6</c:v>
                </c:pt>
                <c:pt idx="12">
                  <c:v>0.6</c:v>
                </c:pt>
                <c:pt idx="13">
                  <c:v>0.6</c:v>
                </c:pt>
                <c:pt idx="14">
                  <c:v>0.6</c:v>
                </c:pt>
                <c:pt idx="15">
                  <c:v>0.6</c:v>
                </c:pt>
                <c:pt idx="16">
                  <c:v>0.4</c:v>
                </c:pt>
                <c:pt idx="17">
                  <c:v>0.4</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2-1C87-4060-844F-199617D5D7A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General</c:formatCode>
                <c:ptCount val="24"/>
                <c:pt idx="0">
                  <c:v>0.45</c:v>
                </c:pt>
                <c:pt idx="1">
                  <c:v>0.45</c:v>
                </c:pt>
                <c:pt idx="2">
                  <c:v>0.45</c:v>
                </c:pt>
                <c:pt idx="3">
                  <c:v>0.45</c:v>
                </c:pt>
                <c:pt idx="4">
                  <c:v>0.45</c:v>
                </c:pt>
                <c:pt idx="5">
                  <c:v>0.45</c:v>
                </c:pt>
                <c:pt idx="6">
                  <c:v>0.45</c:v>
                </c:pt>
                <c:pt idx="7">
                  <c:v>0.45</c:v>
                </c:pt>
                <c:pt idx="8">
                  <c:v>0.81</c:v>
                </c:pt>
                <c:pt idx="9">
                  <c:v>0.81</c:v>
                </c:pt>
                <c:pt idx="10">
                  <c:v>0.81</c:v>
                </c:pt>
                <c:pt idx="11">
                  <c:v>0.81</c:v>
                </c:pt>
                <c:pt idx="12">
                  <c:v>0.81</c:v>
                </c:pt>
                <c:pt idx="13">
                  <c:v>0.81</c:v>
                </c:pt>
                <c:pt idx="14">
                  <c:v>0.81</c:v>
                </c:pt>
                <c:pt idx="15">
                  <c:v>0.81</c:v>
                </c:pt>
                <c:pt idx="16">
                  <c:v>0.45</c:v>
                </c:pt>
                <c:pt idx="17">
                  <c:v>0.45</c:v>
                </c:pt>
                <c:pt idx="18">
                  <c:v>0.45</c:v>
                </c:pt>
                <c:pt idx="19">
                  <c:v>0.45</c:v>
                </c:pt>
                <c:pt idx="20">
                  <c:v>0.45</c:v>
                </c:pt>
                <c:pt idx="21">
                  <c:v>0.45</c:v>
                </c:pt>
                <c:pt idx="22">
                  <c:v>0.45</c:v>
                </c:pt>
                <c:pt idx="23">
                  <c:v>0.45</c:v>
                </c:pt>
              </c:numCache>
            </c:numRef>
          </c:val>
          <c:smooth val="0"/>
          <c:extLst>
            <c:ext xmlns:c16="http://schemas.microsoft.com/office/drawing/2014/chart" uri="{C3380CC4-5D6E-409C-BE32-E72D297353CC}">
              <c16:uniqueId val="{00000000-A5CF-4FE7-996D-B78C97662507}"/>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General</c:formatCode>
                <c:ptCount val="24"/>
                <c:pt idx="0">
                  <c:v>0.45</c:v>
                </c:pt>
                <c:pt idx="1">
                  <c:v>0.45</c:v>
                </c:pt>
                <c:pt idx="2">
                  <c:v>0.45</c:v>
                </c:pt>
                <c:pt idx="3">
                  <c:v>0.45</c:v>
                </c:pt>
                <c:pt idx="4">
                  <c:v>0.45</c:v>
                </c:pt>
                <c:pt idx="5">
                  <c:v>0.45</c:v>
                </c:pt>
                <c:pt idx="6">
                  <c:v>0.45</c:v>
                </c:pt>
                <c:pt idx="7">
                  <c:v>0.45</c:v>
                </c:pt>
                <c:pt idx="8">
                  <c:v>0.72</c:v>
                </c:pt>
                <c:pt idx="9">
                  <c:v>0.72</c:v>
                </c:pt>
                <c:pt idx="10">
                  <c:v>0.72</c:v>
                </c:pt>
                <c:pt idx="11">
                  <c:v>0.72</c:v>
                </c:pt>
                <c:pt idx="12">
                  <c:v>0.72</c:v>
                </c:pt>
                <c:pt idx="13">
                  <c:v>0.72</c:v>
                </c:pt>
                <c:pt idx="14">
                  <c:v>0.72</c:v>
                </c:pt>
                <c:pt idx="15">
                  <c:v>0.72</c:v>
                </c:pt>
                <c:pt idx="16">
                  <c:v>0.72</c:v>
                </c:pt>
                <c:pt idx="17">
                  <c:v>0.72</c:v>
                </c:pt>
                <c:pt idx="18">
                  <c:v>0.45</c:v>
                </c:pt>
                <c:pt idx="19">
                  <c:v>0.45</c:v>
                </c:pt>
                <c:pt idx="20">
                  <c:v>0.45</c:v>
                </c:pt>
                <c:pt idx="21">
                  <c:v>0.45</c:v>
                </c:pt>
                <c:pt idx="22">
                  <c:v>0.45</c:v>
                </c:pt>
                <c:pt idx="23">
                  <c:v>0.45</c:v>
                </c:pt>
              </c:numCache>
            </c:numRef>
          </c:val>
          <c:smooth val="0"/>
          <c:extLst>
            <c:ext xmlns:c16="http://schemas.microsoft.com/office/drawing/2014/chart" uri="{C3380CC4-5D6E-409C-BE32-E72D297353CC}">
              <c16:uniqueId val="{00000001-A5CF-4FE7-996D-B78C97662507}"/>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General</c:formatCode>
                <c:ptCount val="24"/>
                <c:pt idx="0">
                  <c:v>0.45</c:v>
                </c:pt>
                <c:pt idx="1">
                  <c:v>0.45</c:v>
                </c:pt>
                <c:pt idx="2">
                  <c:v>0.45</c:v>
                </c:pt>
                <c:pt idx="3">
                  <c:v>0.45</c:v>
                </c:pt>
                <c:pt idx="4">
                  <c:v>0.45</c:v>
                </c:pt>
                <c:pt idx="5">
                  <c:v>0.45</c:v>
                </c:pt>
                <c:pt idx="6">
                  <c:v>0.45</c:v>
                </c:pt>
                <c:pt idx="7">
                  <c:v>0.45</c:v>
                </c:pt>
                <c:pt idx="8">
                  <c:v>0.63</c:v>
                </c:pt>
                <c:pt idx="9">
                  <c:v>0.63</c:v>
                </c:pt>
                <c:pt idx="10">
                  <c:v>0.63</c:v>
                </c:pt>
                <c:pt idx="11">
                  <c:v>0.63</c:v>
                </c:pt>
                <c:pt idx="12">
                  <c:v>0.63</c:v>
                </c:pt>
                <c:pt idx="13">
                  <c:v>0.63</c:v>
                </c:pt>
                <c:pt idx="14">
                  <c:v>0.63</c:v>
                </c:pt>
                <c:pt idx="15">
                  <c:v>0.63</c:v>
                </c:pt>
                <c:pt idx="16">
                  <c:v>0.45</c:v>
                </c:pt>
                <c:pt idx="17">
                  <c:v>0.45</c:v>
                </c:pt>
                <c:pt idx="18">
                  <c:v>0.45</c:v>
                </c:pt>
                <c:pt idx="19">
                  <c:v>0.45</c:v>
                </c:pt>
                <c:pt idx="20">
                  <c:v>0.45</c:v>
                </c:pt>
                <c:pt idx="21">
                  <c:v>0.45</c:v>
                </c:pt>
                <c:pt idx="22">
                  <c:v>0.45</c:v>
                </c:pt>
                <c:pt idx="23">
                  <c:v>0.45</c:v>
                </c:pt>
              </c:numCache>
            </c:numRef>
          </c:val>
          <c:smooth val="0"/>
          <c:extLst>
            <c:ext xmlns:c16="http://schemas.microsoft.com/office/drawing/2014/chart" uri="{C3380CC4-5D6E-409C-BE32-E72D297353CC}">
              <c16:uniqueId val="{00000002-A5CF-4FE7-996D-B78C9766250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0.4</c:v>
                </c:pt>
                <c:pt idx="1">
                  <c:v>0.4</c:v>
                </c:pt>
                <c:pt idx="2">
                  <c:v>0.4</c:v>
                </c:pt>
                <c:pt idx="3">
                  <c:v>0.4</c:v>
                </c:pt>
                <c:pt idx="4">
                  <c:v>0.4</c:v>
                </c:pt>
                <c:pt idx="5">
                  <c:v>0.4</c:v>
                </c:pt>
                <c:pt idx="6">
                  <c:v>0.4</c:v>
                </c:pt>
                <c:pt idx="7">
                  <c:v>0.7</c:v>
                </c:pt>
                <c:pt idx="8">
                  <c:v>0.9</c:v>
                </c:pt>
                <c:pt idx="9">
                  <c:v>0.9</c:v>
                </c:pt>
                <c:pt idx="10">
                  <c:v>0.9</c:v>
                </c:pt>
                <c:pt idx="11">
                  <c:v>0.9</c:v>
                </c:pt>
                <c:pt idx="12">
                  <c:v>0.9</c:v>
                </c:pt>
                <c:pt idx="13">
                  <c:v>0.9</c:v>
                </c:pt>
                <c:pt idx="14">
                  <c:v>0.9</c:v>
                </c:pt>
                <c:pt idx="15">
                  <c:v>0.9</c:v>
                </c:pt>
                <c:pt idx="16">
                  <c:v>0.6</c:v>
                </c:pt>
                <c:pt idx="17">
                  <c:v>0.6</c:v>
                </c:pt>
                <c:pt idx="18">
                  <c:v>0.6</c:v>
                </c:pt>
                <c:pt idx="19">
                  <c:v>0.6</c:v>
                </c:pt>
                <c:pt idx="20">
                  <c:v>0.6</c:v>
                </c:pt>
                <c:pt idx="21">
                  <c:v>0.6</c:v>
                </c:pt>
                <c:pt idx="22">
                  <c:v>0.6</c:v>
                </c:pt>
                <c:pt idx="23">
                  <c:v>0.4</c:v>
                </c:pt>
              </c:numCache>
            </c:numRef>
          </c:val>
          <c:smooth val="0"/>
          <c:extLst>
            <c:ext xmlns:c16="http://schemas.microsoft.com/office/drawing/2014/chart" uri="{C3380CC4-5D6E-409C-BE32-E72D297353CC}">
              <c16:uniqueId val="{00000000-3AF8-4C14-8B78-6A665B328BB2}"/>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0.4</c:v>
                </c:pt>
                <c:pt idx="1">
                  <c:v>0.4</c:v>
                </c:pt>
                <c:pt idx="2">
                  <c:v>0.4</c:v>
                </c:pt>
                <c:pt idx="3">
                  <c:v>0.4</c:v>
                </c:pt>
                <c:pt idx="4">
                  <c:v>0.4</c:v>
                </c:pt>
                <c:pt idx="5">
                  <c:v>0.4</c:v>
                </c:pt>
                <c:pt idx="6">
                  <c:v>0.4</c:v>
                </c:pt>
                <c:pt idx="7">
                  <c:v>0.8</c:v>
                </c:pt>
                <c:pt idx="8">
                  <c:v>0.65</c:v>
                </c:pt>
                <c:pt idx="9">
                  <c:v>0.65</c:v>
                </c:pt>
                <c:pt idx="10">
                  <c:v>0.65</c:v>
                </c:pt>
                <c:pt idx="11">
                  <c:v>0.65</c:v>
                </c:pt>
                <c:pt idx="12">
                  <c:v>0.65</c:v>
                </c:pt>
                <c:pt idx="13">
                  <c:v>0.65</c:v>
                </c:pt>
                <c:pt idx="14">
                  <c:v>0.65</c:v>
                </c:pt>
                <c:pt idx="15">
                  <c:v>0.65</c:v>
                </c:pt>
                <c:pt idx="16">
                  <c:v>0.65</c:v>
                </c:pt>
                <c:pt idx="17">
                  <c:v>0.65</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1-3AF8-4C14-8B78-6A665B328BB2}"/>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0.4</c:v>
                </c:pt>
                <c:pt idx="1">
                  <c:v>0.4</c:v>
                </c:pt>
                <c:pt idx="2">
                  <c:v>0.4</c:v>
                </c:pt>
                <c:pt idx="3">
                  <c:v>0.4</c:v>
                </c:pt>
                <c:pt idx="4">
                  <c:v>0.4</c:v>
                </c:pt>
                <c:pt idx="5">
                  <c:v>0.4</c:v>
                </c:pt>
                <c:pt idx="6">
                  <c:v>0.4</c:v>
                </c:pt>
                <c:pt idx="7">
                  <c:v>0.4</c:v>
                </c:pt>
                <c:pt idx="8">
                  <c:v>0.6</c:v>
                </c:pt>
                <c:pt idx="9">
                  <c:v>0.6</c:v>
                </c:pt>
                <c:pt idx="10">
                  <c:v>0.6</c:v>
                </c:pt>
                <c:pt idx="11">
                  <c:v>0.6</c:v>
                </c:pt>
                <c:pt idx="12">
                  <c:v>0.6</c:v>
                </c:pt>
                <c:pt idx="13">
                  <c:v>0.6</c:v>
                </c:pt>
                <c:pt idx="14">
                  <c:v>0.6</c:v>
                </c:pt>
                <c:pt idx="15">
                  <c:v>0.6</c:v>
                </c:pt>
                <c:pt idx="16">
                  <c:v>0.4</c:v>
                </c:pt>
                <c:pt idx="17">
                  <c:v>0.4</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2-3AF8-4C14-8B78-6A665B328BB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General</c:formatCode>
                <c:ptCount val="24"/>
                <c:pt idx="0">
                  <c:v>0.3</c:v>
                </c:pt>
                <c:pt idx="1">
                  <c:v>0.3</c:v>
                </c:pt>
                <c:pt idx="2">
                  <c:v>0.3</c:v>
                </c:pt>
                <c:pt idx="3">
                  <c:v>0.3</c:v>
                </c:pt>
                <c:pt idx="4">
                  <c:v>0.3</c:v>
                </c:pt>
                <c:pt idx="5">
                  <c:v>0.3</c:v>
                </c:pt>
                <c:pt idx="6">
                  <c:v>0.5</c:v>
                </c:pt>
                <c:pt idx="7">
                  <c:v>0.57999999999999996</c:v>
                </c:pt>
                <c:pt idx="8">
                  <c:v>0.66</c:v>
                </c:pt>
                <c:pt idx="9">
                  <c:v>0.78</c:v>
                </c:pt>
                <c:pt idx="10">
                  <c:v>0.82</c:v>
                </c:pt>
                <c:pt idx="11">
                  <c:v>0.71</c:v>
                </c:pt>
                <c:pt idx="12">
                  <c:v>0.82</c:v>
                </c:pt>
                <c:pt idx="13">
                  <c:v>0.78</c:v>
                </c:pt>
                <c:pt idx="14">
                  <c:v>0.74</c:v>
                </c:pt>
                <c:pt idx="15">
                  <c:v>0.63</c:v>
                </c:pt>
                <c:pt idx="16">
                  <c:v>0.41</c:v>
                </c:pt>
                <c:pt idx="17">
                  <c:v>0.35</c:v>
                </c:pt>
                <c:pt idx="18">
                  <c:v>0.35</c:v>
                </c:pt>
                <c:pt idx="19">
                  <c:v>0.35</c:v>
                </c:pt>
                <c:pt idx="20">
                  <c:v>0.3</c:v>
                </c:pt>
                <c:pt idx="21">
                  <c:v>0.3</c:v>
                </c:pt>
                <c:pt idx="22">
                  <c:v>0.3</c:v>
                </c:pt>
                <c:pt idx="23">
                  <c:v>0.3</c:v>
                </c:pt>
              </c:numCache>
            </c:numRef>
          </c:val>
          <c:smooth val="0"/>
          <c:extLst>
            <c:ext xmlns:c16="http://schemas.microsoft.com/office/drawing/2014/chart" uri="{C3380CC4-5D6E-409C-BE32-E72D297353CC}">
              <c16:uniqueId val="{00000000-6A3D-4834-91B1-3D823C9647B4}"/>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General</c:formatCode>
                <c:ptCount val="24"/>
                <c:pt idx="0">
                  <c:v>0.3</c:v>
                </c:pt>
                <c:pt idx="1">
                  <c:v>0.3</c:v>
                </c:pt>
                <c:pt idx="2">
                  <c:v>0.3</c:v>
                </c:pt>
                <c:pt idx="3">
                  <c:v>0.3</c:v>
                </c:pt>
                <c:pt idx="4">
                  <c:v>0.3</c:v>
                </c:pt>
                <c:pt idx="5">
                  <c:v>0.3</c:v>
                </c:pt>
                <c:pt idx="6">
                  <c:v>0.3</c:v>
                </c:pt>
                <c:pt idx="7">
                  <c:v>0.4</c:v>
                </c:pt>
                <c:pt idx="8">
                  <c:v>0.5</c:v>
                </c:pt>
                <c:pt idx="9">
                  <c:v>0.6</c:v>
                </c:pt>
                <c:pt idx="10">
                  <c:v>0.6</c:v>
                </c:pt>
                <c:pt idx="11">
                  <c:v>0.6</c:v>
                </c:pt>
                <c:pt idx="12">
                  <c:v>0.6</c:v>
                </c:pt>
                <c:pt idx="13">
                  <c:v>0.6</c:v>
                </c:pt>
                <c:pt idx="14">
                  <c:v>0.6</c:v>
                </c:pt>
                <c:pt idx="15">
                  <c:v>0.6</c:v>
                </c:pt>
                <c:pt idx="16">
                  <c:v>0.5</c:v>
                </c:pt>
                <c:pt idx="17">
                  <c:v>0.3</c:v>
                </c:pt>
                <c:pt idx="18">
                  <c:v>0.3</c:v>
                </c:pt>
                <c:pt idx="19">
                  <c:v>0.3</c:v>
                </c:pt>
                <c:pt idx="20">
                  <c:v>0.3</c:v>
                </c:pt>
                <c:pt idx="21">
                  <c:v>0.3</c:v>
                </c:pt>
                <c:pt idx="22">
                  <c:v>0.3</c:v>
                </c:pt>
                <c:pt idx="23">
                  <c:v>0.3</c:v>
                </c:pt>
              </c:numCache>
            </c:numRef>
          </c:val>
          <c:smooth val="0"/>
          <c:extLst>
            <c:ext xmlns:c16="http://schemas.microsoft.com/office/drawing/2014/chart" uri="{C3380CC4-5D6E-409C-BE32-E72D297353CC}">
              <c16:uniqueId val="{00000001-6A3D-4834-91B1-3D823C9647B4}"/>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General</c:formatCode>
                <c:ptCount val="24"/>
                <c:pt idx="0">
                  <c:v>0.3</c:v>
                </c:pt>
                <c:pt idx="1">
                  <c:v>0.3</c:v>
                </c:pt>
                <c:pt idx="2">
                  <c:v>0.3</c:v>
                </c:pt>
                <c:pt idx="3">
                  <c:v>0.3</c:v>
                </c:pt>
                <c:pt idx="4">
                  <c:v>0.3</c:v>
                </c:pt>
                <c:pt idx="5">
                  <c:v>0.3</c:v>
                </c:pt>
                <c:pt idx="6">
                  <c:v>0.3</c:v>
                </c:pt>
                <c:pt idx="7">
                  <c:v>0.4</c:v>
                </c:pt>
                <c:pt idx="8">
                  <c:v>0.5</c:v>
                </c:pt>
                <c:pt idx="9">
                  <c:v>0.6</c:v>
                </c:pt>
                <c:pt idx="10">
                  <c:v>0.6</c:v>
                </c:pt>
                <c:pt idx="11">
                  <c:v>0.6</c:v>
                </c:pt>
                <c:pt idx="12">
                  <c:v>0.6</c:v>
                </c:pt>
                <c:pt idx="13">
                  <c:v>0.6</c:v>
                </c:pt>
                <c:pt idx="14">
                  <c:v>0.6</c:v>
                </c:pt>
                <c:pt idx="15">
                  <c:v>0.6</c:v>
                </c:pt>
                <c:pt idx="16">
                  <c:v>0.5</c:v>
                </c:pt>
                <c:pt idx="17">
                  <c:v>0.3</c:v>
                </c:pt>
                <c:pt idx="18">
                  <c:v>0.3</c:v>
                </c:pt>
                <c:pt idx="19">
                  <c:v>0.3</c:v>
                </c:pt>
                <c:pt idx="20">
                  <c:v>0.3</c:v>
                </c:pt>
                <c:pt idx="21">
                  <c:v>0.3</c:v>
                </c:pt>
                <c:pt idx="22">
                  <c:v>0.3</c:v>
                </c:pt>
                <c:pt idx="23">
                  <c:v>0.3</c:v>
                </c:pt>
              </c:numCache>
            </c:numRef>
          </c:val>
          <c:smooth val="0"/>
          <c:extLst>
            <c:ext xmlns:c16="http://schemas.microsoft.com/office/drawing/2014/chart" uri="{C3380CC4-5D6E-409C-BE32-E72D297353CC}">
              <c16:uniqueId val="{00000002-6A3D-4834-91B1-3D823C9647B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Schedules!$E$47</c:f>
              <c:strCache>
                <c:ptCount val="1"/>
                <c:pt idx="0">
                  <c:v>Weekday</c:v>
                </c:pt>
              </c:strCache>
            </c:strRef>
          </c:tx>
          <c:spPr>
            <a:ln w="28575" cap="rnd">
              <a:solidFill>
                <a:schemeClr val="accent1"/>
              </a:solidFill>
              <a:round/>
            </a:ln>
            <a:effectLst/>
          </c:spPr>
          <c:marker>
            <c:symbol val="none"/>
          </c:marker>
          <c:val>
            <c:numRef>
              <c:f>Schedules!$F$47:$AC$47</c:f>
              <c:numCache>
                <c:formatCode>0.00</c:formatCode>
                <c:ptCount val="24"/>
                <c:pt idx="0">
                  <c:v>0.1</c:v>
                </c:pt>
                <c:pt idx="1">
                  <c:v>0.1</c:v>
                </c:pt>
                <c:pt idx="2">
                  <c:v>0.1</c:v>
                </c:pt>
                <c:pt idx="3">
                  <c:v>0.1</c:v>
                </c:pt>
                <c:pt idx="4">
                  <c:v>0.1</c:v>
                </c:pt>
                <c:pt idx="5">
                  <c:v>0.1</c:v>
                </c:pt>
                <c:pt idx="6">
                  <c:v>0.1</c:v>
                </c:pt>
                <c:pt idx="7">
                  <c:v>0.75</c:v>
                </c:pt>
                <c:pt idx="8">
                  <c:v>0.9</c:v>
                </c:pt>
                <c:pt idx="9">
                  <c:v>0.9</c:v>
                </c:pt>
                <c:pt idx="10">
                  <c:v>0.9</c:v>
                </c:pt>
                <c:pt idx="11">
                  <c:v>0.9</c:v>
                </c:pt>
                <c:pt idx="12">
                  <c:v>0.9</c:v>
                </c:pt>
                <c:pt idx="13">
                  <c:v>0.9</c:v>
                </c:pt>
                <c:pt idx="14">
                  <c:v>0.9</c:v>
                </c:pt>
                <c:pt idx="15">
                  <c:v>0.9</c:v>
                </c:pt>
                <c:pt idx="16">
                  <c:v>0.9</c:v>
                </c:pt>
                <c:pt idx="17">
                  <c:v>0.75</c:v>
                </c:pt>
                <c:pt idx="18">
                  <c:v>0.2</c:v>
                </c:pt>
                <c:pt idx="19">
                  <c:v>0.1</c:v>
                </c:pt>
                <c:pt idx="20">
                  <c:v>0.1</c:v>
                </c:pt>
                <c:pt idx="21">
                  <c:v>0.1</c:v>
                </c:pt>
                <c:pt idx="22">
                  <c:v>0.1</c:v>
                </c:pt>
                <c:pt idx="23">
                  <c:v>0.1</c:v>
                </c:pt>
              </c:numCache>
            </c:numRef>
          </c:val>
          <c:smooth val="0"/>
          <c:extLst>
            <c:ext xmlns:c16="http://schemas.microsoft.com/office/drawing/2014/chart" uri="{C3380CC4-5D6E-409C-BE32-E72D297353CC}">
              <c16:uniqueId val="{00000000-8C87-4B8A-95D0-01F729E59493}"/>
            </c:ext>
          </c:extLst>
        </c:ser>
        <c:ser>
          <c:idx val="1"/>
          <c:order val="1"/>
          <c:tx>
            <c:strRef>
              <c:f>Schedules!$E$48</c:f>
              <c:strCache>
                <c:ptCount val="1"/>
                <c:pt idx="0">
                  <c:v>Saturday</c:v>
                </c:pt>
              </c:strCache>
            </c:strRef>
          </c:tx>
          <c:spPr>
            <a:ln w="28575" cap="rnd">
              <a:solidFill>
                <a:schemeClr val="accent2"/>
              </a:solidFill>
              <a:round/>
            </a:ln>
            <a:effectLst/>
          </c:spPr>
          <c:marker>
            <c:symbol val="none"/>
          </c:marker>
          <c:val>
            <c:numRef>
              <c:f>Schedules!$F$48:$AC$48</c:f>
              <c:numCache>
                <c:formatCode>0.00</c:formatCode>
                <c:ptCount val="24"/>
                <c:pt idx="0">
                  <c:v>0.1</c:v>
                </c:pt>
                <c:pt idx="1">
                  <c:v>0.1</c:v>
                </c:pt>
                <c:pt idx="2">
                  <c:v>0.1</c:v>
                </c:pt>
                <c:pt idx="3">
                  <c:v>0.1</c:v>
                </c:pt>
                <c:pt idx="4">
                  <c:v>0.1</c:v>
                </c:pt>
                <c:pt idx="5">
                  <c:v>0.1</c:v>
                </c:pt>
                <c:pt idx="6">
                  <c:v>0.1</c:v>
                </c:pt>
                <c:pt idx="7">
                  <c:v>0.3</c:v>
                </c:pt>
                <c:pt idx="8">
                  <c:v>0.5</c:v>
                </c:pt>
                <c:pt idx="9">
                  <c:v>0.5</c:v>
                </c:pt>
                <c:pt idx="10">
                  <c:v>0.5</c:v>
                </c:pt>
                <c:pt idx="11">
                  <c:v>0.5</c:v>
                </c:pt>
                <c:pt idx="12">
                  <c:v>0.5</c:v>
                </c:pt>
                <c:pt idx="13">
                  <c:v>0.5</c:v>
                </c:pt>
                <c:pt idx="14">
                  <c:v>0.5</c:v>
                </c:pt>
                <c:pt idx="15">
                  <c:v>0.5</c:v>
                </c:pt>
                <c:pt idx="16">
                  <c:v>0.5</c:v>
                </c:pt>
                <c:pt idx="17">
                  <c:v>0.3</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8C87-4B8A-95D0-01F729E59493}"/>
            </c:ext>
          </c:extLst>
        </c:ser>
        <c:ser>
          <c:idx val="2"/>
          <c:order val="2"/>
          <c:tx>
            <c:strRef>
              <c:f>Schedules!$E$49</c:f>
              <c:strCache>
                <c:ptCount val="1"/>
                <c:pt idx="0">
                  <c:v>Sunday</c:v>
                </c:pt>
              </c:strCache>
            </c:strRef>
          </c:tx>
          <c:spPr>
            <a:ln w="28575" cap="rnd">
              <a:solidFill>
                <a:schemeClr val="accent3"/>
              </a:solidFill>
              <a:round/>
            </a:ln>
            <a:effectLst/>
          </c:spPr>
          <c:marker>
            <c:symbol val="none"/>
          </c:marker>
          <c:val>
            <c:numRef>
              <c:f>Schedules!$F$49:$AC$49</c:f>
              <c:numCache>
                <c:formatCode>0.00</c:formatCode>
                <c:ptCount val="24"/>
                <c:pt idx="0">
                  <c:v>0.1</c:v>
                </c:pt>
                <c:pt idx="1">
                  <c:v>0.1</c:v>
                </c:pt>
                <c:pt idx="2">
                  <c:v>0.1</c:v>
                </c:pt>
                <c:pt idx="3">
                  <c:v>0.1</c:v>
                </c:pt>
                <c:pt idx="4">
                  <c:v>0.1</c:v>
                </c:pt>
                <c:pt idx="5">
                  <c:v>0.1</c:v>
                </c:pt>
                <c:pt idx="6">
                  <c:v>0.1</c:v>
                </c:pt>
                <c:pt idx="7">
                  <c:v>0.3</c:v>
                </c:pt>
                <c:pt idx="8">
                  <c:v>0.5</c:v>
                </c:pt>
                <c:pt idx="9">
                  <c:v>0.5</c:v>
                </c:pt>
                <c:pt idx="10">
                  <c:v>0.5</c:v>
                </c:pt>
                <c:pt idx="11">
                  <c:v>0.5</c:v>
                </c:pt>
                <c:pt idx="12">
                  <c:v>0.5</c:v>
                </c:pt>
                <c:pt idx="13">
                  <c:v>0.5</c:v>
                </c:pt>
                <c:pt idx="14">
                  <c:v>0.5</c:v>
                </c:pt>
                <c:pt idx="15">
                  <c:v>0.5</c:v>
                </c:pt>
                <c:pt idx="16">
                  <c:v>0.5</c:v>
                </c:pt>
                <c:pt idx="17">
                  <c:v>0.3</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2-8C87-4B8A-95D0-01F729E59493}"/>
            </c:ext>
          </c:extLst>
        </c:ser>
        <c:ser>
          <c:idx val="3"/>
          <c:order val="3"/>
          <c:tx>
            <c:v>Weekly PNNL</c:v>
          </c:tx>
          <c:spPr>
            <a:ln w="28575" cap="rnd">
              <a:solidFill>
                <a:schemeClr val="accent4"/>
              </a:solidFill>
              <a:prstDash val="sysDash"/>
              <a:round/>
            </a:ln>
            <a:effectLst/>
          </c:spPr>
          <c:marker>
            <c:symbol val="none"/>
          </c:marker>
          <c:val>
            <c:numRef>
              <c:f>Schedules!$AN$47:$BK$47</c:f>
              <c:numCache>
                <c:formatCode>0.00</c:formatCode>
                <c:ptCount val="24"/>
                <c:pt idx="0">
                  <c:v>0.4</c:v>
                </c:pt>
                <c:pt idx="1">
                  <c:v>0.4</c:v>
                </c:pt>
                <c:pt idx="2">
                  <c:v>0.4</c:v>
                </c:pt>
                <c:pt idx="3">
                  <c:v>0.4</c:v>
                </c:pt>
                <c:pt idx="4">
                  <c:v>0.4</c:v>
                </c:pt>
                <c:pt idx="5">
                  <c:v>0.4</c:v>
                </c:pt>
                <c:pt idx="6">
                  <c:v>0.4</c:v>
                </c:pt>
                <c:pt idx="7">
                  <c:v>0.7</c:v>
                </c:pt>
                <c:pt idx="8">
                  <c:v>0.9</c:v>
                </c:pt>
                <c:pt idx="9">
                  <c:v>0.9</c:v>
                </c:pt>
                <c:pt idx="10">
                  <c:v>0.9</c:v>
                </c:pt>
                <c:pt idx="11">
                  <c:v>0.9</c:v>
                </c:pt>
                <c:pt idx="12">
                  <c:v>0.9</c:v>
                </c:pt>
                <c:pt idx="13">
                  <c:v>0.9</c:v>
                </c:pt>
                <c:pt idx="14">
                  <c:v>0.9</c:v>
                </c:pt>
                <c:pt idx="15">
                  <c:v>0.9</c:v>
                </c:pt>
                <c:pt idx="16">
                  <c:v>0.6</c:v>
                </c:pt>
                <c:pt idx="17">
                  <c:v>0.6</c:v>
                </c:pt>
                <c:pt idx="18">
                  <c:v>0.6</c:v>
                </c:pt>
                <c:pt idx="19">
                  <c:v>0.6</c:v>
                </c:pt>
                <c:pt idx="20">
                  <c:v>0.6</c:v>
                </c:pt>
                <c:pt idx="21">
                  <c:v>0.6</c:v>
                </c:pt>
                <c:pt idx="22">
                  <c:v>0.6</c:v>
                </c:pt>
                <c:pt idx="23">
                  <c:v>0.4</c:v>
                </c:pt>
              </c:numCache>
            </c:numRef>
          </c:val>
          <c:smooth val="0"/>
          <c:extLst>
            <c:ext xmlns:c16="http://schemas.microsoft.com/office/drawing/2014/chart" uri="{C3380CC4-5D6E-409C-BE32-E72D297353CC}">
              <c16:uniqueId val="{00000003-8C87-4B8A-95D0-01F729E59493}"/>
            </c:ext>
          </c:extLst>
        </c:ser>
        <c:ser>
          <c:idx val="4"/>
          <c:order val="4"/>
          <c:tx>
            <c:v>Saturday PNNL</c:v>
          </c:tx>
          <c:spPr>
            <a:ln w="28575" cap="rnd">
              <a:solidFill>
                <a:schemeClr val="accent5"/>
              </a:solidFill>
              <a:prstDash val="sysDash"/>
              <a:round/>
            </a:ln>
            <a:effectLst/>
          </c:spPr>
          <c:marker>
            <c:symbol val="none"/>
          </c:marker>
          <c:val>
            <c:numRef>
              <c:f>Schedules!$AN$48:$BK$48</c:f>
              <c:numCache>
                <c:formatCode>0.00</c:formatCode>
                <c:ptCount val="24"/>
                <c:pt idx="0">
                  <c:v>0.4</c:v>
                </c:pt>
                <c:pt idx="1">
                  <c:v>0.4</c:v>
                </c:pt>
                <c:pt idx="2">
                  <c:v>0.4</c:v>
                </c:pt>
                <c:pt idx="3">
                  <c:v>0.4</c:v>
                </c:pt>
                <c:pt idx="4">
                  <c:v>0.4</c:v>
                </c:pt>
                <c:pt idx="5">
                  <c:v>0.4</c:v>
                </c:pt>
                <c:pt idx="6">
                  <c:v>0.4</c:v>
                </c:pt>
                <c:pt idx="7">
                  <c:v>0.8</c:v>
                </c:pt>
                <c:pt idx="8">
                  <c:v>0.65</c:v>
                </c:pt>
                <c:pt idx="9">
                  <c:v>0.65</c:v>
                </c:pt>
                <c:pt idx="10">
                  <c:v>0.65</c:v>
                </c:pt>
                <c:pt idx="11">
                  <c:v>0.65</c:v>
                </c:pt>
                <c:pt idx="12">
                  <c:v>0.65</c:v>
                </c:pt>
                <c:pt idx="13">
                  <c:v>0.65</c:v>
                </c:pt>
                <c:pt idx="14">
                  <c:v>0.65</c:v>
                </c:pt>
                <c:pt idx="15">
                  <c:v>0.65</c:v>
                </c:pt>
                <c:pt idx="16">
                  <c:v>0.65</c:v>
                </c:pt>
                <c:pt idx="17">
                  <c:v>0.65</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4-8C87-4B8A-95D0-01F729E59493}"/>
            </c:ext>
          </c:extLst>
        </c:ser>
        <c:ser>
          <c:idx val="5"/>
          <c:order val="5"/>
          <c:tx>
            <c:v>Sunday PNNL</c:v>
          </c:tx>
          <c:spPr>
            <a:ln w="28575" cap="rnd">
              <a:solidFill>
                <a:schemeClr val="accent6"/>
              </a:solidFill>
              <a:prstDash val="sysDash"/>
              <a:round/>
            </a:ln>
            <a:effectLst/>
          </c:spPr>
          <c:marker>
            <c:symbol val="none"/>
          </c:marker>
          <c:val>
            <c:numRef>
              <c:f>Schedules!$AN$49:$BK$49</c:f>
              <c:numCache>
                <c:formatCode>0.00</c:formatCode>
                <c:ptCount val="24"/>
                <c:pt idx="0">
                  <c:v>0.4</c:v>
                </c:pt>
                <c:pt idx="1">
                  <c:v>0.4</c:v>
                </c:pt>
                <c:pt idx="2">
                  <c:v>0.4</c:v>
                </c:pt>
                <c:pt idx="3">
                  <c:v>0.4</c:v>
                </c:pt>
                <c:pt idx="4">
                  <c:v>0.4</c:v>
                </c:pt>
                <c:pt idx="5">
                  <c:v>0.4</c:v>
                </c:pt>
                <c:pt idx="6">
                  <c:v>0.4</c:v>
                </c:pt>
                <c:pt idx="7">
                  <c:v>0.4</c:v>
                </c:pt>
                <c:pt idx="8">
                  <c:v>0.6</c:v>
                </c:pt>
                <c:pt idx="9">
                  <c:v>0.6</c:v>
                </c:pt>
                <c:pt idx="10">
                  <c:v>0.6</c:v>
                </c:pt>
                <c:pt idx="11">
                  <c:v>0.6</c:v>
                </c:pt>
                <c:pt idx="12">
                  <c:v>0.6</c:v>
                </c:pt>
                <c:pt idx="13">
                  <c:v>0.6</c:v>
                </c:pt>
                <c:pt idx="14">
                  <c:v>0.6</c:v>
                </c:pt>
                <c:pt idx="15">
                  <c:v>0.6</c:v>
                </c:pt>
                <c:pt idx="16">
                  <c:v>0.4</c:v>
                </c:pt>
                <c:pt idx="17">
                  <c:v>0.4</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5-8C87-4B8A-95D0-01F729E5949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2724239688947145"/>
          <c:y val="5.1254109139228224E-3"/>
          <c:w val="0.2727576031105286"/>
          <c:h val="0.358986844931880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General</c:formatCode>
                <c:ptCount val="24"/>
                <c:pt idx="0">
                  <c:v>0.4</c:v>
                </c:pt>
                <c:pt idx="1">
                  <c:v>0.4</c:v>
                </c:pt>
                <c:pt idx="2">
                  <c:v>0.4</c:v>
                </c:pt>
                <c:pt idx="3">
                  <c:v>0.4</c:v>
                </c:pt>
                <c:pt idx="4">
                  <c:v>0.4</c:v>
                </c:pt>
                <c:pt idx="5">
                  <c:v>0.4</c:v>
                </c:pt>
                <c:pt idx="6">
                  <c:v>0.4</c:v>
                </c:pt>
                <c:pt idx="7">
                  <c:v>0.5</c:v>
                </c:pt>
                <c:pt idx="8">
                  <c:v>0.6</c:v>
                </c:pt>
                <c:pt idx="9">
                  <c:v>0.8</c:v>
                </c:pt>
                <c:pt idx="10">
                  <c:v>0.8</c:v>
                </c:pt>
                <c:pt idx="11">
                  <c:v>0.8</c:v>
                </c:pt>
                <c:pt idx="12">
                  <c:v>0.8</c:v>
                </c:pt>
                <c:pt idx="13">
                  <c:v>0.8</c:v>
                </c:pt>
                <c:pt idx="14">
                  <c:v>0.8</c:v>
                </c:pt>
                <c:pt idx="15">
                  <c:v>0.8</c:v>
                </c:pt>
                <c:pt idx="16">
                  <c:v>0.8</c:v>
                </c:pt>
                <c:pt idx="17">
                  <c:v>0.6</c:v>
                </c:pt>
                <c:pt idx="18">
                  <c:v>0.5</c:v>
                </c:pt>
                <c:pt idx="19">
                  <c:v>0.5</c:v>
                </c:pt>
                <c:pt idx="20">
                  <c:v>0.4</c:v>
                </c:pt>
                <c:pt idx="21">
                  <c:v>0.4</c:v>
                </c:pt>
                <c:pt idx="22">
                  <c:v>0.4</c:v>
                </c:pt>
                <c:pt idx="23">
                  <c:v>0.4</c:v>
                </c:pt>
              </c:numCache>
            </c:numRef>
          </c:val>
          <c:smooth val="0"/>
          <c:extLst>
            <c:ext xmlns:c16="http://schemas.microsoft.com/office/drawing/2014/chart" uri="{C3380CC4-5D6E-409C-BE32-E72D297353CC}">
              <c16:uniqueId val="{00000000-E5E7-4FD8-B583-28AF4C2EC2C2}"/>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General</c:formatCode>
                <c:ptCount val="24"/>
                <c:pt idx="0">
                  <c:v>0.4</c:v>
                </c:pt>
                <c:pt idx="1">
                  <c:v>0.4</c:v>
                </c:pt>
                <c:pt idx="2">
                  <c:v>0.4</c:v>
                </c:pt>
                <c:pt idx="3">
                  <c:v>0.4</c:v>
                </c:pt>
                <c:pt idx="4">
                  <c:v>0.4</c:v>
                </c:pt>
                <c:pt idx="5">
                  <c:v>0.4</c:v>
                </c:pt>
                <c:pt idx="6">
                  <c:v>0.4</c:v>
                </c:pt>
                <c:pt idx="7">
                  <c:v>0.5</c:v>
                </c:pt>
                <c:pt idx="8">
                  <c:v>0.6</c:v>
                </c:pt>
                <c:pt idx="9">
                  <c:v>0.6</c:v>
                </c:pt>
                <c:pt idx="10">
                  <c:v>0.6</c:v>
                </c:pt>
                <c:pt idx="11">
                  <c:v>0.6</c:v>
                </c:pt>
                <c:pt idx="12">
                  <c:v>0.6</c:v>
                </c:pt>
                <c:pt idx="13">
                  <c:v>0.6</c:v>
                </c:pt>
                <c:pt idx="14">
                  <c:v>0.6</c:v>
                </c:pt>
                <c:pt idx="15">
                  <c:v>0.6</c:v>
                </c:pt>
                <c:pt idx="16">
                  <c:v>0.6</c:v>
                </c:pt>
                <c:pt idx="17">
                  <c:v>0.5</c:v>
                </c:pt>
                <c:pt idx="18">
                  <c:v>0.5</c:v>
                </c:pt>
                <c:pt idx="19">
                  <c:v>0.4</c:v>
                </c:pt>
                <c:pt idx="20">
                  <c:v>0.4</c:v>
                </c:pt>
                <c:pt idx="21">
                  <c:v>0.4</c:v>
                </c:pt>
                <c:pt idx="22">
                  <c:v>0.4</c:v>
                </c:pt>
                <c:pt idx="23">
                  <c:v>0.4</c:v>
                </c:pt>
              </c:numCache>
            </c:numRef>
          </c:val>
          <c:smooth val="0"/>
          <c:extLst>
            <c:ext xmlns:c16="http://schemas.microsoft.com/office/drawing/2014/chart" uri="{C3380CC4-5D6E-409C-BE32-E72D297353CC}">
              <c16:uniqueId val="{00000001-E5E7-4FD8-B583-28AF4C2EC2C2}"/>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General</c:formatCode>
                <c:ptCount val="24"/>
                <c:pt idx="0">
                  <c:v>0.4</c:v>
                </c:pt>
                <c:pt idx="1">
                  <c:v>0.4</c:v>
                </c:pt>
                <c:pt idx="2">
                  <c:v>0.4</c:v>
                </c:pt>
                <c:pt idx="3">
                  <c:v>0.4</c:v>
                </c:pt>
                <c:pt idx="4">
                  <c:v>0.4</c:v>
                </c:pt>
                <c:pt idx="5">
                  <c:v>0.4</c:v>
                </c:pt>
                <c:pt idx="6">
                  <c:v>0.4</c:v>
                </c:pt>
                <c:pt idx="7">
                  <c:v>0.4</c:v>
                </c:pt>
                <c:pt idx="8">
                  <c:v>0.6</c:v>
                </c:pt>
                <c:pt idx="9">
                  <c:v>0.6</c:v>
                </c:pt>
                <c:pt idx="10">
                  <c:v>0.6</c:v>
                </c:pt>
                <c:pt idx="11">
                  <c:v>0.6</c:v>
                </c:pt>
                <c:pt idx="12">
                  <c:v>0.6</c:v>
                </c:pt>
                <c:pt idx="13">
                  <c:v>0.6</c:v>
                </c:pt>
                <c:pt idx="14">
                  <c:v>0.6</c:v>
                </c:pt>
                <c:pt idx="15">
                  <c:v>0.6</c:v>
                </c:pt>
                <c:pt idx="16">
                  <c:v>0.4</c:v>
                </c:pt>
                <c:pt idx="17">
                  <c:v>0.4</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2-E5E7-4FD8-B583-28AF4C2EC2C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General</c:formatCode>
                <c:ptCount val="24"/>
                <c:pt idx="0">
                  <c:v>0.45</c:v>
                </c:pt>
                <c:pt idx="1">
                  <c:v>0.45</c:v>
                </c:pt>
                <c:pt idx="2">
                  <c:v>0.45</c:v>
                </c:pt>
                <c:pt idx="3">
                  <c:v>0.45</c:v>
                </c:pt>
                <c:pt idx="4">
                  <c:v>0.45</c:v>
                </c:pt>
                <c:pt idx="5">
                  <c:v>0.45</c:v>
                </c:pt>
                <c:pt idx="6">
                  <c:v>0.45</c:v>
                </c:pt>
                <c:pt idx="7">
                  <c:v>0.45</c:v>
                </c:pt>
                <c:pt idx="8">
                  <c:v>0.81</c:v>
                </c:pt>
                <c:pt idx="9">
                  <c:v>0.81</c:v>
                </c:pt>
                <c:pt idx="10">
                  <c:v>0.81</c:v>
                </c:pt>
                <c:pt idx="11">
                  <c:v>0.81</c:v>
                </c:pt>
                <c:pt idx="12">
                  <c:v>0.81</c:v>
                </c:pt>
                <c:pt idx="13">
                  <c:v>0.81</c:v>
                </c:pt>
                <c:pt idx="14">
                  <c:v>0.81</c:v>
                </c:pt>
                <c:pt idx="15">
                  <c:v>0.81</c:v>
                </c:pt>
                <c:pt idx="16">
                  <c:v>0.45</c:v>
                </c:pt>
                <c:pt idx="17">
                  <c:v>0.45</c:v>
                </c:pt>
                <c:pt idx="18">
                  <c:v>0.45</c:v>
                </c:pt>
                <c:pt idx="19">
                  <c:v>0.45</c:v>
                </c:pt>
                <c:pt idx="20">
                  <c:v>0.45</c:v>
                </c:pt>
                <c:pt idx="21">
                  <c:v>0.45</c:v>
                </c:pt>
                <c:pt idx="22">
                  <c:v>0.45</c:v>
                </c:pt>
                <c:pt idx="23">
                  <c:v>0.45</c:v>
                </c:pt>
              </c:numCache>
            </c:numRef>
          </c:val>
          <c:smooth val="0"/>
          <c:extLst>
            <c:ext xmlns:c16="http://schemas.microsoft.com/office/drawing/2014/chart" uri="{C3380CC4-5D6E-409C-BE32-E72D297353CC}">
              <c16:uniqueId val="{00000000-5DCD-4F71-B67D-DE474D2CEE3A}"/>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General</c:formatCode>
                <c:ptCount val="24"/>
                <c:pt idx="0">
                  <c:v>0.45</c:v>
                </c:pt>
                <c:pt idx="1">
                  <c:v>0.45</c:v>
                </c:pt>
                <c:pt idx="2">
                  <c:v>0.45</c:v>
                </c:pt>
                <c:pt idx="3">
                  <c:v>0.45</c:v>
                </c:pt>
                <c:pt idx="4">
                  <c:v>0.45</c:v>
                </c:pt>
                <c:pt idx="5">
                  <c:v>0.45</c:v>
                </c:pt>
                <c:pt idx="6">
                  <c:v>0.45</c:v>
                </c:pt>
                <c:pt idx="7">
                  <c:v>0.45</c:v>
                </c:pt>
                <c:pt idx="8">
                  <c:v>0.72</c:v>
                </c:pt>
                <c:pt idx="9">
                  <c:v>0.72</c:v>
                </c:pt>
                <c:pt idx="10">
                  <c:v>0.72</c:v>
                </c:pt>
                <c:pt idx="11">
                  <c:v>0.72</c:v>
                </c:pt>
                <c:pt idx="12">
                  <c:v>0.72</c:v>
                </c:pt>
                <c:pt idx="13">
                  <c:v>0.72</c:v>
                </c:pt>
                <c:pt idx="14">
                  <c:v>0.72</c:v>
                </c:pt>
                <c:pt idx="15">
                  <c:v>0.72</c:v>
                </c:pt>
                <c:pt idx="16">
                  <c:v>0.72</c:v>
                </c:pt>
                <c:pt idx="17">
                  <c:v>0.72</c:v>
                </c:pt>
                <c:pt idx="18">
                  <c:v>0.45</c:v>
                </c:pt>
                <c:pt idx="19">
                  <c:v>0.45</c:v>
                </c:pt>
                <c:pt idx="20">
                  <c:v>0.45</c:v>
                </c:pt>
                <c:pt idx="21">
                  <c:v>0.45</c:v>
                </c:pt>
                <c:pt idx="22">
                  <c:v>0.45</c:v>
                </c:pt>
                <c:pt idx="23">
                  <c:v>0.45</c:v>
                </c:pt>
              </c:numCache>
            </c:numRef>
          </c:val>
          <c:smooth val="0"/>
          <c:extLst>
            <c:ext xmlns:c16="http://schemas.microsoft.com/office/drawing/2014/chart" uri="{C3380CC4-5D6E-409C-BE32-E72D297353CC}">
              <c16:uniqueId val="{00000001-5DCD-4F71-B67D-DE474D2CEE3A}"/>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General</c:formatCode>
                <c:ptCount val="24"/>
                <c:pt idx="0">
                  <c:v>0.45</c:v>
                </c:pt>
                <c:pt idx="1">
                  <c:v>0.45</c:v>
                </c:pt>
                <c:pt idx="2">
                  <c:v>0.45</c:v>
                </c:pt>
                <c:pt idx="3">
                  <c:v>0.45</c:v>
                </c:pt>
                <c:pt idx="4">
                  <c:v>0.45</c:v>
                </c:pt>
                <c:pt idx="5">
                  <c:v>0.45</c:v>
                </c:pt>
                <c:pt idx="6">
                  <c:v>0.45</c:v>
                </c:pt>
                <c:pt idx="7">
                  <c:v>0.45</c:v>
                </c:pt>
                <c:pt idx="8">
                  <c:v>0.63</c:v>
                </c:pt>
                <c:pt idx="9">
                  <c:v>0.63</c:v>
                </c:pt>
                <c:pt idx="10">
                  <c:v>0.63</c:v>
                </c:pt>
                <c:pt idx="11">
                  <c:v>0.63</c:v>
                </c:pt>
                <c:pt idx="12">
                  <c:v>0.63</c:v>
                </c:pt>
                <c:pt idx="13">
                  <c:v>0.63</c:v>
                </c:pt>
                <c:pt idx="14">
                  <c:v>0.63</c:v>
                </c:pt>
                <c:pt idx="15">
                  <c:v>0.63</c:v>
                </c:pt>
                <c:pt idx="16">
                  <c:v>0.45</c:v>
                </c:pt>
                <c:pt idx="17">
                  <c:v>0.45</c:v>
                </c:pt>
                <c:pt idx="18">
                  <c:v>0.45</c:v>
                </c:pt>
                <c:pt idx="19">
                  <c:v>0.45</c:v>
                </c:pt>
                <c:pt idx="20">
                  <c:v>0.45</c:v>
                </c:pt>
                <c:pt idx="21">
                  <c:v>0.45</c:v>
                </c:pt>
                <c:pt idx="22">
                  <c:v>0.45</c:v>
                </c:pt>
                <c:pt idx="23">
                  <c:v>0.45</c:v>
                </c:pt>
              </c:numCache>
            </c:numRef>
          </c:val>
          <c:smooth val="0"/>
          <c:extLst>
            <c:ext xmlns:c16="http://schemas.microsoft.com/office/drawing/2014/chart" uri="{C3380CC4-5D6E-409C-BE32-E72D297353CC}">
              <c16:uniqueId val="{00000002-5DCD-4F71-B67D-DE474D2CEE3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0.4</c:v>
                </c:pt>
                <c:pt idx="1">
                  <c:v>0.4</c:v>
                </c:pt>
                <c:pt idx="2">
                  <c:v>0.4</c:v>
                </c:pt>
                <c:pt idx="3">
                  <c:v>0.4</c:v>
                </c:pt>
                <c:pt idx="4">
                  <c:v>0.4</c:v>
                </c:pt>
                <c:pt idx="5">
                  <c:v>0.4</c:v>
                </c:pt>
                <c:pt idx="6">
                  <c:v>0.4</c:v>
                </c:pt>
                <c:pt idx="7">
                  <c:v>0.7</c:v>
                </c:pt>
                <c:pt idx="8">
                  <c:v>0.9</c:v>
                </c:pt>
                <c:pt idx="9">
                  <c:v>0.9</c:v>
                </c:pt>
                <c:pt idx="10">
                  <c:v>0.9</c:v>
                </c:pt>
                <c:pt idx="11">
                  <c:v>0.9</c:v>
                </c:pt>
                <c:pt idx="12">
                  <c:v>0.9</c:v>
                </c:pt>
                <c:pt idx="13">
                  <c:v>0.9</c:v>
                </c:pt>
                <c:pt idx="14">
                  <c:v>0.9</c:v>
                </c:pt>
                <c:pt idx="15">
                  <c:v>0.9</c:v>
                </c:pt>
                <c:pt idx="16">
                  <c:v>0.6</c:v>
                </c:pt>
                <c:pt idx="17">
                  <c:v>0.6</c:v>
                </c:pt>
                <c:pt idx="18">
                  <c:v>0.6</c:v>
                </c:pt>
                <c:pt idx="19">
                  <c:v>0.6</c:v>
                </c:pt>
                <c:pt idx="20">
                  <c:v>0.6</c:v>
                </c:pt>
                <c:pt idx="21">
                  <c:v>0.6</c:v>
                </c:pt>
                <c:pt idx="22">
                  <c:v>0.6</c:v>
                </c:pt>
                <c:pt idx="23">
                  <c:v>0.4</c:v>
                </c:pt>
              </c:numCache>
            </c:numRef>
          </c:val>
          <c:smooth val="0"/>
          <c:extLst>
            <c:ext xmlns:c16="http://schemas.microsoft.com/office/drawing/2014/chart" uri="{C3380CC4-5D6E-409C-BE32-E72D297353CC}">
              <c16:uniqueId val="{00000000-2E85-4519-817D-ADFCB45E4452}"/>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0.4</c:v>
                </c:pt>
                <c:pt idx="1">
                  <c:v>0.4</c:v>
                </c:pt>
                <c:pt idx="2">
                  <c:v>0.4</c:v>
                </c:pt>
                <c:pt idx="3">
                  <c:v>0.4</c:v>
                </c:pt>
                <c:pt idx="4">
                  <c:v>0.4</c:v>
                </c:pt>
                <c:pt idx="5">
                  <c:v>0.4</c:v>
                </c:pt>
                <c:pt idx="6">
                  <c:v>0.4</c:v>
                </c:pt>
                <c:pt idx="7">
                  <c:v>0.8</c:v>
                </c:pt>
                <c:pt idx="8">
                  <c:v>0.65</c:v>
                </c:pt>
                <c:pt idx="9">
                  <c:v>0.65</c:v>
                </c:pt>
                <c:pt idx="10">
                  <c:v>0.65</c:v>
                </c:pt>
                <c:pt idx="11">
                  <c:v>0.65</c:v>
                </c:pt>
                <c:pt idx="12">
                  <c:v>0.65</c:v>
                </c:pt>
                <c:pt idx="13">
                  <c:v>0.65</c:v>
                </c:pt>
                <c:pt idx="14">
                  <c:v>0.65</c:v>
                </c:pt>
                <c:pt idx="15">
                  <c:v>0.65</c:v>
                </c:pt>
                <c:pt idx="16">
                  <c:v>0.65</c:v>
                </c:pt>
                <c:pt idx="17">
                  <c:v>0.65</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1-2E85-4519-817D-ADFCB45E4452}"/>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0.4</c:v>
                </c:pt>
                <c:pt idx="1">
                  <c:v>0.4</c:v>
                </c:pt>
                <c:pt idx="2">
                  <c:v>0.4</c:v>
                </c:pt>
                <c:pt idx="3">
                  <c:v>0.4</c:v>
                </c:pt>
                <c:pt idx="4">
                  <c:v>0.4</c:v>
                </c:pt>
                <c:pt idx="5">
                  <c:v>0.4</c:v>
                </c:pt>
                <c:pt idx="6">
                  <c:v>0.4</c:v>
                </c:pt>
                <c:pt idx="7">
                  <c:v>0.4</c:v>
                </c:pt>
                <c:pt idx="8">
                  <c:v>0.6</c:v>
                </c:pt>
                <c:pt idx="9">
                  <c:v>0.6</c:v>
                </c:pt>
                <c:pt idx="10">
                  <c:v>0.6</c:v>
                </c:pt>
                <c:pt idx="11">
                  <c:v>0.6</c:v>
                </c:pt>
                <c:pt idx="12">
                  <c:v>0.6</c:v>
                </c:pt>
                <c:pt idx="13">
                  <c:v>0.6</c:v>
                </c:pt>
                <c:pt idx="14">
                  <c:v>0.6</c:v>
                </c:pt>
                <c:pt idx="15">
                  <c:v>0.6</c:v>
                </c:pt>
                <c:pt idx="16">
                  <c:v>0.4</c:v>
                </c:pt>
                <c:pt idx="17">
                  <c:v>0.4</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2-2E85-4519-817D-ADFCB45E445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General</c:formatCode>
                <c:ptCount val="24"/>
                <c:pt idx="0">
                  <c:v>0.3</c:v>
                </c:pt>
                <c:pt idx="1">
                  <c:v>0.3</c:v>
                </c:pt>
                <c:pt idx="2">
                  <c:v>0.3</c:v>
                </c:pt>
                <c:pt idx="3">
                  <c:v>0.3</c:v>
                </c:pt>
                <c:pt idx="4">
                  <c:v>0.3</c:v>
                </c:pt>
                <c:pt idx="5">
                  <c:v>0.3</c:v>
                </c:pt>
                <c:pt idx="6">
                  <c:v>0.5</c:v>
                </c:pt>
                <c:pt idx="7">
                  <c:v>0.57999999999999996</c:v>
                </c:pt>
                <c:pt idx="8">
                  <c:v>0.66</c:v>
                </c:pt>
                <c:pt idx="9">
                  <c:v>0.78</c:v>
                </c:pt>
                <c:pt idx="10">
                  <c:v>0.82</c:v>
                </c:pt>
                <c:pt idx="11">
                  <c:v>0.71</c:v>
                </c:pt>
                <c:pt idx="12">
                  <c:v>0.82</c:v>
                </c:pt>
                <c:pt idx="13">
                  <c:v>0.78</c:v>
                </c:pt>
                <c:pt idx="14">
                  <c:v>0.74</c:v>
                </c:pt>
                <c:pt idx="15">
                  <c:v>0.63</c:v>
                </c:pt>
                <c:pt idx="16">
                  <c:v>0.41</c:v>
                </c:pt>
                <c:pt idx="17">
                  <c:v>0.35</c:v>
                </c:pt>
                <c:pt idx="18">
                  <c:v>0.35</c:v>
                </c:pt>
                <c:pt idx="19">
                  <c:v>0.35</c:v>
                </c:pt>
                <c:pt idx="20">
                  <c:v>0.3</c:v>
                </c:pt>
                <c:pt idx="21">
                  <c:v>0.3</c:v>
                </c:pt>
                <c:pt idx="22">
                  <c:v>0.3</c:v>
                </c:pt>
                <c:pt idx="23">
                  <c:v>0.3</c:v>
                </c:pt>
              </c:numCache>
            </c:numRef>
          </c:val>
          <c:smooth val="0"/>
          <c:extLst>
            <c:ext xmlns:c16="http://schemas.microsoft.com/office/drawing/2014/chart" uri="{C3380CC4-5D6E-409C-BE32-E72D297353CC}">
              <c16:uniqueId val="{00000000-1609-4904-A5AB-8AE59B41A761}"/>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General</c:formatCode>
                <c:ptCount val="24"/>
                <c:pt idx="0">
                  <c:v>0.3</c:v>
                </c:pt>
                <c:pt idx="1">
                  <c:v>0.3</c:v>
                </c:pt>
                <c:pt idx="2">
                  <c:v>0.3</c:v>
                </c:pt>
                <c:pt idx="3">
                  <c:v>0.3</c:v>
                </c:pt>
                <c:pt idx="4">
                  <c:v>0.3</c:v>
                </c:pt>
                <c:pt idx="5">
                  <c:v>0.3</c:v>
                </c:pt>
                <c:pt idx="6">
                  <c:v>0.3</c:v>
                </c:pt>
                <c:pt idx="7">
                  <c:v>0.4</c:v>
                </c:pt>
                <c:pt idx="8">
                  <c:v>0.5</c:v>
                </c:pt>
                <c:pt idx="9">
                  <c:v>0.6</c:v>
                </c:pt>
                <c:pt idx="10">
                  <c:v>0.6</c:v>
                </c:pt>
                <c:pt idx="11">
                  <c:v>0.6</c:v>
                </c:pt>
                <c:pt idx="12">
                  <c:v>0.6</c:v>
                </c:pt>
                <c:pt idx="13">
                  <c:v>0.6</c:v>
                </c:pt>
                <c:pt idx="14">
                  <c:v>0.6</c:v>
                </c:pt>
                <c:pt idx="15">
                  <c:v>0.6</c:v>
                </c:pt>
                <c:pt idx="16">
                  <c:v>0.5</c:v>
                </c:pt>
                <c:pt idx="17">
                  <c:v>0.3</c:v>
                </c:pt>
                <c:pt idx="18">
                  <c:v>0.3</c:v>
                </c:pt>
                <c:pt idx="19">
                  <c:v>0.3</c:v>
                </c:pt>
                <c:pt idx="20">
                  <c:v>0.3</c:v>
                </c:pt>
                <c:pt idx="21">
                  <c:v>0.3</c:v>
                </c:pt>
                <c:pt idx="22">
                  <c:v>0.3</c:v>
                </c:pt>
                <c:pt idx="23">
                  <c:v>0.3</c:v>
                </c:pt>
              </c:numCache>
            </c:numRef>
          </c:val>
          <c:smooth val="0"/>
          <c:extLst>
            <c:ext xmlns:c16="http://schemas.microsoft.com/office/drawing/2014/chart" uri="{C3380CC4-5D6E-409C-BE32-E72D297353CC}">
              <c16:uniqueId val="{00000001-1609-4904-A5AB-8AE59B41A761}"/>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General</c:formatCode>
                <c:ptCount val="24"/>
                <c:pt idx="0">
                  <c:v>0.3</c:v>
                </c:pt>
                <c:pt idx="1">
                  <c:v>0.3</c:v>
                </c:pt>
                <c:pt idx="2">
                  <c:v>0.3</c:v>
                </c:pt>
                <c:pt idx="3">
                  <c:v>0.3</c:v>
                </c:pt>
                <c:pt idx="4">
                  <c:v>0.3</c:v>
                </c:pt>
                <c:pt idx="5">
                  <c:v>0.3</c:v>
                </c:pt>
                <c:pt idx="6">
                  <c:v>0.3</c:v>
                </c:pt>
                <c:pt idx="7">
                  <c:v>0.4</c:v>
                </c:pt>
                <c:pt idx="8">
                  <c:v>0.5</c:v>
                </c:pt>
                <c:pt idx="9">
                  <c:v>0.6</c:v>
                </c:pt>
                <c:pt idx="10">
                  <c:v>0.6</c:v>
                </c:pt>
                <c:pt idx="11">
                  <c:v>0.6</c:v>
                </c:pt>
                <c:pt idx="12">
                  <c:v>0.6</c:v>
                </c:pt>
                <c:pt idx="13">
                  <c:v>0.6</c:v>
                </c:pt>
                <c:pt idx="14">
                  <c:v>0.6</c:v>
                </c:pt>
                <c:pt idx="15">
                  <c:v>0.6</c:v>
                </c:pt>
                <c:pt idx="16">
                  <c:v>0.5</c:v>
                </c:pt>
                <c:pt idx="17">
                  <c:v>0.3</c:v>
                </c:pt>
                <c:pt idx="18">
                  <c:v>0.3</c:v>
                </c:pt>
                <c:pt idx="19">
                  <c:v>0.3</c:v>
                </c:pt>
                <c:pt idx="20">
                  <c:v>0.3</c:v>
                </c:pt>
                <c:pt idx="21">
                  <c:v>0.3</c:v>
                </c:pt>
                <c:pt idx="22">
                  <c:v>0.3</c:v>
                </c:pt>
                <c:pt idx="23">
                  <c:v>0.3</c:v>
                </c:pt>
              </c:numCache>
            </c:numRef>
          </c:val>
          <c:smooth val="0"/>
          <c:extLst>
            <c:ext xmlns:c16="http://schemas.microsoft.com/office/drawing/2014/chart" uri="{C3380CC4-5D6E-409C-BE32-E72D297353CC}">
              <c16:uniqueId val="{00000002-1609-4904-A5AB-8AE59B41A76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Schedules!$E$47</c:f>
              <c:strCache>
                <c:ptCount val="1"/>
                <c:pt idx="0">
                  <c:v>Weekday</c:v>
                </c:pt>
              </c:strCache>
            </c:strRef>
          </c:tx>
          <c:spPr>
            <a:ln w="28575" cap="rnd">
              <a:solidFill>
                <a:schemeClr val="accent1"/>
              </a:solidFill>
              <a:round/>
            </a:ln>
            <a:effectLst/>
          </c:spPr>
          <c:marker>
            <c:symbol val="none"/>
          </c:marker>
          <c:val>
            <c:numRef>
              <c:f>Schedules!$F$47:$AC$47</c:f>
              <c:numCache>
                <c:formatCode>0.00</c:formatCode>
                <c:ptCount val="24"/>
                <c:pt idx="0">
                  <c:v>0.1</c:v>
                </c:pt>
                <c:pt idx="1">
                  <c:v>0.1</c:v>
                </c:pt>
                <c:pt idx="2">
                  <c:v>0.1</c:v>
                </c:pt>
                <c:pt idx="3">
                  <c:v>0.1</c:v>
                </c:pt>
                <c:pt idx="4">
                  <c:v>0.1</c:v>
                </c:pt>
                <c:pt idx="5">
                  <c:v>0.1</c:v>
                </c:pt>
                <c:pt idx="6">
                  <c:v>0.1</c:v>
                </c:pt>
                <c:pt idx="7">
                  <c:v>0.75</c:v>
                </c:pt>
                <c:pt idx="8">
                  <c:v>0.9</c:v>
                </c:pt>
                <c:pt idx="9">
                  <c:v>0.9</c:v>
                </c:pt>
                <c:pt idx="10">
                  <c:v>0.9</c:v>
                </c:pt>
                <c:pt idx="11">
                  <c:v>0.9</c:v>
                </c:pt>
                <c:pt idx="12">
                  <c:v>0.9</c:v>
                </c:pt>
                <c:pt idx="13">
                  <c:v>0.9</c:v>
                </c:pt>
                <c:pt idx="14">
                  <c:v>0.9</c:v>
                </c:pt>
                <c:pt idx="15">
                  <c:v>0.9</c:v>
                </c:pt>
                <c:pt idx="16">
                  <c:v>0.9</c:v>
                </c:pt>
                <c:pt idx="17">
                  <c:v>0.75</c:v>
                </c:pt>
                <c:pt idx="18">
                  <c:v>0.2</c:v>
                </c:pt>
                <c:pt idx="19">
                  <c:v>0.1</c:v>
                </c:pt>
                <c:pt idx="20">
                  <c:v>0.1</c:v>
                </c:pt>
                <c:pt idx="21">
                  <c:v>0.1</c:v>
                </c:pt>
                <c:pt idx="22">
                  <c:v>0.1</c:v>
                </c:pt>
                <c:pt idx="23">
                  <c:v>0.1</c:v>
                </c:pt>
              </c:numCache>
            </c:numRef>
          </c:val>
          <c:smooth val="0"/>
          <c:extLst>
            <c:ext xmlns:c16="http://schemas.microsoft.com/office/drawing/2014/chart" uri="{C3380CC4-5D6E-409C-BE32-E72D297353CC}">
              <c16:uniqueId val="{00000000-33A5-42B2-A322-4C41AE510980}"/>
            </c:ext>
          </c:extLst>
        </c:ser>
        <c:ser>
          <c:idx val="1"/>
          <c:order val="1"/>
          <c:tx>
            <c:strRef>
              <c:f>Schedules!$E$48</c:f>
              <c:strCache>
                <c:ptCount val="1"/>
                <c:pt idx="0">
                  <c:v>Saturday</c:v>
                </c:pt>
              </c:strCache>
            </c:strRef>
          </c:tx>
          <c:spPr>
            <a:ln w="28575" cap="rnd">
              <a:solidFill>
                <a:schemeClr val="accent2"/>
              </a:solidFill>
              <a:round/>
            </a:ln>
            <a:effectLst/>
          </c:spPr>
          <c:marker>
            <c:symbol val="none"/>
          </c:marker>
          <c:val>
            <c:numRef>
              <c:f>Schedules!$F$48:$AC$48</c:f>
              <c:numCache>
                <c:formatCode>0.00</c:formatCode>
                <c:ptCount val="24"/>
                <c:pt idx="0">
                  <c:v>0.1</c:v>
                </c:pt>
                <c:pt idx="1">
                  <c:v>0.1</c:v>
                </c:pt>
                <c:pt idx="2">
                  <c:v>0.1</c:v>
                </c:pt>
                <c:pt idx="3">
                  <c:v>0.1</c:v>
                </c:pt>
                <c:pt idx="4">
                  <c:v>0.1</c:v>
                </c:pt>
                <c:pt idx="5">
                  <c:v>0.1</c:v>
                </c:pt>
                <c:pt idx="6">
                  <c:v>0.1</c:v>
                </c:pt>
                <c:pt idx="7">
                  <c:v>0.3</c:v>
                </c:pt>
                <c:pt idx="8">
                  <c:v>0.5</c:v>
                </c:pt>
                <c:pt idx="9">
                  <c:v>0.5</c:v>
                </c:pt>
                <c:pt idx="10">
                  <c:v>0.5</c:v>
                </c:pt>
                <c:pt idx="11">
                  <c:v>0.5</c:v>
                </c:pt>
                <c:pt idx="12">
                  <c:v>0.5</c:v>
                </c:pt>
                <c:pt idx="13">
                  <c:v>0.5</c:v>
                </c:pt>
                <c:pt idx="14">
                  <c:v>0.5</c:v>
                </c:pt>
                <c:pt idx="15">
                  <c:v>0.5</c:v>
                </c:pt>
                <c:pt idx="16">
                  <c:v>0.5</c:v>
                </c:pt>
                <c:pt idx="17">
                  <c:v>0.3</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33A5-42B2-A322-4C41AE510980}"/>
            </c:ext>
          </c:extLst>
        </c:ser>
        <c:ser>
          <c:idx val="2"/>
          <c:order val="2"/>
          <c:tx>
            <c:strRef>
              <c:f>Schedules!$E$49</c:f>
              <c:strCache>
                <c:ptCount val="1"/>
                <c:pt idx="0">
                  <c:v>Sunday</c:v>
                </c:pt>
              </c:strCache>
            </c:strRef>
          </c:tx>
          <c:spPr>
            <a:ln w="28575" cap="rnd">
              <a:solidFill>
                <a:schemeClr val="accent3"/>
              </a:solidFill>
              <a:round/>
            </a:ln>
            <a:effectLst/>
          </c:spPr>
          <c:marker>
            <c:symbol val="none"/>
          </c:marker>
          <c:val>
            <c:numRef>
              <c:f>Schedules!$F$49:$AC$49</c:f>
              <c:numCache>
                <c:formatCode>0.00</c:formatCode>
                <c:ptCount val="24"/>
                <c:pt idx="0">
                  <c:v>0.1</c:v>
                </c:pt>
                <c:pt idx="1">
                  <c:v>0.1</c:v>
                </c:pt>
                <c:pt idx="2">
                  <c:v>0.1</c:v>
                </c:pt>
                <c:pt idx="3">
                  <c:v>0.1</c:v>
                </c:pt>
                <c:pt idx="4">
                  <c:v>0.1</c:v>
                </c:pt>
                <c:pt idx="5">
                  <c:v>0.1</c:v>
                </c:pt>
                <c:pt idx="6">
                  <c:v>0.1</c:v>
                </c:pt>
                <c:pt idx="7">
                  <c:v>0.3</c:v>
                </c:pt>
                <c:pt idx="8">
                  <c:v>0.5</c:v>
                </c:pt>
                <c:pt idx="9">
                  <c:v>0.5</c:v>
                </c:pt>
                <c:pt idx="10">
                  <c:v>0.5</c:v>
                </c:pt>
                <c:pt idx="11">
                  <c:v>0.5</c:v>
                </c:pt>
                <c:pt idx="12">
                  <c:v>0.5</c:v>
                </c:pt>
                <c:pt idx="13">
                  <c:v>0.5</c:v>
                </c:pt>
                <c:pt idx="14">
                  <c:v>0.5</c:v>
                </c:pt>
                <c:pt idx="15">
                  <c:v>0.5</c:v>
                </c:pt>
                <c:pt idx="16">
                  <c:v>0.5</c:v>
                </c:pt>
                <c:pt idx="17">
                  <c:v>0.3</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2-33A5-42B2-A322-4C41AE510980}"/>
            </c:ext>
          </c:extLst>
        </c:ser>
        <c:ser>
          <c:idx val="3"/>
          <c:order val="3"/>
          <c:tx>
            <c:v>Weekly PNNL</c:v>
          </c:tx>
          <c:spPr>
            <a:ln w="28575" cap="rnd">
              <a:solidFill>
                <a:schemeClr val="accent4"/>
              </a:solidFill>
              <a:prstDash val="sysDash"/>
              <a:round/>
            </a:ln>
            <a:effectLst/>
          </c:spPr>
          <c:marker>
            <c:symbol val="none"/>
          </c:marker>
          <c:val>
            <c:numRef>
              <c:f>Schedules!$AN$47:$BK$47</c:f>
              <c:numCache>
                <c:formatCode>0.00</c:formatCode>
                <c:ptCount val="24"/>
                <c:pt idx="0">
                  <c:v>0.4</c:v>
                </c:pt>
                <c:pt idx="1">
                  <c:v>0.4</c:v>
                </c:pt>
                <c:pt idx="2">
                  <c:v>0.4</c:v>
                </c:pt>
                <c:pt idx="3">
                  <c:v>0.4</c:v>
                </c:pt>
                <c:pt idx="4">
                  <c:v>0.4</c:v>
                </c:pt>
                <c:pt idx="5">
                  <c:v>0.4</c:v>
                </c:pt>
                <c:pt idx="6">
                  <c:v>0.4</c:v>
                </c:pt>
                <c:pt idx="7">
                  <c:v>0.7</c:v>
                </c:pt>
                <c:pt idx="8">
                  <c:v>0.9</c:v>
                </c:pt>
                <c:pt idx="9">
                  <c:v>0.9</c:v>
                </c:pt>
                <c:pt idx="10">
                  <c:v>0.9</c:v>
                </c:pt>
                <c:pt idx="11">
                  <c:v>0.9</c:v>
                </c:pt>
                <c:pt idx="12">
                  <c:v>0.9</c:v>
                </c:pt>
                <c:pt idx="13">
                  <c:v>0.9</c:v>
                </c:pt>
                <c:pt idx="14">
                  <c:v>0.9</c:v>
                </c:pt>
                <c:pt idx="15">
                  <c:v>0.9</c:v>
                </c:pt>
                <c:pt idx="16">
                  <c:v>0.6</c:v>
                </c:pt>
                <c:pt idx="17">
                  <c:v>0.6</c:v>
                </c:pt>
                <c:pt idx="18">
                  <c:v>0.6</c:v>
                </c:pt>
                <c:pt idx="19">
                  <c:v>0.6</c:v>
                </c:pt>
                <c:pt idx="20">
                  <c:v>0.6</c:v>
                </c:pt>
                <c:pt idx="21">
                  <c:v>0.6</c:v>
                </c:pt>
                <c:pt idx="22">
                  <c:v>0.6</c:v>
                </c:pt>
                <c:pt idx="23">
                  <c:v>0.4</c:v>
                </c:pt>
              </c:numCache>
            </c:numRef>
          </c:val>
          <c:smooth val="0"/>
          <c:extLst>
            <c:ext xmlns:c16="http://schemas.microsoft.com/office/drawing/2014/chart" uri="{C3380CC4-5D6E-409C-BE32-E72D297353CC}">
              <c16:uniqueId val="{00000003-33A5-42B2-A322-4C41AE510980}"/>
            </c:ext>
          </c:extLst>
        </c:ser>
        <c:ser>
          <c:idx val="4"/>
          <c:order val="4"/>
          <c:tx>
            <c:v>Saturday PNNL</c:v>
          </c:tx>
          <c:spPr>
            <a:ln w="28575" cap="rnd">
              <a:solidFill>
                <a:schemeClr val="accent5"/>
              </a:solidFill>
              <a:prstDash val="sysDash"/>
              <a:round/>
            </a:ln>
            <a:effectLst/>
          </c:spPr>
          <c:marker>
            <c:symbol val="none"/>
          </c:marker>
          <c:val>
            <c:numRef>
              <c:f>Schedules!$AN$48:$BK$48</c:f>
              <c:numCache>
                <c:formatCode>0.00</c:formatCode>
                <c:ptCount val="24"/>
                <c:pt idx="0">
                  <c:v>0.4</c:v>
                </c:pt>
                <c:pt idx="1">
                  <c:v>0.4</c:v>
                </c:pt>
                <c:pt idx="2">
                  <c:v>0.4</c:v>
                </c:pt>
                <c:pt idx="3">
                  <c:v>0.4</c:v>
                </c:pt>
                <c:pt idx="4">
                  <c:v>0.4</c:v>
                </c:pt>
                <c:pt idx="5">
                  <c:v>0.4</c:v>
                </c:pt>
                <c:pt idx="6">
                  <c:v>0.4</c:v>
                </c:pt>
                <c:pt idx="7">
                  <c:v>0.8</c:v>
                </c:pt>
                <c:pt idx="8">
                  <c:v>0.65</c:v>
                </c:pt>
                <c:pt idx="9">
                  <c:v>0.65</c:v>
                </c:pt>
                <c:pt idx="10">
                  <c:v>0.65</c:v>
                </c:pt>
                <c:pt idx="11">
                  <c:v>0.65</c:v>
                </c:pt>
                <c:pt idx="12">
                  <c:v>0.65</c:v>
                </c:pt>
                <c:pt idx="13">
                  <c:v>0.65</c:v>
                </c:pt>
                <c:pt idx="14">
                  <c:v>0.65</c:v>
                </c:pt>
                <c:pt idx="15">
                  <c:v>0.65</c:v>
                </c:pt>
                <c:pt idx="16">
                  <c:v>0.65</c:v>
                </c:pt>
                <c:pt idx="17">
                  <c:v>0.65</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4-33A5-42B2-A322-4C41AE510980}"/>
            </c:ext>
          </c:extLst>
        </c:ser>
        <c:ser>
          <c:idx val="5"/>
          <c:order val="5"/>
          <c:tx>
            <c:v>Sunday PNNL</c:v>
          </c:tx>
          <c:spPr>
            <a:ln w="28575" cap="rnd">
              <a:solidFill>
                <a:schemeClr val="accent6"/>
              </a:solidFill>
              <a:prstDash val="sysDash"/>
              <a:round/>
            </a:ln>
            <a:effectLst/>
          </c:spPr>
          <c:marker>
            <c:symbol val="none"/>
          </c:marker>
          <c:val>
            <c:numRef>
              <c:f>Schedules!$AN$49:$BK$49</c:f>
              <c:numCache>
                <c:formatCode>0.00</c:formatCode>
                <c:ptCount val="24"/>
                <c:pt idx="0">
                  <c:v>0.4</c:v>
                </c:pt>
                <c:pt idx="1">
                  <c:v>0.4</c:v>
                </c:pt>
                <c:pt idx="2">
                  <c:v>0.4</c:v>
                </c:pt>
                <c:pt idx="3">
                  <c:v>0.4</c:v>
                </c:pt>
                <c:pt idx="4">
                  <c:v>0.4</c:v>
                </c:pt>
                <c:pt idx="5">
                  <c:v>0.4</c:v>
                </c:pt>
                <c:pt idx="6">
                  <c:v>0.4</c:v>
                </c:pt>
                <c:pt idx="7">
                  <c:v>0.4</c:v>
                </c:pt>
                <c:pt idx="8">
                  <c:v>0.6</c:v>
                </c:pt>
                <c:pt idx="9">
                  <c:v>0.6</c:v>
                </c:pt>
                <c:pt idx="10">
                  <c:v>0.6</c:v>
                </c:pt>
                <c:pt idx="11">
                  <c:v>0.6</c:v>
                </c:pt>
                <c:pt idx="12">
                  <c:v>0.6</c:v>
                </c:pt>
                <c:pt idx="13">
                  <c:v>0.6</c:v>
                </c:pt>
                <c:pt idx="14">
                  <c:v>0.6</c:v>
                </c:pt>
                <c:pt idx="15">
                  <c:v>0.6</c:v>
                </c:pt>
                <c:pt idx="16">
                  <c:v>0.4</c:v>
                </c:pt>
                <c:pt idx="17">
                  <c:v>0.4</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5-33A5-42B2-A322-4C41AE51098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2724239688947145"/>
          <c:y val="5.1254109139228224E-3"/>
          <c:w val="0.2727576031105286"/>
          <c:h val="0.358986844931880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Hospital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_(* #,##0.0_);_(* \(#,##0.0\);_(* "-"??_);_(@_)</c:formatCode>
                <c:ptCount val="16"/>
                <c:pt idx="0">
                  <c:v>91.60344117127579</c:v>
                </c:pt>
                <c:pt idx="1">
                  <c:v>74.330019181577256</c:v>
                </c:pt>
                <c:pt idx="2">
                  <c:v>76.236172957109986</c:v>
                </c:pt>
                <c:pt idx="3">
                  <c:v>78.68643378679171</c:v>
                </c:pt>
                <c:pt idx="4">
                  <c:v>48.483508803172441</c:v>
                </c:pt>
                <c:pt idx="5">
                  <c:v>97.806368133941262</c:v>
                </c:pt>
                <c:pt idx="6">
                  <c:v>90.247369099445123</c:v>
                </c:pt>
                <c:pt idx="7">
                  <c:v>107.59155890866316</c:v>
                </c:pt>
                <c:pt idx="8">
                  <c:v>81.448753975008586</c:v>
                </c:pt>
                <c:pt idx="9">
                  <c:v>97.954687830978884</c:v>
                </c:pt>
                <c:pt idx="10">
                  <c:v>82.450567458265652</c:v>
                </c:pt>
                <c:pt idx="11">
                  <c:v>83.979435808234626</c:v>
                </c:pt>
                <c:pt idx="12">
                  <c:v>92.921710944559734</c:v>
                </c:pt>
                <c:pt idx="13">
                  <c:v>105.51441725743651</c:v>
                </c:pt>
                <c:pt idx="14">
                  <c:v>93.655895138289651</c:v>
                </c:pt>
                <c:pt idx="15">
                  <c:v>102.48850179871603</c:v>
                </c:pt>
              </c:numCache>
            </c:numRef>
          </c:val>
          <c:extLst>
            <c:ext xmlns:c16="http://schemas.microsoft.com/office/drawing/2014/chart" uri="{C3380CC4-5D6E-409C-BE32-E72D297353CC}">
              <c16:uniqueId val="{00000001-3EE5-40CB-8928-7C798AFB8622}"/>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_(* #,##0.0_);_(* \(#,##0.0\);_(* "-"??_);_(@_)</c:formatCode>
                <c:ptCount val="16"/>
                <c:pt idx="0">
                  <c:v>61.068960780850546</c:v>
                </c:pt>
                <c:pt idx="1">
                  <c:v>49.553346121051504</c:v>
                </c:pt>
                <c:pt idx="2">
                  <c:v>50.824115304739991</c:v>
                </c:pt>
                <c:pt idx="3">
                  <c:v>52.457622524527793</c:v>
                </c:pt>
                <c:pt idx="4">
                  <c:v>32.322339202114961</c:v>
                </c:pt>
                <c:pt idx="5">
                  <c:v>65.204245422627523</c:v>
                </c:pt>
                <c:pt idx="6">
                  <c:v>60.16491273296343</c:v>
                </c:pt>
                <c:pt idx="7">
                  <c:v>71.727705939108773</c:v>
                </c:pt>
                <c:pt idx="8">
                  <c:v>54.299169316672405</c:v>
                </c:pt>
                <c:pt idx="9">
                  <c:v>65.303125220652589</c:v>
                </c:pt>
                <c:pt idx="10">
                  <c:v>54.967044972177121</c:v>
                </c:pt>
                <c:pt idx="11">
                  <c:v>55.986290538823084</c:v>
                </c:pt>
                <c:pt idx="12">
                  <c:v>61.947807296373171</c:v>
                </c:pt>
                <c:pt idx="13">
                  <c:v>70.342944838291018</c:v>
                </c:pt>
                <c:pt idx="14">
                  <c:v>62.437263425526453</c:v>
                </c:pt>
                <c:pt idx="15">
                  <c:v>68.325667865810701</c:v>
                </c:pt>
              </c:numCache>
            </c:numRef>
          </c:val>
          <c:extLst>
            <c:ext xmlns:c16="http://schemas.microsoft.com/office/drawing/2014/chart" uri="{C3380CC4-5D6E-409C-BE32-E72D297353CC}">
              <c16:uniqueId val="{00000002-3EE5-40CB-8928-7C798AFB8622}"/>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pt idx="0">
                  <c:v>109.08584388185655</c:v>
                </c:pt>
                <c:pt idx="1">
                  <c:v>116.93423553719009</c:v>
                </c:pt>
                <c:pt idx="2">
                  <c:v>110.04154825026511</c:v>
                </c:pt>
                <c:pt idx="3">
                  <c:v>120.49577825159913</c:v>
                </c:pt>
                <c:pt idx="4">
                  <c:v>112.54875751503006</c:v>
                </c:pt>
                <c:pt idx="5">
                  <c:v>107.21956475583865</c:v>
                </c:pt>
                <c:pt idx="6">
                  <c:v>105.25552419354838</c:v>
                </c:pt>
                <c:pt idx="7">
                  <c:v>115.51200000000001</c:v>
                </c:pt>
                <c:pt idx="8">
                  <c:v>116.73746696035244</c:v>
                </c:pt>
                <c:pt idx="9">
                  <c:v>114.12151884700667</c:v>
                </c:pt>
                <c:pt idx="10">
                  <c:v>117.68111227701993</c:v>
                </c:pt>
                <c:pt idx="11">
                  <c:v>114.49851153039832</c:v>
                </c:pt>
                <c:pt idx="12">
                  <c:v>111.79699541284404</c:v>
                </c:pt>
                <c:pt idx="13">
                  <c:v>123.23239687848385</c:v>
                </c:pt>
                <c:pt idx="14">
                  <c:v>116.40259079903147</c:v>
                </c:pt>
                <c:pt idx="15">
                  <c:v>119.44320261437909</c:v>
                </c:pt>
              </c:numCache>
            </c:numRef>
          </c:yVal>
          <c:smooth val="0"/>
          <c:extLst>
            <c:ext xmlns:c16="http://schemas.microsoft.com/office/drawing/2014/chart" uri="{C3380CC4-5D6E-409C-BE32-E72D297353CC}">
              <c16:uniqueId val="{00000003-3EE5-40CB-8928-7C798AFB8622}"/>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pt idx="0">
                  <c:v>94.84820000000002</c:v>
                </c:pt>
                <c:pt idx="1">
                  <c:v>93.795299999999997</c:v>
                </c:pt>
                <c:pt idx="2">
                  <c:v>89.421199999999999</c:v>
                </c:pt>
                <c:pt idx="3">
                  <c:v>96.066399999999987</c:v>
                </c:pt>
                <c:pt idx="4">
                  <c:v>89.151200000000017</c:v>
                </c:pt>
                <c:pt idx="5">
                  <c:v>85.27170000000001</c:v>
                </c:pt>
                <c:pt idx="6">
                  <c:v>85.236400000000003</c:v>
                </c:pt>
                <c:pt idx="7">
                  <c:v>88.384900000000002</c:v>
                </c:pt>
                <c:pt idx="8">
                  <c:v>89.088799999999992</c:v>
                </c:pt>
                <c:pt idx="9">
                  <c:v>91.078800000000001</c:v>
                </c:pt>
                <c:pt idx="10">
                  <c:v>99.223000000000013</c:v>
                </c:pt>
                <c:pt idx="11">
                  <c:v>94.102499999999992</c:v>
                </c:pt>
                <c:pt idx="12">
                  <c:v>96.826999999999998</c:v>
                </c:pt>
                <c:pt idx="13">
                  <c:v>97.939600000000013</c:v>
                </c:pt>
                <c:pt idx="14">
                  <c:v>96.376199999999997</c:v>
                </c:pt>
                <c:pt idx="15">
                  <c:v>100.3617</c:v>
                </c:pt>
              </c:numCache>
            </c:numRef>
          </c:yVal>
          <c:smooth val="0"/>
          <c:extLst>
            <c:ext xmlns:c16="http://schemas.microsoft.com/office/drawing/2014/chart" uri="{C3380CC4-5D6E-409C-BE32-E72D297353CC}">
              <c16:uniqueId val="{00000004-3EE5-40CB-8928-7C798AFB8622}"/>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4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Hospital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150.22500000000002</c:v>
                </c:pt>
                <c:pt idx="1">
                  <c:v>150.89999999999998</c:v>
                </c:pt>
                <c:pt idx="2">
                  <c:v>148.94999999999999</c:v>
                </c:pt>
                <c:pt idx="3">
                  <c:v>155.10000000000002</c:v>
                </c:pt>
                <c:pt idx="4">
                  <c:v>148.72500000000002</c:v>
                </c:pt>
                <c:pt idx="5">
                  <c:v>152.625</c:v>
                </c:pt>
                <c:pt idx="6">
                  <c:v>153.75</c:v>
                </c:pt>
                <c:pt idx="7">
                  <c:v>158.10000000000002</c:v>
                </c:pt>
                <c:pt idx="8">
                  <c:v>157.35000000000002</c:v>
                </c:pt>
                <c:pt idx="9">
                  <c:v>160.05000000000001</c:v>
                </c:pt>
                <c:pt idx="10">
                  <c:v>161.625</c:v>
                </c:pt>
                <c:pt idx="11">
                  <c:v>157.125</c:v>
                </c:pt>
                <c:pt idx="12">
                  <c:v>163.72500000000002</c:v>
                </c:pt>
                <c:pt idx="13">
                  <c:v>161.85000000000002</c:v>
                </c:pt>
                <c:pt idx="14">
                  <c:v>178.72500000000002</c:v>
                </c:pt>
                <c:pt idx="15">
                  <c:v>153.67500000000001</c:v>
                </c:pt>
              </c:numCache>
            </c:numRef>
          </c:val>
          <c:extLst>
            <c:ext xmlns:c16="http://schemas.microsoft.com/office/drawing/2014/chart" uri="{C3380CC4-5D6E-409C-BE32-E72D297353CC}">
              <c16:uniqueId val="{00000000-D7A4-424B-A1C6-F08EF1867055}"/>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100.14999999999998</c:v>
                </c:pt>
                <c:pt idx="1">
                  <c:v>100.60000000000002</c:v>
                </c:pt>
                <c:pt idx="2">
                  <c:v>99.300000000000011</c:v>
                </c:pt>
                <c:pt idx="3">
                  <c:v>103.39999999999998</c:v>
                </c:pt>
                <c:pt idx="4">
                  <c:v>99.149999999999977</c:v>
                </c:pt>
                <c:pt idx="5">
                  <c:v>101.75</c:v>
                </c:pt>
                <c:pt idx="6">
                  <c:v>102.5</c:v>
                </c:pt>
                <c:pt idx="7">
                  <c:v>105.39999999999998</c:v>
                </c:pt>
                <c:pt idx="8">
                  <c:v>104.89999999999998</c:v>
                </c:pt>
                <c:pt idx="9">
                  <c:v>106.69999999999999</c:v>
                </c:pt>
                <c:pt idx="10">
                  <c:v>107.75</c:v>
                </c:pt>
                <c:pt idx="11">
                  <c:v>104.75</c:v>
                </c:pt>
                <c:pt idx="12">
                  <c:v>109.14999999999998</c:v>
                </c:pt>
                <c:pt idx="13">
                  <c:v>107.89999999999998</c:v>
                </c:pt>
                <c:pt idx="14">
                  <c:v>119.14999999999998</c:v>
                </c:pt>
                <c:pt idx="15">
                  <c:v>102.44999999999999</c:v>
                </c:pt>
              </c:numCache>
            </c:numRef>
          </c:val>
          <c:extLst>
            <c:ext xmlns:c16="http://schemas.microsoft.com/office/drawing/2014/chart" uri="{C3380CC4-5D6E-409C-BE32-E72D297353CC}">
              <c16:uniqueId val="{00000001-D7A4-424B-A1C6-F08EF1867055}"/>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pt idx="0">
                  <c:v>109.08584388185655</c:v>
                </c:pt>
                <c:pt idx="1">
                  <c:v>116.93423553719009</c:v>
                </c:pt>
                <c:pt idx="2">
                  <c:v>110.04154825026511</c:v>
                </c:pt>
                <c:pt idx="3">
                  <c:v>120.49577825159913</c:v>
                </c:pt>
                <c:pt idx="4">
                  <c:v>112.54875751503006</c:v>
                </c:pt>
                <c:pt idx="5">
                  <c:v>107.21956475583865</c:v>
                </c:pt>
                <c:pt idx="6">
                  <c:v>105.25552419354838</c:v>
                </c:pt>
                <c:pt idx="7">
                  <c:v>115.51200000000001</c:v>
                </c:pt>
                <c:pt idx="8">
                  <c:v>116.73746696035244</c:v>
                </c:pt>
                <c:pt idx="9">
                  <c:v>114.12151884700667</c:v>
                </c:pt>
                <c:pt idx="10">
                  <c:v>117.68111227701993</c:v>
                </c:pt>
                <c:pt idx="11">
                  <c:v>114.49851153039832</c:v>
                </c:pt>
                <c:pt idx="12">
                  <c:v>111.79699541284404</c:v>
                </c:pt>
                <c:pt idx="13">
                  <c:v>123.23239687848385</c:v>
                </c:pt>
                <c:pt idx="14">
                  <c:v>116.40259079903147</c:v>
                </c:pt>
                <c:pt idx="15">
                  <c:v>119.44320261437909</c:v>
                </c:pt>
              </c:numCache>
            </c:numRef>
          </c:yVal>
          <c:smooth val="0"/>
          <c:extLst>
            <c:ext xmlns:c16="http://schemas.microsoft.com/office/drawing/2014/chart" uri="{C3380CC4-5D6E-409C-BE32-E72D297353CC}">
              <c16:uniqueId val="{00000002-D7A4-424B-A1C6-F08EF1867055}"/>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pt idx="0">
                  <c:v>94.84820000000002</c:v>
                </c:pt>
                <c:pt idx="1">
                  <c:v>93.795299999999997</c:v>
                </c:pt>
                <c:pt idx="2">
                  <c:v>89.421199999999999</c:v>
                </c:pt>
                <c:pt idx="3">
                  <c:v>96.066399999999987</c:v>
                </c:pt>
                <c:pt idx="4">
                  <c:v>89.151200000000017</c:v>
                </c:pt>
                <c:pt idx="5">
                  <c:v>85.27170000000001</c:v>
                </c:pt>
                <c:pt idx="6">
                  <c:v>85.236400000000003</c:v>
                </c:pt>
                <c:pt idx="7">
                  <c:v>88.384900000000002</c:v>
                </c:pt>
                <c:pt idx="8">
                  <c:v>89.088799999999992</c:v>
                </c:pt>
                <c:pt idx="9">
                  <c:v>91.078800000000001</c:v>
                </c:pt>
                <c:pt idx="10">
                  <c:v>99.223000000000013</c:v>
                </c:pt>
                <c:pt idx="11">
                  <c:v>94.102499999999992</c:v>
                </c:pt>
                <c:pt idx="12">
                  <c:v>96.826999999999998</c:v>
                </c:pt>
                <c:pt idx="13">
                  <c:v>97.939600000000013</c:v>
                </c:pt>
                <c:pt idx="14">
                  <c:v>96.376199999999997</c:v>
                </c:pt>
                <c:pt idx="15">
                  <c:v>100.3617</c:v>
                </c:pt>
              </c:numCache>
            </c:numRef>
          </c:yVal>
          <c:smooth val="0"/>
          <c:extLst>
            <c:ext xmlns:c16="http://schemas.microsoft.com/office/drawing/2014/chart" uri="{C3380CC4-5D6E-409C-BE32-E72D297353CC}">
              <c16:uniqueId val="{00000003-D7A4-424B-A1C6-F08EF1867055}"/>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30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2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1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7.png"/></Relationships>
</file>

<file path=xl/drawings/_rels/drawing6.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chart" Target="../charts/chart30.xml"/><Relationship Id="rId1"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editAs="oneCell">
    <xdr:from>
      <xdr:col>0</xdr:col>
      <xdr:colOff>220980</xdr:colOff>
      <xdr:row>42</xdr:row>
      <xdr:rowOff>152399</xdr:rowOff>
    </xdr:from>
    <xdr:to>
      <xdr:col>2</xdr:col>
      <xdr:colOff>750</xdr:colOff>
      <xdr:row>60</xdr:row>
      <xdr:rowOff>75604</xdr:rowOff>
    </xdr:to>
    <xdr:pic>
      <xdr:nvPicPr>
        <xdr:cNvPr id="3" name="Picture 2">
          <a:extLst>
            <a:ext uri="{FF2B5EF4-FFF2-40B4-BE49-F238E27FC236}">
              <a16:creationId xmlns:a16="http://schemas.microsoft.com/office/drawing/2014/main" id="{A38FE243-02A3-3051-BEFA-34D095E68C6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685" r="966"/>
        <a:stretch/>
      </xdr:blipFill>
      <xdr:spPr>
        <a:xfrm>
          <a:off x="220980" y="8968739"/>
          <a:ext cx="6468225" cy="2971205"/>
        </a:xfrm>
        <a:prstGeom prst="rect">
          <a:avLst/>
        </a:prstGeom>
      </xdr:spPr>
    </xdr:pic>
    <xdr:clientData/>
  </xdr:twoCellAnchor>
  <xdr:twoCellAnchor editAs="oneCell">
    <xdr:from>
      <xdr:col>2</xdr:col>
      <xdr:colOff>158115</xdr:colOff>
      <xdr:row>42</xdr:row>
      <xdr:rowOff>154305</xdr:rowOff>
    </xdr:from>
    <xdr:to>
      <xdr:col>9</xdr:col>
      <xdr:colOff>246305</xdr:colOff>
      <xdr:row>54</xdr:row>
      <xdr:rowOff>133350</xdr:rowOff>
    </xdr:to>
    <xdr:pic>
      <xdr:nvPicPr>
        <xdr:cNvPr id="4" name="Picture 3" descr="A bar chart showing health care buildings by square footage category. On average, hospitals were 264,800 square feet per building, but outpatient health care buildings averaged 13,700 square feet.">
          <a:extLst>
            <a:ext uri="{FF2B5EF4-FFF2-40B4-BE49-F238E27FC236}">
              <a16:creationId xmlns:a16="http://schemas.microsoft.com/office/drawing/2014/main" id="{5B7F2AF0-03AD-2AD5-0101-D8B54EE873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01815" y="8970645"/>
          <a:ext cx="5815965" cy="1996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179070</xdr:colOff>
      <xdr:row>55</xdr:row>
      <xdr:rowOff>59055</xdr:rowOff>
    </xdr:from>
    <xdr:to>
      <xdr:col>9</xdr:col>
      <xdr:colOff>57710</xdr:colOff>
      <xdr:row>69</xdr:row>
      <xdr:rowOff>93345</xdr:rowOff>
    </xdr:to>
    <xdr:pic>
      <xdr:nvPicPr>
        <xdr:cNvPr id="6" name="Picture 5" descr="A bar chart showing energy consumption in health care buildings by fuel. In health care buildings, electricity was the most-used fuel (327 TBtu), followed by natural gas (207 TBtu).">
          <a:extLst>
            <a:ext uri="{FF2B5EF4-FFF2-40B4-BE49-F238E27FC236}">
              <a16:creationId xmlns:a16="http://schemas.microsoft.com/office/drawing/2014/main" id="{2C654C4F-6557-E5D3-A998-E1727C7CAC6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922770" y="11069955"/>
          <a:ext cx="5596890" cy="2409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478268</xdr:colOff>
      <xdr:row>26</xdr:row>
      <xdr:rowOff>124854</xdr:rowOff>
    </xdr:from>
    <xdr:to>
      <xdr:col>5</xdr:col>
      <xdr:colOff>168313</xdr:colOff>
      <xdr:row>37</xdr:row>
      <xdr:rowOff>59061</xdr:rowOff>
    </xdr:to>
    <xdr:pic>
      <xdr:nvPicPr>
        <xdr:cNvPr id="5" name="Picture 4">
          <a:extLst>
            <a:ext uri="{FF2B5EF4-FFF2-40B4-BE49-F238E27FC236}">
              <a16:creationId xmlns:a16="http://schemas.microsoft.com/office/drawing/2014/main" id="{D170ADE6-35B8-5C50-B7E4-84902022A95B}"/>
            </a:ext>
          </a:extLst>
        </xdr:cNvPr>
        <xdr:cNvPicPr>
          <a:picLocks noChangeAspect="1"/>
        </xdr:cNvPicPr>
      </xdr:nvPicPr>
      <xdr:blipFill>
        <a:blip xmlns:r="http://schemas.openxmlformats.org/officeDocument/2006/relationships" r:embed="rId4"/>
        <a:stretch>
          <a:fillRect/>
        </a:stretch>
      </xdr:blipFill>
      <xdr:spPr>
        <a:xfrm>
          <a:off x="478268" y="4573589"/>
          <a:ext cx="8344572" cy="19140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666751</xdr:colOff>
      <xdr:row>6</xdr:row>
      <xdr:rowOff>9525</xdr:rowOff>
    </xdr:from>
    <xdr:to>
      <xdr:col>1</xdr:col>
      <xdr:colOff>2613620</xdr:colOff>
      <xdr:row>7</xdr:row>
      <xdr:rowOff>1905</xdr:rowOff>
    </xdr:to>
    <xdr:pic>
      <xdr:nvPicPr>
        <xdr:cNvPr id="4" name="Picture 3">
          <a:extLst>
            <a:ext uri="{FF2B5EF4-FFF2-40B4-BE49-F238E27FC236}">
              <a16:creationId xmlns:a16="http://schemas.microsoft.com/office/drawing/2014/main" id="{422A6D37-3287-77F1-A35F-02EE87A89E20}"/>
            </a:ext>
          </a:extLst>
        </xdr:cNvPr>
        <xdr:cNvPicPr>
          <a:picLocks noChangeAspect="1"/>
        </xdr:cNvPicPr>
      </xdr:nvPicPr>
      <xdr:blipFill>
        <a:blip xmlns:r="http://schemas.openxmlformats.org/officeDocument/2006/relationships" r:embed="rId1">
          <a:clrChange>
            <a:clrFrom>
              <a:srgbClr val="D2D0B9"/>
            </a:clrFrom>
            <a:clrTo>
              <a:srgbClr val="D2D0B9">
                <a:alpha val="0"/>
              </a:srgbClr>
            </a:clrTo>
          </a:clrChange>
        </a:blip>
        <a:stretch>
          <a:fillRect/>
        </a:stretch>
      </xdr:blipFill>
      <xdr:spPr>
        <a:xfrm>
          <a:off x="2381251" y="1590675"/>
          <a:ext cx="1952584" cy="12306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1282561</xdr:colOff>
      <xdr:row>0</xdr:row>
      <xdr:rowOff>35035</xdr:rowOff>
    </xdr:from>
    <xdr:to>
      <xdr:col>15</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1325218</xdr:colOff>
      <xdr:row>0</xdr:row>
      <xdr:rowOff>67505</xdr:rowOff>
    </xdr:from>
    <xdr:to>
      <xdr:col>15</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14</xdr:col>
      <xdr:colOff>148592</xdr:colOff>
      <xdr:row>40</xdr:row>
      <xdr:rowOff>169544</xdr:rowOff>
    </xdr:from>
    <xdr:to>
      <xdr:col>19</xdr:col>
      <xdr:colOff>456031</xdr:colOff>
      <xdr:row>61</xdr:row>
      <xdr:rowOff>135255</xdr:rowOff>
    </xdr:to>
    <xdr:pic>
      <xdr:nvPicPr>
        <xdr:cNvPr id="2" name="Picture 9" descr="Hospital_FloorPlan_Zoning_Level2_Mar_9_2011.gif">
          <a:extLst>
            <a:ext uri="{FF2B5EF4-FFF2-40B4-BE49-F238E27FC236}">
              <a16:creationId xmlns:a16="http://schemas.microsoft.com/office/drawing/2014/main" id="{AA1E4D07-5B8F-4583-BB8E-FE035E1E38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979642" y="9618344"/>
          <a:ext cx="7460714" cy="47548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179070</xdr:colOff>
      <xdr:row>1</xdr:row>
      <xdr:rowOff>177527</xdr:rowOff>
    </xdr:from>
    <xdr:to>
      <xdr:col>25</xdr:col>
      <xdr:colOff>781050</xdr:colOff>
      <xdr:row>20</xdr:row>
      <xdr:rowOff>160808</xdr:rowOff>
    </xdr:to>
    <xdr:pic>
      <xdr:nvPicPr>
        <xdr:cNvPr id="3" name="Picture 10" descr="Hospital_FloorPlan_Zoning_Level3_Mar_9_2011.gif">
          <a:extLst>
            <a:ext uri="{FF2B5EF4-FFF2-40B4-BE49-F238E27FC236}">
              <a16:creationId xmlns:a16="http://schemas.microsoft.com/office/drawing/2014/main" id="{942B02D0-F8BF-440B-9F63-9BD38FA45D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887670" y="501377"/>
          <a:ext cx="7303770" cy="46314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167642</xdr:colOff>
      <xdr:row>20</xdr:row>
      <xdr:rowOff>97427</xdr:rowOff>
    </xdr:from>
    <xdr:to>
      <xdr:col>25</xdr:col>
      <xdr:colOff>777240</xdr:colOff>
      <xdr:row>41</xdr:row>
      <xdr:rowOff>97292</xdr:rowOff>
    </xdr:to>
    <xdr:pic>
      <xdr:nvPicPr>
        <xdr:cNvPr id="5" name="Picture 11" descr="Hospital_FloorPlan_Zoning_Level4_Mar_9_2011.gif">
          <a:extLst>
            <a:ext uri="{FF2B5EF4-FFF2-40B4-BE49-F238E27FC236}">
              <a16:creationId xmlns:a16="http://schemas.microsoft.com/office/drawing/2014/main" id="{09E02D01-95A4-480E-A501-952B75FA6CB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132917" y="4869452"/>
          <a:ext cx="7290433" cy="4592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215265</xdr:colOff>
      <xdr:row>41</xdr:row>
      <xdr:rowOff>12792</xdr:rowOff>
    </xdr:from>
    <xdr:to>
      <xdr:col>25</xdr:col>
      <xdr:colOff>742950</xdr:colOff>
      <xdr:row>61</xdr:row>
      <xdr:rowOff>35696</xdr:rowOff>
    </xdr:to>
    <xdr:pic>
      <xdr:nvPicPr>
        <xdr:cNvPr id="6" name="Picture 12" descr="Hospital_FloorPlan_Zoning_Level5_Mar_9_2011.gif">
          <a:extLst>
            <a:ext uri="{FF2B5EF4-FFF2-40B4-BE49-F238E27FC236}">
              <a16:creationId xmlns:a16="http://schemas.microsoft.com/office/drawing/2014/main" id="{9A0D78F0-5082-4784-B9AD-0CD33B96363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7180540" y="9385392"/>
          <a:ext cx="7206615" cy="45815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95250</xdr:colOff>
      <xdr:row>1</xdr:row>
      <xdr:rowOff>76200</xdr:rowOff>
    </xdr:from>
    <xdr:to>
      <xdr:col>19</xdr:col>
      <xdr:colOff>398145</xdr:colOff>
      <xdr:row>20</xdr:row>
      <xdr:rowOff>203092</xdr:rowOff>
    </xdr:to>
    <xdr:pic>
      <xdr:nvPicPr>
        <xdr:cNvPr id="7" name="Picture 7" descr="Hospital_FloorPlan_Zoning_Basement_Mar_9_2011.gif">
          <a:extLst>
            <a:ext uri="{FF2B5EF4-FFF2-40B4-BE49-F238E27FC236}">
              <a16:creationId xmlns:a16="http://schemas.microsoft.com/office/drawing/2014/main" id="{656208E7-2006-4328-9C35-71CA11B820E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3650575" y="400050"/>
          <a:ext cx="7465695" cy="47693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205740</xdr:colOff>
      <xdr:row>19</xdr:row>
      <xdr:rowOff>161703</xdr:rowOff>
    </xdr:from>
    <xdr:to>
      <xdr:col>19</xdr:col>
      <xdr:colOff>514350</xdr:colOff>
      <xdr:row>41</xdr:row>
      <xdr:rowOff>54863</xdr:rowOff>
    </xdr:to>
    <xdr:pic>
      <xdr:nvPicPr>
        <xdr:cNvPr id="9" name="Picture 8" descr="Hospital_FloorPlan_Zoning_Level1_Mar_9_2011.gif">
          <a:extLst>
            <a:ext uri="{FF2B5EF4-FFF2-40B4-BE49-F238E27FC236}">
              <a16:creationId xmlns:a16="http://schemas.microsoft.com/office/drawing/2014/main" id="{B0C09557-6173-4345-8B7B-9FE05765A0D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0036790" y="5009928"/>
          <a:ext cx="7452360" cy="4716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120852</xdr:rowOff>
    </xdr:from>
    <xdr:to>
      <xdr:col>1</xdr:col>
      <xdr:colOff>1943100</xdr:colOff>
      <xdr:row>84</xdr:row>
      <xdr:rowOff>129943</xdr:rowOff>
    </xdr:to>
    <xdr:pic>
      <xdr:nvPicPr>
        <xdr:cNvPr id="10" name="Picture 9">
          <a:extLst>
            <a:ext uri="{FF2B5EF4-FFF2-40B4-BE49-F238E27FC236}">
              <a16:creationId xmlns:a16="http://schemas.microsoft.com/office/drawing/2014/main" id="{FEC288C6-D9F6-8BFC-D7B3-885D81F0B969}"/>
            </a:ext>
          </a:extLst>
        </xdr:cNvPr>
        <xdr:cNvPicPr>
          <a:picLocks noChangeAspect="1"/>
        </xdr:cNvPicPr>
      </xdr:nvPicPr>
      <xdr:blipFill>
        <a:blip xmlns:r="http://schemas.openxmlformats.org/officeDocument/2006/relationships" r:embed="rId7"/>
        <a:stretch>
          <a:fillRect/>
        </a:stretch>
      </xdr:blipFill>
      <xdr:spPr>
        <a:xfrm>
          <a:off x="0" y="14979852"/>
          <a:ext cx="5486400" cy="27751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40216</xdr:colOff>
      <xdr:row>75</xdr:row>
      <xdr:rowOff>168486</xdr:rowOff>
    </xdr:from>
    <xdr:to>
      <xdr:col>2</xdr:col>
      <xdr:colOff>91440</xdr:colOff>
      <xdr:row>117</xdr:row>
      <xdr:rowOff>22013</xdr:rowOff>
    </xdr:to>
    <xdr:pic>
      <xdr:nvPicPr>
        <xdr:cNvPr id="11" name="Picture 2">
          <a:extLst>
            <a:ext uri="{FF2B5EF4-FFF2-40B4-BE49-F238E27FC236}">
              <a16:creationId xmlns:a16="http://schemas.microsoft.com/office/drawing/2014/main" id="{A709DE88-FA16-9D6B-5A49-5AC043EAF7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216" y="15006319"/>
          <a:ext cx="5960534" cy="7473527"/>
        </a:xfrm>
        <a:prstGeom prst="rect">
          <a:avLst/>
        </a:prstGeom>
      </xdr:spPr>
    </xdr:pic>
    <xdr:clientData/>
  </xdr:twoCellAnchor>
  <xdr:twoCellAnchor editAs="oneCell">
    <xdr:from>
      <xdr:col>2</xdr:col>
      <xdr:colOff>234606</xdr:colOff>
      <xdr:row>75</xdr:row>
      <xdr:rowOff>77216</xdr:rowOff>
    </xdr:from>
    <xdr:to>
      <xdr:col>5</xdr:col>
      <xdr:colOff>857823</xdr:colOff>
      <xdr:row>116</xdr:row>
      <xdr:rowOff>57682</xdr:rowOff>
    </xdr:to>
    <xdr:pic>
      <xdr:nvPicPr>
        <xdr:cNvPr id="12" name="Picture 4">
          <a:extLst>
            <a:ext uri="{FF2B5EF4-FFF2-40B4-BE49-F238E27FC236}">
              <a16:creationId xmlns:a16="http://schemas.microsoft.com/office/drawing/2014/main" id="{3CED911C-4EC7-F1BA-06B8-8ABFBD856A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316999" y="17263037"/>
          <a:ext cx="5034108" cy="7225456"/>
        </a:xfrm>
        <a:prstGeom prst="rect">
          <a:avLst/>
        </a:prstGeom>
      </xdr:spPr>
    </xdr:pic>
    <xdr:clientData/>
  </xdr:twoCellAnchor>
  <xdr:twoCellAnchor editAs="oneCell">
    <xdr:from>
      <xdr:col>5</xdr:col>
      <xdr:colOff>1119179</xdr:colOff>
      <xdr:row>75</xdr:row>
      <xdr:rowOff>49478</xdr:rowOff>
    </xdr:from>
    <xdr:to>
      <xdr:col>9</xdr:col>
      <xdr:colOff>60903</xdr:colOff>
      <xdr:row>115</xdr:row>
      <xdr:rowOff>168968</xdr:rowOff>
    </xdr:to>
    <xdr:pic>
      <xdr:nvPicPr>
        <xdr:cNvPr id="13" name="Picture 6">
          <a:extLst>
            <a:ext uri="{FF2B5EF4-FFF2-40B4-BE49-F238E27FC236}">
              <a16:creationId xmlns:a16="http://schemas.microsoft.com/office/drawing/2014/main" id="{FFE12CE0-1E7F-E2B1-49B5-C6C53E88295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602122" y="19698192"/>
          <a:ext cx="6900269" cy="7074917"/>
        </a:xfrm>
        <a:prstGeom prst="rect">
          <a:avLst/>
        </a:prstGeom>
      </xdr:spPr>
    </xdr:pic>
    <xdr:clientData/>
  </xdr:twoCellAnchor>
  <xdr:twoCellAnchor editAs="oneCell">
    <xdr:from>
      <xdr:col>10</xdr:col>
      <xdr:colOff>11940</xdr:colOff>
      <xdr:row>75</xdr:row>
      <xdr:rowOff>44083</xdr:rowOff>
    </xdr:from>
    <xdr:to>
      <xdr:col>25</xdr:col>
      <xdr:colOff>2202</xdr:colOff>
      <xdr:row>103</xdr:row>
      <xdr:rowOff>97254</xdr:rowOff>
    </xdr:to>
    <xdr:pic>
      <xdr:nvPicPr>
        <xdr:cNvPr id="14" name="Picture 8">
          <a:extLst>
            <a:ext uri="{FF2B5EF4-FFF2-40B4-BE49-F238E27FC236}">
              <a16:creationId xmlns:a16="http://schemas.microsoft.com/office/drawing/2014/main" id="{4F0ADCEC-5169-47D4-CBF2-32B3317A806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7728440" y="17229904"/>
          <a:ext cx="9050986" cy="50156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29</xdr:row>
      <xdr:rowOff>0</xdr:rowOff>
    </xdr:from>
    <xdr:to>
      <xdr:col>8</xdr:col>
      <xdr:colOff>496183</xdr:colOff>
      <xdr:row>37</xdr:row>
      <xdr:rowOff>30480</xdr:rowOff>
    </xdr:to>
    <xdr:pic>
      <xdr:nvPicPr>
        <xdr:cNvPr id="2" name="Picture 1">
          <a:extLst>
            <a:ext uri="{FF2B5EF4-FFF2-40B4-BE49-F238E27FC236}">
              <a16:creationId xmlns:a16="http://schemas.microsoft.com/office/drawing/2014/main" id="{482379C0-10C7-4BFA-B4E5-C753DE6F6821}"/>
            </a:ext>
          </a:extLst>
        </xdr:cNvPr>
        <xdr:cNvPicPr>
          <a:picLocks noChangeAspect="1"/>
        </xdr:cNvPicPr>
      </xdr:nvPicPr>
      <xdr:blipFill>
        <a:blip xmlns:r="http://schemas.openxmlformats.org/officeDocument/2006/relationships" r:embed="rId1"/>
        <a:stretch>
          <a:fillRect/>
        </a:stretch>
      </xdr:blipFill>
      <xdr:spPr>
        <a:xfrm>
          <a:off x="0" y="6423660"/>
          <a:ext cx="8733403"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923925</xdr:colOff>
      <xdr:row>89</xdr:row>
      <xdr:rowOff>167640</xdr:rowOff>
    </xdr:from>
    <xdr:to>
      <xdr:col>7</xdr:col>
      <xdr:colOff>339173</xdr:colOff>
      <xdr:row>102</xdr:row>
      <xdr:rowOff>169083</xdr:rowOff>
    </xdr:to>
    <xdr:pic>
      <xdr:nvPicPr>
        <xdr:cNvPr id="5" name="Picture 1">
          <a:extLst>
            <a:ext uri="{FF2B5EF4-FFF2-40B4-BE49-F238E27FC236}">
              <a16:creationId xmlns:a16="http://schemas.microsoft.com/office/drawing/2014/main" id="{AFEA444E-9695-43EF-A659-63F4DD3F1C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67400" y="10111740"/>
          <a:ext cx="7781925" cy="2474133"/>
        </a:xfrm>
        <a:prstGeom prst="rect">
          <a:avLst/>
        </a:prstGeom>
      </xdr:spPr>
    </xdr:pic>
    <xdr:clientData/>
  </xdr:twoCellAnchor>
  <xdr:twoCellAnchor>
    <xdr:from>
      <xdr:col>0</xdr:col>
      <xdr:colOff>203340</xdr:colOff>
      <xdr:row>90</xdr:row>
      <xdr:rowOff>12840</xdr:rowOff>
    </xdr:from>
    <xdr:to>
      <xdr:col>2</xdr:col>
      <xdr:colOff>817220</xdr:colOff>
      <xdr:row>121</xdr:row>
      <xdr:rowOff>20973</xdr:rowOff>
    </xdr:to>
    <xdr:pic>
      <xdr:nvPicPr>
        <xdr:cNvPr id="4" name="Picture 2">
          <a:extLst>
            <a:ext uri="{FF2B5EF4-FFF2-40B4-BE49-F238E27FC236}">
              <a16:creationId xmlns:a16="http://schemas.microsoft.com/office/drawing/2014/main" id="{B19D1045-9E71-456A-B218-18674A7C5C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3340" y="10137915"/>
          <a:ext cx="5433530" cy="591363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29</xdr:col>
      <xdr:colOff>245745</xdr:colOff>
      <xdr:row>3</xdr:row>
      <xdr:rowOff>9857</xdr:rowOff>
    </xdr:from>
    <xdr:to>
      <xdr:col>35</xdr:col>
      <xdr:colOff>609600</xdr:colOff>
      <xdr:row>5</xdr:row>
      <xdr:rowOff>352425</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285750</xdr:colOff>
      <xdr:row>6</xdr:row>
      <xdr:rowOff>180975</xdr:rowOff>
    </xdr:from>
    <xdr:to>
      <xdr:col>36</xdr:col>
      <xdr:colOff>0</xdr:colOff>
      <xdr:row>8</xdr:row>
      <xdr:rowOff>393791</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289560</xdr:colOff>
      <xdr:row>202</xdr:row>
      <xdr:rowOff>0</xdr:rowOff>
    </xdr:from>
    <xdr:to>
      <xdr:col>36</xdr:col>
      <xdr:colOff>0</xdr:colOff>
      <xdr:row>204</xdr:row>
      <xdr:rowOff>391886</xdr:rowOff>
    </xdr:to>
    <xdr:graphicFrame macro="">
      <xdr:nvGraphicFramePr>
        <xdr:cNvPr id="2" name="Chart 5">
          <a:extLst>
            <a:ext uri="{FF2B5EF4-FFF2-40B4-BE49-F238E27FC236}">
              <a16:creationId xmlns:a16="http://schemas.microsoft.com/office/drawing/2014/main" id="{4BFFA047-264D-465D-AB1C-FD1D056BC60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315686</xdr:colOff>
      <xdr:row>15</xdr:row>
      <xdr:rowOff>0</xdr:rowOff>
    </xdr:from>
    <xdr:to>
      <xdr:col>36</xdr:col>
      <xdr:colOff>26126</xdr:colOff>
      <xdr:row>18</xdr:row>
      <xdr:rowOff>0</xdr:rowOff>
    </xdr:to>
    <xdr:graphicFrame macro="">
      <xdr:nvGraphicFramePr>
        <xdr:cNvPr id="3" name="Chart 5">
          <a:extLst>
            <a:ext uri="{FF2B5EF4-FFF2-40B4-BE49-F238E27FC236}">
              <a16:creationId xmlns:a16="http://schemas.microsoft.com/office/drawing/2014/main" id="{884648C1-6468-4333-AE0F-5CE56E487EB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4" name="Chart 5">
          <a:extLst>
            <a:ext uri="{FF2B5EF4-FFF2-40B4-BE49-F238E27FC236}">
              <a16:creationId xmlns:a16="http://schemas.microsoft.com/office/drawing/2014/main" id="{27D64350-4A7F-4D54-86AE-92FDC42BF73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361950</xdr:colOff>
      <xdr:row>11</xdr:row>
      <xdr:rowOff>447675</xdr:rowOff>
    </xdr:from>
    <xdr:to>
      <xdr:col>36</xdr:col>
      <xdr:colOff>72390</xdr:colOff>
      <xdr:row>14</xdr:row>
      <xdr:rowOff>447675</xdr:rowOff>
    </xdr:to>
    <xdr:graphicFrame macro="">
      <xdr:nvGraphicFramePr>
        <xdr:cNvPr id="5" name="Chart 5">
          <a:extLst>
            <a:ext uri="{FF2B5EF4-FFF2-40B4-BE49-F238E27FC236}">
              <a16:creationId xmlns:a16="http://schemas.microsoft.com/office/drawing/2014/main" id="{30DFB9F4-BE6F-4EEB-A7AF-A22CE2CE65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268332</xdr:colOff>
      <xdr:row>111</xdr:row>
      <xdr:rowOff>133894</xdr:rowOff>
    </xdr:from>
    <xdr:to>
      <xdr:col>36</xdr:col>
      <xdr:colOff>190500</xdr:colOff>
      <xdr:row>115</xdr:row>
      <xdr:rowOff>27214</xdr:rowOff>
    </xdr:to>
    <xdr:graphicFrame macro="">
      <xdr:nvGraphicFramePr>
        <xdr:cNvPr id="6" name="Chart 5">
          <a:extLst>
            <a:ext uri="{FF2B5EF4-FFF2-40B4-BE49-F238E27FC236}">
              <a16:creationId xmlns:a16="http://schemas.microsoft.com/office/drawing/2014/main" id="{0D481C11-A4CB-43EE-8D22-6D2AED28602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274047</xdr:colOff>
      <xdr:row>115</xdr:row>
      <xdr:rowOff>0</xdr:rowOff>
    </xdr:from>
    <xdr:to>
      <xdr:col>36</xdr:col>
      <xdr:colOff>192405</xdr:colOff>
      <xdr:row>117</xdr:row>
      <xdr:rowOff>462643</xdr:rowOff>
    </xdr:to>
    <xdr:graphicFrame macro="">
      <xdr:nvGraphicFramePr>
        <xdr:cNvPr id="7" name="Chart 6">
          <a:extLst>
            <a:ext uri="{FF2B5EF4-FFF2-40B4-BE49-F238E27FC236}">
              <a16:creationId xmlns:a16="http://schemas.microsoft.com/office/drawing/2014/main" id="{718CAAC3-1467-499D-8DBF-39FEEF6F4D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272143</xdr:colOff>
      <xdr:row>117</xdr:row>
      <xdr:rowOff>476251</xdr:rowOff>
    </xdr:from>
    <xdr:to>
      <xdr:col>36</xdr:col>
      <xdr:colOff>184786</xdr:colOff>
      <xdr:row>120</xdr:row>
      <xdr:rowOff>439239</xdr:rowOff>
    </xdr:to>
    <xdr:graphicFrame macro="">
      <xdr:nvGraphicFramePr>
        <xdr:cNvPr id="8" name="Chart 7">
          <a:extLst>
            <a:ext uri="{FF2B5EF4-FFF2-40B4-BE49-F238E27FC236}">
              <a16:creationId xmlns:a16="http://schemas.microsoft.com/office/drawing/2014/main" id="{A399EDBE-48AF-4B03-B5F6-271A5F53675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245745</xdr:colOff>
      <xdr:row>34</xdr:row>
      <xdr:rowOff>9857</xdr:rowOff>
    </xdr:from>
    <xdr:to>
      <xdr:col>35</xdr:col>
      <xdr:colOff>609600</xdr:colOff>
      <xdr:row>36</xdr:row>
      <xdr:rowOff>352425</xdr:rowOff>
    </xdr:to>
    <xdr:graphicFrame macro="">
      <xdr:nvGraphicFramePr>
        <xdr:cNvPr id="10" name="Chart 5">
          <a:extLst>
            <a:ext uri="{FF2B5EF4-FFF2-40B4-BE49-F238E27FC236}">
              <a16:creationId xmlns:a16="http://schemas.microsoft.com/office/drawing/2014/main" id="{31E462BB-2D31-4960-B007-002BBBDDDE0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285750</xdr:colOff>
      <xdr:row>37</xdr:row>
      <xdr:rowOff>180975</xdr:rowOff>
    </xdr:from>
    <xdr:to>
      <xdr:col>36</xdr:col>
      <xdr:colOff>0</xdr:colOff>
      <xdr:row>39</xdr:row>
      <xdr:rowOff>393791</xdr:rowOff>
    </xdr:to>
    <xdr:graphicFrame macro="">
      <xdr:nvGraphicFramePr>
        <xdr:cNvPr id="11" name="Chart 5">
          <a:extLst>
            <a:ext uri="{FF2B5EF4-FFF2-40B4-BE49-F238E27FC236}">
              <a16:creationId xmlns:a16="http://schemas.microsoft.com/office/drawing/2014/main" id="{9CF83771-1390-4244-AD72-CB2FB619679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315686</xdr:colOff>
      <xdr:row>40</xdr:row>
      <xdr:rowOff>0</xdr:rowOff>
    </xdr:from>
    <xdr:to>
      <xdr:col>36</xdr:col>
      <xdr:colOff>26126</xdr:colOff>
      <xdr:row>43</xdr:row>
      <xdr:rowOff>0</xdr:rowOff>
    </xdr:to>
    <xdr:graphicFrame macro="">
      <xdr:nvGraphicFramePr>
        <xdr:cNvPr id="12" name="Chart 5">
          <a:extLst>
            <a:ext uri="{FF2B5EF4-FFF2-40B4-BE49-F238E27FC236}">
              <a16:creationId xmlns:a16="http://schemas.microsoft.com/office/drawing/2014/main" id="{DE2A9E27-869F-4BB2-9CDE-BEFFD5D977F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315686</xdr:colOff>
      <xdr:row>46</xdr:row>
      <xdr:rowOff>0</xdr:rowOff>
    </xdr:from>
    <xdr:to>
      <xdr:col>36</xdr:col>
      <xdr:colOff>26126</xdr:colOff>
      <xdr:row>49</xdr:row>
      <xdr:rowOff>0</xdr:rowOff>
    </xdr:to>
    <xdr:graphicFrame macro="">
      <xdr:nvGraphicFramePr>
        <xdr:cNvPr id="13" name="Chart 5">
          <a:extLst>
            <a:ext uri="{FF2B5EF4-FFF2-40B4-BE49-F238E27FC236}">
              <a16:creationId xmlns:a16="http://schemas.microsoft.com/office/drawing/2014/main" id="{CD41ECE5-2C2D-41D4-A18B-4DDC6FC9230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361950</xdr:colOff>
      <xdr:row>42</xdr:row>
      <xdr:rowOff>447675</xdr:rowOff>
    </xdr:from>
    <xdr:to>
      <xdr:col>36</xdr:col>
      <xdr:colOff>72390</xdr:colOff>
      <xdr:row>45</xdr:row>
      <xdr:rowOff>447675</xdr:rowOff>
    </xdr:to>
    <xdr:graphicFrame macro="">
      <xdr:nvGraphicFramePr>
        <xdr:cNvPr id="15" name="Chart 5">
          <a:extLst>
            <a:ext uri="{FF2B5EF4-FFF2-40B4-BE49-F238E27FC236}">
              <a16:creationId xmlns:a16="http://schemas.microsoft.com/office/drawing/2014/main" id="{3C7EACA0-E5C1-4DE0-B939-FD376004685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38</xdr:col>
      <xdr:colOff>259976</xdr:colOff>
      <xdr:row>10</xdr:row>
      <xdr:rowOff>170330</xdr:rowOff>
    </xdr:from>
    <xdr:to>
      <xdr:col>50</xdr:col>
      <xdr:colOff>44823</xdr:colOff>
      <xdr:row>18</xdr:row>
      <xdr:rowOff>98612</xdr:rowOff>
    </xdr:to>
    <xdr:graphicFrame macro="">
      <xdr:nvGraphicFramePr>
        <xdr:cNvPr id="16" name="Chart 5">
          <a:extLst>
            <a:ext uri="{FF2B5EF4-FFF2-40B4-BE49-F238E27FC236}">
              <a16:creationId xmlns:a16="http://schemas.microsoft.com/office/drawing/2014/main" id="{2A1D91DB-1627-4811-A224-A07274F3811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38</xdr:col>
      <xdr:colOff>268942</xdr:colOff>
      <xdr:row>2</xdr:row>
      <xdr:rowOff>304800</xdr:rowOff>
    </xdr:from>
    <xdr:to>
      <xdr:col>50</xdr:col>
      <xdr:colOff>44823</xdr:colOff>
      <xdr:row>10</xdr:row>
      <xdr:rowOff>197223</xdr:rowOff>
    </xdr:to>
    <xdr:graphicFrame macro="">
      <xdr:nvGraphicFramePr>
        <xdr:cNvPr id="17" name="Chart 5">
          <a:extLst>
            <a:ext uri="{FF2B5EF4-FFF2-40B4-BE49-F238E27FC236}">
              <a16:creationId xmlns:a16="http://schemas.microsoft.com/office/drawing/2014/main" id="{03352F15-4A94-4CC0-884C-2D363149F5E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36</xdr:col>
      <xdr:colOff>412376</xdr:colOff>
      <xdr:row>42</xdr:row>
      <xdr:rowOff>71717</xdr:rowOff>
    </xdr:from>
    <xdr:to>
      <xdr:col>47</xdr:col>
      <xdr:colOff>331694</xdr:colOff>
      <xdr:row>49</xdr:row>
      <xdr:rowOff>134470</xdr:rowOff>
    </xdr:to>
    <xdr:graphicFrame macro="">
      <xdr:nvGraphicFramePr>
        <xdr:cNvPr id="20" name="Chart 5">
          <a:extLst>
            <a:ext uri="{FF2B5EF4-FFF2-40B4-BE49-F238E27FC236}">
              <a16:creationId xmlns:a16="http://schemas.microsoft.com/office/drawing/2014/main" id="{51B42EDF-BC91-4C09-82F0-4CAC080425F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245745</xdr:colOff>
      <xdr:row>62</xdr:row>
      <xdr:rowOff>9857</xdr:rowOff>
    </xdr:from>
    <xdr:to>
      <xdr:col>35</xdr:col>
      <xdr:colOff>609600</xdr:colOff>
      <xdr:row>64</xdr:row>
      <xdr:rowOff>352425</xdr:rowOff>
    </xdr:to>
    <xdr:graphicFrame macro="">
      <xdr:nvGraphicFramePr>
        <xdr:cNvPr id="21" name="Chart 5">
          <a:extLst>
            <a:ext uri="{FF2B5EF4-FFF2-40B4-BE49-F238E27FC236}">
              <a16:creationId xmlns:a16="http://schemas.microsoft.com/office/drawing/2014/main" id="{FF0B2742-0D49-45F6-B66C-BE6F8DDA203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29</xdr:col>
      <xdr:colOff>285750</xdr:colOff>
      <xdr:row>65</xdr:row>
      <xdr:rowOff>180975</xdr:rowOff>
    </xdr:from>
    <xdr:to>
      <xdr:col>36</xdr:col>
      <xdr:colOff>0</xdr:colOff>
      <xdr:row>67</xdr:row>
      <xdr:rowOff>393791</xdr:rowOff>
    </xdr:to>
    <xdr:graphicFrame macro="">
      <xdr:nvGraphicFramePr>
        <xdr:cNvPr id="22" name="Chart 5">
          <a:extLst>
            <a:ext uri="{FF2B5EF4-FFF2-40B4-BE49-F238E27FC236}">
              <a16:creationId xmlns:a16="http://schemas.microsoft.com/office/drawing/2014/main" id="{0E70A0E9-D0F0-4F1B-994E-9775BF7FF0E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315686</xdr:colOff>
      <xdr:row>68</xdr:row>
      <xdr:rowOff>0</xdr:rowOff>
    </xdr:from>
    <xdr:to>
      <xdr:col>36</xdr:col>
      <xdr:colOff>26126</xdr:colOff>
      <xdr:row>71</xdr:row>
      <xdr:rowOff>0</xdr:rowOff>
    </xdr:to>
    <xdr:graphicFrame macro="">
      <xdr:nvGraphicFramePr>
        <xdr:cNvPr id="23" name="Chart 5">
          <a:extLst>
            <a:ext uri="{FF2B5EF4-FFF2-40B4-BE49-F238E27FC236}">
              <a16:creationId xmlns:a16="http://schemas.microsoft.com/office/drawing/2014/main" id="{336AD118-9EF6-45F5-AD2C-F6A4E2A570B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29</xdr:col>
      <xdr:colOff>361950</xdr:colOff>
      <xdr:row>70</xdr:row>
      <xdr:rowOff>447675</xdr:rowOff>
    </xdr:from>
    <xdr:to>
      <xdr:col>36</xdr:col>
      <xdr:colOff>72390</xdr:colOff>
      <xdr:row>73</xdr:row>
      <xdr:rowOff>447675</xdr:rowOff>
    </xdr:to>
    <xdr:graphicFrame macro="">
      <xdr:nvGraphicFramePr>
        <xdr:cNvPr id="25" name="Chart 5">
          <a:extLst>
            <a:ext uri="{FF2B5EF4-FFF2-40B4-BE49-F238E27FC236}">
              <a16:creationId xmlns:a16="http://schemas.microsoft.com/office/drawing/2014/main" id="{CF5482A8-8D83-4B53-9DEC-8D03D6522BC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36</xdr:col>
      <xdr:colOff>412376</xdr:colOff>
      <xdr:row>70</xdr:row>
      <xdr:rowOff>71717</xdr:rowOff>
    </xdr:from>
    <xdr:to>
      <xdr:col>47</xdr:col>
      <xdr:colOff>331694</xdr:colOff>
      <xdr:row>74</xdr:row>
      <xdr:rowOff>134470</xdr:rowOff>
    </xdr:to>
    <xdr:graphicFrame macro="">
      <xdr:nvGraphicFramePr>
        <xdr:cNvPr id="26" name="Chart 5">
          <a:extLst>
            <a:ext uri="{FF2B5EF4-FFF2-40B4-BE49-F238E27FC236}">
              <a16:creationId xmlns:a16="http://schemas.microsoft.com/office/drawing/2014/main" id="{E12065D6-9FE1-444C-A384-214684B171F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29</xdr:col>
      <xdr:colOff>245745</xdr:colOff>
      <xdr:row>87</xdr:row>
      <xdr:rowOff>9857</xdr:rowOff>
    </xdr:from>
    <xdr:to>
      <xdr:col>35</xdr:col>
      <xdr:colOff>609600</xdr:colOff>
      <xdr:row>89</xdr:row>
      <xdr:rowOff>352425</xdr:rowOff>
    </xdr:to>
    <xdr:graphicFrame macro="">
      <xdr:nvGraphicFramePr>
        <xdr:cNvPr id="32" name="Chart 5">
          <a:extLst>
            <a:ext uri="{FF2B5EF4-FFF2-40B4-BE49-F238E27FC236}">
              <a16:creationId xmlns:a16="http://schemas.microsoft.com/office/drawing/2014/main" id="{53FDCA16-83A4-4F82-B754-2A6F881680C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29</xdr:col>
      <xdr:colOff>285750</xdr:colOff>
      <xdr:row>90</xdr:row>
      <xdr:rowOff>180975</xdr:rowOff>
    </xdr:from>
    <xdr:to>
      <xdr:col>36</xdr:col>
      <xdr:colOff>0</xdr:colOff>
      <xdr:row>92</xdr:row>
      <xdr:rowOff>393791</xdr:rowOff>
    </xdr:to>
    <xdr:graphicFrame macro="">
      <xdr:nvGraphicFramePr>
        <xdr:cNvPr id="33" name="Chart 5">
          <a:extLst>
            <a:ext uri="{FF2B5EF4-FFF2-40B4-BE49-F238E27FC236}">
              <a16:creationId xmlns:a16="http://schemas.microsoft.com/office/drawing/2014/main" id="{D9870C9D-28FB-4D31-8B96-0518D4F1E49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29</xdr:col>
      <xdr:colOff>315686</xdr:colOff>
      <xdr:row>93</xdr:row>
      <xdr:rowOff>0</xdr:rowOff>
    </xdr:from>
    <xdr:to>
      <xdr:col>36</xdr:col>
      <xdr:colOff>26126</xdr:colOff>
      <xdr:row>96</xdr:row>
      <xdr:rowOff>0</xdr:rowOff>
    </xdr:to>
    <xdr:graphicFrame macro="">
      <xdr:nvGraphicFramePr>
        <xdr:cNvPr id="34" name="Chart 5">
          <a:extLst>
            <a:ext uri="{FF2B5EF4-FFF2-40B4-BE49-F238E27FC236}">
              <a16:creationId xmlns:a16="http://schemas.microsoft.com/office/drawing/2014/main" id="{50925787-8E7D-4BF7-BD24-A27036F161D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29</xdr:col>
      <xdr:colOff>361950</xdr:colOff>
      <xdr:row>95</xdr:row>
      <xdr:rowOff>447675</xdr:rowOff>
    </xdr:from>
    <xdr:to>
      <xdr:col>36</xdr:col>
      <xdr:colOff>72390</xdr:colOff>
      <xdr:row>98</xdr:row>
      <xdr:rowOff>447675</xdr:rowOff>
    </xdr:to>
    <xdr:graphicFrame macro="">
      <xdr:nvGraphicFramePr>
        <xdr:cNvPr id="35" name="Chart 5">
          <a:extLst>
            <a:ext uri="{FF2B5EF4-FFF2-40B4-BE49-F238E27FC236}">
              <a16:creationId xmlns:a16="http://schemas.microsoft.com/office/drawing/2014/main" id="{ABD53B1E-8CFF-4DDA-A54B-5B0313A4A55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36</xdr:col>
      <xdr:colOff>412376</xdr:colOff>
      <xdr:row>95</xdr:row>
      <xdr:rowOff>71717</xdr:rowOff>
    </xdr:from>
    <xdr:to>
      <xdr:col>47</xdr:col>
      <xdr:colOff>331694</xdr:colOff>
      <xdr:row>99</xdr:row>
      <xdr:rowOff>134470</xdr:rowOff>
    </xdr:to>
    <xdr:graphicFrame macro="">
      <xdr:nvGraphicFramePr>
        <xdr:cNvPr id="36" name="Chart 5">
          <a:extLst>
            <a:ext uri="{FF2B5EF4-FFF2-40B4-BE49-F238E27FC236}">
              <a16:creationId xmlns:a16="http://schemas.microsoft.com/office/drawing/2014/main" id="{8187E544-4DAF-4814-B31F-40AE16C55A6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22</xdr:col>
      <xdr:colOff>403858</xdr:colOff>
      <xdr:row>0</xdr:row>
      <xdr:rowOff>0</xdr:rowOff>
    </xdr:from>
    <xdr:to>
      <xdr:col>39</xdr:col>
      <xdr:colOff>142874</xdr:colOff>
      <xdr:row>16</xdr:row>
      <xdr:rowOff>209550</xdr:rowOff>
    </xdr:to>
    <xdr:graphicFrame macro="">
      <xdr:nvGraphicFramePr>
        <xdr:cNvPr id="7" name="Chart 1">
          <a:extLst>
            <a:ext uri="{FF2B5EF4-FFF2-40B4-BE49-F238E27FC236}">
              <a16:creationId xmlns:a16="http://schemas.microsoft.com/office/drawing/2014/main" id="{435A5768-47F5-9979-90FB-0BC43BC43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393700</xdr:colOff>
      <xdr:row>17</xdr:row>
      <xdr:rowOff>190500</xdr:rowOff>
    </xdr:from>
    <xdr:to>
      <xdr:col>39</xdr:col>
      <xdr:colOff>172659</xdr:colOff>
      <xdr:row>45</xdr:row>
      <xdr:rowOff>146378</xdr:rowOff>
    </xdr:to>
    <xdr:graphicFrame macro="">
      <xdr:nvGraphicFramePr>
        <xdr:cNvPr id="6" name="Chart 2">
          <a:extLst>
            <a:ext uri="{FF2B5EF4-FFF2-40B4-BE49-F238E27FC236}">
              <a16:creationId xmlns:a16="http://schemas.microsoft.com/office/drawing/2014/main" id="{3A6E8217-E86C-4A0B-8DEA-B388FA5D0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20</xdr:row>
      <xdr:rowOff>0</xdr:rowOff>
    </xdr:from>
    <xdr:to>
      <xdr:col>11</xdr:col>
      <xdr:colOff>557961</xdr:colOff>
      <xdr:row>69</xdr:row>
      <xdr:rowOff>94027</xdr:rowOff>
    </xdr:to>
    <xdr:pic>
      <xdr:nvPicPr>
        <xdr:cNvPr id="11" name="Picture 2">
          <a:extLst>
            <a:ext uri="{FF2B5EF4-FFF2-40B4-BE49-F238E27FC236}">
              <a16:creationId xmlns:a16="http://schemas.microsoft.com/office/drawing/2014/main" id="{AC1D13CB-1C0E-41EF-E660-543F9B479F5D}"/>
            </a:ext>
          </a:extLst>
        </xdr:cNvPr>
        <xdr:cNvPicPr>
          <a:picLocks noChangeAspect="1"/>
        </xdr:cNvPicPr>
      </xdr:nvPicPr>
      <xdr:blipFill>
        <a:blip xmlns:r="http://schemas.openxmlformats.org/officeDocument/2006/relationships" r:embed="rId3"/>
        <a:stretch>
          <a:fillRect/>
        </a:stretch>
      </xdr:blipFill>
      <xdr:spPr>
        <a:xfrm>
          <a:off x="666750" y="5116286"/>
          <a:ext cx="10833531" cy="786452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arcglgov.sharepoint.com/sites/NYStretchCoordination/Shared%20Documents/Prototypes/Prototypes/Scorecards/Archive/HotelLarge_Prototype_Scorecard_3Oct2025.xlsx" TargetMode="External"/><Relationship Id="rId1" Type="http://schemas.openxmlformats.org/officeDocument/2006/relationships/externalLinkPath" Target="Archive/HotelLarge_Prototype_Scorecard_3Oct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Prototype"/>
      <sheetName val="Zones"/>
      <sheetName val="HVAC System"/>
      <sheetName val="Envelope"/>
      <sheetName val="Heating-No area used to convert"/>
      <sheetName val="Thermostat"/>
      <sheetName val="Ventilation"/>
      <sheetName val="Water Heater"/>
      <sheetName val="Cooking Euipment"/>
      <sheetName val="Air compressor"/>
      <sheetName val="Refrigerated"/>
      <sheetName val="Interior Lights"/>
      <sheetName val="Occupnacy"/>
      <sheetName val="Ext Lighting"/>
      <sheetName val="Equipment"/>
      <sheetName val="Schedules"/>
      <sheetName val="Energy Usage"/>
      <sheetName val="Weights"/>
      <sheetName val="PV"/>
      <sheetName val="EV Charger"/>
      <sheetName val="Data"/>
      <sheetName val="FZ-C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pnnl.gov/main/publications/external/technical_reports/PNNL-20405.pdf" TargetMode="External"/><Relationship Id="rId3" Type="http://schemas.openxmlformats.org/officeDocument/2006/relationships/hyperlink" Target="https://github.com/sound-data/DEER-Prototypes-EnergyPlus" TargetMode="External"/><Relationship Id="rId7" Type="http://schemas.openxmlformats.org/officeDocument/2006/relationships/hyperlink" Target="https://title24stakeholders.com/wp-content/uploads/2016/10/T24-2019-CASE-Study-Results-Report-Outdoor-Sources_Final_with-Attachments.pdf" TargetMode="External"/><Relationship Id="rId2" Type="http://schemas.openxmlformats.org/officeDocument/2006/relationships/hyperlink" Target="https://www.energycodes.gov/prototype-building-models" TargetMode="External"/><Relationship Id="rId1" Type="http://schemas.openxmlformats.org/officeDocument/2006/relationships/hyperlink" Target="https://bees.noresco.com/software2022.html" TargetMode="External"/><Relationship Id="rId6" Type="http://schemas.openxmlformats.org/officeDocument/2006/relationships/hyperlink" Target="https://title24stakeholders.com/wp-content/uploads/2020/10/2022-T24-Final-CASE-Report_Reduce-Infiltration.pdf" TargetMode="External"/><Relationship Id="rId11" Type="http://schemas.openxmlformats.org/officeDocument/2006/relationships/drawing" Target="../drawings/drawing1.xml"/><Relationship Id="rId5" Type="http://schemas.openxmlformats.org/officeDocument/2006/relationships/hyperlink" Target="https://www.energy.ca.gov/publications/2022/2022-nonresidential-and-multifamily-alternative-calculation-method-reference" TargetMode="External"/><Relationship Id="rId10"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4" Type="http://schemas.openxmlformats.org/officeDocument/2006/relationships/hyperlink" Target="https://www.eia.gov/consumption/commercial/" TargetMode="External"/><Relationship Id="rId9" Type="http://schemas.openxmlformats.org/officeDocument/2006/relationships/hyperlink" Target="https://title24stakeholders.com/wp-content/uploads/2017/09/2019-T24-CASE-Report_Fume-Hoods_Final_September-2017.pdf?"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onRes-Vintage%20bins-Draft%20Report-30Nov2023-Final.docx?d=w8560be34ea9744e086bccf7767b0a3cf&amp;csf=1&amp;web=1&amp;e=tpxacv"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K56"/>
  <sheetViews>
    <sheetView zoomScale="85" zoomScaleNormal="85" workbookViewId="0">
      <selection sqref="A1:F1"/>
    </sheetView>
  </sheetViews>
  <sheetFormatPr defaultColWidth="9.28515625" defaultRowHeight="12.75" x14ac:dyDescent="0.2"/>
  <cols>
    <col min="1" max="1" width="14.7109375" style="3" customWidth="1"/>
    <col min="2" max="2" width="83.7109375" style="3" customWidth="1"/>
    <col min="3" max="5" width="9.28515625" style="3"/>
    <col min="6" max="6" width="13.85546875" style="3" customWidth="1"/>
    <col min="7" max="7" width="9.28515625" style="3"/>
    <col min="8" max="8" width="21.7109375" style="3" customWidth="1"/>
    <col min="9" max="9" width="10.7109375" style="3" customWidth="1"/>
    <col min="10" max="10" width="9.7109375" style="3" customWidth="1"/>
    <col min="11" max="11" width="9.7109375" style="3" bestFit="1" customWidth="1"/>
    <col min="12" max="16384" width="9.28515625" style="3"/>
  </cols>
  <sheetData>
    <row r="1" spans="1:6" ht="20.45" customHeight="1" x14ac:dyDescent="0.2">
      <c r="A1" s="580" t="s">
        <v>0</v>
      </c>
      <c r="B1" s="580"/>
      <c r="C1" s="580"/>
      <c r="D1" s="580"/>
      <c r="E1" s="580"/>
      <c r="F1" s="580"/>
    </row>
    <row r="2" spans="1:6" ht="13.15" customHeight="1" x14ac:dyDescent="0.2">
      <c r="A2" s="579" t="s">
        <v>1</v>
      </c>
      <c r="B2" s="3" t="s">
        <v>2</v>
      </c>
      <c r="C2" s="581"/>
      <c r="D2" s="581"/>
      <c r="E2" s="581"/>
      <c r="F2" s="581"/>
    </row>
    <row r="3" spans="1:6" ht="13.15" customHeight="1" x14ac:dyDescent="0.2">
      <c r="A3" s="579"/>
      <c r="B3" s="3" t="s">
        <v>3</v>
      </c>
      <c r="C3" s="581"/>
      <c r="D3" s="581"/>
      <c r="E3" s="581"/>
      <c r="F3" s="581"/>
    </row>
    <row r="4" spans="1:6" ht="13.15" customHeight="1" x14ac:dyDescent="0.2">
      <c r="A4" s="579"/>
      <c r="B4" s="3" t="s">
        <v>4</v>
      </c>
      <c r="C4" s="581"/>
      <c r="D4" s="581"/>
      <c r="E4" s="581"/>
      <c r="F4" s="581"/>
    </row>
    <row r="5" spans="1:6" x14ac:dyDescent="0.2">
      <c r="A5" s="579"/>
      <c r="B5" s="3" t="s">
        <v>5</v>
      </c>
      <c r="C5" s="581"/>
      <c r="D5" s="581"/>
      <c r="E5" s="581"/>
      <c r="F5" s="581"/>
    </row>
    <row r="6" spans="1:6" x14ac:dyDescent="0.2">
      <c r="A6" s="579"/>
      <c r="C6" s="581"/>
      <c r="D6" s="581"/>
      <c r="E6" s="581"/>
      <c r="F6" s="581"/>
    </row>
    <row r="7" spans="1:6" ht="15" x14ac:dyDescent="0.25">
      <c r="A7" s="579" t="s">
        <v>6</v>
      </c>
      <c r="B7" s="3" t="s">
        <v>7</v>
      </c>
      <c r="C7" s="582" t="s">
        <v>8</v>
      </c>
      <c r="D7" s="583"/>
      <c r="E7" s="583"/>
      <c r="F7" s="583"/>
    </row>
    <row r="8" spans="1:6" ht="15" x14ac:dyDescent="0.25">
      <c r="A8" s="579"/>
      <c r="B8" s="3" t="s">
        <v>9</v>
      </c>
      <c r="C8" s="582" t="s">
        <v>10</v>
      </c>
      <c r="D8" s="583"/>
      <c r="E8" s="583"/>
      <c r="F8" s="583"/>
    </row>
    <row r="9" spans="1:6" ht="15" x14ac:dyDescent="0.25">
      <c r="A9" s="579"/>
      <c r="B9" s="3" t="s">
        <v>11</v>
      </c>
      <c r="C9" s="582" t="s">
        <v>12</v>
      </c>
      <c r="D9" s="583"/>
      <c r="E9" s="583"/>
      <c r="F9" s="583"/>
    </row>
    <row r="10" spans="1:6" ht="15" x14ac:dyDescent="0.25">
      <c r="A10" s="579"/>
      <c r="C10" s="582"/>
      <c r="D10" s="583"/>
      <c r="E10" s="583"/>
      <c r="F10" s="583"/>
    </row>
    <row r="11" spans="1:6" ht="12.75" customHeight="1" x14ac:dyDescent="0.2">
      <c r="A11" s="579" t="s">
        <v>13</v>
      </c>
      <c r="B11" s="528" t="s">
        <v>14</v>
      </c>
      <c r="C11" s="578"/>
      <c r="D11" s="578"/>
      <c r="E11" s="578"/>
      <c r="F11" s="578"/>
    </row>
    <row r="12" spans="1:6" ht="12.75" customHeight="1" x14ac:dyDescent="0.2">
      <c r="A12" s="579"/>
      <c r="B12" s="528" t="s">
        <v>15</v>
      </c>
      <c r="C12" s="578"/>
      <c r="D12" s="578"/>
      <c r="E12" s="578"/>
      <c r="F12" s="578"/>
    </row>
    <row r="13" spans="1:6" ht="12.75" customHeight="1" x14ac:dyDescent="0.2">
      <c r="A13" s="579"/>
      <c r="B13" s="528" t="s">
        <v>16</v>
      </c>
      <c r="C13" s="578"/>
      <c r="D13" s="578"/>
      <c r="E13" s="578"/>
      <c r="F13" s="578"/>
    </row>
    <row r="14" spans="1:6" ht="12.75" customHeight="1" x14ac:dyDescent="0.2">
      <c r="A14" s="579"/>
      <c r="B14" s="528" t="s">
        <v>17</v>
      </c>
      <c r="C14" s="578"/>
      <c r="D14" s="578"/>
      <c r="E14" s="578"/>
      <c r="F14" s="578"/>
    </row>
    <row r="15" spans="1:6" ht="12.75" customHeight="1" x14ac:dyDescent="0.2">
      <c r="A15" s="579"/>
      <c r="B15" s="528" t="s">
        <v>18</v>
      </c>
      <c r="C15" s="578"/>
      <c r="D15" s="578"/>
      <c r="E15" s="578"/>
      <c r="F15" s="578"/>
    </row>
    <row r="16" spans="1:6" ht="12.75" customHeight="1" x14ac:dyDescent="0.2">
      <c r="A16" s="579"/>
      <c r="B16" s="528" t="s">
        <v>19</v>
      </c>
      <c r="C16" s="578"/>
      <c r="D16" s="578"/>
      <c r="E16" s="578"/>
      <c r="F16" s="578"/>
    </row>
    <row r="17" spans="1:7" ht="12.75" customHeight="1" x14ac:dyDescent="0.2">
      <c r="A17" s="579"/>
      <c r="B17" s="528" t="s">
        <v>20</v>
      </c>
      <c r="C17" s="578"/>
      <c r="D17" s="578"/>
      <c r="E17" s="578"/>
      <c r="F17" s="578"/>
    </row>
    <row r="18" spans="1:7" ht="12.75" customHeight="1" x14ac:dyDescent="0.2">
      <c r="A18" s="579"/>
      <c r="B18" s="528" t="s">
        <v>21</v>
      </c>
      <c r="C18" s="578"/>
      <c r="D18" s="578"/>
      <c r="E18" s="578"/>
      <c r="F18" s="578"/>
    </row>
    <row r="19" spans="1:7" ht="12.75" customHeight="1" x14ac:dyDescent="0.25">
      <c r="A19" s="579"/>
      <c r="C19" s="327" t="s">
        <v>22</v>
      </c>
      <c r="D19" s="130"/>
      <c r="E19" s="130"/>
      <c r="F19" s="130"/>
      <c r="G19" s="3" t="s">
        <v>23</v>
      </c>
    </row>
    <row r="20" spans="1:7" ht="12.75" customHeight="1" x14ac:dyDescent="0.25">
      <c r="A20" s="589" t="s">
        <v>24</v>
      </c>
      <c r="B20" s="131" t="s">
        <v>25</v>
      </c>
      <c r="C20" s="588" t="s">
        <v>26</v>
      </c>
      <c r="D20" s="588"/>
      <c r="E20" s="588"/>
      <c r="F20" s="588"/>
    </row>
    <row r="21" spans="1:7" ht="12.75" customHeight="1" x14ac:dyDescent="0.25">
      <c r="A21" s="589"/>
      <c r="B21" s="528" t="s">
        <v>27</v>
      </c>
      <c r="C21" s="588" t="s">
        <v>28</v>
      </c>
      <c r="D21" s="588"/>
      <c r="E21" s="588"/>
      <c r="F21" s="588"/>
    </row>
    <row r="22" spans="1:7" ht="12.75" customHeight="1" x14ac:dyDescent="0.25">
      <c r="A22" s="589"/>
      <c r="B22" s="528" t="s">
        <v>29</v>
      </c>
      <c r="C22" s="588" t="s">
        <v>30</v>
      </c>
      <c r="D22" s="588"/>
      <c r="E22" s="588"/>
      <c r="F22" s="588"/>
    </row>
    <row r="23" spans="1:7" ht="15" x14ac:dyDescent="0.25">
      <c r="A23" s="589"/>
      <c r="B23" s="528" t="s">
        <v>31</v>
      </c>
      <c r="C23" s="588" t="s">
        <v>32</v>
      </c>
      <c r="D23" s="578"/>
      <c r="E23" s="578"/>
      <c r="F23" s="578"/>
    </row>
    <row r="24" spans="1:7" ht="13.15" customHeight="1" x14ac:dyDescent="0.25">
      <c r="A24" s="589"/>
      <c r="B24" s="131" t="s">
        <v>33</v>
      </c>
      <c r="C24" s="587" t="s">
        <v>34</v>
      </c>
      <c r="D24" s="587"/>
      <c r="E24" s="587"/>
      <c r="F24" s="587"/>
      <c r="G24" s="528"/>
    </row>
    <row r="25" spans="1:7" x14ac:dyDescent="0.2">
      <c r="C25" s="581"/>
      <c r="D25" s="581"/>
      <c r="E25" s="581"/>
      <c r="F25" s="581"/>
    </row>
    <row r="26" spans="1:7" ht="18.600000000000001" customHeight="1" x14ac:dyDescent="0.2">
      <c r="A26" s="580" t="s">
        <v>35</v>
      </c>
      <c r="B26" s="580"/>
      <c r="C26" s="580"/>
      <c r="D26" s="580"/>
      <c r="E26" s="580"/>
      <c r="F26" s="580"/>
    </row>
    <row r="27" spans="1:7" ht="14.45" customHeight="1" x14ac:dyDescent="0.2">
      <c r="C27" s="248"/>
      <c r="D27" s="248"/>
      <c r="E27" s="248"/>
      <c r="F27" s="248"/>
    </row>
    <row r="28" spans="1:7" ht="14.45" customHeight="1" x14ac:dyDescent="0.2">
      <c r="C28" s="248"/>
      <c r="D28" s="248"/>
      <c r="E28" s="248"/>
      <c r="F28" s="248"/>
    </row>
    <row r="29" spans="1:7" ht="14.45" customHeight="1" x14ac:dyDescent="0.2">
      <c r="C29" s="248"/>
      <c r="D29" s="248"/>
      <c r="E29" s="248"/>
      <c r="F29" s="248"/>
    </row>
    <row r="30" spans="1:7" ht="14.45" customHeight="1" x14ac:dyDescent="0.2">
      <c r="C30" s="248"/>
      <c r="D30" s="248"/>
      <c r="E30" s="248"/>
      <c r="F30" s="248"/>
    </row>
    <row r="31" spans="1:7" ht="14.45" customHeight="1" x14ac:dyDescent="0.2">
      <c r="C31" s="248"/>
      <c r="D31" s="248"/>
      <c r="E31" s="248"/>
      <c r="F31" s="248"/>
    </row>
    <row r="32" spans="1:7" ht="14.45" customHeight="1" x14ac:dyDescent="0.2">
      <c r="C32" s="248"/>
      <c r="D32" s="248"/>
      <c r="E32" s="248"/>
      <c r="F32" s="248"/>
    </row>
    <row r="33" spans="1:11" ht="14.45" customHeight="1" x14ac:dyDescent="0.2">
      <c r="C33" s="248"/>
      <c r="D33" s="248"/>
      <c r="E33" s="248"/>
      <c r="F33" s="248"/>
    </row>
    <row r="34" spans="1:11" ht="14.45" customHeight="1" x14ac:dyDescent="0.2">
      <c r="C34" s="248"/>
      <c r="D34" s="248"/>
      <c r="E34" s="248"/>
      <c r="F34" s="248"/>
    </row>
    <row r="35" spans="1:11" ht="14.45" customHeight="1" x14ac:dyDescent="0.2">
      <c r="C35" s="248"/>
      <c r="D35" s="248"/>
      <c r="E35" s="248"/>
      <c r="F35" s="248"/>
    </row>
    <row r="36" spans="1:11" ht="14.45" customHeight="1" x14ac:dyDescent="0.2">
      <c r="C36" s="248"/>
      <c r="D36" s="248"/>
      <c r="E36" s="248"/>
      <c r="F36" s="248"/>
    </row>
    <row r="37" spans="1:11" ht="14.45" customHeight="1" x14ac:dyDescent="0.2">
      <c r="C37" s="248"/>
      <c r="D37" s="248"/>
      <c r="E37" s="248"/>
      <c r="F37" s="248"/>
    </row>
    <row r="38" spans="1:11" ht="14.45" customHeight="1" x14ac:dyDescent="0.2">
      <c r="C38" s="248"/>
      <c r="D38" s="248"/>
      <c r="E38" s="248"/>
      <c r="F38" s="248"/>
    </row>
    <row r="39" spans="1:11" ht="19.149999999999999" customHeight="1" x14ac:dyDescent="0.2">
      <c r="A39" s="580" t="s">
        <v>36</v>
      </c>
      <c r="B39" s="580"/>
      <c r="C39" s="580"/>
      <c r="D39" s="580"/>
      <c r="E39" s="580"/>
      <c r="F39" s="580"/>
    </row>
    <row r="40" spans="1:11" ht="61.15" customHeight="1" x14ac:dyDescent="0.2">
      <c r="A40" s="531" t="s">
        <v>37</v>
      </c>
      <c r="B40" s="586" t="s">
        <v>38</v>
      </c>
      <c r="C40" s="586"/>
      <c r="D40" s="586"/>
      <c r="E40" s="586"/>
      <c r="F40" s="586"/>
    </row>
    <row r="41" spans="1:11" ht="59.45" customHeight="1" x14ac:dyDescent="0.2">
      <c r="A41" s="533" t="s">
        <v>39</v>
      </c>
      <c r="B41" s="579" t="s">
        <v>40</v>
      </c>
      <c r="C41" s="579"/>
      <c r="D41" s="579"/>
      <c r="E41" s="579"/>
      <c r="F41" s="579"/>
      <c r="H41" s="533"/>
      <c r="I41" s="5"/>
      <c r="J41" s="5"/>
      <c r="K41" s="5"/>
    </row>
    <row r="42" spans="1:11" ht="15" x14ac:dyDescent="0.2">
      <c r="A42" s="7" t="s">
        <v>41</v>
      </c>
      <c r="B42" s="584" t="s">
        <v>42</v>
      </c>
      <c r="C42" s="584"/>
      <c r="D42" s="584"/>
      <c r="E42" s="584"/>
      <c r="F42" s="584"/>
      <c r="H42" s="533"/>
      <c r="I42" s="34"/>
      <c r="J42" s="34"/>
      <c r="K42" s="34"/>
    </row>
    <row r="43" spans="1:11" x14ac:dyDescent="0.2">
      <c r="A43" s="7"/>
      <c r="B43" s="585"/>
      <c r="C43" s="585"/>
      <c r="D43" s="585"/>
      <c r="E43" s="585"/>
      <c r="F43" s="585"/>
    </row>
    <row r="44" spans="1:11" ht="15" x14ac:dyDescent="0.25">
      <c r="A44" s="7"/>
      <c r="B44" s="585"/>
      <c r="C44" s="585"/>
      <c r="D44" s="585"/>
      <c r="E44" s="585"/>
      <c r="F44" s="585"/>
      <c r="H44"/>
    </row>
    <row r="56" spans="7:7" ht="15" x14ac:dyDescent="0.25">
      <c r="G56"/>
    </row>
  </sheetData>
  <mergeCells count="35">
    <mergeCell ref="A26:F26"/>
    <mergeCell ref="C14:F14"/>
    <mergeCell ref="C16:F16"/>
    <mergeCell ref="C24:F24"/>
    <mergeCell ref="C25:F25"/>
    <mergeCell ref="C15:F15"/>
    <mergeCell ref="C17:F17"/>
    <mergeCell ref="C20:F20"/>
    <mergeCell ref="C21:F21"/>
    <mergeCell ref="C22:F22"/>
    <mergeCell ref="A11:A19"/>
    <mergeCell ref="A20:A24"/>
    <mergeCell ref="C12:F12"/>
    <mergeCell ref="C11:F11"/>
    <mergeCell ref="C18:F18"/>
    <mergeCell ref="C23:F23"/>
    <mergeCell ref="B41:F41"/>
    <mergeCell ref="B42:F42"/>
    <mergeCell ref="B43:F43"/>
    <mergeCell ref="B44:F44"/>
    <mergeCell ref="A39:F39"/>
    <mergeCell ref="B40:F40"/>
    <mergeCell ref="C13:F13"/>
    <mergeCell ref="A7:A10"/>
    <mergeCell ref="A1:F1"/>
    <mergeCell ref="C2:F2"/>
    <mergeCell ref="C3:F3"/>
    <mergeCell ref="C4:F4"/>
    <mergeCell ref="C5:F5"/>
    <mergeCell ref="C7:F7"/>
    <mergeCell ref="C9:F9"/>
    <mergeCell ref="C10:F10"/>
    <mergeCell ref="C8:F8"/>
    <mergeCell ref="A2:A6"/>
    <mergeCell ref="C6:F6"/>
  </mergeCells>
  <hyperlinks>
    <hyperlink ref="C7" r:id="rId1" xr:uid="{BE11EEF8-3AF7-48F0-A38B-7309CE5A9491}"/>
    <hyperlink ref="C8" r:id="rId2" location="Commercial" xr:uid="{626A4776-C2FA-489E-88C0-BC9C7C8EA36F}"/>
    <hyperlink ref="C9" r:id="rId3" xr:uid="{0DEB00BB-3A26-4527-9ED4-40D17F93A579}"/>
    <hyperlink ref="B42:F42" r:id="rId4" display="https://www.eia.gov/consumption/commercial/" xr:uid="{5E6D77C3-96CB-4399-9543-66C6A513EDAB}"/>
    <hyperlink ref="C19" r:id="rId5" xr:uid="{97694B1A-9EFB-4874-9EC5-D97BFB075E6F}"/>
    <hyperlink ref="C20" r:id="rId6" xr:uid="{19C4D150-2626-4B8B-9525-F2E7945A7E87}"/>
    <hyperlink ref="C21" r:id="rId7" xr:uid="{1A9AC3CA-657D-4FD0-8886-B951DC49B996}"/>
    <hyperlink ref="C22" r:id="rId8" xr:uid="{35E8ADC8-EF89-431F-898E-A5D87D42979B}"/>
    <hyperlink ref="C24" r:id="rId9" xr:uid="{C2DB5C82-4F1C-4738-8BC3-2191D21C555F}"/>
    <hyperlink ref="C23" r:id="rId10" display="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xr:uid="{5B95454D-A369-40F1-87DC-E7D763C3477C}"/>
  </hyperlinks>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8"/>
  <sheetViews>
    <sheetView tabSelected="1" zoomScaleNormal="100" workbookViewId="0">
      <selection sqref="A1:C1"/>
    </sheetView>
  </sheetViews>
  <sheetFormatPr defaultColWidth="9.28515625" defaultRowHeight="14.25" x14ac:dyDescent="0.2"/>
  <cols>
    <col min="1" max="1" width="25" style="1" customWidth="1"/>
    <col min="2" max="2" width="51.28515625" style="1" customWidth="1"/>
    <col min="3" max="3" width="49.7109375" style="1" customWidth="1"/>
    <col min="4" max="9" width="8.7109375" style="1" customWidth="1"/>
    <col min="10" max="16384" width="9.28515625" style="1"/>
  </cols>
  <sheetData>
    <row r="1" spans="1:9" ht="18" x14ac:dyDescent="0.2">
      <c r="A1" s="590" t="s">
        <v>43</v>
      </c>
      <c r="B1" s="590"/>
      <c r="C1" s="590"/>
      <c r="D1" s="9"/>
      <c r="E1" s="9"/>
      <c r="F1" s="9"/>
    </row>
    <row r="2" spans="1:9" ht="25.15" customHeight="1" x14ac:dyDescent="0.2">
      <c r="A2" s="591" t="s">
        <v>37</v>
      </c>
      <c r="B2" s="592"/>
      <c r="C2" s="592"/>
      <c r="D2" s="9"/>
      <c r="E2" s="9"/>
      <c r="F2" s="9"/>
    </row>
    <row r="3" spans="1:9" ht="20.45" customHeight="1" x14ac:dyDescent="0.2">
      <c r="A3" s="16" t="s">
        <v>44</v>
      </c>
      <c r="B3" s="559" t="s">
        <v>45</v>
      </c>
      <c r="C3" s="17" t="s">
        <v>0</v>
      </c>
    </row>
    <row r="4" spans="1:9" ht="16.149999999999999" customHeight="1" x14ac:dyDescent="0.2">
      <c r="A4" s="14" t="s">
        <v>46</v>
      </c>
      <c r="B4" s="555" t="s">
        <v>37</v>
      </c>
      <c r="C4" s="14"/>
    </row>
    <row r="5" spans="1:9" ht="16.149999999999999" customHeight="1" x14ac:dyDescent="0.2">
      <c r="A5" s="14" t="s">
        <v>47</v>
      </c>
      <c r="B5" s="555" t="s">
        <v>48</v>
      </c>
      <c r="C5" s="14"/>
    </row>
    <row r="6" spans="1:9" ht="28.9" customHeight="1" x14ac:dyDescent="0.2">
      <c r="A6" s="14" t="s">
        <v>49</v>
      </c>
      <c r="B6" s="553" t="s">
        <v>50</v>
      </c>
      <c r="C6" s="15" t="s">
        <v>51</v>
      </c>
      <c r="D6" s="65" t="s">
        <v>52</v>
      </c>
    </row>
    <row r="7" spans="1:9" ht="97.15" customHeight="1" x14ac:dyDescent="0.2">
      <c r="A7" s="14" t="s">
        <v>53</v>
      </c>
      <c r="B7" s="555"/>
      <c r="C7" s="15" t="s">
        <v>54</v>
      </c>
      <c r="I7" s="2"/>
    </row>
    <row r="8" spans="1:9" ht="16.149999999999999" customHeight="1" x14ac:dyDescent="0.2">
      <c r="A8" s="10" t="s">
        <v>55</v>
      </c>
      <c r="B8" s="11" t="s">
        <v>56</v>
      </c>
      <c r="C8" s="14" t="s">
        <v>57</v>
      </c>
    </row>
    <row r="9" spans="1:9" x14ac:dyDescent="0.2">
      <c r="A9" s="10" t="s">
        <v>58</v>
      </c>
      <c r="B9" s="64">
        <v>1.31</v>
      </c>
      <c r="C9" s="14" t="s">
        <v>57</v>
      </c>
    </row>
    <row r="10" spans="1:9" x14ac:dyDescent="0.2">
      <c r="A10" s="12" t="s">
        <v>59</v>
      </c>
      <c r="B10" s="553" t="s">
        <v>60</v>
      </c>
      <c r="C10" s="14" t="s">
        <v>57</v>
      </c>
    </row>
    <row r="11" spans="1:9" x14ac:dyDescent="0.2">
      <c r="A11" s="12" t="s">
        <v>61</v>
      </c>
      <c r="B11" s="555" t="s">
        <v>62</v>
      </c>
      <c r="C11" s="14" t="s">
        <v>57</v>
      </c>
    </row>
    <row r="12" spans="1:9" ht="25.5" x14ac:dyDescent="0.2">
      <c r="A12" s="12" t="s">
        <v>63</v>
      </c>
      <c r="B12" s="71" t="s">
        <v>64</v>
      </c>
      <c r="C12" s="14" t="s">
        <v>57</v>
      </c>
    </row>
    <row r="13" spans="1:9" ht="14.65" customHeight="1" x14ac:dyDescent="0.2">
      <c r="A13" s="10" t="s">
        <v>65</v>
      </c>
      <c r="B13" s="13" t="s">
        <v>66</v>
      </c>
      <c r="C13" s="14" t="s">
        <v>57</v>
      </c>
    </row>
    <row r="14" spans="1:9" ht="33.6" customHeight="1" x14ac:dyDescent="0.2">
      <c r="A14" s="10" t="s">
        <v>67</v>
      </c>
      <c r="B14" s="553" t="s">
        <v>68</v>
      </c>
      <c r="C14" s="14" t="s">
        <v>57</v>
      </c>
    </row>
    <row r="15" spans="1:9" ht="16.149999999999999" customHeight="1" x14ac:dyDescent="0.2">
      <c r="A15" s="10" t="s">
        <v>69</v>
      </c>
      <c r="B15" s="326" t="s">
        <v>70</v>
      </c>
      <c r="C15" s="14" t="s">
        <v>57</v>
      </c>
    </row>
    <row r="16" spans="1:9" x14ac:dyDescent="0.2">
      <c r="A16" s="10" t="s">
        <v>71</v>
      </c>
      <c r="B16" s="553" t="s">
        <v>72</v>
      </c>
      <c r="C16" s="14" t="s">
        <v>57</v>
      </c>
    </row>
    <row r="19" spans="1:2" ht="14.65" customHeight="1" x14ac:dyDescent="0.2">
      <c r="A19" s="134" t="s">
        <v>73</v>
      </c>
      <c r="B19" s="135">
        <v>56720</v>
      </c>
    </row>
    <row r="20" spans="1:2" ht="14.65" customHeight="1" x14ac:dyDescent="0.2">
      <c r="A20" s="134" t="s">
        <v>74</v>
      </c>
      <c r="B20" s="135">
        <v>63203</v>
      </c>
    </row>
    <row r="21" spans="1:2" x14ac:dyDescent="0.2">
      <c r="A21" s="134" t="s">
        <v>75</v>
      </c>
      <c r="B21" s="135">
        <v>40254</v>
      </c>
    </row>
    <row r="22" spans="1:2" ht="14.65" customHeight="1" x14ac:dyDescent="0.2">
      <c r="A22" s="134" t="s">
        <v>76</v>
      </c>
      <c r="B22" s="135">
        <v>6482</v>
      </c>
    </row>
    <row r="23" spans="1:2" ht="14.65" customHeight="1" x14ac:dyDescent="0.2"/>
    <row r="24" spans="1:2" ht="14.65" customHeight="1" x14ac:dyDescent="0.2"/>
    <row r="27" spans="1:2" ht="14.65" customHeight="1" x14ac:dyDescent="0.2"/>
    <row r="28" spans="1:2" ht="14.65" customHeight="1" x14ac:dyDescent="0.2"/>
  </sheetData>
  <mergeCells count="2">
    <mergeCell ref="A1:C1"/>
    <mergeCell ref="A2:C2"/>
  </mergeCells>
  <hyperlinks>
    <hyperlink ref="D6" r:id="rId1" display="https://2050partners.sharepoint.com/:w:/r/sites/CalBEMCollaborativeEfforts/Shared Documents/Working Group 1 - Streamlined Process/D - Complexity of Compliance/Prototype Unification/Project Development/Phase 2 (Collect Inputs) Development/NonRes-Vintage bins-Draft Report-30Nov2023-Final.docx?d=w8560be34ea9744e086bccf7767b0a3cf&amp;csf=1&amp;web=1&amp;e=tpxacv" xr:uid="{9B264631-F0F0-4192-B5C5-F574CB46B1DA}"/>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Z73"/>
  <sheetViews>
    <sheetView zoomScaleNormal="100" workbookViewId="0">
      <pane xSplit="2" ySplit="2" topLeftCell="C3" activePane="bottomRight" state="frozen"/>
      <selection pane="topRight" activeCell="C1" sqref="C1"/>
      <selection pane="bottomLeft" activeCell="A3" sqref="A3"/>
      <selection pane="bottomRight" sqref="A1:M1"/>
    </sheetView>
  </sheetViews>
  <sheetFormatPr defaultColWidth="8.7109375" defaultRowHeight="12.75" customHeight="1" x14ac:dyDescent="0.2"/>
  <cols>
    <col min="1" max="1" width="51.7109375" style="3" customWidth="1"/>
    <col min="2" max="2" width="32.28515625" style="3" customWidth="1"/>
    <col min="3" max="4" width="23.5703125" style="3" customWidth="1"/>
    <col min="5" max="5" width="19" style="248" customWidth="1"/>
    <col min="6" max="6" width="14.7109375" style="3" customWidth="1"/>
    <col min="7" max="7" width="12.7109375" style="3" customWidth="1"/>
    <col min="8" max="8" width="12" style="3" bestFit="1" customWidth="1"/>
    <col min="9" max="9" width="11.28515625" style="3" customWidth="1"/>
    <col min="10" max="10" width="13.7109375" style="3" bestFit="1" customWidth="1"/>
    <col min="11" max="11" width="11.28515625" style="3" customWidth="1"/>
    <col min="12" max="12" width="25.85546875" style="3" customWidth="1"/>
    <col min="13" max="13" width="47.7109375" style="3" customWidth="1"/>
    <col min="14" max="14" width="13.28515625" style="3" customWidth="1"/>
    <col min="15" max="15" width="12.7109375" style="3" customWidth="1"/>
    <col min="16" max="16" width="25.28515625" style="3" customWidth="1"/>
    <col min="17" max="17" width="22.28515625" style="3" bestFit="1" customWidth="1"/>
    <col min="18" max="18" width="18.28515625" style="3" customWidth="1"/>
    <col min="19" max="19" width="25.7109375" style="3" customWidth="1"/>
    <col min="20" max="20" width="22.7109375" style="3" customWidth="1"/>
    <col min="21" max="21" width="16.28515625" style="3" customWidth="1"/>
    <col min="22" max="22" width="6.7109375" style="3" bestFit="1" customWidth="1"/>
    <col min="23" max="27" width="17.28515625" style="3" customWidth="1"/>
    <col min="28" max="16384" width="8.7109375" style="3"/>
  </cols>
  <sheetData>
    <row r="1" spans="1:26" ht="25.9" customHeight="1" thickBot="1" x14ac:dyDescent="0.25">
      <c r="A1" s="593" t="str">
        <f>"Proposed Layout - "&amp;Prototype!A2</f>
        <v>Proposed Layout - Hospital</v>
      </c>
      <c r="B1" s="594"/>
      <c r="C1" s="594"/>
      <c r="D1" s="594"/>
      <c r="E1" s="594"/>
      <c r="F1" s="594"/>
      <c r="G1" s="594"/>
      <c r="H1" s="594"/>
      <c r="I1" s="594"/>
      <c r="J1" s="594"/>
      <c r="K1" s="594"/>
      <c r="L1" s="594"/>
      <c r="M1" s="594"/>
    </row>
    <row r="2" spans="1:26" ht="38.25" x14ac:dyDescent="0.2">
      <c r="A2" s="17" t="s">
        <v>77</v>
      </c>
      <c r="B2" s="285" t="s">
        <v>78</v>
      </c>
      <c r="C2" s="558" t="s">
        <v>79</v>
      </c>
      <c r="D2" s="33" t="s">
        <v>80</v>
      </c>
      <c r="E2" s="154" t="s">
        <v>81</v>
      </c>
      <c r="F2" s="33" t="s">
        <v>82</v>
      </c>
      <c r="G2" s="33" t="s">
        <v>83</v>
      </c>
      <c r="H2" s="154" t="s">
        <v>84</v>
      </c>
      <c r="I2" s="32" t="s">
        <v>85</v>
      </c>
      <c r="J2" s="558" t="s">
        <v>86</v>
      </c>
      <c r="K2" s="32" t="s">
        <v>87</v>
      </c>
      <c r="L2" s="32" t="s">
        <v>88</v>
      </c>
      <c r="M2" s="156" t="s">
        <v>89</v>
      </c>
      <c r="O2" s="595"/>
      <c r="P2" s="596"/>
      <c r="Q2" s="596"/>
      <c r="R2" s="596"/>
      <c r="S2" s="596"/>
      <c r="T2" s="596"/>
      <c r="U2" s="596"/>
      <c r="V2" s="596"/>
      <c r="W2" s="596"/>
      <c r="X2" s="596"/>
      <c r="Y2" s="596"/>
      <c r="Z2" s="597"/>
    </row>
    <row r="3" spans="1:26" ht="17.649999999999999" customHeight="1" x14ac:dyDescent="0.2">
      <c r="A3" s="72" t="s">
        <v>90</v>
      </c>
      <c r="B3" s="111" t="s">
        <v>91</v>
      </c>
      <c r="C3" s="69" t="s">
        <v>92</v>
      </c>
      <c r="D3" s="69" t="s">
        <v>93</v>
      </c>
      <c r="E3" s="280" t="s">
        <v>94</v>
      </c>
      <c r="F3" s="21">
        <f>J3/$J$58</f>
        <v>0.166666100816315</v>
      </c>
      <c r="G3" s="73">
        <v>40253.93</v>
      </c>
      <c r="H3" s="18">
        <v>322126.45</v>
      </c>
      <c r="I3" s="18">
        <v>1</v>
      </c>
      <c r="J3" s="18">
        <f>I3*G3</f>
        <v>40253.93</v>
      </c>
      <c r="K3" s="155">
        <f>L3*G3/1000</f>
        <v>201.26964999999998</v>
      </c>
      <c r="L3" s="157">
        <v>5</v>
      </c>
      <c r="M3" s="158"/>
      <c r="O3" s="598"/>
      <c r="P3" s="599"/>
      <c r="Q3" s="599"/>
      <c r="R3" s="599"/>
      <c r="S3" s="599"/>
      <c r="T3" s="599"/>
      <c r="U3" s="599"/>
      <c r="V3" s="599"/>
      <c r="W3" s="599"/>
      <c r="X3" s="599"/>
      <c r="Y3" s="599"/>
      <c r="Z3" s="600"/>
    </row>
    <row r="4" spans="1:26" ht="17.649999999999999" customHeight="1" x14ac:dyDescent="0.2">
      <c r="A4" s="72" t="s">
        <v>95</v>
      </c>
      <c r="B4" s="111" t="s">
        <v>96</v>
      </c>
      <c r="C4" s="69" t="s">
        <v>92</v>
      </c>
      <c r="D4" s="69" t="s">
        <v>97</v>
      </c>
      <c r="E4" s="280" t="s">
        <v>94</v>
      </c>
      <c r="F4" s="21">
        <f t="shared" ref="F4:F57" si="0">J4/$J$58</f>
        <v>2.5362240833638337E-2</v>
      </c>
      <c r="G4" s="73">
        <v>6125.6</v>
      </c>
      <c r="H4" s="18">
        <v>85784.61</v>
      </c>
      <c r="I4" s="18">
        <v>1</v>
      </c>
      <c r="J4" s="18">
        <f t="shared" ref="J4:J57" si="1">I4*G4</f>
        <v>6125.6</v>
      </c>
      <c r="K4" s="155">
        <f t="shared" ref="K4:K57" si="2">L4*G4/1000</f>
        <v>30.628</v>
      </c>
      <c r="L4" s="157">
        <v>5</v>
      </c>
      <c r="M4" s="158"/>
      <c r="O4" s="598"/>
      <c r="P4" s="599"/>
      <c r="Q4" s="599"/>
      <c r="R4" s="599"/>
      <c r="S4" s="599"/>
      <c r="T4" s="599"/>
      <c r="U4" s="599"/>
      <c r="V4" s="599"/>
      <c r="W4" s="599"/>
      <c r="X4" s="599"/>
      <c r="Y4" s="599"/>
      <c r="Z4" s="600"/>
    </row>
    <row r="5" spans="1:26" ht="17.649999999999999" customHeight="1" x14ac:dyDescent="0.2">
      <c r="A5" s="72" t="s">
        <v>95</v>
      </c>
      <c r="B5" s="111" t="s">
        <v>98</v>
      </c>
      <c r="C5" s="69" t="s">
        <v>92</v>
      </c>
      <c r="D5" s="69" t="s">
        <v>97</v>
      </c>
      <c r="E5" s="280" t="s">
        <v>94</v>
      </c>
      <c r="F5" s="21">
        <f t="shared" si="0"/>
        <v>2.5362240833638337E-2</v>
      </c>
      <c r="G5" s="73">
        <v>6125.6</v>
      </c>
      <c r="H5" s="18">
        <v>85784.61</v>
      </c>
      <c r="I5" s="18">
        <v>1</v>
      </c>
      <c r="J5" s="18">
        <f t="shared" si="1"/>
        <v>6125.6</v>
      </c>
      <c r="K5" s="155">
        <f t="shared" si="2"/>
        <v>30.628</v>
      </c>
      <c r="L5" s="157">
        <v>5</v>
      </c>
      <c r="M5" s="158"/>
      <c r="O5" s="598"/>
      <c r="P5" s="599"/>
      <c r="Q5" s="599"/>
      <c r="R5" s="599"/>
      <c r="S5" s="599"/>
      <c r="T5" s="599"/>
      <c r="U5" s="599"/>
      <c r="V5" s="599"/>
      <c r="W5" s="599"/>
      <c r="X5" s="599"/>
      <c r="Y5" s="599"/>
      <c r="Z5" s="600"/>
    </row>
    <row r="6" spans="1:26" ht="17.649999999999999" customHeight="1" x14ac:dyDescent="0.2">
      <c r="A6" s="72" t="s">
        <v>95</v>
      </c>
      <c r="B6" s="111" t="s">
        <v>99</v>
      </c>
      <c r="C6" s="69" t="s">
        <v>100</v>
      </c>
      <c r="D6" s="69" t="s">
        <v>97</v>
      </c>
      <c r="E6" s="280" t="s">
        <v>94</v>
      </c>
      <c r="F6" s="21">
        <f t="shared" si="0"/>
        <v>2.2360183898604027E-2</v>
      </c>
      <c r="G6" s="73">
        <v>5400.53</v>
      </c>
      <c r="H6" s="18">
        <v>75630.509999999995</v>
      </c>
      <c r="I6" s="18">
        <v>1</v>
      </c>
      <c r="J6" s="18">
        <f t="shared" si="1"/>
        <v>5400.53</v>
      </c>
      <c r="K6" s="155">
        <f t="shared" si="2"/>
        <v>27.002649999999999</v>
      </c>
      <c r="L6" s="157">
        <v>5</v>
      </c>
      <c r="M6" s="158"/>
      <c r="O6" s="598"/>
      <c r="P6" s="599"/>
      <c r="Q6" s="599"/>
      <c r="R6" s="599"/>
      <c r="S6" s="599"/>
      <c r="T6" s="599"/>
      <c r="U6" s="599"/>
      <c r="V6" s="599"/>
      <c r="W6" s="599"/>
      <c r="X6" s="599"/>
      <c r="Y6" s="599"/>
      <c r="Z6" s="600"/>
    </row>
    <row r="7" spans="1:26" ht="17.649999999999999" customHeight="1" x14ac:dyDescent="0.2">
      <c r="A7" s="72" t="s">
        <v>95</v>
      </c>
      <c r="B7" s="111" t="s">
        <v>101</v>
      </c>
      <c r="C7" s="69" t="s">
        <v>100</v>
      </c>
      <c r="D7" s="69" t="s">
        <v>97</v>
      </c>
      <c r="E7" s="280" t="s">
        <v>94</v>
      </c>
      <c r="F7" s="21">
        <f t="shared" si="0"/>
        <v>2.5258731622974734E-2</v>
      </c>
      <c r="G7" s="73">
        <v>6100.6</v>
      </c>
      <c r="H7" s="18">
        <v>85434.47</v>
      </c>
      <c r="I7" s="18">
        <v>1</v>
      </c>
      <c r="J7" s="18">
        <f t="shared" si="1"/>
        <v>6100.6</v>
      </c>
      <c r="K7" s="155">
        <f t="shared" si="2"/>
        <v>30.503</v>
      </c>
      <c r="L7" s="157">
        <v>5</v>
      </c>
      <c r="M7" s="158"/>
      <c r="O7" s="598"/>
      <c r="P7" s="599"/>
      <c r="Q7" s="599"/>
      <c r="R7" s="599"/>
      <c r="S7" s="599"/>
      <c r="T7" s="599"/>
      <c r="U7" s="599"/>
      <c r="V7" s="599"/>
      <c r="W7" s="599"/>
      <c r="X7" s="599"/>
      <c r="Y7" s="599"/>
      <c r="Z7" s="600"/>
    </row>
    <row r="8" spans="1:26" ht="17.649999999999999" customHeight="1" x14ac:dyDescent="0.2">
      <c r="A8" s="72" t="s">
        <v>95</v>
      </c>
      <c r="B8" s="111" t="s">
        <v>102</v>
      </c>
      <c r="C8" s="69" t="s">
        <v>100</v>
      </c>
      <c r="D8" s="69" t="s">
        <v>97</v>
      </c>
      <c r="E8" s="280" t="s">
        <v>94</v>
      </c>
      <c r="F8" s="21">
        <f t="shared" si="0"/>
        <v>2.5258731622974734E-2</v>
      </c>
      <c r="G8" s="73">
        <v>6100.6</v>
      </c>
      <c r="H8" s="18">
        <v>85434.47</v>
      </c>
      <c r="I8" s="18">
        <v>1</v>
      </c>
      <c r="J8" s="18">
        <f t="shared" si="1"/>
        <v>6100.6</v>
      </c>
      <c r="K8" s="155">
        <f t="shared" si="2"/>
        <v>30.503</v>
      </c>
      <c r="L8" s="157">
        <v>5</v>
      </c>
      <c r="M8" s="158"/>
      <c r="O8" s="598"/>
      <c r="P8" s="599"/>
      <c r="Q8" s="599"/>
      <c r="R8" s="599"/>
      <c r="S8" s="599"/>
      <c r="T8" s="599"/>
      <c r="U8" s="599"/>
      <c r="V8" s="599"/>
      <c r="W8" s="599"/>
      <c r="X8" s="599"/>
      <c r="Y8" s="599"/>
      <c r="Z8" s="600"/>
    </row>
    <row r="9" spans="1:26" ht="17.649999999999999" customHeight="1" x14ac:dyDescent="0.2">
      <c r="A9" s="72" t="s">
        <v>95</v>
      </c>
      <c r="B9" s="111" t="s">
        <v>103</v>
      </c>
      <c r="C9" s="69" t="s">
        <v>100</v>
      </c>
      <c r="D9" s="69" t="s">
        <v>97</v>
      </c>
      <c r="E9" s="280" t="s">
        <v>94</v>
      </c>
      <c r="F9" s="21">
        <f t="shared" si="0"/>
        <v>2.5258731622974734E-2</v>
      </c>
      <c r="G9" s="73">
        <v>6100.6</v>
      </c>
      <c r="H9" s="18">
        <v>85434.47</v>
      </c>
      <c r="I9" s="18">
        <v>1</v>
      </c>
      <c r="J9" s="18">
        <f t="shared" si="1"/>
        <v>6100.6</v>
      </c>
      <c r="K9" s="155">
        <f t="shared" si="2"/>
        <v>30.503</v>
      </c>
      <c r="L9" s="157">
        <v>5</v>
      </c>
      <c r="M9" s="158"/>
      <c r="O9" s="598"/>
      <c r="P9" s="599"/>
      <c r="Q9" s="599"/>
      <c r="R9" s="599"/>
      <c r="S9" s="599"/>
      <c r="T9" s="599"/>
      <c r="U9" s="599"/>
      <c r="V9" s="599"/>
      <c r="W9" s="599"/>
      <c r="X9" s="599"/>
      <c r="Y9" s="599"/>
      <c r="Z9" s="600"/>
    </row>
    <row r="10" spans="1:26" ht="17.649999999999999" customHeight="1" x14ac:dyDescent="0.2">
      <c r="A10" s="72" t="s">
        <v>95</v>
      </c>
      <c r="B10" s="111" t="s">
        <v>104</v>
      </c>
      <c r="C10" s="69" t="s">
        <v>100</v>
      </c>
      <c r="D10" s="69" t="s">
        <v>97</v>
      </c>
      <c r="E10" s="280" t="s">
        <v>94</v>
      </c>
      <c r="F10" s="21">
        <f t="shared" si="0"/>
        <v>2.5258731622974734E-2</v>
      </c>
      <c r="G10" s="73">
        <v>6100.6</v>
      </c>
      <c r="H10" s="18">
        <v>85434.47</v>
      </c>
      <c r="I10" s="18">
        <v>1</v>
      </c>
      <c r="J10" s="18">
        <f t="shared" si="1"/>
        <v>6100.6</v>
      </c>
      <c r="K10" s="155">
        <f t="shared" si="2"/>
        <v>30.503</v>
      </c>
      <c r="L10" s="157">
        <v>5</v>
      </c>
      <c r="M10" s="158"/>
      <c r="O10" s="598"/>
      <c r="P10" s="599"/>
      <c r="Q10" s="599"/>
      <c r="R10" s="599"/>
      <c r="S10" s="599"/>
      <c r="T10" s="599"/>
      <c r="U10" s="599"/>
      <c r="V10" s="599"/>
      <c r="W10" s="599"/>
      <c r="X10" s="599"/>
      <c r="Y10" s="599"/>
      <c r="Z10" s="600"/>
    </row>
    <row r="11" spans="1:26" ht="17.649999999999999" customHeight="1" x14ac:dyDescent="0.2">
      <c r="A11" s="72" t="s">
        <v>105</v>
      </c>
      <c r="B11" s="111" t="s">
        <v>106</v>
      </c>
      <c r="C11" s="69" t="s">
        <v>100</v>
      </c>
      <c r="D11" s="69" t="s">
        <v>107</v>
      </c>
      <c r="E11" s="280" t="s">
        <v>94</v>
      </c>
      <c r="F11" s="21">
        <f t="shared" si="0"/>
        <v>3.1055785668031875E-2</v>
      </c>
      <c r="G11" s="73">
        <v>7500.73</v>
      </c>
      <c r="H11" s="18">
        <v>105042.38</v>
      </c>
      <c r="I11" s="18">
        <v>1</v>
      </c>
      <c r="J11" s="18">
        <f t="shared" si="1"/>
        <v>7500.73</v>
      </c>
      <c r="K11" s="155">
        <f t="shared" si="2"/>
        <v>247.52409</v>
      </c>
      <c r="L11" s="157">
        <v>33</v>
      </c>
      <c r="M11" s="159"/>
      <c r="O11" s="598"/>
      <c r="P11" s="599"/>
      <c r="Q11" s="599"/>
      <c r="R11" s="599"/>
      <c r="S11" s="599"/>
      <c r="T11" s="599"/>
      <c r="U11" s="599"/>
      <c r="V11" s="599"/>
      <c r="W11" s="599"/>
      <c r="X11" s="599"/>
      <c r="Y11" s="599"/>
      <c r="Z11" s="600"/>
    </row>
    <row r="12" spans="1:26" ht="17.649999999999999" customHeight="1" x14ac:dyDescent="0.2">
      <c r="A12" s="72" t="s">
        <v>108</v>
      </c>
      <c r="B12" s="458" t="s">
        <v>109</v>
      </c>
      <c r="C12" s="69" t="s">
        <v>110</v>
      </c>
      <c r="D12" s="475" t="s">
        <v>111</v>
      </c>
      <c r="E12" s="280" t="s">
        <v>94</v>
      </c>
      <c r="F12" s="21">
        <f t="shared" si="0"/>
        <v>4.9689389560640647E-3</v>
      </c>
      <c r="G12" s="73">
        <v>300.02999999999997</v>
      </c>
      <c r="H12" s="18">
        <v>4201.7</v>
      </c>
      <c r="I12" s="18">
        <v>4</v>
      </c>
      <c r="J12" s="18">
        <f>I12*G12</f>
        <v>1200.1199999999999</v>
      </c>
      <c r="K12" s="155">
        <f t="shared" si="2"/>
        <v>1.5001499999999999</v>
      </c>
      <c r="L12" s="157">
        <v>5</v>
      </c>
      <c r="M12" s="159" t="s">
        <v>112</v>
      </c>
      <c r="O12" s="598"/>
      <c r="P12" s="599"/>
      <c r="Q12" s="599"/>
      <c r="R12" s="599"/>
      <c r="S12" s="599"/>
      <c r="T12" s="599"/>
      <c r="U12" s="599"/>
      <c r="V12" s="599"/>
      <c r="W12" s="599"/>
      <c r="X12" s="599"/>
      <c r="Y12" s="599"/>
      <c r="Z12" s="600"/>
    </row>
    <row r="13" spans="1:26" ht="17.649999999999999" customHeight="1" x14ac:dyDescent="0.2">
      <c r="A13" s="72" t="s">
        <v>108</v>
      </c>
      <c r="B13" s="458" t="s">
        <v>113</v>
      </c>
      <c r="C13" s="69" t="s">
        <v>110</v>
      </c>
      <c r="D13" s="475" t="s">
        <v>111</v>
      </c>
      <c r="E13" s="280" t="s">
        <v>94</v>
      </c>
      <c r="F13" s="21">
        <f t="shared" si="0"/>
        <v>4.9689389560640647E-3</v>
      </c>
      <c r="G13" s="73">
        <v>300.02999999999997</v>
      </c>
      <c r="H13" s="18">
        <v>4201.7</v>
      </c>
      <c r="I13" s="18">
        <v>4</v>
      </c>
      <c r="J13" s="18">
        <f t="shared" si="1"/>
        <v>1200.1199999999999</v>
      </c>
      <c r="K13" s="155">
        <f t="shared" si="2"/>
        <v>1.5001499999999999</v>
      </c>
      <c r="L13" s="157">
        <v>5</v>
      </c>
      <c r="M13" s="159"/>
      <c r="O13" s="598"/>
      <c r="P13" s="599"/>
      <c r="Q13" s="599"/>
      <c r="R13" s="599"/>
      <c r="S13" s="599"/>
      <c r="T13" s="599"/>
      <c r="U13" s="599"/>
      <c r="V13" s="599"/>
      <c r="W13" s="599"/>
      <c r="X13" s="599"/>
      <c r="Y13" s="599"/>
      <c r="Z13" s="600"/>
    </row>
    <row r="14" spans="1:26" ht="17.649999999999999" customHeight="1" x14ac:dyDescent="0.2">
      <c r="A14" s="72" t="s">
        <v>114</v>
      </c>
      <c r="B14" s="111" t="s">
        <v>115</v>
      </c>
      <c r="C14" s="69" t="s">
        <v>92</v>
      </c>
      <c r="D14" s="69" t="s">
        <v>111</v>
      </c>
      <c r="E14" s="280" t="s">
        <v>94</v>
      </c>
      <c r="F14" s="21">
        <f t="shared" si="0"/>
        <v>5.5072282551990592E-2</v>
      </c>
      <c r="G14" s="73">
        <v>13301.3</v>
      </c>
      <c r="H14" s="18">
        <v>186275.15</v>
      </c>
      <c r="I14" s="18">
        <v>1</v>
      </c>
      <c r="J14" s="18">
        <f t="shared" si="1"/>
        <v>13301.3</v>
      </c>
      <c r="K14" s="155">
        <f t="shared" si="2"/>
        <v>66.506500000000003</v>
      </c>
      <c r="L14" s="157">
        <v>5</v>
      </c>
      <c r="M14" s="159"/>
      <c r="O14" s="598"/>
      <c r="P14" s="599"/>
      <c r="Q14" s="599"/>
      <c r="R14" s="599"/>
      <c r="S14" s="599"/>
      <c r="T14" s="599"/>
      <c r="U14" s="599"/>
      <c r="V14" s="599"/>
      <c r="W14" s="599"/>
      <c r="X14" s="599"/>
      <c r="Y14" s="599"/>
      <c r="Z14" s="600"/>
    </row>
    <row r="15" spans="1:26" ht="17.649999999999999" customHeight="1" x14ac:dyDescent="0.2">
      <c r="A15" s="72" t="s">
        <v>108</v>
      </c>
      <c r="B15" s="458" t="s">
        <v>116</v>
      </c>
      <c r="C15" s="69" t="s">
        <v>110</v>
      </c>
      <c r="D15" s="475" t="s">
        <v>111</v>
      </c>
      <c r="E15" s="280" t="s">
        <v>94</v>
      </c>
      <c r="F15" s="21">
        <f t="shared" si="0"/>
        <v>1.2422347390160162E-3</v>
      </c>
      <c r="G15" s="73">
        <v>300.02999999999997</v>
      </c>
      <c r="H15" s="18">
        <v>4201.7</v>
      </c>
      <c r="I15" s="18">
        <v>1</v>
      </c>
      <c r="J15" s="18">
        <f t="shared" si="1"/>
        <v>300.02999999999997</v>
      </c>
      <c r="K15" s="155">
        <f t="shared" si="2"/>
        <v>1.5001499999999999</v>
      </c>
      <c r="L15" s="157">
        <v>5</v>
      </c>
      <c r="M15" s="159"/>
      <c r="O15" s="598"/>
      <c r="P15" s="599"/>
      <c r="Q15" s="599"/>
      <c r="R15" s="599"/>
      <c r="S15" s="599"/>
      <c r="T15" s="599"/>
      <c r="U15" s="599"/>
      <c r="V15" s="599"/>
      <c r="W15" s="599"/>
      <c r="X15" s="599"/>
      <c r="Y15" s="599"/>
      <c r="Z15" s="600"/>
    </row>
    <row r="16" spans="1:26" ht="17.649999999999999" customHeight="1" x14ac:dyDescent="0.2">
      <c r="A16" s="72" t="s">
        <v>108</v>
      </c>
      <c r="B16" s="458" t="s">
        <v>117</v>
      </c>
      <c r="C16" s="69" t="s">
        <v>110</v>
      </c>
      <c r="D16" s="475" t="s">
        <v>111</v>
      </c>
      <c r="E16" s="280" t="s">
        <v>94</v>
      </c>
      <c r="F16" s="21">
        <f t="shared" si="0"/>
        <v>1.2422347390160162E-3</v>
      </c>
      <c r="G16" s="73">
        <v>300.02999999999997</v>
      </c>
      <c r="H16" s="18">
        <v>4201.7</v>
      </c>
      <c r="I16" s="18">
        <v>1</v>
      </c>
      <c r="J16" s="18">
        <f t="shared" si="1"/>
        <v>300.02999999999997</v>
      </c>
      <c r="K16" s="155">
        <f t="shared" si="2"/>
        <v>1.5001499999999999</v>
      </c>
      <c r="L16" s="157">
        <v>5</v>
      </c>
      <c r="M16" s="159"/>
      <c r="O16" s="598"/>
      <c r="P16" s="599"/>
      <c r="Q16" s="599"/>
      <c r="R16" s="599"/>
      <c r="S16" s="599"/>
      <c r="T16" s="599"/>
      <c r="U16" s="599"/>
      <c r="V16" s="599"/>
      <c r="W16" s="599"/>
      <c r="X16" s="599"/>
      <c r="Y16" s="599"/>
      <c r="Z16" s="600"/>
    </row>
    <row r="17" spans="1:26" ht="17.649999999999999" customHeight="1" x14ac:dyDescent="0.2">
      <c r="A17" s="72" t="s">
        <v>108</v>
      </c>
      <c r="B17" s="458" t="s">
        <v>118</v>
      </c>
      <c r="C17" s="69" t="s">
        <v>110</v>
      </c>
      <c r="D17" s="475" t="s">
        <v>111</v>
      </c>
      <c r="E17" s="280" t="s">
        <v>94</v>
      </c>
      <c r="F17" s="21">
        <f t="shared" si="0"/>
        <v>4.9689389560640647E-3</v>
      </c>
      <c r="G17" s="73">
        <v>300.02999999999997</v>
      </c>
      <c r="H17" s="18">
        <v>4201.7</v>
      </c>
      <c r="I17" s="18">
        <v>4</v>
      </c>
      <c r="J17" s="18">
        <f t="shared" si="1"/>
        <v>1200.1199999999999</v>
      </c>
      <c r="K17" s="155">
        <f t="shared" si="2"/>
        <v>1.5001499999999999</v>
      </c>
      <c r="L17" s="157">
        <v>5</v>
      </c>
      <c r="M17" s="159"/>
      <c r="O17" s="598"/>
      <c r="P17" s="599"/>
      <c r="Q17" s="599"/>
      <c r="R17" s="599"/>
      <c r="S17" s="599"/>
      <c r="T17" s="599"/>
      <c r="U17" s="599"/>
      <c r="V17" s="599"/>
      <c r="W17" s="599"/>
      <c r="X17" s="599"/>
      <c r="Y17" s="599"/>
      <c r="Z17" s="600"/>
    </row>
    <row r="18" spans="1:26" ht="38.25" x14ac:dyDescent="0.2">
      <c r="A18" s="276" t="s">
        <v>119</v>
      </c>
      <c r="B18" s="277" t="s">
        <v>120</v>
      </c>
      <c r="C18" s="110" t="s">
        <v>121</v>
      </c>
      <c r="D18" s="110" t="s">
        <v>111</v>
      </c>
      <c r="E18" s="74" t="s">
        <v>94</v>
      </c>
      <c r="F18" s="278">
        <f t="shared" si="0"/>
        <v>2.7543221306004687E-2</v>
      </c>
      <c r="G18" s="279">
        <v>6652.36</v>
      </c>
      <c r="H18" s="18">
        <v>93161.52</v>
      </c>
      <c r="I18" s="18">
        <v>1</v>
      </c>
      <c r="J18" s="18">
        <f t="shared" si="1"/>
        <v>6652.36</v>
      </c>
      <c r="K18" s="155">
        <f t="shared" si="2"/>
        <v>33.261799999999994</v>
      </c>
      <c r="L18" s="157">
        <v>5</v>
      </c>
      <c r="M18" s="275" t="s">
        <v>122</v>
      </c>
      <c r="O18" s="598"/>
      <c r="P18" s="599"/>
      <c r="Q18" s="599"/>
      <c r="R18" s="599"/>
      <c r="S18" s="599"/>
      <c r="T18" s="599"/>
      <c r="U18" s="599"/>
      <c r="V18" s="599"/>
      <c r="W18" s="599"/>
      <c r="X18" s="599"/>
      <c r="Y18" s="599"/>
      <c r="Z18" s="600"/>
    </row>
    <row r="19" spans="1:26" ht="17.649999999999999" customHeight="1" x14ac:dyDescent="0.2">
      <c r="A19" s="72" t="s">
        <v>114</v>
      </c>
      <c r="B19" s="111" t="s">
        <v>123</v>
      </c>
      <c r="C19" s="69" t="s">
        <v>92</v>
      </c>
      <c r="D19" s="69" t="s">
        <v>111</v>
      </c>
      <c r="E19" s="280" t="s">
        <v>94</v>
      </c>
      <c r="F19" s="21">
        <f t="shared" si="0"/>
        <v>2.9807588798481638E-2</v>
      </c>
      <c r="G19" s="73">
        <v>7199.26</v>
      </c>
      <c r="H19" s="18">
        <v>100820.51</v>
      </c>
      <c r="I19" s="18">
        <v>1</v>
      </c>
      <c r="J19" s="18">
        <f t="shared" si="1"/>
        <v>7199.26</v>
      </c>
      <c r="K19" s="155">
        <f t="shared" si="2"/>
        <v>35.996300000000005</v>
      </c>
      <c r="L19" s="157">
        <v>5</v>
      </c>
      <c r="M19" s="159"/>
      <c r="O19" s="598"/>
      <c r="P19" s="599"/>
      <c r="Q19" s="599"/>
      <c r="R19" s="599"/>
      <c r="S19" s="599"/>
      <c r="T19" s="599"/>
      <c r="U19" s="599"/>
      <c r="V19" s="599"/>
      <c r="W19" s="599"/>
      <c r="X19" s="599"/>
      <c r="Y19" s="599"/>
      <c r="Z19" s="600"/>
    </row>
    <row r="20" spans="1:26" ht="17.649999999999999" customHeight="1" x14ac:dyDescent="0.2">
      <c r="A20" s="72" t="s">
        <v>119</v>
      </c>
      <c r="B20" s="111" t="s">
        <v>124</v>
      </c>
      <c r="C20" s="69" t="s">
        <v>121</v>
      </c>
      <c r="D20" s="69" t="s">
        <v>111</v>
      </c>
      <c r="E20" s="280" t="s">
        <v>94</v>
      </c>
      <c r="F20" s="21">
        <f t="shared" si="0"/>
        <v>4.65832851670473E-3</v>
      </c>
      <c r="G20" s="73">
        <v>225.02</v>
      </c>
      <c r="H20" s="18">
        <v>3151.27</v>
      </c>
      <c r="I20" s="18">
        <v>5</v>
      </c>
      <c r="J20" s="18">
        <f t="shared" si="1"/>
        <v>1125.1000000000001</v>
      </c>
      <c r="K20" s="155">
        <f t="shared" si="2"/>
        <v>1.1251000000000002</v>
      </c>
      <c r="L20" s="157">
        <v>5</v>
      </c>
      <c r="M20" s="159"/>
      <c r="O20" s="598"/>
      <c r="P20" s="599"/>
      <c r="Q20" s="599"/>
      <c r="R20" s="599"/>
      <c r="S20" s="599"/>
      <c r="T20" s="599"/>
      <c r="U20" s="599"/>
      <c r="V20" s="599"/>
      <c r="W20" s="599"/>
      <c r="X20" s="599"/>
      <c r="Y20" s="599"/>
      <c r="Z20" s="600"/>
    </row>
    <row r="21" spans="1:26" ht="17.649999999999999" customHeight="1" x14ac:dyDescent="0.2">
      <c r="A21" s="72" t="s">
        <v>119</v>
      </c>
      <c r="B21" s="111" t="s">
        <v>125</v>
      </c>
      <c r="C21" s="69" t="s">
        <v>121</v>
      </c>
      <c r="D21" s="69" t="s">
        <v>111</v>
      </c>
      <c r="E21" s="280" t="s">
        <v>94</v>
      </c>
      <c r="F21" s="21">
        <f t="shared" si="0"/>
        <v>1.2422347390160162E-3</v>
      </c>
      <c r="G21" s="73">
        <v>300.02999999999997</v>
      </c>
      <c r="H21" s="18">
        <v>4201.7</v>
      </c>
      <c r="I21" s="18">
        <v>1</v>
      </c>
      <c r="J21" s="18">
        <f t="shared" si="1"/>
        <v>300.02999999999997</v>
      </c>
      <c r="K21" s="155">
        <f t="shared" si="2"/>
        <v>1.5001499999999999</v>
      </c>
      <c r="L21" s="157">
        <v>5</v>
      </c>
      <c r="M21" s="159"/>
      <c r="O21" s="598"/>
      <c r="P21" s="599"/>
      <c r="Q21" s="599"/>
      <c r="R21" s="599"/>
      <c r="S21" s="599"/>
      <c r="T21" s="599"/>
      <c r="U21" s="599"/>
      <c r="V21" s="599"/>
      <c r="W21" s="599"/>
      <c r="X21" s="599"/>
      <c r="Y21" s="599"/>
      <c r="Z21" s="600"/>
    </row>
    <row r="22" spans="1:26" ht="17.649999999999999" customHeight="1" x14ac:dyDescent="0.2">
      <c r="A22" s="72" t="s">
        <v>119</v>
      </c>
      <c r="B22" s="111" t="s">
        <v>126</v>
      </c>
      <c r="C22" s="69" t="s">
        <v>121</v>
      </c>
      <c r="D22" s="69" t="s">
        <v>111</v>
      </c>
      <c r="E22" s="280" t="s">
        <v>94</v>
      </c>
      <c r="F22" s="21">
        <f t="shared" si="0"/>
        <v>5.5899942200456762E-3</v>
      </c>
      <c r="G22" s="73">
        <v>225.02</v>
      </c>
      <c r="H22" s="18">
        <v>3151.27</v>
      </c>
      <c r="I22" s="18">
        <v>6</v>
      </c>
      <c r="J22" s="18">
        <f t="shared" si="1"/>
        <v>1350.1200000000001</v>
      </c>
      <c r="K22" s="155">
        <f t="shared" si="2"/>
        <v>1.1251000000000002</v>
      </c>
      <c r="L22" s="157">
        <v>5</v>
      </c>
      <c r="M22" s="159"/>
      <c r="O22" s="598"/>
      <c r="P22" s="599"/>
      <c r="Q22" s="599"/>
      <c r="R22" s="599"/>
      <c r="S22" s="599"/>
      <c r="T22" s="599"/>
      <c r="U22" s="599"/>
      <c r="V22" s="599"/>
      <c r="W22" s="599"/>
      <c r="X22" s="599"/>
      <c r="Y22" s="599"/>
      <c r="Z22" s="600"/>
    </row>
    <row r="23" spans="1:26" ht="17.649999999999999" customHeight="1" x14ac:dyDescent="0.2">
      <c r="A23" s="23" t="s">
        <v>127</v>
      </c>
      <c r="B23" s="111" t="s">
        <v>128</v>
      </c>
      <c r="C23" s="69" t="s">
        <v>129</v>
      </c>
      <c r="D23" s="69" t="s">
        <v>130</v>
      </c>
      <c r="E23" s="280" t="s">
        <v>94</v>
      </c>
      <c r="F23" s="21">
        <f t="shared" si="0"/>
        <v>4.140774182649868E-2</v>
      </c>
      <c r="G23" s="73">
        <v>10000.98</v>
      </c>
      <c r="H23" s="18">
        <v>140056.5</v>
      </c>
      <c r="I23" s="18">
        <v>1</v>
      </c>
      <c r="J23" s="18">
        <f t="shared" si="1"/>
        <v>10000.98</v>
      </c>
      <c r="K23" s="155">
        <f t="shared" si="2"/>
        <v>30.002939999999999</v>
      </c>
      <c r="L23" s="157">
        <v>3</v>
      </c>
      <c r="M23" s="159"/>
      <c r="O23" s="598"/>
      <c r="P23" s="599"/>
      <c r="Q23" s="599"/>
      <c r="R23" s="599"/>
      <c r="S23" s="599"/>
      <c r="T23" s="599"/>
      <c r="U23" s="599"/>
      <c r="V23" s="599"/>
      <c r="W23" s="599"/>
      <c r="X23" s="599"/>
      <c r="Y23" s="599"/>
      <c r="Z23" s="600"/>
    </row>
    <row r="24" spans="1:26" ht="17.649999999999999" customHeight="1" x14ac:dyDescent="0.2">
      <c r="A24" s="72" t="s">
        <v>131</v>
      </c>
      <c r="B24" s="111" t="s">
        <v>132</v>
      </c>
      <c r="C24" s="69" t="s">
        <v>133</v>
      </c>
      <c r="D24" s="69" t="s">
        <v>97</v>
      </c>
      <c r="E24" s="280" t="s">
        <v>94</v>
      </c>
      <c r="F24" s="21">
        <f t="shared" si="0"/>
        <v>1.1801209318810024E-2</v>
      </c>
      <c r="G24" s="73">
        <v>2850.28</v>
      </c>
      <c r="H24" s="18">
        <v>39916.1</v>
      </c>
      <c r="I24" s="18">
        <v>1</v>
      </c>
      <c r="J24" s="18">
        <f t="shared" si="1"/>
        <v>2850.28</v>
      </c>
      <c r="K24" s="155">
        <f t="shared" si="2"/>
        <v>14.251400000000002</v>
      </c>
      <c r="L24" s="157">
        <v>5</v>
      </c>
      <c r="M24" s="159" t="s">
        <v>134</v>
      </c>
      <c r="O24" s="598"/>
      <c r="P24" s="599"/>
      <c r="Q24" s="599"/>
      <c r="R24" s="599"/>
      <c r="S24" s="599"/>
      <c r="T24" s="599"/>
      <c r="U24" s="599"/>
      <c r="V24" s="599"/>
      <c r="W24" s="599"/>
      <c r="X24" s="599"/>
      <c r="Y24" s="599"/>
      <c r="Z24" s="600"/>
    </row>
    <row r="25" spans="1:26" ht="17.649999999999999" customHeight="1" x14ac:dyDescent="0.2">
      <c r="A25" s="72" t="s">
        <v>131</v>
      </c>
      <c r="B25" s="111" t="s">
        <v>135</v>
      </c>
      <c r="C25" s="69" t="s">
        <v>133</v>
      </c>
      <c r="D25" s="69" t="s">
        <v>97</v>
      </c>
      <c r="E25" s="280" t="s">
        <v>94</v>
      </c>
      <c r="F25" s="21">
        <f t="shared" si="0"/>
        <v>1.1801209318810024E-2</v>
      </c>
      <c r="G25" s="73">
        <v>2850.28</v>
      </c>
      <c r="H25" s="18">
        <v>39916.1</v>
      </c>
      <c r="I25" s="18">
        <v>1</v>
      </c>
      <c r="J25" s="18">
        <f t="shared" si="1"/>
        <v>2850.28</v>
      </c>
      <c r="K25" s="155">
        <f t="shared" si="2"/>
        <v>14.251400000000002</v>
      </c>
      <c r="L25" s="157">
        <v>5</v>
      </c>
      <c r="M25" s="159"/>
      <c r="O25" s="598"/>
      <c r="P25" s="599"/>
      <c r="Q25" s="599"/>
      <c r="R25" s="599"/>
      <c r="S25" s="599"/>
      <c r="T25" s="599"/>
      <c r="U25" s="599"/>
      <c r="V25" s="599"/>
      <c r="W25" s="599"/>
      <c r="X25" s="599"/>
      <c r="Y25" s="599"/>
      <c r="Z25" s="600"/>
    </row>
    <row r="26" spans="1:26" ht="17.649999999999999" customHeight="1" x14ac:dyDescent="0.2">
      <c r="A26" s="72" t="s">
        <v>136</v>
      </c>
      <c r="B26" s="111" t="s">
        <v>137</v>
      </c>
      <c r="C26" s="69" t="s">
        <v>92</v>
      </c>
      <c r="D26" s="69" t="s">
        <v>97</v>
      </c>
      <c r="E26" s="280" t="s">
        <v>94</v>
      </c>
      <c r="F26" s="21">
        <f t="shared" si="0"/>
        <v>6.5733648442973039E-2</v>
      </c>
      <c r="G26" s="73">
        <v>15876.28</v>
      </c>
      <c r="H26" s="18">
        <v>222335.92</v>
      </c>
      <c r="I26" s="18">
        <v>1</v>
      </c>
      <c r="J26" s="18">
        <f t="shared" si="1"/>
        <v>15876.28</v>
      </c>
      <c r="K26" s="155">
        <f t="shared" si="2"/>
        <v>523.91723999999999</v>
      </c>
      <c r="L26" s="157">
        <v>33</v>
      </c>
      <c r="M26" s="159"/>
      <c r="O26" s="598"/>
      <c r="P26" s="599"/>
      <c r="Q26" s="599"/>
      <c r="R26" s="599"/>
      <c r="S26" s="599"/>
      <c r="T26" s="599"/>
      <c r="U26" s="599"/>
      <c r="V26" s="599"/>
      <c r="W26" s="599"/>
      <c r="X26" s="599"/>
      <c r="Y26" s="599"/>
      <c r="Z26" s="600"/>
    </row>
    <row r="27" spans="1:26" ht="17.649999999999999" customHeight="1" x14ac:dyDescent="0.2">
      <c r="A27" s="72" t="s">
        <v>114</v>
      </c>
      <c r="B27" s="458" t="s">
        <v>138</v>
      </c>
      <c r="C27" s="69" t="s">
        <v>100</v>
      </c>
      <c r="D27" s="69" t="s">
        <v>111</v>
      </c>
      <c r="E27" s="280" t="s">
        <v>94</v>
      </c>
      <c r="F27" s="21">
        <f t="shared" si="0"/>
        <v>4.0372525508809869E-2</v>
      </c>
      <c r="G27" s="73">
        <v>9750.9500000000007</v>
      </c>
      <c r="H27" s="18">
        <v>136555.09</v>
      </c>
      <c r="I27" s="18">
        <v>1</v>
      </c>
      <c r="J27" s="18">
        <f t="shared" si="1"/>
        <v>9750.9500000000007</v>
      </c>
      <c r="K27" s="155">
        <f t="shared" si="2"/>
        <v>48.754750000000001</v>
      </c>
      <c r="L27" s="157">
        <v>5</v>
      </c>
      <c r="M27" s="159"/>
      <c r="O27" s="598"/>
      <c r="P27" s="599"/>
      <c r="Q27" s="599"/>
      <c r="R27" s="599"/>
      <c r="S27" s="599"/>
      <c r="T27" s="599"/>
      <c r="U27" s="599"/>
      <c r="V27" s="599"/>
      <c r="W27" s="599"/>
      <c r="X27" s="599"/>
      <c r="Y27" s="599"/>
      <c r="Z27" s="600"/>
    </row>
    <row r="28" spans="1:26" ht="17.649999999999999" customHeight="1" x14ac:dyDescent="0.2">
      <c r="A28" s="72" t="s">
        <v>114</v>
      </c>
      <c r="B28" s="458" t="s">
        <v>139</v>
      </c>
      <c r="C28" s="69" t="s">
        <v>100</v>
      </c>
      <c r="D28" s="69" t="s">
        <v>111</v>
      </c>
      <c r="E28" s="280" t="s">
        <v>94</v>
      </c>
      <c r="F28" s="21">
        <f t="shared" si="0"/>
        <v>4.0372525508809869E-2</v>
      </c>
      <c r="G28" s="73">
        <v>9750.9500000000007</v>
      </c>
      <c r="H28" s="18">
        <v>136555.09</v>
      </c>
      <c r="I28" s="18">
        <v>1</v>
      </c>
      <c r="J28" s="18">
        <f>I28*G28</f>
        <v>9750.9500000000007</v>
      </c>
      <c r="K28" s="155">
        <f t="shared" si="2"/>
        <v>48.754750000000001</v>
      </c>
      <c r="L28" s="157">
        <v>5</v>
      </c>
      <c r="M28" s="159"/>
      <c r="O28" s="598"/>
      <c r="P28" s="599"/>
      <c r="Q28" s="599"/>
      <c r="R28" s="599"/>
      <c r="S28" s="599"/>
      <c r="T28" s="599"/>
      <c r="U28" s="599"/>
      <c r="V28" s="599"/>
      <c r="W28" s="599"/>
      <c r="X28" s="599"/>
      <c r="Y28" s="599"/>
      <c r="Z28" s="600"/>
    </row>
    <row r="29" spans="1:26" ht="17.649999999999999" customHeight="1" x14ac:dyDescent="0.2">
      <c r="A29" s="72" t="s">
        <v>114</v>
      </c>
      <c r="B29" s="458" t="s">
        <v>140</v>
      </c>
      <c r="C29" s="69" t="s">
        <v>100</v>
      </c>
      <c r="D29" s="69" t="s">
        <v>111</v>
      </c>
      <c r="E29" s="280" t="s">
        <v>94</v>
      </c>
      <c r="F29" s="21">
        <f t="shared" si="0"/>
        <v>4.6376639378878481E-2</v>
      </c>
      <c r="G29" s="73">
        <v>11201.09</v>
      </c>
      <c r="H29" s="18">
        <v>156863.28</v>
      </c>
      <c r="I29" s="18">
        <v>1</v>
      </c>
      <c r="J29" s="18">
        <f t="shared" si="1"/>
        <v>11201.09</v>
      </c>
      <c r="K29" s="155">
        <f t="shared" si="2"/>
        <v>56.005449999999996</v>
      </c>
      <c r="L29" s="157">
        <v>5</v>
      </c>
      <c r="M29" s="159"/>
      <c r="O29" s="598"/>
      <c r="P29" s="599"/>
      <c r="Q29" s="599"/>
      <c r="R29" s="599"/>
      <c r="S29" s="599"/>
      <c r="T29" s="599"/>
      <c r="U29" s="599"/>
      <c r="V29" s="599"/>
      <c r="W29" s="599"/>
      <c r="X29" s="599"/>
      <c r="Y29" s="599"/>
      <c r="Z29" s="600"/>
    </row>
    <row r="30" spans="1:26" ht="17.649999999999999" customHeight="1" x14ac:dyDescent="0.2">
      <c r="A30" s="72" t="s">
        <v>90</v>
      </c>
      <c r="B30" s="111" t="s">
        <v>141</v>
      </c>
      <c r="C30" s="69" t="s">
        <v>100</v>
      </c>
      <c r="D30" s="69" t="s">
        <v>93</v>
      </c>
      <c r="E30" s="280" t="s">
        <v>94</v>
      </c>
      <c r="F30" s="21">
        <f t="shared" si="0"/>
        <v>3.1063942193832171E-3</v>
      </c>
      <c r="G30" s="73">
        <v>750.27</v>
      </c>
      <c r="H30" s="18">
        <v>10507.01</v>
      </c>
      <c r="I30" s="18">
        <v>1</v>
      </c>
      <c r="J30" s="18">
        <f t="shared" si="1"/>
        <v>750.27</v>
      </c>
      <c r="K30" s="155">
        <f t="shared" si="2"/>
        <v>3.75135</v>
      </c>
      <c r="L30" s="157">
        <v>5</v>
      </c>
      <c r="M30" s="159"/>
      <c r="O30" s="598"/>
      <c r="P30" s="599"/>
      <c r="Q30" s="599"/>
      <c r="R30" s="599"/>
      <c r="S30" s="599"/>
      <c r="T30" s="599"/>
      <c r="U30" s="599"/>
      <c r="V30" s="599"/>
      <c r="W30" s="599"/>
      <c r="X30" s="599"/>
      <c r="Y30" s="599"/>
      <c r="Z30" s="600"/>
    </row>
    <row r="31" spans="1:26" ht="17.649999999999999" customHeight="1" x14ac:dyDescent="0.2">
      <c r="A31" s="72" t="s">
        <v>142</v>
      </c>
      <c r="B31" s="111" t="s">
        <v>143</v>
      </c>
      <c r="C31" s="69" t="s">
        <v>92</v>
      </c>
      <c r="D31" s="69" t="s">
        <v>93</v>
      </c>
      <c r="E31" s="280" t="s">
        <v>94</v>
      </c>
      <c r="F31" s="21">
        <f t="shared" si="0"/>
        <v>3.1054833383293771E-3</v>
      </c>
      <c r="G31" s="73">
        <v>150.01</v>
      </c>
      <c r="H31" s="18">
        <v>2100.85</v>
      </c>
      <c r="I31" s="18">
        <v>5</v>
      </c>
      <c r="J31" s="18">
        <f t="shared" si="1"/>
        <v>750.05</v>
      </c>
      <c r="K31" s="155">
        <f t="shared" si="2"/>
        <v>0.75004999999999999</v>
      </c>
      <c r="L31" s="157">
        <v>5</v>
      </c>
      <c r="M31" s="159"/>
      <c r="O31" s="598"/>
      <c r="P31" s="599"/>
      <c r="Q31" s="599"/>
      <c r="R31" s="599"/>
      <c r="S31" s="599"/>
      <c r="T31" s="599"/>
      <c r="U31" s="599"/>
      <c r="V31" s="599"/>
      <c r="W31" s="599"/>
      <c r="X31" s="599"/>
      <c r="Y31" s="599"/>
      <c r="Z31" s="600"/>
    </row>
    <row r="32" spans="1:26" ht="17.649999999999999" customHeight="1" x14ac:dyDescent="0.2">
      <c r="A32" s="72" t="s">
        <v>90</v>
      </c>
      <c r="B32" s="111" t="s">
        <v>144</v>
      </c>
      <c r="C32" s="69" t="s">
        <v>100</v>
      </c>
      <c r="D32" s="69" t="s">
        <v>93</v>
      </c>
      <c r="E32" s="280" t="s">
        <v>94</v>
      </c>
      <c r="F32" s="21">
        <f t="shared" si="0"/>
        <v>1.5527830728489542E-2</v>
      </c>
      <c r="G32" s="73">
        <v>750.07</v>
      </c>
      <c r="H32" s="18">
        <v>10502.39</v>
      </c>
      <c r="I32" s="18">
        <v>5</v>
      </c>
      <c r="J32" s="18">
        <f t="shared" si="1"/>
        <v>3750.3500000000004</v>
      </c>
      <c r="K32" s="155">
        <f t="shared" si="2"/>
        <v>3.7503500000000005</v>
      </c>
      <c r="L32" s="157">
        <v>5</v>
      </c>
      <c r="M32" s="159"/>
      <c r="O32" s="598"/>
      <c r="P32" s="599"/>
      <c r="Q32" s="599"/>
      <c r="R32" s="599"/>
      <c r="S32" s="599"/>
      <c r="T32" s="599"/>
      <c r="U32" s="599"/>
      <c r="V32" s="599"/>
      <c r="W32" s="599"/>
      <c r="X32" s="599"/>
      <c r="Y32" s="599"/>
      <c r="Z32" s="600"/>
    </row>
    <row r="33" spans="1:26" ht="17.649999999999999" customHeight="1" x14ac:dyDescent="0.2">
      <c r="A33" s="72" t="s">
        <v>90</v>
      </c>
      <c r="B33" s="111" t="s">
        <v>145</v>
      </c>
      <c r="C33" s="69" t="s">
        <v>100</v>
      </c>
      <c r="D33" s="69" t="s">
        <v>93</v>
      </c>
      <c r="E33" s="280" t="s">
        <v>94</v>
      </c>
      <c r="F33" s="21">
        <f t="shared" si="0"/>
        <v>3.1055661456979083E-3</v>
      </c>
      <c r="G33" s="73">
        <v>750.07</v>
      </c>
      <c r="H33" s="18">
        <v>10504.24</v>
      </c>
      <c r="I33" s="18">
        <v>1</v>
      </c>
      <c r="J33" s="18">
        <f t="shared" si="1"/>
        <v>750.07</v>
      </c>
      <c r="K33" s="155">
        <f t="shared" si="2"/>
        <v>3.7503500000000005</v>
      </c>
      <c r="L33" s="157">
        <v>5</v>
      </c>
      <c r="M33" s="159"/>
      <c r="O33" s="598"/>
      <c r="P33" s="599"/>
      <c r="Q33" s="599"/>
      <c r="R33" s="599"/>
      <c r="S33" s="599"/>
      <c r="T33" s="599"/>
      <c r="U33" s="599"/>
      <c r="V33" s="599"/>
      <c r="W33" s="599"/>
      <c r="X33" s="599"/>
      <c r="Y33" s="599"/>
      <c r="Z33" s="600"/>
    </row>
    <row r="34" spans="1:26" ht="17.649999999999999" customHeight="1" x14ac:dyDescent="0.2">
      <c r="A34" s="72" t="s">
        <v>142</v>
      </c>
      <c r="B34" s="111" t="s">
        <v>146</v>
      </c>
      <c r="C34" s="69" t="s">
        <v>100</v>
      </c>
      <c r="D34" s="69" t="s">
        <v>93</v>
      </c>
      <c r="E34" s="280" t="s">
        <v>94</v>
      </c>
      <c r="F34" s="21">
        <f t="shared" si="0"/>
        <v>3.7265800059952526E-3</v>
      </c>
      <c r="G34" s="73">
        <v>150.01</v>
      </c>
      <c r="H34" s="18">
        <v>2100.85</v>
      </c>
      <c r="I34" s="18">
        <v>6</v>
      </c>
      <c r="J34" s="18">
        <f t="shared" si="1"/>
        <v>900.06</v>
      </c>
      <c r="K34" s="155">
        <f t="shared" si="2"/>
        <v>0.75004999999999999</v>
      </c>
      <c r="L34" s="157">
        <v>5</v>
      </c>
      <c r="M34" s="159"/>
      <c r="O34" s="598"/>
      <c r="P34" s="599"/>
      <c r="Q34" s="599"/>
      <c r="R34" s="599"/>
      <c r="S34" s="599"/>
      <c r="T34" s="599"/>
      <c r="U34" s="599"/>
      <c r="V34" s="599"/>
      <c r="W34" s="599"/>
      <c r="X34" s="599"/>
      <c r="Y34" s="599"/>
      <c r="Z34" s="600"/>
    </row>
    <row r="35" spans="1:26" ht="17.649999999999999" customHeight="1" x14ac:dyDescent="0.2">
      <c r="A35" s="72" t="s">
        <v>147</v>
      </c>
      <c r="B35" s="111" t="s">
        <v>148</v>
      </c>
      <c r="C35" s="110" t="s">
        <v>149</v>
      </c>
      <c r="D35" s="530" t="s">
        <v>97</v>
      </c>
      <c r="E35" s="280" t="s">
        <v>94</v>
      </c>
      <c r="F35" s="21">
        <f t="shared" si="0"/>
        <v>2.4844694780320324E-3</v>
      </c>
      <c r="G35" s="73">
        <v>600.05999999999995</v>
      </c>
      <c r="H35" s="18">
        <v>8403.39</v>
      </c>
      <c r="I35" s="18">
        <v>1</v>
      </c>
      <c r="J35" s="18">
        <f t="shared" si="1"/>
        <v>600.05999999999995</v>
      </c>
      <c r="K35" s="155">
        <f t="shared" si="2"/>
        <v>3.0002999999999997</v>
      </c>
      <c r="L35" s="157">
        <v>5</v>
      </c>
      <c r="M35" s="159"/>
      <c r="O35" s="598"/>
      <c r="P35" s="599"/>
      <c r="Q35" s="599"/>
      <c r="R35" s="599"/>
      <c r="S35" s="599"/>
      <c r="T35" s="599"/>
      <c r="U35" s="599"/>
      <c r="V35" s="599"/>
      <c r="W35" s="599"/>
      <c r="X35" s="599"/>
      <c r="Y35" s="599"/>
      <c r="Z35" s="600"/>
    </row>
    <row r="36" spans="1:26" ht="17.649999999999999" customHeight="1" x14ac:dyDescent="0.2">
      <c r="A36" s="72" t="s">
        <v>147</v>
      </c>
      <c r="B36" s="111" t="s">
        <v>150</v>
      </c>
      <c r="C36" s="110" t="s">
        <v>149</v>
      </c>
      <c r="D36" s="530" t="s">
        <v>97</v>
      </c>
      <c r="E36" s="280" t="s">
        <v>94</v>
      </c>
      <c r="F36" s="21">
        <f t="shared" si="0"/>
        <v>1.2422347390160161E-2</v>
      </c>
      <c r="G36" s="73">
        <v>600.05999999999995</v>
      </c>
      <c r="H36" s="18">
        <v>8403.39</v>
      </c>
      <c r="I36" s="18">
        <v>5</v>
      </c>
      <c r="J36" s="18">
        <f t="shared" si="1"/>
        <v>3000.2999999999997</v>
      </c>
      <c r="K36" s="155">
        <f t="shared" si="2"/>
        <v>3.0002999999999997</v>
      </c>
      <c r="L36" s="157">
        <v>5</v>
      </c>
      <c r="M36" s="159"/>
      <c r="O36" s="598"/>
      <c r="P36" s="599"/>
      <c r="Q36" s="599"/>
      <c r="R36" s="599"/>
      <c r="S36" s="599"/>
      <c r="T36" s="599"/>
      <c r="U36" s="599"/>
      <c r="V36" s="599"/>
      <c r="W36" s="599"/>
      <c r="X36" s="599"/>
      <c r="Y36" s="599"/>
      <c r="Z36" s="600"/>
    </row>
    <row r="37" spans="1:26" ht="17.649999999999999" customHeight="1" x14ac:dyDescent="0.2">
      <c r="A37" s="72" t="s">
        <v>147</v>
      </c>
      <c r="B37" s="111" t="s">
        <v>151</v>
      </c>
      <c r="C37" s="110" t="s">
        <v>149</v>
      </c>
      <c r="D37" s="530" t="s">
        <v>97</v>
      </c>
      <c r="E37" s="280" t="s">
        <v>94</v>
      </c>
      <c r="F37" s="21">
        <f t="shared" si="0"/>
        <v>2.4844694780320324E-3</v>
      </c>
      <c r="G37" s="73">
        <v>600.05999999999995</v>
      </c>
      <c r="H37" s="18">
        <v>8403.39</v>
      </c>
      <c r="I37" s="18">
        <v>1</v>
      </c>
      <c r="J37" s="18">
        <f t="shared" si="1"/>
        <v>600.05999999999995</v>
      </c>
      <c r="K37" s="155">
        <f t="shared" si="2"/>
        <v>3.0002999999999997</v>
      </c>
      <c r="L37" s="157">
        <v>5</v>
      </c>
      <c r="M37" s="159"/>
      <c r="O37" s="598"/>
      <c r="P37" s="599"/>
      <c r="Q37" s="599"/>
      <c r="R37" s="599"/>
      <c r="S37" s="599"/>
      <c r="T37" s="599"/>
      <c r="U37" s="599"/>
      <c r="V37" s="599"/>
      <c r="W37" s="599"/>
      <c r="X37" s="599"/>
      <c r="Y37" s="599"/>
      <c r="Z37" s="600"/>
    </row>
    <row r="38" spans="1:26" ht="17.649999999999999" customHeight="1" x14ac:dyDescent="0.2">
      <c r="A38" s="72" t="s">
        <v>147</v>
      </c>
      <c r="B38" s="111" t="s">
        <v>152</v>
      </c>
      <c r="C38" s="110" t="s">
        <v>149</v>
      </c>
      <c r="D38" s="530" t="s">
        <v>97</v>
      </c>
      <c r="E38" s="280" t="s">
        <v>94</v>
      </c>
      <c r="F38" s="21">
        <f t="shared" si="0"/>
        <v>9.9378365084438654E-3</v>
      </c>
      <c r="G38" s="73">
        <v>2400.23</v>
      </c>
      <c r="H38" s="18">
        <v>33613.56</v>
      </c>
      <c r="I38" s="18">
        <v>1</v>
      </c>
      <c r="J38" s="18">
        <f t="shared" si="1"/>
        <v>2400.23</v>
      </c>
      <c r="K38" s="155">
        <f t="shared" si="2"/>
        <v>12.001149999999999</v>
      </c>
      <c r="L38" s="157">
        <v>5</v>
      </c>
      <c r="M38" s="159"/>
      <c r="O38" s="598"/>
      <c r="P38" s="599"/>
      <c r="Q38" s="599"/>
      <c r="R38" s="599"/>
      <c r="S38" s="599"/>
      <c r="T38" s="599"/>
      <c r="U38" s="599"/>
      <c r="V38" s="599"/>
      <c r="W38" s="599"/>
      <c r="X38" s="599"/>
      <c r="Y38" s="599"/>
      <c r="Z38" s="600"/>
    </row>
    <row r="39" spans="1:26" ht="17.649999999999999" customHeight="1" x14ac:dyDescent="0.2">
      <c r="A39" s="72" t="s">
        <v>114</v>
      </c>
      <c r="B39" s="111" t="s">
        <v>153</v>
      </c>
      <c r="C39" s="110" t="s">
        <v>92</v>
      </c>
      <c r="D39" s="110" t="s">
        <v>111</v>
      </c>
      <c r="E39" s="280" t="s">
        <v>94</v>
      </c>
      <c r="F39" s="21">
        <f t="shared" si="0"/>
        <v>4.5134404639862465E-2</v>
      </c>
      <c r="G39" s="73">
        <v>10901.06</v>
      </c>
      <c r="H39" s="18">
        <v>152661.59</v>
      </c>
      <c r="I39" s="18">
        <v>1</v>
      </c>
      <c r="J39" s="18">
        <f t="shared" si="1"/>
        <v>10901.06</v>
      </c>
      <c r="K39" s="155">
        <f t="shared" si="2"/>
        <v>54.505299999999998</v>
      </c>
      <c r="L39" s="157">
        <v>5</v>
      </c>
      <c r="M39" s="159"/>
      <c r="O39" s="598"/>
      <c r="P39" s="599"/>
      <c r="Q39" s="599"/>
      <c r="R39" s="599"/>
      <c r="S39" s="599"/>
      <c r="T39" s="599"/>
      <c r="U39" s="599"/>
      <c r="V39" s="599"/>
      <c r="W39" s="599"/>
      <c r="X39" s="599"/>
      <c r="Y39" s="599"/>
      <c r="Z39" s="600"/>
    </row>
    <row r="40" spans="1:26" ht="17.649999999999999" customHeight="1" x14ac:dyDescent="0.2">
      <c r="A40" s="72" t="s">
        <v>154</v>
      </c>
      <c r="B40" s="111" t="s">
        <v>155</v>
      </c>
      <c r="C40" s="69" t="s">
        <v>156</v>
      </c>
      <c r="D40" s="69" t="s">
        <v>157</v>
      </c>
      <c r="E40" s="280" t="s">
        <v>94</v>
      </c>
      <c r="F40" s="21">
        <f t="shared" si="0"/>
        <v>9.31665703340946E-3</v>
      </c>
      <c r="G40" s="73">
        <v>225.02</v>
      </c>
      <c r="H40" s="18">
        <v>3151.27</v>
      </c>
      <c r="I40" s="18">
        <v>10</v>
      </c>
      <c r="J40" s="18">
        <f t="shared" si="1"/>
        <v>2250.2000000000003</v>
      </c>
      <c r="K40" s="155">
        <f t="shared" si="2"/>
        <v>1.1251000000000002</v>
      </c>
      <c r="L40" s="157">
        <v>5</v>
      </c>
      <c r="M40" s="159"/>
      <c r="O40" s="598"/>
      <c r="P40" s="599"/>
      <c r="Q40" s="599"/>
      <c r="R40" s="599"/>
      <c r="S40" s="599"/>
      <c r="T40" s="599"/>
      <c r="U40" s="599"/>
      <c r="V40" s="599"/>
      <c r="W40" s="599"/>
      <c r="X40" s="599"/>
      <c r="Y40" s="599"/>
      <c r="Z40" s="600"/>
    </row>
    <row r="41" spans="1:26" ht="17.649999999999999" customHeight="1" x14ac:dyDescent="0.2">
      <c r="A41" s="72" t="s">
        <v>154</v>
      </c>
      <c r="B41" s="111" t="s">
        <v>158</v>
      </c>
      <c r="C41" s="69" t="s">
        <v>156</v>
      </c>
      <c r="D41" s="69" t="s">
        <v>157</v>
      </c>
      <c r="E41" s="280" t="s">
        <v>94</v>
      </c>
      <c r="F41" s="21">
        <f t="shared" si="0"/>
        <v>9.31665703340946E-3</v>
      </c>
      <c r="G41" s="73">
        <v>225.02</v>
      </c>
      <c r="H41" s="18">
        <v>3151.27</v>
      </c>
      <c r="I41" s="18">
        <v>10</v>
      </c>
      <c r="J41" s="18">
        <f t="shared" si="1"/>
        <v>2250.2000000000003</v>
      </c>
      <c r="K41" s="155">
        <f t="shared" si="2"/>
        <v>1.1251000000000002</v>
      </c>
      <c r="L41" s="157">
        <v>5</v>
      </c>
      <c r="M41" s="159"/>
      <c r="O41" s="598"/>
      <c r="P41" s="599"/>
      <c r="Q41" s="599"/>
      <c r="R41" s="599"/>
      <c r="S41" s="599"/>
      <c r="T41" s="599"/>
      <c r="U41" s="599"/>
      <c r="V41" s="599"/>
      <c r="W41" s="599"/>
      <c r="X41" s="599"/>
      <c r="Y41" s="599"/>
      <c r="Z41" s="600"/>
    </row>
    <row r="42" spans="1:26" ht="17.649999999999999" customHeight="1" x14ac:dyDescent="0.2">
      <c r="A42" s="72" t="s">
        <v>154</v>
      </c>
      <c r="B42" s="111" t="s">
        <v>159</v>
      </c>
      <c r="C42" s="69" t="s">
        <v>156</v>
      </c>
      <c r="D42" s="69" t="s">
        <v>157</v>
      </c>
      <c r="E42" s="280" t="s">
        <v>94</v>
      </c>
      <c r="F42" s="21">
        <f t="shared" si="0"/>
        <v>1.5528037746910868E-3</v>
      </c>
      <c r="G42" s="73">
        <v>375.04</v>
      </c>
      <c r="H42" s="18">
        <v>5252.12</v>
      </c>
      <c r="I42" s="18">
        <v>1</v>
      </c>
      <c r="J42" s="18">
        <f t="shared" si="1"/>
        <v>375.04</v>
      </c>
      <c r="K42" s="155">
        <f t="shared" si="2"/>
        <v>1.8752</v>
      </c>
      <c r="L42" s="157">
        <v>5</v>
      </c>
      <c r="M42" s="159"/>
      <c r="O42" s="598"/>
      <c r="P42" s="599"/>
      <c r="Q42" s="599"/>
      <c r="R42" s="599"/>
      <c r="S42" s="599"/>
      <c r="T42" s="599"/>
      <c r="U42" s="599"/>
      <c r="V42" s="599"/>
      <c r="W42" s="599"/>
      <c r="X42" s="599"/>
      <c r="Y42" s="599"/>
      <c r="Z42" s="600"/>
    </row>
    <row r="43" spans="1:26" ht="17.649999999999999" customHeight="1" x14ac:dyDescent="0.2">
      <c r="A43" s="72" t="s">
        <v>154</v>
      </c>
      <c r="B43" s="111" t="s">
        <v>160</v>
      </c>
      <c r="C43" s="69" t="s">
        <v>156</v>
      </c>
      <c r="D43" s="69" t="s">
        <v>157</v>
      </c>
      <c r="E43" s="280" t="s">
        <v>94</v>
      </c>
      <c r="F43" s="21">
        <f t="shared" si="0"/>
        <v>1.5528037746910868E-3</v>
      </c>
      <c r="G43" s="73">
        <v>375.04</v>
      </c>
      <c r="H43" s="18">
        <v>5252.12</v>
      </c>
      <c r="I43" s="18">
        <v>1</v>
      </c>
      <c r="J43" s="18">
        <f t="shared" si="1"/>
        <v>375.04</v>
      </c>
      <c r="K43" s="155">
        <f t="shared" si="2"/>
        <v>1.8752</v>
      </c>
      <c r="L43" s="157">
        <v>5</v>
      </c>
      <c r="M43" s="159"/>
      <c r="O43" s="598"/>
      <c r="P43" s="599"/>
      <c r="Q43" s="599"/>
      <c r="R43" s="599"/>
      <c r="S43" s="599"/>
      <c r="T43" s="599"/>
      <c r="U43" s="599"/>
      <c r="V43" s="599"/>
      <c r="W43" s="599"/>
      <c r="X43" s="599"/>
      <c r="Y43" s="599"/>
      <c r="Z43" s="600"/>
    </row>
    <row r="44" spans="1:26" ht="17.649999999999999" customHeight="1" x14ac:dyDescent="0.2">
      <c r="A44" s="72" t="s">
        <v>154</v>
      </c>
      <c r="B44" s="111" t="s">
        <v>161</v>
      </c>
      <c r="C44" s="69" t="s">
        <v>156</v>
      </c>
      <c r="D44" s="69" t="s">
        <v>157</v>
      </c>
      <c r="E44" s="280" t="s">
        <v>94</v>
      </c>
      <c r="F44" s="21">
        <f t="shared" si="0"/>
        <v>9.0069574751039626E-3</v>
      </c>
      <c r="G44" s="73">
        <v>217.54</v>
      </c>
      <c r="H44" s="18">
        <v>3046.5</v>
      </c>
      <c r="I44" s="18">
        <v>10</v>
      </c>
      <c r="J44" s="18">
        <f t="shared" si="1"/>
        <v>2175.4</v>
      </c>
      <c r="K44" s="155">
        <f t="shared" si="2"/>
        <v>1.0877000000000001</v>
      </c>
      <c r="L44" s="157">
        <v>5</v>
      </c>
      <c r="M44" s="159"/>
      <c r="O44" s="598"/>
      <c r="P44" s="599"/>
      <c r="Q44" s="599"/>
      <c r="R44" s="599"/>
      <c r="S44" s="599"/>
      <c r="T44" s="599"/>
      <c r="U44" s="599"/>
      <c r="V44" s="599"/>
      <c r="W44" s="599"/>
      <c r="X44" s="599"/>
      <c r="Y44" s="599"/>
      <c r="Z44" s="600"/>
    </row>
    <row r="45" spans="1:26" ht="17.649999999999999" customHeight="1" x14ac:dyDescent="0.2">
      <c r="A45" s="72" t="s">
        <v>154</v>
      </c>
      <c r="B45" s="111" t="s">
        <v>162</v>
      </c>
      <c r="C45" s="69" t="s">
        <v>156</v>
      </c>
      <c r="D45" s="69" t="s">
        <v>157</v>
      </c>
      <c r="E45" s="280" t="s">
        <v>94</v>
      </c>
      <c r="F45" s="21">
        <f t="shared" si="0"/>
        <v>9.0069574751039626E-3</v>
      </c>
      <c r="G45" s="73">
        <v>217.54</v>
      </c>
      <c r="H45" s="18">
        <v>3046.5</v>
      </c>
      <c r="I45" s="18">
        <v>10</v>
      </c>
      <c r="J45" s="18">
        <f t="shared" si="1"/>
        <v>2175.4</v>
      </c>
      <c r="K45" s="155">
        <f t="shared" si="2"/>
        <v>1.0877000000000001</v>
      </c>
      <c r="L45" s="157">
        <v>5</v>
      </c>
      <c r="M45" s="159"/>
      <c r="O45" s="598"/>
      <c r="P45" s="599"/>
      <c r="Q45" s="599"/>
      <c r="R45" s="599"/>
      <c r="S45" s="599"/>
      <c r="T45" s="599"/>
      <c r="U45" s="599"/>
      <c r="V45" s="599"/>
      <c r="W45" s="599"/>
      <c r="X45" s="599"/>
      <c r="Y45" s="599"/>
      <c r="Z45" s="600"/>
    </row>
    <row r="46" spans="1:26" ht="17.649999999999999" customHeight="1" x14ac:dyDescent="0.2">
      <c r="A46" s="72" t="s">
        <v>154</v>
      </c>
      <c r="B46" s="111" t="s">
        <v>163</v>
      </c>
      <c r="C46" s="69" t="s">
        <v>156</v>
      </c>
      <c r="D46" s="69" t="s">
        <v>157</v>
      </c>
      <c r="E46" s="280" t="s">
        <v>94</v>
      </c>
      <c r="F46" s="21">
        <f t="shared" si="0"/>
        <v>1.5528037746910868E-3</v>
      </c>
      <c r="G46" s="73">
        <v>375.04</v>
      </c>
      <c r="H46" s="18">
        <v>5252.12</v>
      </c>
      <c r="I46" s="18">
        <v>1</v>
      </c>
      <c r="J46" s="18">
        <f t="shared" si="1"/>
        <v>375.04</v>
      </c>
      <c r="K46" s="155">
        <f t="shared" si="2"/>
        <v>1.8752</v>
      </c>
      <c r="L46" s="157">
        <v>5</v>
      </c>
      <c r="M46" s="159"/>
      <c r="O46" s="598"/>
      <c r="P46" s="599"/>
      <c r="Q46" s="599"/>
      <c r="R46" s="599"/>
      <c r="S46" s="599"/>
      <c r="T46" s="599"/>
      <c r="U46" s="599"/>
      <c r="V46" s="599"/>
      <c r="W46" s="599"/>
      <c r="X46" s="599"/>
      <c r="Y46" s="599"/>
      <c r="Z46" s="600"/>
    </row>
    <row r="47" spans="1:26" ht="17.649999999999999" customHeight="1" x14ac:dyDescent="0.2">
      <c r="A47" s="72" t="s">
        <v>154</v>
      </c>
      <c r="B47" s="111" t="s">
        <v>164</v>
      </c>
      <c r="C47" s="69" t="s">
        <v>156</v>
      </c>
      <c r="D47" s="69" t="s">
        <v>157</v>
      </c>
      <c r="E47" s="280" t="s">
        <v>94</v>
      </c>
      <c r="F47" s="21">
        <f t="shared" si="0"/>
        <v>1.5528037746910868E-3</v>
      </c>
      <c r="G47" s="73">
        <v>375.04</v>
      </c>
      <c r="H47" s="18">
        <v>5252.12</v>
      </c>
      <c r="I47" s="18">
        <v>1</v>
      </c>
      <c r="J47" s="18">
        <f t="shared" si="1"/>
        <v>375.04</v>
      </c>
      <c r="K47" s="155">
        <f t="shared" si="2"/>
        <v>1.8752</v>
      </c>
      <c r="L47" s="157">
        <v>5</v>
      </c>
      <c r="M47" s="159"/>
      <c r="O47" s="598"/>
      <c r="P47" s="599"/>
      <c r="Q47" s="599"/>
      <c r="R47" s="599"/>
      <c r="S47" s="599"/>
      <c r="T47" s="599"/>
      <c r="U47" s="599"/>
      <c r="V47" s="599"/>
      <c r="W47" s="599"/>
      <c r="X47" s="599"/>
      <c r="Y47" s="599"/>
      <c r="Z47" s="600"/>
    </row>
    <row r="48" spans="1:26" ht="16.5" customHeight="1" x14ac:dyDescent="0.2">
      <c r="A48" s="72" t="s">
        <v>154</v>
      </c>
      <c r="B48" s="111" t="s">
        <v>165</v>
      </c>
      <c r="C48" s="69" t="s">
        <v>156</v>
      </c>
      <c r="D48" s="69" t="s">
        <v>157</v>
      </c>
      <c r="E48" s="280" t="s">
        <v>94</v>
      </c>
      <c r="F48" s="21">
        <f t="shared" si="0"/>
        <v>9.31665703340946E-3</v>
      </c>
      <c r="G48" s="73">
        <v>225.02</v>
      </c>
      <c r="H48" s="18">
        <v>3151.27</v>
      </c>
      <c r="I48" s="18">
        <v>10</v>
      </c>
      <c r="J48" s="18">
        <f t="shared" si="1"/>
        <v>2250.2000000000003</v>
      </c>
      <c r="K48" s="155">
        <f t="shared" si="2"/>
        <v>1.1251000000000002</v>
      </c>
      <c r="L48" s="157">
        <v>5</v>
      </c>
      <c r="M48" s="159"/>
      <c r="O48" s="598"/>
      <c r="P48" s="599"/>
      <c r="Q48" s="599"/>
      <c r="R48" s="599"/>
      <c r="S48" s="599"/>
      <c r="T48" s="599"/>
      <c r="U48" s="599"/>
      <c r="V48" s="599"/>
      <c r="W48" s="599"/>
      <c r="X48" s="599"/>
      <c r="Y48" s="599"/>
      <c r="Z48" s="600"/>
    </row>
    <row r="49" spans="1:26" ht="16.5" customHeight="1" x14ac:dyDescent="0.2">
      <c r="A49" s="72" t="s">
        <v>154</v>
      </c>
      <c r="B49" s="111" t="s">
        <v>166</v>
      </c>
      <c r="C49" s="69" t="s">
        <v>156</v>
      </c>
      <c r="D49" s="69" t="s">
        <v>157</v>
      </c>
      <c r="E49" s="280" t="s">
        <v>94</v>
      </c>
      <c r="F49" s="21">
        <f t="shared" si="0"/>
        <v>9.31665703340946E-3</v>
      </c>
      <c r="G49" s="73">
        <v>225.02</v>
      </c>
      <c r="H49" s="18">
        <v>3151.27</v>
      </c>
      <c r="I49" s="18">
        <v>10</v>
      </c>
      <c r="J49" s="18">
        <f t="shared" si="1"/>
        <v>2250.2000000000003</v>
      </c>
      <c r="K49" s="155">
        <f t="shared" si="2"/>
        <v>1.1251000000000002</v>
      </c>
      <c r="L49" s="157">
        <v>5</v>
      </c>
      <c r="M49" s="159"/>
      <c r="O49" s="598"/>
      <c r="P49" s="599"/>
      <c r="Q49" s="599"/>
      <c r="R49" s="599"/>
      <c r="S49" s="599"/>
      <c r="T49" s="599"/>
      <c r="U49" s="599"/>
      <c r="V49" s="599"/>
      <c r="W49" s="599"/>
      <c r="X49" s="599"/>
      <c r="Y49" s="599"/>
      <c r="Z49" s="600"/>
    </row>
    <row r="50" spans="1:26" ht="19.149999999999999" customHeight="1" x14ac:dyDescent="0.2">
      <c r="A50" s="72" t="s">
        <v>154</v>
      </c>
      <c r="B50" s="111" t="s">
        <v>167</v>
      </c>
      <c r="C50" s="69" t="s">
        <v>156</v>
      </c>
      <c r="D50" s="69" t="s">
        <v>157</v>
      </c>
      <c r="E50" s="280" t="s">
        <v>94</v>
      </c>
      <c r="F50" s="21">
        <f t="shared" si="0"/>
        <v>1.2422347390160162E-3</v>
      </c>
      <c r="G50" s="73">
        <v>300.02999999999997</v>
      </c>
      <c r="H50" s="18">
        <v>4201.7</v>
      </c>
      <c r="I50" s="18">
        <v>1</v>
      </c>
      <c r="J50" s="18">
        <f t="shared" si="1"/>
        <v>300.02999999999997</v>
      </c>
      <c r="K50" s="155">
        <f t="shared" si="2"/>
        <v>1.5001499999999999</v>
      </c>
      <c r="L50" s="157">
        <v>5</v>
      </c>
      <c r="M50" s="159"/>
      <c r="O50" s="598"/>
      <c r="P50" s="599"/>
      <c r="Q50" s="599"/>
      <c r="R50" s="599"/>
      <c r="S50" s="599"/>
      <c r="T50" s="599"/>
      <c r="U50" s="599"/>
      <c r="V50" s="599"/>
      <c r="W50" s="599"/>
      <c r="X50" s="599"/>
      <c r="Y50" s="599"/>
      <c r="Z50" s="600"/>
    </row>
    <row r="51" spans="1:26" ht="17.649999999999999" customHeight="1" x14ac:dyDescent="0.2">
      <c r="A51" s="72" t="s">
        <v>154</v>
      </c>
      <c r="B51" s="111" t="s">
        <v>168</v>
      </c>
      <c r="C51" s="69" t="s">
        <v>156</v>
      </c>
      <c r="D51" s="69" t="s">
        <v>157</v>
      </c>
      <c r="E51" s="280" t="s">
        <v>94</v>
      </c>
      <c r="F51" s="21">
        <f t="shared" si="0"/>
        <v>1.2422347390160162E-3</v>
      </c>
      <c r="G51" s="73">
        <v>300.02999999999997</v>
      </c>
      <c r="H51" s="18">
        <v>4201.7</v>
      </c>
      <c r="I51" s="18">
        <v>1</v>
      </c>
      <c r="J51" s="18">
        <f t="shared" si="1"/>
        <v>300.02999999999997</v>
      </c>
      <c r="K51" s="155">
        <f t="shared" si="2"/>
        <v>1.5001499999999999</v>
      </c>
      <c r="L51" s="157">
        <v>5</v>
      </c>
      <c r="M51" s="159"/>
      <c r="O51" s="598"/>
      <c r="P51" s="599"/>
      <c r="Q51" s="599"/>
      <c r="R51" s="599"/>
      <c r="S51" s="599"/>
      <c r="T51" s="599"/>
      <c r="U51" s="599"/>
      <c r="V51" s="599"/>
      <c r="W51" s="599"/>
      <c r="X51" s="599"/>
      <c r="Y51" s="599"/>
      <c r="Z51" s="600"/>
    </row>
    <row r="52" spans="1:26" ht="17.649999999999999" customHeight="1" x14ac:dyDescent="0.2">
      <c r="A52" s="72" t="s">
        <v>154</v>
      </c>
      <c r="B52" s="111" t="s">
        <v>169</v>
      </c>
      <c r="C52" s="69" t="s">
        <v>156</v>
      </c>
      <c r="D52" s="69" t="s">
        <v>157</v>
      </c>
      <c r="E52" s="280" t="s">
        <v>94</v>
      </c>
      <c r="F52" s="21">
        <f t="shared" si="0"/>
        <v>9.0069574751039626E-3</v>
      </c>
      <c r="G52" s="73">
        <v>217.54</v>
      </c>
      <c r="H52" s="18">
        <v>3046.5</v>
      </c>
      <c r="I52" s="18">
        <v>10</v>
      </c>
      <c r="J52" s="18">
        <f t="shared" si="1"/>
        <v>2175.4</v>
      </c>
      <c r="K52" s="155">
        <f t="shared" si="2"/>
        <v>1.0877000000000001</v>
      </c>
      <c r="L52" s="157">
        <v>5</v>
      </c>
      <c r="M52" s="159"/>
      <c r="O52" s="598"/>
      <c r="P52" s="599"/>
      <c r="Q52" s="599"/>
      <c r="R52" s="599"/>
      <c r="S52" s="599"/>
      <c r="T52" s="599"/>
      <c r="U52" s="599"/>
      <c r="V52" s="599"/>
      <c r="W52" s="599"/>
      <c r="X52" s="599"/>
      <c r="Y52" s="599"/>
      <c r="Z52" s="600"/>
    </row>
    <row r="53" spans="1:26" ht="17.649999999999999" customHeight="1" x14ac:dyDescent="0.2">
      <c r="A53" s="72" t="s">
        <v>154</v>
      </c>
      <c r="B53" s="111" t="s">
        <v>170</v>
      </c>
      <c r="C53" s="69" t="s">
        <v>156</v>
      </c>
      <c r="D53" s="69" t="s">
        <v>157</v>
      </c>
      <c r="E53" s="280" t="s">
        <v>94</v>
      </c>
      <c r="F53" s="21">
        <f t="shared" si="0"/>
        <v>9.0069574751039626E-3</v>
      </c>
      <c r="G53" s="73">
        <v>217.54</v>
      </c>
      <c r="H53" s="18">
        <v>3046.5</v>
      </c>
      <c r="I53" s="18">
        <v>10</v>
      </c>
      <c r="J53" s="18">
        <f t="shared" si="1"/>
        <v>2175.4</v>
      </c>
      <c r="K53" s="155">
        <f t="shared" si="2"/>
        <v>1.0877000000000001</v>
      </c>
      <c r="L53" s="157">
        <v>5</v>
      </c>
      <c r="M53" s="159"/>
      <c r="O53" s="598"/>
      <c r="P53" s="599"/>
      <c r="Q53" s="599"/>
      <c r="R53" s="599"/>
      <c r="S53" s="599"/>
      <c r="T53" s="599"/>
      <c r="U53" s="599"/>
      <c r="V53" s="599"/>
      <c r="W53" s="599"/>
      <c r="X53" s="599"/>
      <c r="Y53" s="599"/>
      <c r="Z53" s="600"/>
    </row>
    <row r="54" spans="1:26" ht="17.649999999999999" customHeight="1" x14ac:dyDescent="0.2">
      <c r="A54" s="72" t="s">
        <v>154</v>
      </c>
      <c r="B54" s="111" t="s">
        <v>171</v>
      </c>
      <c r="C54" s="69" t="s">
        <v>156</v>
      </c>
      <c r="D54" s="69" t="s">
        <v>157</v>
      </c>
      <c r="E54" s="280" t="s">
        <v>94</v>
      </c>
      <c r="F54" s="21">
        <f t="shared" si="0"/>
        <v>1.2422347390160162E-3</v>
      </c>
      <c r="G54" s="73">
        <v>300.02999999999997</v>
      </c>
      <c r="H54" s="18">
        <v>4201.7</v>
      </c>
      <c r="I54" s="18">
        <v>1</v>
      </c>
      <c r="J54" s="18">
        <f t="shared" si="1"/>
        <v>300.02999999999997</v>
      </c>
      <c r="K54" s="155">
        <f t="shared" si="2"/>
        <v>1.5001499999999999</v>
      </c>
      <c r="L54" s="157">
        <v>5</v>
      </c>
      <c r="M54" s="159"/>
      <c r="O54" s="598"/>
      <c r="P54" s="599"/>
      <c r="Q54" s="599"/>
      <c r="R54" s="599"/>
      <c r="S54" s="599"/>
      <c r="T54" s="599"/>
      <c r="U54" s="599"/>
      <c r="V54" s="599"/>
      <c r="W54" s="599"/>
      <c r="X54" s="599"/>
      <c r="Y54" s="599"/>
      <c r="Z54" s="600"/>
    </row>
    <row r="55" spans="1:26" ht="17.649999999999999" customHeight="1" x14ac:dyDescent="0.2">
      <c r="A55" s="72" t="s">
        <v>154</v>
      </c>
      <c r="B55" s="111" t="s">
        <v>172</v>
      </c>
      <c r="C55" s="69" t="s">
        <v>156</v>
      </c>
      <c r="D55" s="69" t="s">
        <v>157</v>
      </c>
      <c r="E55" s="280" t="s">
        <v>94</v>
      </c>
      <c r="F55" s="21">
        <f t="shared" si="0"/>
        <v>1.2422347390160162E-3</v>
      </c>
      <c r="G55" s="73">
        <v>300.02999999999997</v>
      </c>
      <c r="H55" s="18">
        <v>4201.7</v>
      </c>
      <c r="I55" s="18">
        <v>1</v>
      </c>
      <c r="J55" s="18">
        <f t="shared" si="1"/>
        <v>300.02999999999997</v>
      </c>
      <c r="K55" s="155">
        <f t="shared" si="2"/>
        <v>1.5001499999999999</v>
      </c>
      <c r="L55" s="157">
        <v>5</v>
      </c>
      <c r="M55" s="159"/>
      <c r="O55" s="598"/>
      <c r="P55" s="599"/>
      <c r="Q55" s="599"/>
      <c r="R55" s="599"/>
      <c r="S55" s="599"/>
      <c r="T55" s="599"/>
      <c r="U55" s="599"/>
      <c r="V55" s="599"/>
      <c r="W55" s="599"/>
      <c r="X55" s="599"/>
      <c r="Y55" s="599"/>
      <c r="Z55" s="600"/>
    </row>
    <row r="56" spans="1:26" ht="17.649999999999999" customHeight="1" x14ac:dyDescent="0.2">
      <c r="A56" s="72" t="s">
        <v>173</v>
      </c>
      <c r="B56" s="111" t="s">
        <v>174</v>
      </c>
      <c r="C56" s="69" t="s">
        <v>100</v>
      </c>
      <c r="D56" s="69" t="s">
        <v>97</v>
      </c>
      <c r="E56" s="280" t="s">
        <v>94</v>
      </c>
      <c r="F56" s="21">
        <f t="shared" si="0"/>
        <v>2.1739045827253889E-2</v>
      </c>
      <c r="G56" s="73">
        <v>5250.51</v>
      </c>
      <c r="H56" s="18">
        <v>73529.66</v>
      </c>
      <c r="I56" s="18">
        <v>1</v>
      </c>
      <c r="J56" s="18">
        <f t="shared" si="1"/>
        <v>5250.51</v>
      </c>
      <c r="K56" s="155">
        <f t="shared" si="2"/>
        <v>26.252550000000003</v>
      </c>
      <c r="L56" s="157">
        <v>5</v>
      </c>
      <c r="M56" s="159"/>
      <c r="O56" s="598"/>
      <c r="P56" s="599"/>
      <c r="Q56" s="599"/>
      <c r="R56" s="599"/>
      <c r="S56" s="599"/>
      <c r="T56" s="599"/>
      <c r="U56" s="599"/>
      <c r="V56" s="599"/>
      <c r="W56" s="599"/>
      <c r="X56" s="599"/>
      <c r="Y56" s="599"/>
      <c r="Z56" s="600"/>
    </row>
    <row r="57" spans="1:26" ht="17.649999999999999" customHeight="1" x14ac:dyDescent="0.2">
      <c r="A57" s="72" t="s">
        <v>175</v>
      </c>
      <c r="B57" s="111" t="s">
        <v>176</v>
      </c>
      <c r="C57" s="69" t="s">
        <v>100</v>
      </c>
      <c r="D57" s="459" t="s">
        <v>97</v>
      </c>
      <c r="E57" s="280" t="s">
        <v>94</v>
      </c>
      <c r="F57" s="21">
        <f t="shared" si="0"/>
        <v>2.1739045827253889E-2</v>
      </c>
      <c r="G57" s="73">
        <v>5250.51</v>
      </c>
      <c r="H57" s="18">
        <v>73529.66</v>
      </c>
      <c r="I57" s="18">
        <v>1</v>
      </c>
      <c r="J57" s="18">
        <f t="shared" si="1"/>
        <v>5250.51</v>
      </c>
      <c r="K57" s="155">
        <f t="shared" si="2"/>
        <v>26.252550000000003</v>
      </c>
      <c r="L57" s="157">
        <v>5</v>
      </c>
      <c r="M57" s="159"/>
      <c r="O57" s="598"/>
      <c r="P57" s="599"/>
      <c r="Q57" s="599"/>
      <c r="R57" s="599"/>
      <c r="S57" s="599"/>
      <c r="T57" s="599"/>
      <c r="U57" s="599"/>
      <c r="V57" s="599"/>
      <c r="W57" s="599"/>
      <c r="X57" s="599"/>
      <c r="Y57" s="599"/>
      <c r="Z57" s="600"/>
    </row>
    <row r="58" spans="1:26" ht="39.6" customHeight="1" x14ac:dyDescent="0.2">
      <c r="A58" s="74" t="s">
        <v>177</v>
      </c>
      <c r="B58" s="110" t="s">
        <v>178</v>
      </c>
      <c r="C58" s="74" t="s">
        <v>179</v>
      </c>
      <c r="D58" s="74"/>
      <c r="E58" s="20" t="s">
        <v>180</v>
      </c>
      <c r="F58" s="69"/>
      <c r="G58" s="19"/>
      <c r="H58" s="18"/>
      <c r="I58" s="18"/>
      <c r="J58" s="18">
        <f>SUM(J3:J57)</f>
        <v>241524.40000000005</v>
      </c>
      <c r="K58" s="155">
        <f>SUM(K3:K57)</f>
        <v>1705.1352200000001</v>
      </c>
      <c r="L58" s="157"/>
      <c r="M58" s="158"/>
      <c r="O58" s="598"/>
      <c r="P58" s="599"/>
      <c r="Q58" s="599"/>
      <c r="R58" s="599"/>
      <c r="S58" s="599"/>
      <c r="T58" s="599"/>
      <c r="U58" s="599"/>
      <c r="V58" s="599"/>
      <c r="W58" s="599"/>
      <c r="X58" s="599"/>
      <c r="Y58" s="599"/>
      <c r="Z58" s="600"/>
    </row>
    <row r="59" spans="1:26" ht="14.45" customHeight="1" x14ac:dyDescent="0.2">
      <c r="G59" s="24"/>
      <c r="H59" s="24"/>
      <c r="I59" s="24"/>
      <c r="J59" s="24"/>
      <c r="K59" s="24"/>
      <c r="L59" s="25"/>
      <c r="O59" s="598"/>
      <c r="P59" s="599"/>
      <c r="Q59" s="599"/>
      <c r="R59" s="599"/>
      <c r="S59" s="599"/>
      <c r="T59" s="599"/>
      <c r="U59" s="599"/>
      <c r="V59" s="599"/>
      <c r="W59" s="599"/>
      <c r="X59" s="599"/>
      <c r="Y59" s="599"/>
      <c r="Z59" s="600"/>
    </row>
    <row r="60" spans="1:26" ht="14.45" customHeight="1" x14ac:dyDescent="0.2">
      <c r="A60" s="4"/>
      <c r="B60" s="4"/>
      <c r="C60" s="4"/>
      <c r="D60" s="4"/>
      <c r="E60" s="281"/>
      <c r="F60" s="4"/>
      <c r="G60" s="26"/>
      <c r="I60" s="24"/>
      <c r="J60" s="24"/>
      <c r="K60" s="24"/>
      <c r="L60" s="24"/>
      <c r="O60" s="598"/>
      <c r="P60" s="599"/>
      <c r="Q60" s="599"/>
      <c r="R60" s="599"/>
      <c r="S60" s="599"/>
      <c r="T60" s="599"/>
      <c r="U60" s="599"/>
      <c r="V60" s="599"/>
      <c r="W60" s="599"/>
      <c r="X60" s="599"/>
      <c r="Y60" s="599"/>
      <c r="Z60" s="600"/>
    </row>
    <row r="61" spans="1:26" ht="14.45" customHeight="1" x14ac:dyDescent="0.2">
      <c r="A61" s="91" t="s">
        <v>181</v>
      </c>
      <c r="B61" s="509">
        <v>0.55000000000000004</v>
      </c>
      <c r="D61" s="4"/>
      <c r="E61" s="281"/>
      <c r="F61" s="4"/>
      <c r="G61" s="26"/>
      <c r="I61" s="24"/>
      <c r="J61" s="24"/>
      <c r="K61" s="24"/>
      <c r="L61" s="24"/>
      <c r="O61" s="598"/>
      <c r="P61" s="599"/>
      <c r="Q61" s="599"/>
      <c r="R61" s="599"/>
      <c r="S61" s="599"/>
      <c r="T61" s="599"/>
      <c r="U61" s="599"/>
      <c r="V61" s="599"/>
      <c r="W61" s="599"/>
      <c r="X61" s="599"/>
      <c r="Y61" s="599"/>
      <c r="Z61" s="600"/>
    </row>
    <row r="62" spans="1:26" ht="14.45" customHeight="1" x14ac:dyDescent="0.2">
      <c r="A62" s="511" t="s">
        <v>182</v>
      </c>
      <c r="B62" s="4"/>
      <c r="C62" s="4"/>
      <c r="D62" s="4"/>
      <c r="E62" s="281"/>
      <c r="F62" s="4"/>
      <c r="G62" s="26"/>
      <c r="I62" s="24"/>
      <c r="J62" s="24"/>
      <c r="K62" s="24"/>
      <c r="L62" s="24"/>
      <c r="O62" s="598"/>
      <c r="P62" s="599"/>
      <c r="Q62" s="599"/>
      <c r="R62" s="599"/>
      <c r="S62" s="599"/>
      <c r="T62" s="599"/>
      <c r="U62" s="599"/>
      <c r="V62" s="599"/>
      <c r="W62" s="599"/>
      <c r="X62" s="599"/>
      <c r="Y62" s="599"/>
      <c r="Z62" s="600"/>
    </row>
    <row r="63" spans="1:26" ht="14.65" customHeight="1" x14ac:dyDescent="0.2">
      <c r="A63" s="510" t="s">
        <v>183</v>
      </c>
      <c r="B63" s="8"/>
      <c r="C63" s="8"/>
      <c r="D63" s="8"/>
      <c r="E63" s="282"/>
      <c r="G63" s="24"/>
      <c r="H63" s="24"/>
      <c r="I63" s="24"/>
      <c r="J63" s="24"/>
      <c r="K63" s="24"/>
      <c r="L63" s="24"/>
      <c r="O63" s="598"/>
      <c r="P63" s="599"/>
      <c r="Q63" s="599"/>
      <c r="R63" s="599"/>
      <c r="S63" s="599"/>
      <c r="T63" s="599"/>
      <c r="U63" s="599"/>
      <c r="V63" s="599"/>
      <c r="W63" s="599"/>
      <c r="X63" s="599"/>
      <c r="Y63" s="599"/>
      <c r="Z63" s="600"/>
    </row>
    <row r="64" spans="1:26" ht="14.45" customHeight="1" x14ac:dyDescent="0.2">
      <c r="A64" s="27"/>
      <c r="B64" s="27"/>
      <c r="C64" s="27"/>
      <c r="D64" s="27"/>
      <c r="E64" s="283"/>
      <c r="G64" s="24"/>
      <c r="H64" s="24"/>
      <c r="I64" s="24"/>
      <c r="J64" s="24"/>
      <c r="K64" s="24"/>
      <c r="L64" s="24"/>
      <c r="O64" s="598"/>
      <c r="P64" s="599"/>
      <c r="Q64" s="599"/>
      <c r="R64" s="599"/>
      <c r="S64" s="599"/>
      <c r="T64" s="599"/>
      <c r="U64" s="599"/>
      <c r="V64" s="599"/>
      <c r="W64" s="599"/>
      <c r="X64" s="599"/>
      <c r="Y64" s="599"/>
      <c r="Z64" s="600"/>
    </row>
    <row r="65" spans="1:26" s="126" customFormat="1" ht="13.5" thickBot="1" x14ac:dyDescent="0.3">
      <c r="A65" s="126" t="s">
        <v>184</v>
      </c>
      <c r="O65" s="601"/>
      <c r="P65" s="602"/>
      <c r="Q65" s="602"/>
      <c r="R65" s="602"/>
      <c r="S65" s="602"/>
      <c r="T65" s="602"/>
      <c r="U65" s="602"/>
      <c r="V65" s="602"/>
      <c r="W65" s="602"/>
      <c r="X65" s="602"/>
      <c r="Y65" s="602"/>
      <c r="Z65" s="603"/>
    </row>
    <row r="66" spans="1:26" x14ac:dyDescent="0.2">
      <c r="A66" s="24"/>
      <c r="B66" s="24"/>
      <c r="C66" s="24"/>
      <c r="D66" s="24"/>
      <c r="E66" s="24"/>
      <c r="G66" s="24"/>
      <c r="H66" s="24"/>
      <c r="I66" s="24"/>
      <c r="J66" s="24"/>
      <c r="K66" s="24"/>
      <c r="L66" s="24"/>
    </row>
    <row r="67" spans="1:26" x14ac:dyDescent="0.2">
      <c r="G67" s="24"/>
      <c r="H67" s="24"/>
      <c r="I67" s="24"/>
      <c r="J67" s="24"/>
      <c r="K67" s="24"/>
      <c r="L67" s="24"/>
    </row>
    <row r="68" spans="1:26" x14ac:dyDescent="0.2">
      <c r="G68" s="24"/>
      <c r="H68" s="24"/>
      <c r="I68" s="24"/>
      <c r="J68" s="24"/>
      <c r="K68" s="24"/>
      <c r="L68" s="24"/>
    </row>
    <row r="69" spans="1:26" x14ac:dyDescent="0.2">
      <c r="G69" s="24"/>
      <c r="H69" s="24"/>
      <c r="I69" s="24"/>
      <c r="J69" s="24"/>
      <c r="K69" s="24"/>
      <c r="L69" s="24"/>
    </row>
    <row r="70" spans="1:26" x14ac:dyDescent="0.2">
      <c r="G70" s="24"/>
      <c r="H70" s="24"/>
      <c r="I70" s="24"/>
      <c r="J70" s="24"/>
      <c r="K70" s="24"/>
      <c r="L70" s="24"/>
    </row>
    <row r="71" spans="1:26" x14ac:dyDescent="0.2">
      <c r="G71" s="24"/>
      <c r="H71" s="24"/>
      <c r="I71" s="24"/>
      <c r="J71" s="24"/>
      <c r="K71" s="24"/>
      <c r="L71" s="24"/>
    </row>
    <row r="72" spans="1:26" s="28" customFormat="1" hidden="1" x14ac:dyDescent="0.2">
      <c r="A72" s="28" t="s">
        <v>184</v>
      </c>
      <c r="E72" s="31"/>
      <c r="G72" s="29"/>
      <c r="H72" s="31"/>
    </row>
    <row r="73" spans="1:26" x14ac:dyDescent="0.2">
      <c r="A73" s="23"/>
      <c r="B73" s="23"/>
      <c r="C73" s="23"/>
      <c r="D73" s="23"/>
      <c r="E73" s="284"/>
      <c r="F73" s="23"/>
    </row>
  </sheetData>
  <autoFilter ref="A2:AA58" xr:uid="{2E9DC9C1-ABE9-4C74-8C0A-F769CBEC5074}">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autoFilter>
  <mergeCells count="2">
    <mergeCell ref="A1:M1"/>
    <mergeCell ref="O2:Z65"/>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2D5293A-11E7-4F93-8F47-4749D7E180A1}">
          <x14:formula1>
            <xm:f>Data!$A$2:$A$200</xm:f>
          </x14:formula1>
          <xm:sqref>A3:A57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J34"/>
  <sheetViews>
    <sheetView zoomScaleNormal="100" workbookViewId="0">
      <selection sqref="A1:X1"/>
    </sheetView>
  </sheetViews>
  <sheetFormatPr defaultColWidth="9.28515625" defaultRowHeight="14.25" x14ac:dyDescent="0.2"/>
  <cols>
    <col min="1" max="1" width="15.42578125" style="61" customWidth="1"/>
    <col min="2" max="2" width="13.5703125" style="62" customWidth="1"/>
    <col min="3" max="3" width="22.85546875" style="61" customWidth="1"/>
    <col min="4" max="4" width="41.42578125" style="61" bestFit="1" customWidth="1"/>
    <col min="5" max="5" width="15.7109375" style="61" customWidth="1"/>
    <col min="6" max="6" width="10.7109375" style="61" customWidth="1"/>
    <col min="7" max="7" width="20.5703125" style="63" customWidth="1"/>
    <col min="8" max="8" width="54.7109375" style="61" customWidth="1"/>
    <col min="9" max="9" width="6.85546875" style="61" customWidth="1"/>
    <col min="10" max="12" width="7" style="61" customWidth="1"/>
    <col min="13" max="13" width="7.85546875" style="61" customWidth="1"/>
    <col min="14" max="14" width="8.7109375" style="61" customWidth="1"/>
    <col min="15" max="15" width="7" style="61" customWidth="1"/>
    <col min="16" max="16" width="7.140625" style="61" customWidth="1"/>
    <col min="17" max="17" width="7.5703125" style="61" customWidth="1"/>
    <col min="18" max="21" width="7" style="61" customWidth="1"/>
    <col min="22" max="22" width="7.7109375" style="61" customWidth="1"/>
    <col min="23" max="24" width="7" style="61" customWidth="1"/>
    <col min="25" max="26" width="9.28515625" style="61"/>
    <col min="27" max="30" width="7.7109375" style="61" customWidth="1"/>
    <col min="31" max="31" width="9.7109375" style="61" customWidth="1"/>
    <col min="32" max="32" width="7.5703125" style="61" customWidth="1"/>
    <col min="33" max="33" width="11.42578125" style="61" customWidth="1"/>
    <col min="34" max="42" width="7.7109375" style="61" customWidth="1"/>
    <col min="43" max="46" width="10.42578125" style="61" customWidth="1"/>
    <col min="47" max="47" width="9.85546875" style="61" customWidth="1"/>
    <col min="48" max="48" width="10.42578125" style="61" customWidth="1"/>
    <col min="49" max="49" width="21.7109375" style="61" customWidth="1"/>
    <col min="50" max="50" width="10.42578125" style="61" customWidth="1"/>
    <col min="51" max="53" width="7.42578125" style="61" customWidth="1"/>
    <col min="54" max="54" width="7.7109375" style="61" customWidth="1"/>
    <col min="55" max="55" width="7.42578125" style="61" customWidth="1"/>
    <col min="56" max="56" width="13.7109375" style="61" customWidth="1"/>
    <col min="57" max="60" width="7.42578125" style="61" customWidth="1"/>
    <col min="61" max="62" width="9.7109375" style="61" bestFit="1" customWidth="1"/>
    <col min="63" max="16384" width="9.28515625" style="61"/>
  </cols>
  <sheetData>
    <row r="1" spans="1:25" ht="31.9" customHeight="1" x14ac:dyDescent="0.2">
      <c r="A1" s="619" t="str">
        <f>"Envelope - "&amp;Prototype!A2</f>
        <v>Envelope - Hospital</v>
      </c>
      <c r="B1" s="619"/>
      <c r="C1" s="619"/>
      <c r="D1" s="619"/>
      <c r="E1" s="619"/>
      <c r="F1" s="619"/>
      <c r="G1" s="619"/>
      <c r="H1" s="619"/>
      <c r="I1" s="619"/>
      <c r="J1" s="619"/>
      <c r="K1" s="619"/>
      <c r="L1" s="619"/>
      <c r="M1" s="619"/>
      <c r="N1" s="619"/>
      <c r="O1" s="619"/>
      <c r="P1" s="619"/>
      <c r="Q1" s="619"/>
      <c r="R1" s="619"/>
      <c r="S1" s="619"/>
      <c r="T1" s="619"/>
      <c r="U1" s="619"/>
      <c r="V1" s="619"/>
      <c r="W1" s="619"/>
      <c r="X1" s="619"/>
      <c r="Y1" s="1"/>
    </row>
    <row r="2" spans="1:25" ht="31.9" customHeight="1" x14ac:dyDescent="0.2">
      <c r="A2" s="41" t="s">
        <v>189</v>
      </c>
      <c r="B2" s="41" t="s">
        <v>6</v>
      </c>
      <c r="C2" s="182" t="s">
        <v>190</v>
      </c>
      <c r="D2" s="550" t="s">
        <v>191</v>
      </c>
      <c r="E2" s="161" t="s">
        <v>192</v>
      </c>
      <c r="F2" s="550" t="s">
        <v>193</v>
      </c>
      <c r="G2" s="161" t="s">
        <v>194</v>
      </c>
      <c r="H2" s="550" t="s">
        <v>89</v>
      </c>
      <c r="I2" s="550" t="s">
        <v>195</v>
      </c>
      <c r="J2" s="550" t="s">
        <v>196</v>
      </c>
      <c r="K2" s="550" t="s">
        <v>197</v>
      </c>
      <c r="L2" s="550" t="s">
        <v>198</v>
      </c>
      <c r="M2" s="550" t="s">
        <v>199</v>
      </c>
      <c r="N2" s="550" t="s">
        <v>200</v>
      </c>
      <c r="O2" s="550" t="s">
        <v>201</v>
      </c>
      <c r="P2" s="550" t="s">
        <v>202</v>
      </c>
      <c r="Q2" s="550" t="s">
        <v>203</v>
      </c>
      <c r="R2" s="550" t="s">
        <v>204</v>
      </c>
      <c r="S2" s="550" t="s">
        <v>205</v>
      </c>
      <c r="T2" s="550" t="s">
        <v>206</v>
      </c>
      <c r="U2" s="550" t="s">
        <v>207</v>
      </c>
      <c r="V2" s="550" t="s">
        <v>208</v>
      </c>
      <c r="W2" s="550" t="s">
        <v>209</v>
      </c>
      <c r="X2" s="550" t="s">
        <v>210</v>
      </c>
      <c r="Y2" s="1"/>
    </row>
    <row r="3" spans="1:25" ht="21" customHeight="1" x14ac:dyDescent="0.2">
      <c r="A3" s="605" t="s">
        <v>211</v>
      </c>
      <c r="B3" s="620" t="s">
        <v>37</v>
      </c>
      <c r="C3" s="621" t="s">
        <v>212</v>
      </c>
      <c r="D3" s="604" t="s">
        <v>213</v>
      </c>
      <c r="E3" s="606" t="s">
        <v>214</v>
      </c>
      <c r="F3" s="536" t="s">
        <v>215</v>
      </c>
      <c r="G3" s="536" t="s">
        <v>216</v>
      </c>
      <c r="H3" s="167" t="s">
        <v>217</v>
      </c>
      <c r="I3" s="167">
        <v>0.35199999999999998</v>
      </c>
      <c r="J3" s="167">
        <v>0.35199999999999998</v>
      </c>
      <c r="K3" s="167">
        <v>0.35199999999999998</v>
      </c>
      <c r="L3" s="167">
        <v>0.35199999999999998</v>
      </c>
      <c r="M3" s="167">
        <v>0.35199999999999998</v>
      </c>
      <c r="N3" s="167">
        <v>0.35199999999999998</v>
      </c>
      <c r="O3" s="167">
        <v>0.35199999999999998</v>
      </c>
      <c r="P3" s="167">
        <v>0.35199999999999998</v>
      </c>
      <c r="Q3" s="167">
        <v>0.35199999999999998</v>
      </c>
      <c r="R3" s="167">
        <v>0.35199999999999998</v>
      </c>
      <c r="S3" s="167">
        <v>0.35199999999999998</v>
      </c>
      <c r="T3" s="167">
        <v>0.35199999999999998</v>
      </c>
      <c r="U3" s="167">
        <v>0.35199999999999998</v>
      </c>
      <c r="V3" s="167">
        <v>0.35199999999999998</v>
      </c>
      <c r="W3" s="167">
        <v>0.35199999999999998</v>
      </c>
      <c r="X3" s="167">
        <v>0.35199999999999998</v>
      </c>
      <c r="Y3" s="1"/>
    </row>
    <row r="4" spans="1:25" ht="26.45" customHeight="1" x14ac:dyDescent="0.2">
      <c r="A4" s="605"/>
      <c r="B4" s="620"/>
      <c r="C4" s="622"/>
      <c r="D4" s="606"/>
      <c r="E4" s="606"/>
      <c r="F4" s="168" t="s">
        <v>218</v>
      </c>
      <c r="G4" s="168">
        <v>1986</v>
      </c>
      <c r="H4" s="169" t="s">
        <v>219</v>
      </c>
      <c r="I4" s="170">
        <v>0.21299999999999999</v>
      </c>
      <c r="J4" s="170">
        <v>0.22700000000000001</v>
      </c>
      <c r="K4" s="170">
        <v>0.22700000000000001</v>
      </c>
      <c r="L4" s="170">
        <v>0.217</v>
      </c>
      <c r="M4" s="170">
        <v>0.25600000000000001</v>
      </c>
      <c r="N4" s="170">
        <v>0.25600000000000001</v>
      </c>
      <c r="O4" s="170">
        <v>0.25600000000000001</v>
      </c>
      <c r="P4" s="170">
        <v>0.25600000000000001</v>
      </c>
      <c r="Q4" s="170">
        <v>0.25600000000000001</v>
      </c>
      <c r="R4" s="170">
        <v>0.25600000000000001</v>
      </c>
      <c r="S4" s="170">
        <v>0.23799999999999999</v>
      </c>
      <c r="T4" s="170">
        <v>0.23799999999999999</v>
      </c>
      <c r="U4" s="170">
        <v>0.23799999999999999</v>
      </c>
      <c r="V4" s="170">
        <v>0.20799999999999999</v>
      </c>
      <c r="W4" s="170">
        <v>0.20799999999999999</v>
      </c>
      <c r="X4" s="170">
        <v>0.21299999999999999</v>
      </c>
      <c r="Y4" s="1"/>
    </row>
    <row r="5" spans="1:25" ht="21" customHeight="1" x14ac:dyDescent="0.2">
      <c r="A5" s="605"/>
      <c r="B5" s="620"/>
      <c r="C5" s="622"/>
      <c r="D5" s="606"/>
      <c r="E5" s="606"/>
      <c r="F5" s="171" t="s">
        <v>220</v>
      </c>
      <c r="G5" s="171">
        <v>2001</v>
      </c>
      <c r="H5" s="171" t="s">
        <v>221</v>
      </c>
      <c r="I5" s="171">
        <v>0.182</v>
      </c>
      <c r="J5" s="171">
        <v>0.182</v>
      </c>
      <c r="K5" s="171">
        <v>0.189</v>
      </c>
      <c r="L5" s="171">
        <v>0.189</v>
      </c>
      <c r="M5" s="171">
        <v>0.189</v>
      </c>
      <c r="N5" s="171">
        <v>0.189</v>
      </c>
      <c r="O5" s="171">
        <v>0.189</v>
      </c>
      <c r="P5" s="171">
        <v>0.189</v>
      </c>
      <c r="Q5" s="171">
        <v>0.189</v>
      </c>
      <c r="R5" s="171">
        <v>0.182</v>
      </c>
      <c r="S5" s="171">
        <v>0.182</v>
      </c>
      <c r="T5" s="171">
        <v>0.182</v>
      </c>
      <c r="U5" s="171">
        <v>0.182</v>
      </c>
      <c r="V5" s="171">
        <v>0.182</v>
      </c>
      <c r="W5" s="172">
        <v>0.182</v>
      </c>
      <c r="X5" s="172">
        <v>0.182</v>
      </c>
      <c r="Y5" s="1"/>
    </row>
    <row r="6" spans="1:25" ht="21" customHeight="1" x14ac:dyDescent="0.2">
      <c r="A6" s="605"/>
      <c r="B6" s="620"/>
      <c r="C6" s="622"/>
      <c r="D6" s="606"/>
      <c r="E6" s="606"/>
      <c r="F6" s="173" t="s">
        <v>222</v>
      </c>
      <c r="G6" s="173">
        <v>2013</v>
      </c>
      <c r="H6" s="173" t="s">
        <v>223</v>
      </c>
      <c r="I6" s="173">
        <v>9.8000000000000004E-2</v>
      </c>
      <c r="J6" s="173">
        <v>6.2E-2</v>
      </c>
      <c r="K6" s="173">
        <v>8.2000000000000003E-2</v>
      </c>
      <c r="L6" s="173">
        <v>6.2E-2</v>
      </c>
      <c r="M6" s="173">
        <v>6.2E-2</v>
      </c>
      <c r="N6" s="173">
        <v>9.8000000000000004E-2</v>
      </c>
      <c r="O6" s="173">
        <v>9.8000000000000004E-2</v>
      </c>
      <c r="P6" s="173">
        <v>6.2E-2</v>
      </c>
      <c r="Q6" s="173">
        <v>6.2E-2</v>
      </c>
      <c r="R6" s="173">
        <v>6.2E-2</v>
      </c>
      <c r="S6" s="173">
        <v>6.2E-2</v>
      </c>
      <c r="T6" s="173">
        <v>6.2E-2</v>
      </c>
      <c r="U6" s="173">
        <v>6.2E-2</v>
      </c>
      <c r="V6" s="173">
        <v>6.2E-2</v>
      </c>
      <c r="W6" s="174">
        <v>6.2E-2</v>
      </c>
      <c r="X6" s="174">
        <v>6.2E-2</v>
      </c>
      <c r="Y6" s="1"/>
    </row>
    <row r="7" spans="1:25" ht="21" customHeight="1" x14ac:dyDescent="0.2">
      <c r="A7" s="605"/>
      <c r="B7" s="620"/>
      <c r="C7" s="623"/>
      <c r="D7" s="606"/>
      <c r="E7" s="606"/>
      <c r="F7" s="175" t="s">
        <v>224</v>
      </c>
      <c r="G7" s="176">
        <v>2025</v>
      </c>
      <c r="H7" s="176" t="s">
        <v>223</v>
      </c>
      <c r="I7" s="176">
        <v>0.06</v>
      </c>
      <c r="J7" s="176">
        <v>5.5E-2</v>
      </c>
      <c r="K7" s="176">
        <v>7.0999999999999994E-2</v>
      </c>
      <c r="L7" s="176">
        <v>5.5E-2</v>
      </c>
      <c r="M7" s="176">
        <v>5.5E-2</v>
      </c>
      <c r="N7" s="176">
        <v>0.06</v>
      </c>
      <c r="O7" s="176">
        <v>0.06</v>
      </c>
      <c r="P7" s="176">
        <v>5.5E-2</v>
      </c>
      <c r="Q7" s="176">
        <v>5.5E-2</v>
      </c>
      <c r="R7" s="176">
        <v>5.5E-2</v>
      </c>
      <c r="S7" s="176">
        <v>5.5E-2</v>
      </c>
      <c r="T7" s="176">
        <v>5.5E-2</v>
      </c>
      <c r="U7" s="176">
        <v>5.5E-2</v>
      </c>
      <c r="V7" s="176">
        <v>5.5E-2</v>
      </c>
      <c r="W7" s="177">
        <v>5.5E-2</v>
      </c>
      <c r="X7" s="177">
        <v>5.5E-2</v>
      </c>
      <c r="Y7" s="1"/>
    </row>
    <row r="8" spans="1:25" ht="21" customHeight="1" x14ac:dyDescent="0.2">
      <c r="A8" s="605" t="s">
        <v>225</v>
      </c>
      <c r="B8" s="608" t="s">
        <v>226</v>
      </c>
      <c r="C8" s="624" t="s">
        <v>227</v>
      </c>
      <c r="D8" s="611" t="s">
        <v>228</v>
      </c>
      <c r="E8" s="606" t="s">
        <v>214</v>
      </c>
      <c r="F8" s="536" t="s">
        <v>215</v>
      </c>
      <c r="G8" s="536" t="s">
        <v>216</v>
      </c>
      <c r="H8" s="604" t="s">
        <v>229</v>
      </c>
      <c r="I8" s="536">
        <v>5.7000000000000002E-2</v>
      </c>
      <c r="J8" s="536">
        <v>5.7000000000000002E-2</v>
      </c>
      <c r="K8" s="536">
        <v>5.7000000000000002E-2</v>
      </c>
      <c r="L8" s="536">
        <v>5.7000000000000002E-2</v>
      </c>
      <c r="M8" s="536">
        <v>5.7000000000000002E-2</v>
      </c>
      <c r="N8" s="536">
        <v>7.8E-2</v>
      </c>
      <c r="O8" s="536">
        <v>7.8E-2</v>
      </c>
      <c r="P8" s="536">
        <v>7.8E-2</v>
      </c>
      <c r="Q8" s="536">
        <v>7.8E-2</v>
      </c>
      <c r="R8" s="536">
        <v>7.8E-2</v>
      </c>
      <c r="S8" s="536">
        <v>5.7000000000000002E-2</v>
      </c>
      <c r="T8" s="536">
        <v>5.7000000000000002E-2</v>
      </c>
      <c r="U8" s="536">
        <v>5.7000000000000002E-2</v>
      </c>
      <c r="V8" s="536">
        <v>5.7000000000000002E-2</v>
      </c>
      <c r="W8" s="536">
        <v>5.7000000000000002E-2</v>
      </c>
      <c r="X8" s="536">
        <v>5.7000000000000002E-2</v>
      </c>
      <c r="Y8" s="132"/>
    </row>
    <row r="9" spans="1:25" ht="21" customHeight="1" x14ac:dyDescent="0.2">
      <c r="A9" s="605"/>
      <c r="B9" s="609"/>
      <c r="C9" s="624"/>
      <c r="D9" s="611"/>
      <c r="E9" s="606"/>
      <c r="F9" s="536" t="s">
        <v>218</v>
      </c>
      <c r="G9" s="536">
        <v>1992</v>
      </c>
      <c r="H9" s="604"/>
      <c r="I9" s="536">
        <v>5.7000000000000002E-2</v>
      </c>
      <c r="J9" s="536">
        <v>5.7000000000000002E-2</v>
      </c>
      <c r="K9" s="536">
        <v>5.7000000000000002E-2</v>
      </c>
      <c r="L9" s="536">
        <v>5.7000000000000002E-2</v>
      </c>
      <c r="M9" s="536">
        <v>5.7000000000000002E-2</v>
      </c>
      <c r="N9" s="536">
        <v>7.8E-2</v>
      </c>
      <c r="O9" s="536">
        <v>7.8E-2</v>
      </c>
      <c r="P9" s="536">
        <v>7.8E-2</v>
      </c>
      <c r="Q9" s="536">
        <v>7.8E-2</v>
      </c>
      <c r="R9" s="536">
        <v>7.8E-2</v>
      </c>
      <c r="S9" s="536">
        <v>5.7000000000000002E-2</v>
      </c>
      <c r="T9" s="536">
        <v>5.7000000000000002E-2</v>
      </c>
      <c r="U9" s="536">
        <v>5.7000000000000002E-2</v>
      </c>
      <c r="V9" s="536">
        <v>5.7000000000000002E-2</v>
      </c>
      <c r="W9" s="536">
        <v>5.7000000000000002E-2</v>
      </c>
      <c r="X9" s="536">
        <v>5.7000000000000002E-2</v>
      </c>
      <c r="Y9" s="132"/>
    </row>
    <row r="10" spans="1:25" ht="21" customHeight="1" x14ac:dyDescent="0.2">
      <c r="A10" s="605"/>
      <c r="B10" s="609"/>
      <c r="C10" s="624"/>
      <c r="D10" s="611"/>
      <c r="E10" s="606"/>
      <c r="F10" s="171" t="s">
        <v>220</v>
      </c>
      <c r="G10" s="171">
        <v>2001</v>
      </c>
      <c r="H10" s="171" t="s">
        <v>221</v>
      </c>
      <c r="I10" s="171">
        <v>5.7000000000000002E-2</v>
      </c>
      <c r="J10" s="171">
        <v>5.7000000000000002E-2</v>
      </c>
      <c r="K10" s="171">
        <v>5.7000000000000002E-2</v>
      </c>
      <c r="L10" s="171">
        <v>5.7000000000000002E-2</v>
      </c>
      <c r="M10" s="171">
        <v>5.7000000000000002E-2</v>
      </c>
      <c r="N10" s="171">
        <v>7.8E-2</v>
      </c>
      <c r="O10" s="171">
        <v>7.8E-2</v>
      </c>
      <c r="P10" s="171">
        <v>7.8E-2</v>
      </c>
      <c r="Q10" s="171">
        <v>7.8E-2</v>
      </c>
      <c r="R10" s="171">
        <v>5.7000000000000002E-2</v>
      </c>
      <c r="S10" s="171">
        <v>5.7000000000000002E-2</v>
      </c>
      <c r="T10" s="171">
        <v>5.7000000000000002E-2</v>
      </c>
      <c r="U10" s="171">
        <v>5.7000000000000002E-2</v>
      </c>
      <c r="V10" s="171">
        <v>5.7000000000000002E-2</v>
      </c>
      <c r="W10" s="171">
        <v>5.7000000000000002E-2</v>
      </c>
      <c r="X10" s="171">
        <v>5.7000000000000002E-2</v>
      </c>
      <c r="Y10" s="132"/>
    </row>
    <row r="11" spans="1:25" ht="21" customHeight="1" x14ac:dyDescent="0.2">
      <c r="A11" s="605"/>
      <c r="B11" s="609"/>
      <c r="C11" s="624"/>
      <c r="D11" s="611"/>
      <c r="E11" s="606"/>
      <c r="F11" s="173" t="s">
        <v>222</v>
      </c>
      <c r="G11" s="173">
        <v>2013</v>
      </c>
      <c r="H11" s="173" t="s">
        <v>223</v>
      </c>
      <c r="I11" s="173">
        <v>4.9000000000000002E-2</v>
      </c>
      <c r="J11" s="173">
        <v>3.9E-2</v>
      </c>
      <c r="K11" s="173">
        <v>3.9E-2</v>
      </c>
      <c r="L11" s="173">
        <v>3.9E-2</v>
      </c>
      <c r="M11" s="173">
        <v>4.9000000000000002E-2</v>
      </c>
      <c r="N11" s="173">
        <v>7.4999999999999997E-2</v>
      </c>
      <c r="O11" s="173">
        <v>6.7000000000000004E-2</v>
      </c>
      <c r="P11" s="173">
        <v>6.7000000000000004E-2</v>
      </c>
      <c r="Q11" s="173">
        <v>3.9E-2</v>
      </c>
      <c r="R11" s="173">
        <v>3.9E-2</v>
      </c>
      <c r="S11" s="173">
        <v>3.9E-2</v>
      </c>
      <c r="T11" s="173">
        <v>3.9E-2</v>
      </c>
      <c r="U11" s="173">
        <v>3.9E-2</v>
      </c>
      <c r="V11" s="173">
        <v>3.9E-2</v>
      </c>
      <c r="W11" s="173">
        <v>3.9E-2</v>
      </c>
      <c r="X11" s="173">
        <v>3.9E-2</v>
      </c>
      <c r="Y11" s="132"/>
    </row>
    <row r="12" spans="1:25" ht="21" customHeight="1" x14ac:dyDescent="0.2">
      <c r="A12" s="605"/>
      <c r="B12" s="610"/>
      <c r="C12" s="624"/>
      <c r="D12" s="611"/>
      <c r="E12" s="606"/>
      <c r="F12" s="175" t="s">
        <v>224</v>
      </c>
      <c r="G12" s="176">
        <v>2025</v>
      </c>
      <c r="H12" s="176" t="s">
        <v>223</v>
      </c>
      <c r="I12" s="176">
        <v>3.7999999999999999E-2</v>
      </c>
      <c r="J12" s="176">
        <v>3.7999999999999999E-2</v>
      </c>
      <c r="K12" s="176">
        <v>3.7999999999999999E-2</v>
      </c>
      <c r="L12" s="176">
        <v>3.7999999999999999E-2</v>
      </c>
      <c r="M12" s="176">
        <v>3.7999999999999999E-2</v>
      </c>
      <c r="N12" s="176">
        <v>3.7999999999999999E-2</v>
      </c>
      <c r="O12" s="176">
        <v>3.7999999999999999E-2</v>
      </c>
      <c r="P12" s="176">
        <v>3.7999999999999999E-2</v>
      </c>
      <c r="Q12" s="176">
        <v>3.7999999999999999E-2</v>
      </c>
      <c r="R12" s="176">
        <v>3.7999999999999999E-2</v>
      </c>
      <c r="S12" s="176">
        <v>3.7999999999999999E-2</v>
      </c>
      <c r="T12" s="176">
        <v>3.7999999999999999E-2</v>
      </c>
      <c r="U12" s="176">
        <v>3.7999999999999999E-2</v>
      </c>
      <c r="V12" s="176">
        <v>3.7999999999999999E-2</v>
      </c>
      <c r="W12" s="176">
        <v>3.7999999999999999E-2</v>
      </c>
      <c r="X12" s="176">
        <v>3.7999999999999999E-2</v>
      </c>
      <c r="Y12" s="132"/>
    </row>
    <row r="13" spans="1:25" ht="18.600000000000001" customHeight="1" x14ac:dyDescent="0.2">
      <c r="A13" s="605" t="s">
        <v>230</v>
      </c>
      <c r="B13" s="620" t="s">
        <v>37</v>
      </c>
      <c r="C13" s="607" t="s">
        <v>231</v>
      </c>
      <c r="D13" s="604" t="s">
        <v>232</v>
      </c>
      <c r="E13" s="606" t="s">
        <v>214</v>
      </c>
      <c r="F13" s="536" t="s">
        <v>215</v>
      </c>
      <c r="G13" s="536" t="s">
        <v>216</v>
      </c>
      <c r="H13" s="604" t="s">
        <v>233</v>
      </c>
      <c r="I13" s="178">
        <f t="shared" ref="I13:X14" si="0">0.338*1.12+0.67*0.36</f>
        <v>0.61976000000000009</v>
      </c>
      <c r="J13" s="178">
        <f t="shared" si="0"/>
        <v>0.61976000000000009</v>
      </c>
      <c r="K13" s="178">
        <f t="shared" si="0"/>
        <v>0.61976000000000009</v>
      </c>
      <c r="L13" s="178">
        <f t="shared" si="0"/>
        <v>0.61976000000000009</v>
      </c>
      <c r="M13" s="178">
        <f t="shared" si="0"/>
        <v>0.61976000000000009</v>
      </c>
      <c r="N13" s="178">
        <f t="shared" si="0"/>
        <v>0.61976000000000009</v>
      </c>
      <c r="O13" s="178">
        <f t="shared" si="0"/>
        <v>0.61976000000000009</v>
      </c>
      <c r="P13" s="178">
        <f t="shared" si="0"/>
        <v>0.61976000000000009</v>
      </c>
      <c r="Q13" s="178">
        <f t="shared" si="0"/>
        <v>0.61976000000000009</v>
      </c>
      <c r="R13" s="178">
        <f t="shared" si="0"/>
        <v>0.61976000000000009</v>
      </c>
      <c r="S13" s="178">
        <f t="shared" si="0"/>
        <v>0.61976000000000009</v>
      </c>
      <c r="T13" s="178">
        <f t="shared" si="0"/>
        <v>0.61976000000000009</v>
      </c>
      <c r="U13" s="178">
        <f t="shared" si="0"/>
        <v>0.61976000000000009</v>
      </c>
      <c r="V13" s="178">
        <f t="shared" si="0"/>
        <v>0.61976000000000009</v>
      </c>
      <c r="W13" s="178">
        <f t="shared" si="0"/>
        <v>0.61976000000000009</v>
      </c>
      <c r="X13" s="178">
        <f t="shared" si="0"/>
        <v>0.61976000000000009</v>
      </c>
      <c r="Y13" s="132"/>
    </row>
    <row r="14" spans="1:25" ht="18.600000000000001" customHeight="1" x14ac:dyDescent="0.2">
      <c r="A14" s="605"/>
      <c r="B14" s="620"/>
      <c r="C14" s="607"/>
      <c r="D14" s="604"/>
      <c r="E14" s="606"/>
      <c r="F14" s="536" t="s">
        <v>218</v>
      </c>
      <c r="G14" s="536" t="s">
        <v>216</v>
      </c>
      <c r="H14" s="604"/>
      <c r="I14" s="178">
        <f t="shared" si="0"/>
        <v>0.61976000000000009</v>
      </c>
      <c r="J14" s="178">
        <f t="shared" si="0"/>
        <v>0.61976000000000009</v>
      </c>
      <c r="K14" s="178">
        <f t="shared" si="0"/>
        <v>0.61976000000000009</v>
      </c>
      <c r="L14" s="178">
        <f t="shared" si="0"/>
        <v>0.61976000000000009</v>
      </c>
      <c r="M14" s="178">
        <f t="shared" si="0"/>
        <v>0.61976000000000009</v>
      </c>
      <c r="N14" s="178">
        <f t="shared" si="0"/>
        <v>0.61976000000000009</v>
      </c>
      <c r="O14" s="178">
        <f t="shared" si="0"/>
        <v>0.61976000000000009</v>
      </c>
      <c r="P14" s="178">
        <f t="shared" si="0"/>
        <v>0.61976000000000009</v>
      </c>
      <c r="Q14" s="178">
        <f t="shared" si="0"/>
        <v>0.61976000000000009</v>
      </c>
      <c r="R14" s="178">
        <f t="shared" si="0"/>
        <v>0.61976000000000009</v>
      </c>
      <c r="S14" s="178">
        <f t="shared" si="0"/>
        <v>0.61976000000000009</v>
      </c>
      <c r="T14" s="178">
        <f t="shared" si="0"/>
        <v>0.61976000000000009</v>
      </c>
      <c r="U14" s="178">
        <f t="shared" si="0"/>
        <v>0.61976000000000009</v>
      </c>
      <c r="V14" s="178">
        <f t="shared" si="0"/>
        <v>0.61976000000000009</v>
      </c>
      <c r="W14" s="178">
        <f t="shared" si="0"/>
        <v>0.61976000000000009</v>
      </c>
      <c r="X14" s="178">
        <f t="shared" si="0"/>
        <v>0.61976000000000009</v>
      </c>
      <c r="Y14" s="132"/>
    </row>
    <row r="15" spans="1:25" ht="18.600000000000001" customHeight="1" x14ac:dyDescent="0.2">
      <c r="A15" s="605"/>
      <c r="B15" s="620"/>
      <c r="C15" s="607"/>
      <c r="D15" s="606" t="s">
        <v>234</v>
      </c>
      <c r="E15" s="606"/>
      <c r="F15" s="171" t="s">
        <v>220</v>
      </c>
      <c r="G15" s="171">
        <v>2001</v>
      </c>
      <c r="H15" s="171" t="s">
        <v>221</v>
      </c>
      <c r="I15" s="171">
        <v>0.49</v>
      </c>
      <c r="J15" s="171">
        <v>0.49</v>
      </c>
      <c r="K15" s="171">
        <v>0.81</v>
      </c>
      <c r="L15" s="171">
        <v>0.81</v>
      </c>
      <c r="M15" s="171">
        <v>0.81</v>
      </c>
      <c r="N15" s="171">
        <v>0.81</v>
      </c>
      <c r="O15" s="171">
        <v>0.81</v>
      </c>
      <c r="P15" s="171">
        <v>0.81</v>
      </c>
      <c r="Q15" s="171">
        <v>0.81</v>
      </c>
      <c r="R15" s="171">
        <v>0.49</v>
      </c>
      <c r="S15" s="171">
        <v>0.49</v>
      </c>
      <c r="T15" s="171">
        <v>0.49</v>
      </c>
      <c r="U15" s="171">
        <v>0.49</v>
      </c>
      <c r="V15" s="171">
        <v>0.49</v>
      </c>
      <c r="W15" s="171">
        <v>0.49</v>
      </c>
      <c r="X15" s="171">
        <v>0.49</v>
      </c>
      <c r="Y15" s="132"/>
    </row>
    <row r="16" spans="1:25" ht="18.600000000000001" customHeight="1" x14ac:dyDescent="0.2">
      <c r="A16" s="605"/>
      <c r="B16" s="620"/>
      <c r="C16" s="607"/>
      <c r="D16" s="606"/>
      <c r="E16" s="606"/>
      <c r="F16" s="173" t="s">
        <v>222</v>
      </c>
      <c r="G16" s="173">
        <v>2013</v>
      </c>
      <c r="H16" s="173" t="s">
        <v>223</v>
      </c>
      <c r="I16" s="173">
        <v>0.36</v>
      </c>
      <c r="J16" s="173">
        <v>0.36</v>
      </c>
      <c r="K16" s="173">
        <v>0.36</v>
      </c>
      <c r="L16" s="173">
        <v>0.36</v>
      </c>
      <c r="M16" s="173">
        <v>0.36</v>
      </c>
      <c r="N16" s="173">
        <v>0.36</v>
      </c>
      <c r="O16" s="173">
        <v>0.36</v>
      </c>
      <c r="P16" s="173">
        <v>0.36</v>
      </c>
      <c r="Q16" s="173">
        <v>0.36</v>
      </c>
      <c r="R16" s="173">
        <v>0.36</v>
      </c>
      <c r="S16" s="173">
        <v>0.36</v>
      </c>
      <c r="T16" s="173">
        <v>0.36</v>
      </c>
      <c r="U16" s="173">
        <v>0.36</v>
      </c>
      <c r="V16" s="173">
        <v>0.36</v>
      </c>
      <c r="W16" s="173">
        <v>0.36</v>
      </c>
      <c r="X16" s="173">
        <v>0.36</v>
      </c>
      <c r="Y16" s="132"/>
    </row>
    <row r="17" spans="1:62" ht="18.600000000000001" customHeight="1" x14ac:dyDescent="0.2">
      <c r="A17" s="605"/>
      <c r="B17" s="620"/>
      <c r="C17" s="607"/>
      <c r="D17" s="606"/>
      <c r="E17" s="606"/>
      <c r="F17" s="175" t="s">
        <v>224</v>
      </c>
      <c r="G17" s="176">
        <v>2025</v>
      </c>
      <c r="H17" s="176" t="s">
        <v>223</v>
      </c>
      <c r="I17" s="176">
        <v>0.36</v>
      </c>
      <c r="J17" s="176">
        <v>0.36</v>
      </c>
      <c r="K17" s="176">
        <v>0.36</v>
      </c>
      <c r="L17" s="176">
        <v>0.36</v>
      </c>
      <c r="M17" s="176">
        <v>0.36</v>
      </c>
      <c r="N17" s="176">
        <v>0.36</v>
      </c>
      <c r="O17" s="176">
        <v>0.36</v>
      </c>
      <c r="P17" s="176">
        <v>0.36</v>
      </c>
      <c r="Q17" s="176">
        <v>0.34</v>
      </c>
      <c r="R17" s="176">
        <v>0.36</v>
      </c>
      <c r="S17" s="176">
        <v>0.34</v>
      </c>
      <c r="T17" s="176">
        <v>0.34</v>
      </c>
      <c r="U17" s="176">
        <v>0.34</v>
      </c>
      <c r="V17" s="176">
        <v>0.34</v>
      </c>
      <c r="W17" s="176">
        <v>0.34</v>
      </c>
      <c r="X17" s="176">
        <v>0.36</v>
      </c>
      <c r="Y17" s="132"/>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row>
    <row r="18" spans="1:62" ht="18.600000000000001" customHeight="1" x14ac:dyDescent="0.2">
      <c r="A18" s="605"/>
      <c r="B18" s="620" t="s">
        <v>37</v>
      </c>
      <c r="C18" s="607" t="s">
        <v>231</v>
      </c>
      <c r="D18" s="604" t="s">
        <v>232</v>
      </c>
      <c r="E18" s="606" t="s">
        <v>235</v>
      </c>
      <c r="F18" s="536" t="s">
        <v>215</v>
      </c>
      <c r="G18" s="536" t="s">
        <v>216</v>
      </c>
      <c r="H18" s="604" t="s">
        <v>236</v>
      </c>
      <c r="I18" s="178">
        <f t="shared" ref="I18:X18" si="1">0.79*0.33+0.67*I21</f>
        <v>0.42820000000000003</v>
      </c>
      <c r="J18" s="178">
        <f t="shared" si="1"/>
        <v>0.42820000000000003</v>
      </c>
      <c r="K18" s="178">
        <f t="shared" si="1"/>
        <v>0.42820000000000003</v>
      </c>
      <c r="L18" s="178">
        <f t="shared" si="1"/>
        <v>0.42820000000000003</v>
      </c>
      <c r="M18" s="178">
        <f t="shared" si="1"/>
        <v>0.42820000000000003</v>
      </c>
      <c r="N18" s="178">
        <f t="shared" si="1"/>
        <v>0.42820000000000003</v>
      </c>
      <c r="O18" s="178">
        <f t="shared" si="1"/>
        <v>0.42820000000000003</v>
      </c>
      <c r="P18" s="178">
        <f t="shared" si="1"/>
        <v>0.42820000000000003</v>
      </c>
      <c r="Q18" s="178">
        <f t="shared" si="1"/>
        <v>0.42820000000000003</v>
      </c>
      <c r="R18" s="178">
        <f t="shared" si="1"/>
        <v>0.42820000000000003</v>
      </c>
      <c r="S18" s="178">
        <f t="shared" si="1"/>
        <v>0.42820000000000003</v>
      </c>
      <c r="T18" s="178">
        <f t="shared" si="1"/>
        <v>0.42820000000000003</v>
      </c>
      <c r="U18" s="178">
        <f t="shared" si="1"/>
        <v>0.42820000000000003</v>
      </c>
      <c r="V18" s="178">
        <f t="shared" si="1"/>
        <v>0.42820000000000003</v>
      </c>
      <c r="W18" s="178">
        <f t="shared" si="1"/>
        <v>0.42820000000000003</v>
      </c>
      <c r="X18" s="178">
        <f t="shared" si="1"/>
        <v>0.42820000000000003</v>
      </c>
      <c r="Y18" s="132"/>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row>
    <row r="19" spans="1:62" ht="18.600000000000001" customHeight="1" x14ac:dyDescent="0.2">
      <c r="A19" s="605"/>
      <c r="B19" s="620"/>
      <c r="C19" s="607"/>
      <c r="D19" s="604"/>
      <c r="E19" s="606"/>
      <c r="F19" s="536" t="s">
        <v>218</v>
      </c>
      <c r="G19" s="179" t="s">
        <v>216</v>
      </c>
      <c r="H19" s="604"/>
      <c r="I19" s="180">
        <f t="shared" ref="I19:X19" si="2">0.79*0.33+0.67*I21</f>
        <v>0.42820000000000003</v>
      </c>
      <c r="J19" s="180">
        <f t="shared" si="2"/>
        <v>0.42820000000000003</v>
      </c>
      <c r="K19" s="180">
        <f t="shared" si="2"/>
        <v>0.42820000000000003</v>
      </c>
      <c r="L19" s="180">
        <f t="shared" si="2"/>
        <v>0.42820000000000003</v>
      </c>
      <c r="M19" s="180">
        <f t="shared" si="2"/>
        <v>0.42820000000000003</v>
      </c>
      <c r="N19" s="180">
        <f t="shared" si="2"/>
        <v>0.42820000000000003</v>
      </c>
      <c r="O19" s="180">
        <f t="shared" si="2"/>
        <v>0.42820000000000003</v>
      </c>
      <c r="P19" s="180">
        <f t="shared" si="2"/>
        <v>0.42820000000000003</v>
      </c>
      <c r="Q19" s="180">
        <f t="shared" si="2"/>
        <v>0.42820000000000003</v>
      </c>
      <c r="R19" s="180">
        <f t="shared" si="2"/>
        <v>0.42820000000000003</v>
      </c>
      <c r="S19" s="180">
        <f t="shared" si="2"/>
        <v>0.42820000000000003</v>
      </c>
      <c r="T19" s="180">
        <f t="shared" si="2"/>
        <v>0.42820000000000003</v>
      </c>
      <c r="U19" s="180">
        <f t="shared" si="2"/>
        <v>0.42820000000000003</v>
      </c>
      <c r="V19" s="180">
        <f t="shared" si="2"/>
        <v>0.42820000000000003</v>
      </c>
      <c r="W19" s="180">
        <f t="shared" si="2"/>
        <v>0.42820000000000003</v>
      </c>
      <c r="X19" s="180">
        <f t="shared" si="2"/>
        <v>0.42820000000000003</v>
      </c>
      <c r="Y19" s="132"/>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row>
    <row r="20" spans="1:62" ht="18.600000000000001" customHeight="1" x14ac:dyDescent="0.2">
      <c r="A20" s="605"/>
      <c r="B20" s="620"/>
      <c r="C20" s="607"/>
      <c r="D20" s="606" t="s">
        <v>234</v>
      </c>
      <c r="E20" s="606"/>
      <c r="F20" s="171" t="s">
        <v>220</v>
      </c>
      <c r="G20" s="171">
        <v>2001</v>
      </c>
      <c r="H20" s="181" t="s">
        <v>237</v>
      </c>
      <c r="I20" s="171">
        <v>0.43</v>
      </c>
      <c r="J20" s="171">
        <v>0.36</v>
      </c>
      <c r="K20" s="171">
        <v>0.55000000000000004</v>
      </c>
      <c r="L20" s="171">
        <v>0.55000000000000004</v>
      </c>
      <c r="M20" s="171">
        <v>0.55000000000000004</v>
      </c>
      <c r="N20" s="171">
        <v>0.61</v>
      </c>
      <c r="O20" s="171">
        <v>0.61</v>
      </c>
      <c r="P20" s="171">
        <v>0.61</v>
      </c>
      <c r="Q20" s="171">
        <v>0.61</v>
      </c>
      <c r="R20" s="171">
        <v>0.36</v>
      </c>
      <c r="S20" s="171">
        <v>0.36</v>
      </c>
      <c r="T20" s="171">
        <v>0.36</v>
      </c>
      <c r="U20" s="171">
        <v>0.36</v>
      </c>
      <c r="V20" s="171">
        <v>0.36</v>
      </c>
      <c r="W20" s="171">
        <v>0.36</v>
      </c>
      <c r="X20" s="171">
        <v>0.43</v>
      </c>
      <c r="Y20" s="132"/>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row>
    <row r="21" spans="1:62" ht="18.600000000000001" customHeight="1" x14ac:dyDescent="0.2">
      <c r="A21" s="605"/>
      <c r="B21" s="620"/>
      <c r="C21" s="607"/>
      <c r="D21" s="606"/>
      <c r="E21" s="606"/>
      <c r="F21" s="173" t="s">
        <v>222</v>
      </c>
      <c r="G21" s="173">
        <v>2013</v>
      </c>
      <c r="H21" s="173" t="s">
        <v>223</v>
      </c>
      <c r="I21" s="173">
        <v>0.25</v>
      </c>
      <c r="J21" s="173">
        <v>0.25</v>
      </c>
      <c r="K21" s="173">
        <v>0.25</v>
      </c>
      <c r="L21" s="173">
        <v>0.25</v>
      </c>
      <c r="M21" s="173">
        <v>0.25</v>
      </c>
      <c r="N21" s="173">
        <v>0.25</v>
      </c>
      <c r="O21" s="173">
        <v>0.25</v>
      </c>
      <c r="P21" s="173">
        <v>0.25</v>
      </c>
      <c r="Q21" s="173">
        <v>0.25</v>
      </c>
      <c r="R21" s="173">
        <v>0.25</v>
      </c>
      <c r="S21" s="173">
        <v>0.25</v>
      </c>
      <c r="T21" s="173">
        <v>0.25</v>
      </c>
      <c r="U21" s="173">
        <v>0.25</v>
      </c>
      <c r="V21" s="173">
        <v>0.25</v>
      </c>
      <c r="W21" s="173">
        <v>0.25</v>
      </c>
      <c r="X21" s="173">
        <v>0.25</v>
      </c>
      <c r="Y21" s="132"/>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row>
    <row r="22" spans="1:62" ht="18.600000000000001" customHeight="1" x14ac:dyDescent="0.2">
      <c r="A22" s="605"/>
      <c r="B22" s="620"/>
      <c r="C22" s="607"/>
      <c r="D22" s="606"/>
      <c r="E22" s="606"/>
      <c r="F22" s="175" t="s">
        <v>224</v>
      </c>
      <c r="G22" s="176">
        <v>2025</v>
      </c>
      <c r="H22" s="175" t="s">
        <v>223</v>
      </c>
      <c r="I22" s="176">
        <v>0.25</v>
      </c>
      <c r="J22" s="176">
        <v>0.25</v>
      </c>
      <c r="K22" s="176">
        <v>0.25</v>
      </c>
      <c r="L22" s="176">
        <v>0.25</v>
      </c>
      <c r="M22" s="176">
        <v>0.25</v>
      </c>
      <c r="N22" s="176">
        <v>0.25</v>
      </c>
      <c r="O22" s="176">
        <v>0.25</v>
      </c>
      <c r="P22" s="176">
        <v>0.25</v>
      </c>
      <c r="Q22" s="176">
        <v>0.22</v>
      </c>
      <c r="R22" s="176">
        <v>0.25</v>
      </c>
      <c r="S22" s="176">
        <v>0.22</v>
      </c>
      <c r="T22" s="176">
        <v>0.22</v>
      </c>
      <c r="U22" s="176">
        <v>0.22</v>
      </c>
      <c r="V22" s="176">
        <v>0.22</v>
      </c>
      <c r="W22" s="176">
        <v>0.22</v>
      </c>
      <c r="X22" s="176">
        <v>0.25</v>
      </c>
      <c r="Y22" s="132"/>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row>
    <row r="23" spans="1:62" ht="15" customHeight="1" x14ac:dyDescent="0.2">
      <c r="A23" s="3"/>
      <c r="B23" s="133"/>
      <c r="C23" s="3"/>
      <c r="D23" s="3"/>
      <c r="E23" s="3"/>
      <c r="F23" s="3"/>
      <c r="G23" s="248"/>
      <c r="H23" s="3"/>
      <c r="I23" s="3"/>
      <c r="J23" s="3"/>
      <c r="K23" s="3"/>
      <c r="L23" s="3"/>
      <c r="M23" s="3"/>
      <c r="N23" s="3"/>
      <c r="O23" s="3"/>
      <c r="P23" s="3"/>
      <c r="Q23" s="3"/>
      <c r="R23" s="3"/>
      <c r="S23" s="3"/>
      <c r="T23" s="3"/>
      <c r="U23" s="3"/>
      <c r="V23" s="3"/>
      <c r="W23" s="3"/>
      <c r="X23" s="3"/>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row>
    <row r="24" spans="1:62" ht="25.9" customHeight="1" x14ac:dyDescent="0.2">
      <c r="A24" s="3"/>
      <c r="B24" s="133"/>
      <c r="C24" s="3"/>
      <c r="D24" s="3"/>
      <c r="E24" s="89"/>
      <c r="F24" s="89"/>
      <c r="G24" s="89"/>
      <c r="H24" s="89"/>
      <c r="I24" s="89"/>
      <c r="J24" s="89"/>
      <c r="K24" s="89"/>
      <c r="L24" s="89"/>
      <c r="M24" s="286"/>
      <c r="N24" s="286"/>
      <c r="O24" s="286"/>
      <c r="P24" s="286"/>
      <c r="Q24" s="286"/>
      <c r="R24" s="286"/>
      <c r="S24" s="286"/>
      <c r="T24" s="286"/>
      <c r="U24" s="286"/>
      <c r="V24" s="286"/>
      <c r="W24" s="286"/>
      <c r="X24" s="286"/>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row>
    <row r="25" spans="1:62" ht="44.45" customHeight="1" x14ac:dyDescent="0.2">
      <c r="A25" s="1"/>
      <c r="B25" s="247"/>
      <c r="C25" s="1"/>
      <c r="D25" s="1"/>
      <c r="E25" s="612" t="s">
        <v>238</v>
      </c>
      <c r="F25" s="612"/>
      <c r="G25" s="612"/>
      <c r="H25" s="612"/>
      <c r="I25" s="612"/>
      <c r="J25" s="612"/>
      <c r="K25" s="612"/>
      <c r="L25" s="612"/>
      <c r="M25" s="612"/>
      <c r="N25" s="612"/>
      <c r="O25" s="612"/>
      <c r="P25" s="612"/>
      <c r="Q25" s="612"/>
      <c r="R25" s="612"/>
      <c r="S25" s="612"/>
      <c r="T25" s="612"/>
      <c r="U25" s="612"/>
      <c r="V25" s="612"/>
      <c r="W25" s="612"/>
      <c r="X25" s="612"/>
      <c r="Y25" s="89"/>
      <c r="Z25" s="89"/>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row>
    <row r="26" spans="1:62" ht="63" customHeight="1" x14ac:dyDescent="0.2">
      <c r="A26" s="1"/>
      <c r="B26" s="247"/>
      <c r="C26" s="1"/>
      <c r="D26" s="1"/>
      <c r="E26" s="161"/>
      <c r="F26" s="550" t="s">
        <v>193</v>
      </c>
      <c r="G26" s="161" t="s">
        <v>239</v>
      </c>
      <c r="H26" s="161" t="s">
        <v>89</v>
      </c>
      <c r="I26" s="613" t="s">
        <v>240</v>
      </c>
      <c r="J26" s="614"/>
      <c r="K26" s="614"/>
      <c r="L26" s="614"/>
      <c r="M26" s="614"/>
      <c r="N26" s="614"/>
      <c r="O26" s="614"/>
      <c r="P26" s="614"/>
      <c r="Q26" s="614"/>
      <c r="R26" s="614"/>
      <c r="S26" s="614"/>
      <c r="T26" s="614"/>
      <c r="U26" s="614"/>
      <c r="V26" s="614"/>
      <c r="W26" s="614"/>
      <c r="X26" s="615"/>
      <c r="Y26" s="160"/>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row>
    <row r="27" spans="1:62" ht="25.15" customHeight="1" x14ac:dyDescent="0.2">
      <c r="A27" s="1"/>
      <c r="B27" s="247"/>
      <c r="C27" s="1"/>
      <c r="D27" s="1"/>
      <c r="E27" s="625" t="s">
        <v>241</v>
      </c>
      <c r="F27" s="536" t="s">
        <v>215</v>
      </c>
      <c r="G27" s="535">
        <v>1.1000000000000001</v>
      </c>
      <c r="H27" s="162" t="s">
        <v>242</v>
      </c>
      <c r="I27" s="616">
        <v>0.31209999999999999</v>
      </c>
      <c r="J27" s="617"/>
      <c r="K27" s="617"/>
      <c r="L27" s="617"/>
      <c r="M27" s="617"/>
      <c r="N27" s="617"/>
      <c r="O27" s="617"/>
      <c r="P27" s="617"/>
      <c r="Q27" s="617"/>
      <c r="R27" s="617"/>
      <c r="S27" s="617"/>
      <c r="T27" s="617"/>
      <c r="U27" s="617"/>
      <c r="V27" s="617"/>
      <c r="W27" s="617"/>
      <c r="X27" s="618"/>
      <c r="Y27" s="7"/>
      <c r="Z27" s="1"/>
      <c r="AA27" s="581"/>
      <c r="AB27" s="581"/>
      <c r="AC27" s="581"/>
      <c r="AD27" s="581"/>
      <c r="AE27" s="581"/>
      <c r="AF27" s="581"/>
      <c r="AG27" s="581"/>
      <c r="AH27" s="581"/>
      <c r="AI27" s="581"/>
      <c r="AJ27" s="581"/>
      <c r="AK27" s="581"/>
      <c r="AL27" s="581"/>
      <c r="AM27" s="581"/>
      <c r="AN27" s="581"/>
      <c r="AO27" s="581"/>
      <c r="AP27" s="581"/>
      <c r="AQ27" s="581"/>
      <c r="AR27" s="581"/>
      <c r="AS27" s="581"/>
      <c r="AT27" s="581"/>
      <c r="AU27" s="581"/>
      <c r="AV27" s="581"/>
      <c r="AW27" s="581"/>
      <c r="AX27" s="1"/>
      <c r="AY27" s="1"/>
      <c r="AZ27" s="1"/>
      <c r="BA27" s="1"/>
      <c r="BB27" s="1"/>
      <c r="BC27" s="1"/>
      <c r="BD27" s="1"/>
      <c r="BE27" s="1"/>
      <c r="BF27" s="1"/>
      <c r="BG27" s="1"/>
      <c r="BH27" s="1"/>
      <c r="BI27" s="1"/>
      <c r="BJ27" s="1"/>
    </row>
    <row r="28" spans="1:62" ht="25.15" customHeight="1" x14ac:dyDescent="0.2">
      <c r="A28" s="1"/>
      <c r="B28" s="247"/>
      <c r="C28" s="1"/>
      <c r="D28" s="1"/>
      <c r="E28" s="625"/>
      <c r="F28" s="536" t="s">
        <v>218</v>
      </c>
      <c r="G28" s="535">
        <v>1.1000000000000001</v>
      </c>
      <c r="H28" s="162" t="s">
        <v>242</v>
      </c>
      <c r="I28" s="616">
        <v>0.31209999999999999</v>
      </c>
      <c r="J28" s="617"/>
      <c r="K28" s="617"/>
      <c r="L28" s="617"/>
      <c r="M28" s="617"/>
      <c r="N28" s="617"/>
      <c r="O28" s="617"/>
      <c r="P28" s="617"/>
      <c r="Q28" s="617"/>
      <c r="R28" s="617"/>
      <c r="S28" s="617"/>
      <c r="T28" s="617"/>
      <c r="U28" s="617"/>
      <c r="V28" s="617"/>
      <c r="W28" s="617"/>
      <c r="X28" s="618"/>
      <c r="Y28" s="7"/>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row>
    <row r="29" spans="1:62" ht="25.15" customHeight="1" x14ac:dyDescent="0.2">
      <c r="A29" s="1"/>
      <c r="B29" s="247"/>
      <c r="C29" s="1"/>
      <c r="D29" s="1"/>
      <c r="E29" s="625"/>
      <c r="F29" s="536" t="s">
        <v>220</v>
      </c>
      <c r="G29" s="535">
        <v>1.1000000000000001</v>
      </c>
      <c r="H29" s="162" t="s">
        <v>242</v>
      </c>
      <c r="I29" s="626">
        <v>0.31209999999999999</v>
      </c>
      <c r="J29" s="627"/>
      <c r="K29" s="627"/>
      <c r="L29" s="627"/>
      <c r="M29" s="627"/>
      <c r="N29" s="627"/>
      <c r="O29" s="627"/>
      <c r="P29" s="627"/>
      <c r="Q29" s="627"/>
      <c r="R29" s="627"/>
      <c r="S29" s="627"/>
      <c r="T29" s="627"/>
      <c r="U29" s="627"/>
      <c r="V29" s="627"/>
      <c r="W29" s="627"/>
      <c r="X29" s="628"/>
      <c r="Y29" s="90"/>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row>
    <row r="30" spans="1:62" ht="44.25" customHeight="1" x14ac:dyDescent="0.2">
      <c r="A30" s="1"/>
      <c r="B30" s="247"/>
      <c r="C30" s="1"/>
      <c r="D30" s="1"/>
      <c r="E30" s="625"/>
      <c r="F30" s="536" t="s">
        <v>222</v>
      </c>
      <c r="G30" s="535">
        <v>1</v>
      </c>
      <c r="H30" s="165" t="s">
        <v>243</v>
      </c>
      <c r="I30" s="616">
        <v>0.28560000000000002</v>
      </c>
      <c r="J30" s="617"/>
      <c r="K30" s="617"/>
      <c r="L30" s="617"/>
      <c r="M30" s="617"/>
      <c r="N30" s="617"/>
      <c r="O30" s="617"/>
      <c r="P30" s="617"/>
      <c r="Q30" s="617"/>
      <c r="R30" s="617"/>
      <c r="S30" s="617"/>
      <c r="T30" s="617"/>
      <c r="U30" s="617"/>
      <c r="V30" s="617"/>
      <c r="W30" s="617"/>
      <c r="X30" s="618"/>
      <c r="Y30" s="7"/>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row>
    <row r="31" spans="1:62" ht="39.75" customHeight="1" x14ac:dyDescent="0.2">
      <c r="A31" s="1"/>
      <c r="B31" s="247"/>
      <c r="C31" s="1"/>
      <c r="D31" s="1"/>
      <c r="E31" s="625"/>
      <c r="F31" s="536" t="s">
        <v>224</v>
      </c>
      <c r="G31" s="535">
        <v>0.6</v>
      </c>
      <c r="H31" s="166" t="s">
        <v>244</v>
      </c>
      <c r="I31" s="616">
        <v>0.17030000000000001</v>
      </c>
      <c r="J31" s="617"/>
      <c r="K31" s="617"/>
      <c r="L31" s="617"/>
      <c r="M31" s="617"/>
      <c r="N31" s="617"/>
      <c r="O31" s="617"/>
      <c r="P31" s="617"/>
      <c r="Q31" s="617"/>
      <c r="R31" s="617"/>
      <c r="S31" s="617"/>
      <c r="T31" s="617"/>
      <c r="U31" s="617"/>
      <c r="V31" s="617"/>
      <c r="W31" s="617"/>
      <c r="X31" s="618"/>
      <c r="Y31" s="7"/>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row>
    <row r="32" spans="1:62" x14ac:dyDescent="0.2">
      <c r="A32" s="1"/>
      <c r="B32" s="247"/>
      <c r="C32" s="1"/>
      <c r="D32" s="1"/>
      <c r="E32" s="3" t="s">
        <v>245</v>
      </c>
      <c r="F32" s="1"/>
      <c r="G32" s="90"/>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row>
    <row r="33" spans="1:26" ht="15" x14ac:dyDescent="0.25">
      <c r="A33" s="1"/>
      <c r="B33" s="247"/>
      <c r="C33" s="1"/>
      <c r="D33" s="1"/>
      <c r="E33" s="3" t="s">
        <v>246</v>
      </c>
      <c r="F33" s="1"/>
      <c r="G33" s="327" t="s">
        <v>247</v>
      </c>
      <c r="H33" s="1"/>
      <c r="I33" s="1"/>
      <c r="J33" s="1"/>
      <c r="K33" s="1"/>
      <c r="L33" s="1"/>
      <c r="M33" s="1"/>
      <c r="N33" s="1"/>
      <c r="O33" s="1"/>
      <c r="P33" s="1"/>
      <c r="Q33" s="1"/>
      <c r="R33" s="1"/>
      <c r="S33" s="1"/>
      <c r="T33" s="1"/>
      <c r="U33" s="1"/>
      <c r="V33" s="1"/>
      <c r="W33" s="1"/>
      <c r="X33" s="1"/>
      <c r="Y33" s="1"/>
      <c r="Z33" s="1"/>
    </row>
    <row r="34" spans="1:26" x14ac:dyDescent="0.2">
      <c r="A34" s="1"/>
      <c r="B34" s="247"/>
      <c r="C34" s="1"/>
      <c r="D34" s="1"/>
      <c r="E34" s="1"/>
      <c r="F34" s="1"/>
      <c r="G34" s="90"/>
      <c r="H34" s="1"/>
      <c r="I34" s="1"/>
      <c r="J34" s="1"/>
      <c r="K34" s="1"/>
      <c r="L34" s="1"/>
      <c r="M34" s="1"/>
      <c r="N34" s="1"/>
      <c r="O34" s="1"/>
      <c r="P34" s="1"/>
      <c r="Q34" s="1"/>
      <c r="R34" s="1"/>
      <c r="S34" s="1"/>
      <c r="T34" s="1"/>
      <c r="U34" s="1"/>
      <c r="V34" s="1"/>
      <c r="W34" s="1"/>
      <c r="X34" s="1"/>
      <c r="Y34" s="1"/>
      <c r="Z34" s="1"/>
    </row>
  </sheetData>
  <mergeCells count="38">
    <mergeCell ref="AT27:AW27"/>
    <mergeCell ref="AF27:AJ27"/>
    <mergeCell ref="AA27:AE27"/>
    <mergeCell ref="AK27:AO27"/>
    <mergeCell ref="E27:E31"/>
    <mergeCell ref="I29:X29"/>
    <mergeCell ref="I30:X30"/>
    <mergeCell ref="I31:X31"/>
    <mergeCell ref="I28:X28"/>
    <mergeCell ref="AP27:AS27"/>
    <mergeCell ref="E25:X25"/>
    <mergeCell ref="I26:X26"/>
    <mergeCell ref="I27:X27"/>
    <mergeCell ref="A1:X1"/>
    <mergeCell ref="D18:D19"/>
    <mergeCell ref="C18:C22"/>
    <mergeCell ref="E18:E22"/>
    <mergeCell ref="A13:A22"/>
    <mergeCell ref="B18:B22"/>
    <mergeCell ref="B13:B17"/>
    <mergeCell ref="D3:D7"/>
    <mergeCell ref="B3:B7"/>
    <mergeCell ref="A3:A7"/>
    <mergeCell ref="C3:C7"/>
    <mergeCell ref="C8:C12"/>
    <mergeCell ref="E3:E7"/>
    <mergeCell ref="H8:H9"/>
    <mergeCell ref="H13:H14"/>
    <mergeCell ref="H18:H19"/>
    <mergeCell ref="A8:A12"/>
    <mergeCell ref="D20:D22"/>
    <mergeCell ref="C13:C17"/>
    <mergeCell ref="B8:B12"/>
    <mergeCell ref="E8:E12"/>
    <mergeCell ref="E13:E17"/>
    <mergeCell ref="D8:D12"/>
    <mergeCell ref="D15:D17"/>
    <mergeCell ref="D13:D14"/>
  </mergeCells>
  <phoneticPr fontId="5" type="noConversion"/>
  <hyperlinks>
    <hyperlink ref="G33" r:id="rId1" xr:uid="{4A1521E0-F8A0-4820-95C1-4CD6F43904D6}"/>
    <hyperlink ref="H27" r:id="rId2" xr:uid="{41AD9FFF-609E-4AE3-98F2-52C38EDBABB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69"/>
  <sheetViews>
    <sheetView zoomScale="80" zoomScaleNormal="80" workbookViewId="0">
      <selection sqref="A1:H1"/>
    </sheetView>
  </sheetViews>
  <sheetFormatPr defaultColWidth="8.7109375" defaultRowHeight="12.75" x14ac:dyDescent="0.2"/>
  <cols>
    <col min="1" max="1" width="26" style="3" customWidth="1"/>
    <col min="2" max="2" width="29.140625" style="3" customWidth="1"/>
    <col min="3" max="3" width="25.28515625" style="3" customWidth="1"/>
    <col min="4" max="4" width="29.42578125" style="3" customWidth="1"/>
    <col min="5" max="5" width="32" style="3" customWidth="1"/>
    <col min="6" max="6" width="48.28515625" style="3" bestFit="1" customWidth="1"/>
    <col min="7" max="7" width="37.7109375" style="3" customWidth="1"/>
    <col min="8" max="8" width="41.5703125" style="3" bestFit="1" customWidth="1"/>
    <col min="9" max="9" width="24.28515625" style="3" customWidth="1"/>
    <col min="10" max="11" width="12.7109375" style="3" customWidth="1"/>
    <col min="12" max="19" width="15.28515625" style="3" customWidth="1"/>
    <col min="20" max="20" width="14.7109375" style="3" customWidth="1"/>
    <col min="21" max="21" width="13.5703125" style="3" customWidth="1"/>
    <col min="22" max="22" width="15.7109375" style="3" customWidth="1"/>
    <col min="23" max="29" width="11" style="3" customWidth="1"/>
    <col min="30" max="38" width="6.5703125" style="3" customWidth="1"/>
    <col min="39" max="39" width="8.7109375" style="3" customWidth="1"/>
    <col min="40" max="16384" width="8.7109375" style="3"/>
  </cols>
  <sheetData>
    <row r="1" spans="1:10" ht="27" customHeight="1" x14ac:dyDescent="0.2">
      <c r="A1" s="644" t="str">
        <f>"HVAC system - "&amp;Prototype!A2</f>
        <v>HVAC system - Hospital</v>
      </c>
      <c r="B1" s="644"/>
      <c r="C1" s="644"/>
      <c r="D1" s="644"/>
      <c r="E1" s="644"/>
      <c r="F1" s="644"/>
      <c r="G1" s="644"/>
      <c r="H1" s="644"/>
    </row>
    <row r="2" spans="1:10" ht="19.149999999999999" customHeight="1" x14ac:dyDescent="0.2">
      <c r="A2" s="550" t="s">
        <v>193</v>
      </c>
      <c r="B2" s="184" t="s">
        <v>248</v>
      </c>
      <c r="C2" s="184" t="s">
        <v>249</v>
      </c>
      <c r="D2" s="184" t="s">
        <v>250</v>
      </c>
      <c r="E2" s="184" t="s">
        <v>251</v>
      </c>
      <c r="F2" s="209" t="s">
        <v>252</v>
      </c>
      <c r="G2" s="184" t="s">
        <v>41</v>
      </c>
      <c r="H2" s="184" t="s">
        <v>89</v>
      </c>
    </row>
    <row r="3" spans="1:10" ht="44.45" customHeight="1" x14ac:dyDescent="0.2">
      <c r="A3" s="604" t="s">
        <v>253</v>
      </c>
      <c r="B3" s="535" t="s">
        <v>130</v>
      </c>
      <c r="C3" s="222" t="s">
        <v>254</v>
      </c>
      <c r="D3" s="536" t="s">
        <v>255</v>
      </c>
      <c r="E3" s="536" t="s">
        <v>256</v>
      </c>
      <c r="F3" s="535" t="s">
        <v>257</v>
      </c>
      <c r="G3" s="535" t="s">
        <v>258</v>
      </c>
      <c r="H3" s="538"/>
      <c r="I3" s="531"/>
      <c r="J3" s="531"/>
    </row>
    <row r="4" spans="1:10" ht="36.6" customHeight="1" x14ac:dyDescent="0.2">
      <c r="A4" s="604"/>
      <c r="B4" s="552" t="s">
        <v>259</v>
      </c>
      <c r="C4" s="324" t="s">
        <v>254</v>
      </c>
      <c r="D4" s="546" t="s">
        <v>255</v>
      </c>
      <c r="E4" s="535" t="s">
        <v>260</v>
      </c>
      <c r="F4" s="540"/>
      <c r="G4" s="552" t="s">
        <v>258</v>
      </c>
      <c r="H4" s="325"/>
      <c r="I4" s="531"/>
      <c r="J4" s="531"/>
    </row>
    <row r="5" spans="1:10" ht="35.450000000000003" customHeight="1" x14ac:dyDescent="0.2">
      <c r="A5" s="606" t="s">
        <v>261</v>
      </c>
      <c r="B5" s="535" t="s">
        <v>130</v>
      </c>
      <c r="C5" s="249" t="s">
        <v>254</v>
      </c>
      <c r="D5" s="536" t="s">
        <v>255</v>
      </c>
      <c r="E5" s="536" t="s">
        <v>262</v>
      </c>
      <c r="F5" s="535" t="s">
        <v>263</v>
      </c>
      <c r="G5" s="535" t="s">
        <v>264</v>
      </c>
      <c r="H5" s="223" t="s">
        <v>265</v>
      </c>
      <c r="I5" s="81"/>
      <c r="J5" s="81"/>
    </row>
    <row r="6" spans="1:10" ht="36.6" customHeight="1" x14ac:dyDescent="0.2">
      <c r="A6" s="606"/>
      <c r="B6" s="535" t="s">
        <v>266</v>
      </c>
      <c r="C6" s="249" t="s">
        <v>254</v>
      </c>
      <c r="D6" s="537" t="s">
        <v>255</v>
      </c>
      <c r="E6" s="535" t="s">
        <v>267</v>
      </c>
      <c r="F6" s="535"/>
      <c r="G6" s="535" t="s">
        <v>264</v>
      </c>
      <c r="H6" s="223" t="s">
        <v>268</v>
      </c>
      <c r="I6" s="70"/>
      <c r="J6" s="70"/>
    </row>
    <row r="7" spans="1:10" x14ac:dyDescent="0.2">
      <c r="A7" s="533"/>
      <c r="B7" s="533"/>
      <c r="C7" s="5"/>
      <c r="D7" s="5"/>
      <c r="E7" s="5"/>
      <c r="F7" s="70"/>
      <c r="G7" s="70"/>
      <c r="H7" s="70"/>
      <c r="I7" s="70"/>
    </row>
    <row r="8" spans="1:10" ht="15.6" customHeight="1" x14ac:dyDescent="0.2">
      <c r="A8" s="5"/>
      <c r="B8" s="5"/>
      <c r="C8" s="5"/>
      <c r="D8" s="5"/>
      <c r="E8" s="5"/>
    </row>
    <row r="9" spans="1:10" x14ac:dyDescent="0.2">
      <c r="A9" s="531"/>
      <c r="B9" s="5"/>
      <c r="C9" s="5"/>
      <c r="D9" s="5"/>
      <c r="E9" s="5"/>
    </row>
    <row r="10" spans="1:10" x14ac:dyDescent="0.2">
      <c r="A10" s="5"/>
      <c r="B10" s="5"/>
      <c r="C10" s="5"/>
      <c r="D10" s="5"/>
      <c r="E10" s="5"/>
    </row>
    <row r="11" spans="1:10" ht="32.450000000000003" customHeight="1" x14ac:dyDescent="0.2">
      <c r="A11" s="650" t="s">
        <v>269</v>
      </c>
      <c r="B11" s="644"/>
      <c r="C11" s="644"/>
      <c r="D11" s="644"/>
      <c r="E11" s="644"/>
      <c r="F11" s="644"/>
      <c r="G11" s="644"/>
      <c r="H11" s="92"/>
    </row>
    <row r="12" spans="1:10" ht="43.9" customHeight="1" x14ac:dyDescent="0.2">
      <c r="A12" s="550"/>
      <c r="B12" s="550" t="s">
        <v>270</v>
      </c>
      <c r="C12" s="161" t="s">
        <v>271</v>
      </c>
      <c r="D12" s="161" t="s">
        <v>254</v>
      </c>
      <c r="E12" s="161" t="s">
        <v>272</v>
      </c>
      <c r="F12" s="184" t="s">
        <v>273</v>
      </c>
      <c r="G12" s="550" t="s">
        <v>89</v>
      </c>
    </row>
    <row r="13" spans="1:10" ht="22.15" customHeight="1" x14ac:dyDescent="0.2">
      <c r="A13" s="536" t="s">
        <v>215</v>
      </c>
      <c r="B13" s="606">
        <v>2008</v>
      </c>
      <c r="C13" s="604" t="s">
        <v>274</v>
      </c>
      <c r="D13" s="606" t="s">
        <v>275</v>
      </c>
      <c r="E13" s="604" t="s">
        <v>276</v>
      </c>
      <c r="F13" s="629" t="s">
        <v>277</v>
      </c>
      <c r="G13" s="629"/>
    </row>
    <row r="14" spans="1:10" ht="22.15" customHeight="1" x14ac:dyDescent="0.2">
      <c r="A14" s="536" t="s">
        <v>218</v>
      </c>
      <c r="B14" s="606"/>
      <c r="C14" s="604"/>
      <c r="D14" s="606"/>
      <c r="E14" s="604"/>
      <c r="F14" s="629"/>
      <c r="G14" s="629"/>
    </row>
    <row r="15" spans="1:10" ht="22.15" customHeight="1" x14ac:dyDescent="0.2">
      <c r="A15" s="536" t="s">
        <v>220</v>
      </c>
      <c r="B15" s="606"/>
      <c r="C15" s="604"/>
      <c r="D15" s="606"/>
      <c r="E15" s="604"/>
      <c r="F15" s="629"/>
      <c r="G15" s="629"/>
    </row>
    <row r="16" spans="1:10" ht="63.75" x14ac:dyDescent="0.2">
      <c r="A16" s="536" t="s">
        <v>222</v>
      </c>
      <c r="B16" s="224">
        <v>2013</v>
      </c>
      <c r="C16" s="535" t="s">
        <v>278</v>
      </c>
      <c r="D16" s="536" t="s">
        <v>279</v>
      </c>
      <c r="E16" s="535" t="s">
        <v>280</v>
      </c>
      <c r="F16" s="537" t="s">
        <v>281</v>
      </c>
      <c r="G16" s="539"/>
    </row>
    <row r="17" spans="1:9" ht="63.75" x14ac:dyDescent="0.2">
      <c r="A17" s="536" t="s">
        <v>261</v>
      </c>
      <c r="B17" s="224">
        <v>2025</v>
      </c>
      <c r="C17" s="535" t="s">
        <v>282</v>
      </c>
      <c r="D17" s="535" t="s">
        <v>283</v>
      </c>
      <c r="E17" s="535" t="s">
        <v>280</v>
      </c>
      <c r="F17" s="537" t="s">
        <v>284</v>
      </c>
      <c r="G17" s="539"/>
    </row>
    <row r="18" spans="1:9" x14ac:dyDescent="0.2">
      <c r="B18" s="6"/>
      <c r="C18" s="6"/>
      <c r="D18" s="42"/>
      <c r="E18" s="6"/>
    </row>
    <row r="19" spans="1:9" x14ac:dyDescent="0.2">
      <c r="A19" s="43"/>
      <c r="B19" s="6"/>
      <c r="C19" s="6" t="s">
        <v>285</v>
      </c>
      <c r="D19" s="42"/>
      <c r="E19" s="6"/>
    </row>
    <row r="20" spans="1:9" x14ac:dyDescent="0.2">
      <c r="B20" s="6"/>
      <c r="C20" s="6"/>
      <c r="D20" s="42"/>
      <c r="E20" s="6"/>
    </row>
    <row r="21" spans="1:9" x14ac:dyDescent="0.2">
      <c r="A21" s="136"/>
      <c r="B21" s="137"/>
      <c r="C21" s="137"/>
      <c r="D21" s="136"/>
      <c r="E21" s="136"/>
      <c r="F21" s="137"/>
      <c r="G21" s="136"/>
      <c r="H21" s="137"/>
    </row>
    <row r="22" spans="1:9" x14ac:dyDescent="0.2">
      <c r="A22" s="136"/>
      <c r="B22" s="137"/>
      <c r="C22" s="137"/>
      <c r="D22" s="136"/>
      <c r="E22" s="136"/>
      <c r="F22" s="137"/>
      <c r="G22" s="136"/>
      <c r="H22" s="137"/>
    </row>
    <row r="23" spans="1:9" x14ac:dyDescent="0.2">
      <c r="A23" s="136"/>
      <c r="B23" s="137"/>
      <c r="C23" s="137"/>
      <c r="D23" s="136"/>
      <c r="E23" s="136"/>
      <c r="F23" s="137"/>
      <c r="G23" s="136"/>
      <c r="H23" s="137"/>
    </row>
    <row r="24" spans="1:9" ht="15.75" x14ac:dyDescent="0.2">
      <c r="A24" s="631" t="s">
        <v>286</v>
      </c>
      <c r="B24" s="631"/>
      <c r="C24" s="631"/>
      <c r="D24" s="631"/>
      <c r="E24" s="631"/>
      <c r="F24" s="631"/>
      <c r="G24" s="631"/>
      <c r="H24" s="631"/>
      <c r="I24" s="631"/>
    </row>
    <row r="25" spans="1:9" ht="45.6" customHeight="1" x14ac:dyDescent="0.2">
      <c r="A25" s="207" t="s">
        <v>193</v>
      </c>
      <c r="B25" s="207" t="s">
        <v>287</v>
      </c>
      <c r="C25" s="207" t="s">
        <v>288</v>
      </c>
      <c r="D25" s="206" t="s">
        <v>289</v>
      </c>
      <c r="E25" s="206" t="s">
        <v>290</v>
      </c>
      <c r="F25" s="206" t="s">
        <v>291</v>
      </c>
      <c r="G25" s="206" t="s">
        <v>292</v>
      </c>
      <c r="H25" s="207" t="s">
        <v>293</v>
      </c>
      <c r="I25" s="207" t="s">
        <v>89</v>
      </c>
    </row>
    <row r="26" spans="1:9" ht="36" customHeight="1" x14ac:dyDescent="0.2">
      <c r="A26" s="632" t="s">
        <v>294</v>
      </c>
      <c r="B26" s="632" t="s">
        <v>295</v>
      </c>
      <c r="C26" s="541" t="s">
        <v>296</v>
      </c>
      <c r="D26" s="536">
        <v>4.09</v>
      </c>
      <c r="E26" s="606">
        <v>0.65</v>
      </c>
      <c r="F26" s="606">
        <v>0.9</v>
      </c>
      <c r="G26" s="634"/>
      <c r="H26" s="606" t="s">
        <v>297</v>
      </c>
      <c r="I26" s="225"/>
    </row>
    <row r="27" spans="1:9" ht="31.9" customHeight="1" x14ac:dyDescent="0.2">
      <c r="A27" s="633"/>
      <c r="B27" s="633"/>
      <c r="C27" s="227" t="s">
        <v>298</v>
      </c>
      <c r="D27" s="540">
        <v>1.33</v>
      </c>
      <c r="E27" s="630"/>
      <c r="F27" s="630"/>
      <c r="G27" s="635"/>
      <c r="H27" s="630"/>
      <c r="I27" s="228"/>
    </row>
    <row r="28" spans="1:9" ht="19.149999999999999" customHeight="1" x14ac:dyDescent="0.2">
      <c r="A28" s="287" t="s">
        <v>299</v>
      </c>
      <c r="B28" s="288"/>
      <c r="C28" s="288"/>
      <c r="D28" s="288"/>
      <c r="E28" s="288"/>
      <c r="F28" s="288"/>
      <c r="G28" s="288"/>
      <c r="H28" s="288"/>
      <c r="I28" s="289"/>
    </row>
    <row r="29" spans="1:9" ht="18" customHeight="1" x14ac:dyDescent="0.2">
      <c r="A29" s="290" t="s">
        <v>300</v>
      </c>
      <c r="B29" s="291"/>
      <c r="C29" s="291"/>
      <c r="D29" s="291"/>
      <c r="E29" s="291"/>
      <c r="F29" s="291"/>
      <c r="G29" s="291"/>
      <c r="H29" s="291"/>
      <c r="I29" s="292"/>
    </row>
    <row r="30" spans="1:9" ht="40.15" customHeight="1" x14ac:dyDescent="0.2">
      <c r="A30" s="648" t="s">
        <v>261</v>
      </c>
      <c r="B30" s="648" t="s">
        <v>301</v>
      </c>
      <c r="C30" s="229" t="s">
        <v>302</v>
      </c>
      <c r="D30" s="230">
        <f>G30*E30*F30/746*6356</f>
        <v>4.7200968096514746</v>
      </c>
      <c r="E30" s="648">
        <v>0.65</v>
      </c>
      <c r="F30" s="649">
        <v>0.9</v>
      </c>
      <c r="G30" s="229">
        <v>0.94699999999999995</v>
      </c>
      <c r="H30" s="648" t="s">
        <v>303</v>
      </c>
      <c r="I30" s="231"/>
    </row>
    <row r="31" spans="1:9" ht="38.450000000000003" customHeight="1" x14ac:dyDescent="0.2">
      <c r="A31" s="632"/>
      <c r="B31" s="632"/>
      <c r="C31" s="539" t="s">
        <v>304</v>
      </c>
      <c r="D31" s="226">
        <f>G31*E30*F30/746*6356</f>
        <v>4.7200968096514746</v>
      </c>
      <c r="E31" s="632"/>
      <c r="F31" s="606"/>
      <c r="G31" s="539">
        <v>0.94699999999999995</v>
      </c>
      <c r="H31" s="632"/>
      <c r="I31" s="158"/>
    </row>
    <row r="32" spans="1:9" x14ac:dyDescent="0.2">
      <c r="A32" s="136"/>
      <c r="B32" s="137"/>
      <c r="C32" s="137"/>
      <c r="D32" s="136"/>
      <c r="E32" s="136"/>
      <c r="F32" s="137"/>
      <c r="G32" s="136"/>
      <c r="H32" s="137"/>
    </row>
    <row r="33" spans="1:40" x14ac:dyDescent="0.2">
      <c r="A33" s="3" t="s">
        <v>305</v>
      </c>
    </row>
    <row r="34" spans="1:40" x14ac:dyDescent="0.2">
      <c r="A34" s="6" t="s">
        <v>306</v>
      </c>
    </row>
    <row r="35" spans="1:40" ht="13.9" customHeight="1" x14ac:dyDescent="0.2">
      <c r="A35" s="6" t="s">
        <v>307</v>
      </c>
      <c r="B35" s="8"/>
      <c r="E35" s="38"/>
    </row>
    <row r="36" spans="1:40" ht="35.25" customHeight="1" x14ac:dyDescent="0.2">
      <c r="U36" s="37"/>
      <c r="V36" s="55"/>
      <c r="W36" s="56"/>
      <c r="X36" s="56"/>
      <c r="Y36" s="56"/>
      <c r="Z36" s="56"/>
      <c r="AA36" s="56"/>
      <c r="AB36" s="56"/>
      <c r="AC36" s="56"/>
      <c r="AD36" s="56"/>
      <c r="AE36" s="56"/>
      <c r="AF36" s="56"/>
      <c r="AG36" s="56"/>
      <c r="AH36" s="56"/>
      <c r="AI36" s="56"/>
      <c r="AJ36" s="56"/>
      <c r="AK36" s="56"/>
      <c r="AL36" s="56"/>
    </row>
    <row r="37" spans="1:40" ht="35.25" customHeight="1" x14ac:dyDescent="0.2">
      <c r="A37" s="183" t="s">
        <v>184</v>
      </c>
      <c r="B37" s="183" t="s">
        <v>308</v>
      </c>
      <c r="C37" s="183" t="s">
        <v>308</v>
      </c>
      <c r="D37" s="183" t="s">
        <v>308</v>
      </c>
      <c r="E37" s="183" t="s">
        <v>308</v>
      </c>
      <c r="F37" s="183" t="s">
        <v>308</v>
      </c>
      <c r="G37" s="183" t="s">
        <v>308</v>
      </c>
      <c r="H37" s="183" t="s">
        <v>308</v>
      </c>
      <c r="I37" s="183" t="s">
        <v>308</v>
      </c>
      <c r="J37" s="183" t="s">
        <v>308</v>
      </c>
      <c r="K37" s="183" t="s">
        <v>308</v>
      </c>
      <c r="L37" s="183" t="s">
        <v>308</v>
      </c>
      <c r="M37" s="183" t="s">
        <v>308</v>
      </c>
      <c r="N37" s="183" t="s">
        <v>308</v>
      </c>
      <c r="O37" s="183" t="s">
        <v>308</v>
      </c>
      <c r="P37" s="183" t="s">
        <v>308</v>
      </c>
      <c r="Q37" s="183" t="s">
        <v>308</v>
      </c>
      <c r="R37" s="183" t="s">
        <v>308</v>
      </c>
      <c r="S37" s="183" t="s">
        <v>308</v>
      </c>
      <c r="T37" s="183" t="s">
        <v>308</v>
      </c>
      <c r="U37" s="183" t="s">
        <v>308</v>
      </c>
      <c r="V37" s="183" t="s">
        <v>308</v>
      </c>
      <c r="W37" s="183" t="s">
        <v>308</v>
      </c>
      <c r="X37" s="183" t="s">
        <v>308</v>
      </c>
      <c r="Y37" s="183" t="s">
        <v>308</v>
      </c>
      <c r="Z37" s="183" t="s">
        <v>308</v>
      </c>
      <c r="AA37" s="183" t="s">
        <v>308</v>
      </c>
      <c r="AB37" s="183" t="s">
        <v>308</v>
      </c>
      <c r="AC37" s="183" t="s">
        <v>308</v>
      </c>
      <c r="AD37" s="183" t="s">
        <v>308</v>
      </c>
      <c r="AE37" s="183" t="s">
        <v>308</v>
      </c>
      <c r="AF37" s="183" t="s">
        <v>308</v>
      </c>
      <c r="AG37" s="183" t="s">
        <v>308</v>
      </c>
      <c r="AH37" s="183" t="s">
        <v>308</v>
      </c>
      <c r="AI37" s="183" t="s">
        <v>308</v>
      </c>
      <c r="AJ37" s="183" t="s">
        <v>308</v>
      </c>
      <c r="AK37" s="183" t="s">
        <v>308</v>
      </c>
      <c r="AL37" s="183" t="s">
        <v>308</v>
      </c>
      <c r="AM37" s="183" t="s">
        <v>308</v>
      </c>
      <c r="AN37" s="183" t="s">
        <v>308</v>
      </c>
    </row>
    <row r="38" spans="1:40" ht="35.25" customHeight="1" x14ac:dyDescent="0.2">
      <c r="U38" s="37"/>
      <c r="V38" s="55"/>
      <c r="W38" s="56"/>
      <c r="X38" s="56"/>
      <c r="Y38" s="56"/>
      <c r="Z38" s="56"/>
      <c r="AA38" s="56"/>
      <c r="AB38" s="56"/>
      <c r="AC38" s="56"/>
      <c r="AD38" s="56"/>
      <c r="AE38" s="56"/>
      <c r="AF38" s="56"/>
      <c r="AG38" s="56"/>
      <c r="AH38" s="56"/>
      <c r="AI38" s="56"/>
      <c r="AJ38" s="56"/>
      <c r="AK38" s="56"/>
      <c r="AL38" s="56"/>
    </row>
    <row r="39" spans="1:40" ht="35.25" customHeight="1" x14ac:dyDescent="0.2">
      <c r="A39" s="645" t="s">
        <v>309</v>
      </c>
      <c r="B39" s="646" t="s">
        <v>249</v>
      </c>
      <c r="C39" s="646"/>
      <c r="D39" s="646"/>
      <c r="E39" s="646"/>
      <c r="F39" s="647" t="s">
        <v>250</v>
      </c>
      <c r="G39" s="647"/>
      <c r="H39" s="113" t="s">
        <v>251</v>
      </c>
      <c r="I39" s="640" t="s">
        <v>310</v>
      </c>
      <c r="J39" s="640"/>
      <c r="U39" s="37"/>
      <c r="V39" s="55"/>
      <c r="W39" s="56"/>
      <c r="X39" s="56"/>
      <c r="Y39" s="56"/>
      <c r="Z39" s="56"/>
      <c r="AA39" s="56"/>
      <c r="AB39" s="56"/>
      <c r="AC39" s="56"/>
      <c r="AD39" s="56"/>
      <c r="AE39" s="56"/>
      <c r="AF39" s="56"/>
      <c r="AG39" s="56"/>
      <c r="AH39" s="56"/>
      <c r="AI39" s="56"/>
      <c r="AJ39" s="56"/>
      <c r="AK39" s="56"/>
      <c r="AL39" s="56"/>
    </row>
    <row r="40" spans="1:40" ht="35.25" customHeight="1" x14ac:dyDescent="0.2">
      <c r="A40" s="645"/>
      <c r="B40" s="641" t="s">
        <v>311</v>
      </c>
      <c r="C40" s="542" t="s">
        <v>312</v>
      </c>
      <c r="D40" s="641" t="s">
        <v>313</v>
      </c>
      <c r="E40" s="641"/>
      <c r="F40" s="642" t="s">
        <v>314</v>
      </c>
      <c r="G40" s="543" t="s">
        <v>315</v>
      </c>
      <c r="H40" s="114" t="s">
        <v>316</v>
      </c>
      <c r="I40" s="643" t="s">
        <v>313</v>
      </c>
      <c r="J40" s="643"/>
      <c r="U40" s="37"/>
      <c r="V40" s="55"/>
      <c r="W40" s="56"/>
      <c r="X40" s="56"/>
      <c r="Y40" s="56"/>
      <c r="Z40" s="56"/>
      <c r="AA40" s="56"/>
      <c r="AB40" s="56"/>
      <c r="AC40" s="56"/>
      <c r="AD40" s="56"/>
      <c r="AE40" s="56"/>
      <c r="AF40" s="56"/>
      <c r="AG40" s="56"/>
      <c r="AH40" s="56"/>
      <c r="AI40" s="56"/>
      <c r="AJ40" s="56"/>
      <c r="AK40" s="56"/>
      <c r="AL40" s="56"/>
    </row>
    <row r="41" spans="1:40" ht="35.25" customHeight="1" x14ac:dyDescent="0.2">
      <c r="A41" s="645"/>
      <c r="B41" s="641"/>
      <c r="C41" s="115" t="s">
        <v>317</v>
      </c>
      <c r="D41" s="112" t="s">
        <v>185</v>
      </c>
      <c r="E41" s="112" t="s">
        <v>186</v>
      </c>
      <c r="F41" s="642"/>
      <c r="G41" s="116" t="s">
        <v>317</v>
      </c>
      <c r="H41" s="117" t="s">
        <v>318</v>
      </c>
      <c r="I41" s="544" t="s">
        <v>185</v>
      </c>
      <c r="J41" s="544" t="s">
        <v>186</v>
      </c>
      <c r="U41" s="37"/>
      <c r="W41" s="36"/>
      <c r="X41" s="36"/>
      <c r="Y41" s="36"/>
      <c r="Z41" s="36"/>
      <c r="AA41" s="36"/>
      <c r="AB41" s="36"/>
      <c r="AC41" s="36"/>
      <c r="AD41" s="36"/>
      <c r="AE41" s="36"/>
      <c r="AF41" s="36"/>
      <c r="AG41" s="36"/>
      <c r="AH41" s="36"/>
      <c r="AI41" s="36"/>
      <c r="AJ41" s="36"/>
      <c r="AK41" s="36"/>
      <c r="AL41" s="36"/>
    </row>
    <row r="42" spans="1:40" ht="35.25" customHeight="1" x14ac:dyDescent="0.2">
      <c r="A42" s="637" t="s">
        <v>319</v>
      </c>
      <c r="B42" s="638">
        <v>0.99</v>
      </c>
      <c r="C42" s="118" t="s">
        <v>320</v>
      </c>
      <c r="D42" s="639">
        <v>0.17</v>
      </c>
      <c r="E42" s="636">
        <v>0.81</v>
      </c>
      <c r="F42" s="636">
        <v>0.98</v>
      </c>
      <c r="G42" s="119" t="s">
        <v>320</v>
      </c>
      <c r="H42" s="119" t="s">
        <v>320</v>
      </c>
      <c r="I42" s="636">
        <v>0.1</v>
      </c>
      <c r="J42" s="636">
        <v>0.85</v>
      </c>
      <c r="U42" s="39"/>
      <c r="W42" s="37"/>
      <c r="X42" s="37"/>
      <c r="Y42" s="37"/>
      <c r="Z42" s="37"/>
      <c r="AA42" s="37"/>
      <c r="AB42" s="37"/>
      <c r="AC42" s="37"/>
      <c r="AD42" s="37"/>
      <c r="AE42" s="37"/>
      <c r="AF42" s="37"/>
      <c r="AG42" s="37"/>
      <c r="AH42" s="37"/>
      <c r="AI42" s="37"/>
      <c r="AJ42" s="37"/>
      <c r="AK42" s="37"/>
      <c r="AL42" s="37"/>
    </row>
    <row r="43" spans="1:40" ht="35.25" customHeight="1" x14ac:dyDescent="0.2">
      <c r="A43" s="637"/>
      <c r="B43" s="638"/>
      <c r="C43" s="119" t="s">
        <v>321</v>
      </c>
      <c r="D43" s="639"/>
      <c r="E43" s="636"/>
      <c r="F43" s="636"/>
      <c r="G43" s="119" t="s">
        <v>322</v>
      </c>
      <c r="H43" s="119" t="s">
        <v>323</v>
      </c>
      <c r="I43" s="636"/>
      <c r="J43" s="636"/>
      <c r="U43" s="37"/>
    </row>
    <row r="44" spans="1:40" ht="35.25" customHeight="1" x14ac:dyDescent="0.2">
      <c r="A44" s="637"/>
      <c r="B44" s="638"/>
      <c r="C44" s="119" t="s">
        <v>324</v>
      </c>
      <c r="D44" s="639"/>
      <c r="E44" s="636"/>
      <c r="F44" s="636"/>
      <c r="G44" s="119" t="s">
        <v>325</v>
      </c>
      <c r="H44" s="119" t="s">
        <v>326</v>
      </c>
      <c r="I44" s="636"/>
      <c r="J44" s="636"/>
    </row>
    <row r="45" spans="1:40" ht="35.25" customHeight="1" x14ac:dyDescent="0.2">
      <c r="A45" s="637"/>
      <c r="B45" s="638"/>
      <c r="C45" s="118" t="s">
        <v>327</v>
      </c>
      <c r="D45" s="639"/>
      <c r="E45" s="636"/>
      <c r="F45" s="636"/>
      <c r="G45" s="119" t="s">
        <v>327</v>
      </c>
      <c r="H45" s="119" t="s">
        <v>327</v>
      </c>
      <c r="I45" s="636"/>
      <c r="J45" s="636"/>
    </row>
    <row r="46" spans="1:40" ht="35.25" customHeight="1" x14ac:dyDescent="0.2">
      <c r="A46" s="637"/>
      <c r="B46" s="638"/>
      <c r="C46" s="119" t="s">
        <v>328</v>
      </c>
      <c r="D46" s="639"/>
      <c r="E46" s="636"/>
      <c r="F46" s="636"/>
      <c r="G46" s="119" t="s">
        <v>329</v>
      </c>
      <c r="H46" s="119" t="s">
        <v>330</v>
      </c>
      <c r="I46" s="636"/>
      <c r="J46" s="636"/>
      <c r="U46" s="35"/>
      <c r="V46" s="35"/>
      <c r="W46" s="54"/>
      <c r="X46" s="54"/>
      <c r="Y46" s="54"/>
      <c r="Z46" s="54"/>
      <c r="AA46" s="54"/>
      <c r="AB46" s="54"/>
      <c r="AC46" s="54"/>
      <c r="AD46" s="54"/>
      <c r="AE46" s="54"/>
      <c r="AF46" s="54"/>
      <c r="AG46" s="54"/>
      <c r="AH46" s="54"/>
      <c r="AI46" s="54"/>
      <c r="AJ46" s="54"/>
      <c r="AK46" s="54"/>
      <c r="AL46" s="54"/>
    </row>
    <row r="47" spans="1:40" ht="35.25" customHeight="1" x14ac:dyDescent="0.2">
      <c r="A47" s="637"/>
      <c r="B47" s="638"/>
      <c r="C47" s="119" t="s">
        <v>331</v>
      </c>
      <c r="D47" s="639"/>
      <c r="E47" s="636"/>
      <c r="F47" s="636"/>
      <c r="G47" s="119" t="s">
        <v>332</v>
      </c>
      <c r="H47" s="119" t="s">
        <v>333</v>
      </c>
      <c r="I47" s="636"/>
      <c r="J47" s="636"/>
      <c r="V47" s="40"/>
    </row>
    <row r="48" spans="1:40" ht="35.25" customHeight="1" x14ac:dyDescent="0.2">
      <c r="U48" s="37"/>
      <c r="V48" s="40"/>
    </row>
    <row r="49" spans="21:22" ht="35.25" customHeight="1" x14ac:dyDescent="0.2">
      <c r="U49" s="37"/>
      <c r="V49" s="40"/>
    </row>
    <row r="50" spans="21:22" ht="35.25" customHeight="1" x14ac:dyDescent="0.2">
      <c r="U50" s="37"/>
      <c r="V50" s="40"/>
    </row>
    <row r="51" spans="21:22" ht="35.25" customHeight="1" x14ac:dyDescent="0.2">
      <c r="U51" s="37"/>
      <c r="V51" s="40"/>
    </row>
    <row r="52" spans="21:22" ht="35.25" customHeight="1" x14ac:dyDescent="0.2">
      <c r="U52" s="37"/>
      <c r="V52" s="40"/>
    </row>
    <row r="53" spans="21:22" x14ac:dyDescent="0.2">
      <c r="U53" s="37"/>
      <c r="V53" s="40"/>
    </row>
    <row r="54" spans="21:22" x14ac:dyDescent="0.2">
      <c r="U54" s="37"/>
      <c r="V54" s="40"/>
    </row>
    <row r="55" spans="21:22" x14ac:dyDescent="0.2">
      <c r="U55" s="37"/>
      <c r="V55" s="40"/>
    </row>
    <row r="56" spans="21:22" x14ac:dyDescent="0.2">
      <c r="U56" s="37"/>
      <c r="V56" s="40"/>
    </row>
    <row r="57" spans="21:22" x14ac:dyDescent="0.2">
      <c r="U57" s="37"/>
      <c r="V57" s="40"/>
    </row>
    <row r="58" spans="21:22" x14ac:dyDescent="0.2">
      <c r="U58" s="37"/>
      <c r="V58" s="40"/>
    </row>
    <row r="59" spans="21:22" x14ac:dyDescent="0.2">
      <c r="U59" s="37"/>
      <c r="V59" s="40"/>
    </row>
    <row r="60" spans="21:22" x14ac:dyDescent="0.2">
      <c r="U60" s="37"/>
      <c r="V60" s="40"/>
    </row>
    <row r="61" spans="21:22" x14ac:dyDescent="0.2">
      <c r="U61" s="37"/>
      <c r="V61" s="40"/>
    </row>
    <row r="62" spans="21:22" x14ac:dyDescent="0.2">
      <c r="U62" s="37"/>
      <c r="V62" s="40"/>
    </row>
    <row r="63" spans="21:22" x14ac:dyDescent="0.2">
      <c r="U63" s="37"/>
      <c r="V63" s="40"/>
    </row>
    <row r="64" spans="21:22" x14ac:dyDescent="0.2">
      <c r="U64" s="37"/>
      <c r="V64" s="40"/>
    </row>
    <row r="65" spans="21:38" x14ac:dyDescent="0.2">
      <c r="U65" s="37"/>
      <c r="V65" s="40"/>
    </row>
    <row r="66" spans="21:38" x14ac:dyDescent="0.2">
      <c r="U66" s="37"/>
      <c r="V66" s="40"/>
    </row>
    <row r="67" spans="21:38" x14ac:dyDescent="0.2">
      <c r="U67" s="37"/>
      <c r="V67" s="40"/>
    </row>
    <row r="68" spans="21:38" x14ac:dyDescent="0.2">
      <c r="U68" s="37"/>
      <c r="W68" s="36"/>
      <c r="X68" s="36"/>
      <c r="Y68" s="36"/>
      <c r="Z68" s="36"/>
      <c r="AA68" s="36"/>
      <c r="AB68" s="36"/>
      <c r="AC68" s="36"/>
      <c r="AD68" s="36"/>
      <c r="AE68" s="36"/>
      <c r="AF68" s="36"/>
      <c r="AG68" s="36"/>
      <c r="AH68" s="36"/>
      <c r="AI68" s="36"/>
      <c r="AJ68" s="36"/>
      <c r="AK68" s="36"/>
      <c r="AL68" s="36"/>
    </row>
    <row r="69" spans="21:38" x14ac:dyDescent="0.2">
      <c r="U69" s="39"/>
      <c r="W69" s="37"/>
      <c r="X69" s="37"/>
      <c r="Y69" s="37"/>
      <c r="Z69" s="37"/>
      <c r="AA69" s="37"/>
      <c r="AB69" s="37"/>
      <c r="AC69" s="37"/>
      <c r="AD69" s="37"/>
      <c r="AE69" s="37"/>
      <c r="AF69" s="37"/>
      <c r="AG69" s="37"/>
      <c r="AH69" s="37"/>
      <c r="AI69" s="37"/>
      <c r="AJ69" s="37"/>
      <c r="AK69" s="37"/>
      <c r="AL69" s="37"/>
    </row>
  </sheetData>
  <mergeCells count="37">
    <mergeCell ref="A1:H1"/>
    <mergeCell ref="A5:A6"/>
    <mergeCell ref="A3:A4"/>
    <mergeCell ref="A39:A41"/>
    <mergeCell ref="B39:E39"/>
    <mergeCell ref="F39:G39"/>
    <mergeCell ref="A30:A31"/>
    <mergeCell ref="B30:B31"/>
    <mergeCell ref="E30:E31"/>
    <mergeCell ref="F30:F31"/>
    <mergeCell ref="H30:H31"/>
    <mergeCell ref="A11:G11"/>
    <mergeCell ref="C13:C15"/>
    <mergeCell ref="D13:D15"/>
    <mergeCell ref="E13:E15"/>
    <mergeCell ref="B13:B15"/>
    <mergeCell ref="I39:J39"/>
    <mergeCell ref="B40:B41"/>
    <mergeCell ref="D40:E40"/>
    <mergeCell ref="F40:F41"/>
    <mergeCell ref="I40:J40"/>
    <mergeCell ref="I42:I47"/>
    <mergeCell ref="J42:J47"/>
    <mergeCell ref="A42:A47"/>
    <mergeCell ref="B42:B47"/>
    <mergeCell ref="D42:D47"/>
    <mergeCell ref="E42:E47"/>
    <mergeCell ref="F42:F47"/>
    <mergeCell ref="F13:F15"/>
    <mergeCell ref="G13:G15"/>
    <mergeCell ref="E26:E27"/>
    <mergeCell ref="F26:F27"/>
    <mergeCell ref="A24:I24"/>
    <mergeCell ref="A26:A27"/>
    <mergeCell ref="B26:B27"/>
    <mergeCell ref="H26:H27"/>
    <mergeCell ref="G26:G27"/>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AA75"/>
  <sheetViews>
    <sheetView zoomScale="80" zoomScaleNormal="80" workbookViewId="0">
      <selection sqref="A1:M1"/>
    </sheetView>
  </sheetViews>
  <sheetFormatPr defaultColWidth="9.28515625" defaultRowHeight="14.25" x14ac:dyDescent="0.2"/>
  <cols>
    <col min="1" max="1" width="53" style="3" bestFit="1" customWidth="1"/>
    <col min="2" max="2" width="35.7109375" style="3" bestFit="1" customWidth="1"/>
    <col min="3" max="3" width="25.28515625" style="3" customWidth="1"/>
    <col min="4" max="4" width="18.7109375" style="3" customWidth="1"/>
    <col min="5" max="5" width="20" style="3" bestFit="1" customWidth="1"/>
    <col min="6" max="6" width="25.28515625" style="3" customWidth="1"/>
    <col min="7" max="7" width="33" style="3" customWidth="1"/>
    <col min="8" max="8" width="35.85546875" style="3" customWidth="1"/>
    <col min="9" max="9" width="21.42578125" style="61" customWidth="1"/>
    <col min="10" max="10" width="14.42578125" style="61" customWidth="1"/>
    <col min="11" max="11" width="14.85546875" style="61" customWidth="1"/>
    <col min="12" max="12" width="15.28515625" style="61" customWidth="1"/>
    <col min="13" max="13" width="47.42578125" style="61" customWidth="1"/>
    <col min="14" max="14" width="40.85546875" style="61" customWidth="1"/>
    <col min="15" max="15" width="48.5703125" style="61" hidden="1" customWidth="1"/>
    <col min="16" max="16" width="23.42578125" style="61" hidden="1" customWidth="1"/>
    <col min="17" max="19" width="20.28515625" style="61" hidden="1" customWidth="1"/>
    <col min="20" max="20" width="23" style="61" hidden="1" customWidth="1"/>
    <col min="21" max="21" width="21.7109375" style="61" hidden="1" customWidth="1"/>
    <col min="22" max="22" width="18.28515625" style="61" hidden="1" customWidth="1"/>
    <col min="23" max="23" width="14.42578125" style="61" hidden="1" customWidth="1"/>
    <col min="24" max="24" width="12.28515625" style="61" hidden="1" customWidth="1"/>
    <col min="25" max="25" width="13.7109375" style="61" customWidth="1"/>
    <col min="26" max="26" width="11.7109375" style="61" customWidth="1"/>
    <col min="27" max="27" width="13.7109375" style="61" customWidth="1"/>
    <col min="28" max="28" width="12.28515625" style="61" customWidth="1"/>
    <col min="29" max="29" width="13.7109375" style="61" customWidth="1"/>
    <col min="30" max="30" width="12.28515625" style="61" customWidth="1"/>
    <col min="31" max="31" width="13.7109375" style="61" customWidth="1"/>
    <col min="32" max="32" width="11.7109375" style="61" customWidth="1"/>
    <col min="33" max="34" width="10.7109375" style="61" customWidth="1"/>
    <col min="35" max="35" width="9.28515625" style="61"/>
    <col min="36" max="40" width="11.28515625" style="61" customWidth="1"/>
    <col min="41" max="16384" width="9.28515625" style="61"/>
  </cols>
  <sheetData>
    <row r="1" spans="1:24" ht="24.6" customHeight="1" x14ac:dyDescent="0.2">
      <c r="A1" s="612" t="str">
        <f>O3</f>
        <v>Outdoor Airflow Rate - Hospital</v>
      </c>
      <c r="B1" s="612"/>
      <c r="C1" s="612"/>
      <c r="D1" s="612"/>
      <c r="E1" s="612"/>
      <c r="F1" s="612"/>
      <c r="G1" s="612"/>
      <c r="H1" s="612"/>
      <c r="I1" s="612"/>
      <c r="J1" s="612"/>
      <c r="K1" s="612"/>
      <c r="L1" s="612"/>
      <c r="M1" s="612"/>
      <c r="N1" s="1"/>
      <c r="X1" s="1"/>
    </row>
    <row r="2" spans="1:24" ht="59.45" customHeight="1" thickBot="1" x14ac:dyDescent="0.25">
      <c r="A2" s="297" t="s">
        <v>77</v>
      </c>
      <c r="B2" s="298" t="s">
        <v>78</v>
      </c>
      <c r="C2" s="209" t="s">
        <v>87</v>
      </c>
      <c r="D2" s="184" t="s">
        <v>334</v>
      </c>
      <c r="E2" s="206" t="s">
        <v>335</v>
      </c>
      <c r="F2" s="206" t="s">
        <v>336</v>
      </c>
      <c r="G2" s="206" t="s">
        <v>337</v>
      </c>
      <c r="H2" s="161" t="s">
        <v>338</v>
      </c>
      <c r="I2" s="206" t="s">
        <v>339</v>
      </c>
      <c r="J2" s="206" t="s">
        <v>340</v>
      </c>
      <c r="K2" s="206" t="s">
        <v>341</v>
      </c>
      <c r="L2" s="207" t="s">
        <v>342</v>
      </c>
      <c r="M2" s="207" t="s">
        <v>89</v>
      </c>
      <c r="N2" s="139"/>
      <c r="X2" s="1"/>
    </row>
    <row r="3" spans="1:24" ht="19.149999999999999" customHeight="1" thickBot="1" x14ac:dyDescent="0.25">
      <c r="A3" s="208" t="s">
        <v>90</v>
      </c>
      <c r="B3" s="111" t="s">
        <v>91</v>
      </c>
      <c r="C3" s="210">
        <f>Zones!K3</f>
        <v>201.26964999999998</v>
      </c>
      <c r="D3" s="210">
        <f>Zones!J3</f>
        <v>40253.93</v>
      </c>
      <c r="E3" s="539">
        <v>15</v>
      </c>
      <c r="F3" s="539">
        <f t="shared" ref="F3:F22" si="0">VLOOKUP(A3,O$4:S$17,5)</f>
        <v>0.15</v>
      </c>
      <c r="G3" s="211"/>
      <c r="H3" s="212">
        <f t="shared" ref="H3:H11" si="1">VLOOKUP(A3,O$4:V$17,8)</f>
        <v>0</v>
      </c>
      <c r="I3" s="213">
        <f t="shared" ref="I3:I11" si="2">E3*C3</f>
        <v>3019.0447499999996</v>
      </c>
      <c r="J3" s="214">
        <f t="shared" ref="J3:J11" si="3">F3*D3</f>
        <v>6038.0895</v>
      </c>
      <c r="K3" s="215"/>
      <c r="L3" s="216">
        <f t="shared" ref="L3:L22" si="4">MAX(I3:K3)</f>
        <v>6038.0895</v>
      </c>
      <c r="M3" s="217"/>
      <c r="N3" s="1"/>
      <c r="O3" s="654" t="str">
        <f>"Outdoor Airflow Rate - "&amp;Prototype!A2</f>
        <v>Outdoor Airflow Rate - Hospital</v>
      </c>
      <c r="P3" s="655"/>
      <c r="Q3" s="655"/>
      <c r="R3" s="655"/>
      <c r="S3" s="655"/>
      <c r="T3" s="655"/>
      <c r="U3" s="655"/>
      <c r="V3" s="655"/>
      <c r="W3" s="655"/>
      <c r="X3" s="1"/>
    </row>
    <row r="4" spans="1:24" ht="19.149999999999999" customHeight="1" x14ac:dyDescent="0.2">
      <c r="A4" s="208" t="s">
        <v>95</v>
      </c>
      <c r="B4" s="111" t="s">
        <v>96</v>
      </c>
      <c r="C4" s="210">
        <f>Zones!K4</f>
        <v>30.628</v>
      </c>
      <c r="D4" s="210">
        <f>Zones!J4</f>
        <v>6125.6</v>
      </c>
      <c r="E4" s="539">
        <v>15</v>
      </c>
      <c r="F4" s="539">
        <f t="shared" si="0"/>
        <v>0.15</v>
      </c>
      <c r="G4" s="210"/>
      <c r="H4" s="212">
        <f t="shared" si="1"/>
        <v>0</v>
      </c>
      <c r="I4" s="213">
        <f t="shared" si="2"/>
        <v>459.42</v>
      </c>
      <c r="J4" s="215">
        <f t="shared" si="3"/>
        <v>918.84</v>
      </c>
      <c r="K4" s="215"/>
      <c r="L4" s="216">
        <f t="shared" si="4"/>
        <v>918.84</v>
      </c>
      <c r="M4" s="217"/>
      <c r="N4" s="1"/>
      <c r="O4" s="102" t="s">
        <v>77</v>
      </c>
      <c r="P4" s="96" t="s">
        <v>86</v>
      </c>
      <c r="Q4" s="103" t="s">
        <v>343</v>
      </c>
      <c r="R4" s="103" t="s">
        <v>344</v>
      </c>
      <c r="S4" s="103" t="s">
        <v>345</v>
      </c>
      <c r="T4" s="103" t="s">
        <v>346</v>
      </c>
      <c r="U4" s="103" t="s">
        <v>347</v>
      </c>
      <c r="V4" s="103" t="s">
        <v>348</v>
      </c>
      <c r="W4" s="104" t="s">
        <v>349</v>
      </c>
      <c r="X4" s="1"/>
    </row>
    <row r="5" spans="1:24" ht="19.149999999999999" customHeight="1" x14ac:dyDescent="0.2">
      <c r="A5" s="208" t="s">
        <v>95</v>
      </c>
      <c r="B5" s="111" t="s">
        <v>98</v>
      </c>
      <c r="C5" s="210">
        <f>Zones!K5</f>
        <v>30.628</v>
      </c>
      <c r="D5" s="210">
        <f>Zones!J5</f>
        <v>6125.6</v>
      </c>
      <c r="E5" s="539">
        <v>15</v>
      </c>
      <c r="F5" s="539">
        <f t="shared" si="0"/>
        <v>0.15</v>
      </c>
      <c r="G5" s="210"/>
      <c r="H5" s="212">
        <f t="shared" si="1"/>
        <v>0</v>
      </c>
      <c r="I5" s="213">
        <f t="shared" si="2"/>
        <v>459.42</v>
      </c>
      <c r="J5" s="215">
        <f t="shared" si="3"/>
        <v>918.84</v>
      </c>
      <c r="K5" s="215"/>
      <c r="L5" s="216">
        <f t="shared" si="4"/>
        <v>918.84</v>
      </c>
      <c r="M5" s="217"/>
      <c r="N5" s="1"/>
      <c r="O5" s="105" t="str">
        <f>Zones!A3</f>
        <v>Office Area (&gt;250 square feet)</v>
      </c>
      <c r="P5" s="75">
        <f>SUMIF(Zones!A$3:A$57, "*Office Area (&gt;250 square feet)*", Zones!J$3:J$57)</f>
        <v>45504.619999999995</v>
      </c>
      <c r="Q5" s="76">
        <f>Zones!L3</f>
        <v>5</v>
      </c>
      <c r="R5" s="76">
        <f>(P5/1000)*Q5</f>
        <v>227.52309999999997</v>
      </c>
      <c r="S5" s="77">
        <v>0.15</v>
      </c>
      <c r="T5" s="79">
        <v>0</v>
      </c>
      <c r="U5" s="77"/>
      <c r="V5" s="77"/>
      <c r="W5" s="128">
        <f>MAX(R5*15,P5*S5,P5*T5,P5*V5)</f>
        <v>6825.6929999999993</v>
      </c>
      <c r="X5" s="1"/>
    </row>
    <row r="6" spans="1:24" ht="19.149999999999999" customHeight="1" x14ac:dyDescent="0.2">
      <c r="A6" s="208" t="s">
        <v>95</v>
      </c>
      <c r="B6" s="111" t="s">
        <v>99</v>
      </c>
      <c r="C6" s="210">
        <f>Zones!K6</f>
        <v>27.002649999999999</v>
      </c>
      <c r="D6" s="210">
        <f>Zones!J6</f>
        <v>5400.53</v>
      </c>
      <c r="E6" s="539">
        <v>15</v>
      </c>
      <c r="F6" s="539">
        <f t="shared" si="0"/>
        <v>0.15</v>
      </c>
      <c r="G6" s="210"/>
      <c r="H6" s="212">
        <f t="shared" si="1"/>
        <v>0</v>
      </c>
      <c r="I6" s="213">
        <f t="shared" si="2"/>
        <v>405.03974999999997</v>
      </c>
      <c r="J6" s="215">
        <f t="shared" si="3"/>
        <v>810.07949999999994</v>
      </c>
      <c r="K6" s="215"/>
      <c r="L6" s="216">
        <f t="shared" si="4"/>
        <v>810.07949999999994</v>
      </c>
      <c r="M6" s="217"/>
      <c r="N6" s="1"/>
      <c r="O6" s="105" t="str">
        <f>Zones!A4</f>
        <v>Corridor Area</v>
      </c>
      <c r="P6" s="75">
        <f>SUMIF(Zones!A$3:A$57, "*Corridor Area*", Zones!J$3:J$57)</f>
        <v>42054.13</v>
      </c>
      <c r="Q6" s="76">
        <f>Zones!L4</f>
        <v>5</v>
      </c>
      <c r="R6" s="76">
        <f>(P6/1000)*Q6</f>
        <v>210.27064999999999</v>
      </c>
      <c r="S6" s="77">
        <v>0.15</v>
      </c>
      <c r="T6" s="79">
        <v>0</v>
      </c>
      <c r="U6" s="77"/>
      <c r="V6" s="77"/>
      <c r="W6" s="128">
        <f>MAX(R6*15,P6*S6,P6*T6,P6*V6)</f>
        <v>6308.1194999999998</v>
      </c>
      <c r="X6" s="1"/>
    </row>
    <row r="7" spans="1:24" ht="19.149999999999999" customHeight="1" x14ac:dyDescent="0.2">
      <c r="A7" s="208" t="s">
        <v>95</v>
      </c>
      <c r="B7" s="111" t="s">
        <v>101</v>
      </c>
      <c r="C7" s="210">
        <f>Zones!K7</f>
        <v>30.503</v>
      </c>
      <c r="D7" s="210">
        <f>Zones!J7</f>
        <v>6100.6</v>
      </c>
      <c r="E7" s="539">
        <v>15</v>
      </c>
      <c r="F7" s="539">
        <f t="shared" si="0"/>
        <v>0.15</v>
      </c>
      <c r="G7" s="210"/>
      <c r="H7" s="212">
        <f t="shared" si="1"/>
        <v>0</v>
      </c>
      <c r="I7" s="213">
        <f t="shared" si="2"/>
        <v>457.54500000000002</v>
      </c>
      <c r="J7" s="215">
        <f t="shared" si="3"/>
        <v>915.09</v>
      </c>
      <c r="K7" s="215"/>
      <c r="L7" s="216">
        <f t="shared" si="4"/>
        <v>915.09</v>
      </c>
      <c r="M7" s="217"/>
      <c r="N7" s="1"/>
      <c r="O7" s="106" t="str">
        <f>Zones!A11</f>
        <v>Dining Area (Cafeteria/Fast Food)</v>
      </c>
      <c r="P7" s="75">
        <f>SUMIF(Zones!A$3:A$57, "*Dining Area (Cafeteria/Fast Food)*", Zones!J$3:J$57)</f>
        <v>7500.73</v>
      </c>
      <c r="Q7" s="76">
        <f>Zones!L11</f>
        <v>33</v>
      </c>
      <c r="R7" s="76">
        <f t="shared" ref="R7:R13" si="5">(P7/1000)*Q7</f>
        <v>247.52409</v>
      </c>
      <c r="S7" s="77">
        <v>0.15</v>
      </c>
      <c r="T7" s="79">
        <v>0</v>
      </c>
      <c r="U7" s="77"/>
      <c r="V7" s="77"/>
      <c r="W7" s="128">
        <f>MAX(R7*15,P7*S7,P7*T7,P7*V7)</f>
        <v>3712.8613500000001</v>
      </c>
      <c r="X7" s="1"/>
    </row>
    <row r="8" spans="1:24" ht="19.149999999999999" customHeight="1" x14ac:dyDescent="0.2">
      <c r="A8" s="208" t="s">
        <v>95</v>
      </c>
      <c r="B8" s="111" t="s">
        <v>102</v>
      </c>
      <c r="C8" s="210">
        <f>Zones!K8</f>
        <v>30.503</v>
      </c>
      <c r="D8" s="210">
        <f>Zones!J8</f>
        <v>6100.6</v>
      </c>
      <c r="E8" s="539">
        <v>15</v>
      </c>
      <c r="F8" s="539">
        <f t="shared" si="0"/>
        <v>0.15</v>
      </c>
      <c r="G8" s="210"/>
      <c r="H8" s="212">
        <f t="shared" si="1"/>
        <v>0</v>
      </c>
      <c r="I8" s="213">
        <f t="shared" si="2"/>
        <v>457.54500000000002</v>
      </c>
      <c r="J8" s="215">
        <f t="shared" si="3"/>
        <v>915.09</v>
      </c>
      <c r="K8" s="215"/>
      <c r="L8" s="216">
        <f t="shared" si="4"/>
        <v>915.09</v>
      </c>
      <c r="M8" s="217"/>
      <c r="N8" s="1"/>
      <c r="O8" s="105" t="str">
        <f>Zones!A12</f>
        <v>Healthcare Facility and Hospitals (Exam/Treatment Room)</v>
      </c>
      <c r="P8" s="75">
        <f>SUMIF(Zones!A$3:A$57, "*Healthcare Facility and Hospitals (Exam/Treatment Room)*", Zones!J$3:J$57)</f>
        <v>4200.4199999999992</v>
      </c>
      <c r="Q8" s="76">
        <f>Zones!L12</f>
        <v>5</v>
      </c>
      <c r="R8" s="76">
        <f t="shared" si="5"/>
        <v>21.002099999999999</v>
      </c>
      <c r="S8" s="77"/>
      <c r="T8" s="79">
        <v>0</v>
      </c>
      <c r="U8" s="77">
        <v>2</v>
      </c>
      <c r="V8" s="80">
        <f>(U8*14)/60</f>
        <v>0.46666666666666667</v>
      </c>
      <c r="W8" s="128">
        <f>MAX(R8*15,P8*S8,P8*T8,P8*V8)</f>
        <v>1960.1959999999997</v>
      </c>
      <c r="X8" s="1"/>
    </row>
    <row r="9" spans="1:24" ht="19.149999999999999" customHeight="1" x14ac:dyDescent="0.2">
      <c r="A9" s="208" t="s">
        <v>95</v>
      </c>
      <c r="B9" s="111" t="s">
        <v>103</v>
      </c>
      <c r="C9" s="210">
        <f>Zones!K9</f>
        <v>30.503</v>
      </c>
      <c r="D9" s="210">
        <f>Zones!J9</f>
        <v>6100.6</v>
      </c>
      <c r="E9" s="539">
        <v>15</v>
      </c>
      <c r="F9" s="539">
        <f t="shared" si="0"/>
        <v>0.15</v>
      </c>
      <c r="G9" s="210"/>
      <c r="H9" s="212">
        <f t="shared" si="1"/>
        <v>0</v>
      </c>
      <c r="I9" s="213">
        <f t="shared" si="2"/>
        <v>457.54500000000002</v>
      </c>
      <c r="J9" s="215">
        <f t="shared" si="3"/>
        <v>915.09</v>
      </c>
      <c r="K9" s="215"/>
      <c r="L9" s="216">
        <f t="shared" si="4"/>
        <v>915.09</v>
      </c>
      <c r="M9" s="217"/>
      <c r="N9" s="1"/>
      <c r="O9" s="105" t="str">
        <f>Zones!A14</f>
        <v>Healthcare Facility and Hospitals (Nurse's Station)</v>
      </c>
      <c r="P9" s="75">
        <f>SUMIF(Zones!A$3:A$57, "*Healthcare Facility and Hospitals (Nurse's Station)*", Zones!J$3:J$57)</f>
        <v>62104.61</v>
      </c>
      <c r="Q9" s="76">
        <f>Zones!L14</f>
        <v>5</v>
      </c>
      <c r="R9" s="76">
        <f t="shared" si="5"/>
        <v>310.52305000000001</v>
      </c>
      <c r="S9" s="77"/>
      <c r="T9" s="79">
        <v>0</v>
      </c>
      <c r="U9" s="77">
        <v>2</v>
      </c>
      <c r="V9" s="80">
        <f t="shared" ref="V9:V15" si="6">(U9*14)/60</f>
        <v>0.46666666666666667</v>
      </c>
      <c r="W9" s="128">
        <f>MAX(R9*15,P9*S9,P9*T9,P9*V9)+3137</f>
        <v>32119.151333333335</v>
      </c>
      <c r="X9" s="1" t="s">
        <v>350</v>
      </c>
    </row>
    <row r="10" spans="1:24" ht="19.149999999999999" customHeight="1" x14ac:dyDescent="0.2">
      <c r="A10" s="208" t="s">
        <v>95</v>
      </c>
      <c r="B10" s="111" t="s">
        <v>104</v>
      </c>
      <c r="C10" s="210">
        <f>Zones!K10</f>
        <v>30.503</v>
      </c>
      <c r="D10" s="210">
        <f>Zones!J10</f>
        <v>6100.6</v>
      </c>
      <c r="E10" s="539">
        <v>15</v>
      </c>
      <c r="F10" s="539">
        <f t="shared" si="0"/>
        <v>0.15</v>
      </c>
      <c r="G10" s="210"/>
      <c r="H10" s="212">
        <f t="shared" si="1"/>
        <v>0</v>
      </c>
      <c r="I10" s="213">
        <f t="shared" si="2"/>
        <v>457.54500000000002</v>
      </c>
      <c r="J10" s="215">
        <f t="shared" si="3"/>
        <v>915.09</v>
      </c>
      <c r="K10" s="215"/>
      <c r="L10" s="216">
        <f t="shared" si="4"/>
        <v>915.09</v>
      </c>
      <c r="M10" s="217"/>
      <c r="N10" s="1"/>
      <c r="O10" s="107" t="str">
        <f>Zones!A18</f>
        <v>Healthcare Facility and Hospitals (Recovery Room)</v>
      </c>
      <c r="P10" s="75">
        <f>SUMIF(Zones!A$3:A$57, "*Healthcare Facility and Hospitals (Recovery Room)*", Zones!J$3:J$57)</f>
        <v>9427.61</v>
      </c>
      <c r="Q10" s="76">
        <f>Zones!L18</f>
        <v>5</v>
      </c>
      <c r="R10" s="76">
        <f t="shared" si="5"/>
        <v>47.138050000000007</v>
      </c>
      <c r="S10" s="77"/>
      <c r="T10" s="79">
        <v>0</v>
      </c>
      <c r="U10" s="78">
        <v>2</v>
      </c>
      <c r="V10" s="80">
        <f t="shared" si="6"/>
        <v>0.46666666666666667</v>
      </c>
      <c r="W10" s="128">
        <f>MAX(R10*15,P10*S10,P10*T10,P10*V10)</f>
        <v>4399.5513333333338</v>
      </c>
      <c r="X10" s="1" t="s">
        <v>351</v>
      </c>
    </row>
    <row r="11" spans="1:24" ht="19.149999999999999" customHeight="1" x14ac:dyDescent="0.2">
      <c r="A11" s="208" t="s">
        <v>105</v>
      </c>
      <c r="B11" s="111" t="s">
        <v>106</v>
      </c>
      <c r="C11" s="210">
        <f>Zones!K11</f>
        <v>247.52409</v>
      </c>
      <c r="D11" s="210">
        <f>Zones!J11</f>
        <v>7500.73</v>
      </c>
      <c r="E11" s="539">
        <v>15</v>
      </c>
      <c r="F11" s="539">
        <f t="shared" si="0"/>
        <v>0.15</v>
      </c>
      <c r="G11" s="210"/>
      <c r="H11" s="212">
        <f t="shared" si="1"/>
        <v>0</v>
      </c>
      <c r="I11" s="213">
        <f t="shared" si="2"/>
        <v>3712.8613500000001</v>
      </c>
      <c r="J11" s="215">
        <f t="shared" si="3"/>
        <v>1125.1094999999998</v>
      </c>
      <c r="K11" s="215"/>
      <c r="L11" s="216">
        <f t="shared" si="4"/>
        <v>3712.8613500000001</v>
      </c>
      <c r="M11" s="217"/>
      <c r="N11" s="1"/>
      <c r="O11" s="105" t="str">
        <f>Zones!A24</f>
        <v>Laboratory, Scientific</v>
      </c>
      <c r="P11" s="75">
        <f>SUMIF(Zones!A$3:A$57, "*Laboratory-General Health*", Zones!J$3:J$57)</f>
        <v>0</v>
      </c>
      <c r="Q11" s="76">
        <f>Zones!L24</f>
        <v>5</v>
      </c>
      <c r="R11" s="76">
        <f t="shared" si="5"/>
        <v>0</v>
      </c>
      <c r="S11" s="77"/>
      <c r="T11" s="80">
        <v>1</v>
      </c>
      <c r="U11" s="77">
        <v>2</v>
      </c>
      <c r="V11" s="80">
        <f>(U11*14)/60</f>
        <v>0.46666666666666667</v>
      </c>
      <c r="W11" s="128">
        <f>MAX(R11*15,P11*S11,P11*T11,P11*V11)+E67+E68</f>
        <v>3000</v>
      </c>
      <c r="X11" s="1" t="s">
        <v>350</v>
      </c>
    </row>
    <row r="12" spans="1:24" ht="19.149999999999999" customHeight="1" x14ac:dyDescent="0.2">
      <c r="A12" s="208" t="s">
        <v>108</v>
      </c>
      <c r="B12" s="111" t="s">
        <v>109</v>
      </c>
      <c r="C12" s="210">
        <f>Zones!K12</f>
        <v>1.5001499999999999</v>
      </c>
      <c r="D12" s="210">
        <f>Zones!J12</f>
        <v>1200.1199999999999</v>
      </c>
      <c r="E12" s="539">
        <v>15</v>
      </c>
      <c r="F12" s="539">
        <f t="shared" si="0"/>
        <v>0</v>
      </c>
      <c r="G12" s="210"/>
      <c r="H12" s="212">
        <v>0.46666666600000001</v>
      </c>
      <c r="I12" s="213">
        <f t="shared" ref="I12:I57" si="7">E12*C12</f>
        <v>22.502249999999997</v>
      </c>
      <c r="J12" s="215">
        <f t="shared" ref="J12:J22" si="8">H12*D12</f>
        <v>560.05599919991994</v>
      </c>
      <c r="K12" s="215"/>
      <c r="L12" s="216">
        <f t="shared" si="4"/>
        <v>560.05599919991994</v>
      </c>
      <c r="M12" s="217"/>
      <c r="N12" s="1"/>
      <c r="O12" s="105" t="str">
        <f>Zones!A35</f>
        <v>Healthcare Facility and Hospitals (Operating Room)</v>
      </c>
      <c r="P12" s="75">
        <f>SUMIF(Zones!A$3:A$57, "*Healthcare Facility and Hospitals (Operating Room)*", Zones!J$3:J$57)</f>
        <v>6600.65</v>
      </c>
      <c r="Q12" s="76">
        <f>Zones!L35</f>
        <v>5</v>
      </c>
      <c r="R12" s="76">
        <f t="shared" si="5"/>
        <v>33.003250000000001</v>
      </c>
      <c r="S12" s="77"/>
      <c r="T12" s="77"/>
      <c r="U12" s="77">
        <v>4</v>
      </c>
      <c r="V12" s="80">
        <f>(U12*14)/60</f>
        <v>0.93333333333333335</v>
      </c>
      <c r="W12" s="128">
        <f t="shared" ref="W12:W17" si="9">MAX(R12*15,P12*S12,P12*T12,P12*V12)</f>
        <v>6160.6066666666666</v>
      </c>
      <c r="X12" s="1"/>
    </row>
    <row r="13" spans="1:24" ht="19.149999999999999" customHeight="1" x14ac:dyDescent="0.2">
      <c r="A13" s="208" t="s">
        <v>108</v>
      </c>
      <c r="B13" s="111" t="s">
        <v>113</v>
      </c>
      <c r="C13" s="210">
        <f>Zones!K13</f>
        <v>1.5001499999999999</v>
      </c>
      <c r="D13" s="210">
        <f>Zones!J13</f>
        <v>1200.1199999999999</v>
      </c>
      <c r="E13" s="539">
        <v>15</v>
      </c>
      <c r="F13" s="539">
        <f t="shared" si="0"/>
        <v>0</v>
      </c>
      <c r="G13" s="210"/>
      <c r="H13" s="212">
        <v>0.46666666600000001</v>
      </c>
      <c r="I13" s="213">
        <f t="shared" si="7"/>
        <v>22.502249999999997</v>
      </c>
      <c r="J13" s="215">
        <f t="shared" si="8"/>
        <v>560.05599919991994</v>
      </c>
      <c r="K13" s="215"/>
      <c r="L13" s="216">
        <f t="shared" si="4"/>
        <v>560.05599919991994</v>
      </c>
      <c r="M13" s="217"/>
      <c r="N13" s="1"/>
      <c r="O13" s="105" t="str">
        <f>Zones!A56</f>
        <v>Healthcare Facility and Hospitals (Physical Therapy Room)</v>
      </c>
      <c r="P13" s="75">
        <f>SUMIF(Zones!A$3:A$57, "*Healthcare Facility and Hospitals (Physical Therapy Room)*", Zones!J$3:J$57)</f>
        <v>5250.51</v>
      </c>
      <c r="Q13" s="76">
        <f>Zones!L56</f>
        <v>5</v>
      </c>
      <c r="R13" s="76">
        <f t="shared" si="5"/>
        <v>26.252549999999999</v>
      </c>
      <c r="S13" s="77"/>
      <c r="T13" s="77"/>
      <c r="U13" s="77">
        <v>2</v>
      </c>
      <c r="V13" s="80">
        <f t="shared" si="6"/>
        <v>0.46666666666666667</v>
      </c>
      <c r="W13" s="128">
        <f t="shared" si="9"/>
        <v>2450.2380000000003</v>
      </c>
      <c r="X13" s="1"/>
    </row>
    <row r="14" spans="1:24" ht="19.149999999999999" customHeight="1" x14ac:dyDescent="0.2">
      <c r="A14" s="208" t="s">
        <v>114</v>
      </c>
      <c r="B14" s="111" t="s">
        <v>115</v>
      </c>
      <c r="C14" s="210">
        <f>Zones!K14</f>
        <v>66.506500000000003</v>
      </c>
      <c r="D14" s="210">
        <f>Zones!J14</f>
        <v>13301.3</v>
      </c>
      <c r="E14" s="539">
        <v>15</v>
      </c>
      <c r="F14" s="539">
        <f t="shared" si="0"/>
        <v>0</v>
      </c>
      <c r="G14" s="210"/>
      <c r="H14" s="212">
        <v>0.46666666600000001</v>
      </c>
      <c r="I14" s="213">
        <f t="shared" si="7"/>
        <v>997.59750000000008</v>
      </c>
      <c r="J14" s="215">
        <f t="shared" si="8"/>
        <v>6207.2733244658002</v>
      </c>
      <c r="K14" s="215"/>
      <c r="L14" s="216">
        <f t="shared" si="4"/>
        <v>6207.2733244658002</v>
      </c>
      <c r="M14" s="217"/>
      <c r="N14" s="1"/>
      <c r="O14" s="105" t="str">
        <f>Zones!A57</f>
        <v>Healthcare Facility and Hospitals (Imaging Room)</v>
      </c>
      <c r="P14" s="75">
        <f>SUMIF(Zones!A$3:A$57, "*Healthcare Facility and Hospitals (Imaging Room)*", Zones!J$3:J$57)</f>
        <v>5250.51</v>
      </c>
      <c r="Q14" s="76">
        <f>Zones!L57</f>
        <v>5</v>
      </c>
      <c r="R14" s="76">
        <f>(P14/1000)*Q14</f>
        <v>26.252549999999999</v>
      </c>
      <c r="S14" s="77"/>
      <c r="T14" s="77"/>
      <c r="U14" s="77">
        <v>2</v>
      </c>
      <c r="V14" s="80">
        <f t="shared" si="6"/>
        <v>0.46666666666666667</v>
      </c>
      <c r="W14" s="128">
        <f t="shared" si="9"/>
        <v>2450.2380000000003</v>
      </c>
      <c r="X14" s="1"/>
    </row>
    <row r="15" spans="1:24" ht="19.149999999999999" customHeight="1" x14ac:dyDescent="0.2">
      <c r="A15" s="208" t="s">
        <v>108</v>
      </c>
      <c r="B15" s="111" t="s">
        <v>116</v>
      </c>
      <c r="C15" s="210">
        <f>Zones!K15</f>
        <v>1.5001499999999999</v>
      </c>
      <c r="D15" s="210">
        <f>Zones!J15</f>
        <v>300.02999999999997</v>
      </c>
      <c r="E15" s="539">
        <v>15</v>
      </c>
      <c r="F15" s="539">
        <f t="shared" si="0"/>
        <v>0</v>
      </c>
      <c r="G15" s="210"/>
      <c r="H15" s="212">
        <v>0.7</v>
      </c>
      <c r="I15" s="213">
        <f t="shared" si="7"/>
        <v>22.502249999999997</v>
      </c>
      <c r="J15" s="215">
        <f t="shared" si="8"/>
        <v>210.02099999999996</v>
      </c>
      <c r="K15" s="215"/>
      <c r="L15" s="216">
        <f t="shared" si="4"/>
        <v>210.02099999999996</v>
      </c>
      <c r="M15" s="217"/>
      <c r="N15" s="1"/>
      <c r="O15" s="105" t="str">
        <f>Zones!A40</f>
        <v>Healthcare Facility and Hospitals (Patient Room)</v>
      </c>
      <c r="P15" s="75">
        <f>SUMIF(Zones!A$3:A$57, "*Healthcare Facility and Hospitals (Patient Room)*", Zones!J$3:J$57)</f>
        <v>20402.680000000004</v>
      </c>
      <c r="Q15" s="76">
        <v>5</v>
      </c>
      <c r="R15" s="76">
        <f t="shared" ref="R15:R16" si="10">(P15/1000)*Q15</f>
        <v>102.01340000000002</v>
      </c>
      <c r="S15" s="77"/>
      <c r="T15" s="77"/>
      <c r="U15" s="77">
        <v>2</v>
      </c>
      <c r="V15" s="80">
        <f t="shared" si="6"/>
        <v>0.46666666666666667</v>
      </c>
      <c r="W15" s="128">
        <f t="shared" si="9"/>
        <v>9521.2506666666686</v>
      </c>
      <c r="X15" s="1"/>
    </row>
    <row r="16" spans="1:24" ht="19.149999999999999" customHeight="1" x14ac:dyDescent="0.2">
      <c r="A16" s="208" t="s">
        <v>108</v>
      </c>
      <c r="B16" s="111" t="s">
        <v>117</v>
      </c>
      <c r="C16" s="210">
        <f>Zones!K16</f>
        <v>1.5001499999999999</v>
      </c>
      <c r="D16" s="210">
        <f>Zones!J16</f>
        <v>300.02999999999997</v>
      </c>
      <c r="E16" s="539">
        <v>15</v>
      </c>
      <c r="F16" s="539">
        <f t="shared" si="0"/>
        <v>0</v>
      </c>
      <c r="G16" s="210"/>
      <c r="H16" s="212">
        <v>0.7</v>
      </c>
      <c r="I16" s="213">
        <f t="shared" si="7"/>
        <v>22.502249999999997</v>
      </c>
      <c r="J16" s="215">
        <f t="shared" si="8"/>
        <v>210.02099999999996</v>
      </c>
      <c r="K16" s="215"/>
      <c r="L16" s="216">
        <f t="shared" si="4"/>
        <v>210.02099999999996</v>
      </c>
      <c r="M16" s="217"/>
      <c r="N16" s="1"/>
      <c r="O16" s="105" t="str">
        <f>Zones!A26</f>
        <v>Lobby, Main Entry</v>
      </c>
      <c r="P16" s="75">
        <f>SUMIF(Zones!A$3:A$57, "*Lobby, Main Entry*", Zones!J$3:J$57)</f>
        <v>15876.28</v>
      </c>
      <c r="Q16" s="76">
        <f>Zones!L26</f>
        <v>33</v>
      </c>
      <c r="R16" s="76">
        <f t="shared" si="10"/>
        <v>523.91723999999999</v>
      </c>
      <c r="S16" s="77">
        <v>0.15</v>
      </c>
      <c r="T16" s="77"/>
      <c r="U16" s="77"/>
      <c r="V16" s="80"/>
      <c r="W16" s="128">
        <f t="shared" si="9"/>
        <v>7858.7586000000001</v>
      </c>
      <c r="X16" s="1"/>
    </row>
    <row r="17" spans="1:27" ht="19.149999999999999" customHeight="1" x14ac:dyDescent="0.2">
      <c r="A17" s="208" t="s">
        <v>108</v>
      </c>
      <c r="B17" s="111" t="s">
        <v>118</v>
      </c>
      <c r="C17" s="210">
        <f>Zones!K17</f>
        <v>1.5001499999999999</v>
      </c>
      <c r="D17" s="210">
        <f>Zones!J17</f>
        <v>1200.1199999999999</v>
      </c>
      <c r="E17" s="539">
        <v>15</v>
      </c>
      <c r="F17" s="539">
        <f t="shared" si="0"/>
        <v>0</v>
      </c>
      <c r="G17" s="210">
        <f>3697/D17</f>
        <v>3.080525280805253</v>
      </c>
      <c r="H17" s="212">
        <v>0.46666666600000001</v>
      </c>
      <c r="I17" s="213">
        <f t="shared" si="7"/>
        <v>22.502249999999997</v>
      </c>
      <c r="J17" s="215">
        <f t="shared" si="8"/>
        <v>560.05599919991994</v>
      </c>
      <c r="K17" s="215">
        <f>G17*D17</f>
        <v>3697</v>
      </c>
      <c r="L17" s="216">
        <f t="shared" si="4"/>
        <v>3697</v>
      </c>
      <c r="M17" s="217" t="s">
        <v>353</v>
      </c>
      <c r="N17" s="1"/>
      <c r="O17" s="105" t="str">
        <f>Zones!A23</f>
        <v>Kitchen/Food Preparation Area</v>
      </c>
      <c r="P17" s="75">
        <f>SUMIF(Zones!A$3:A$57, "*Kitchen/Food Preparation Area*", Zones!J$3:J$57)</f>
        <v>10000.98</v>
      </c>
      <c r="Q17" s="76">
        <f>Zones!L23</f>
        <v>3</v>
      </c>
      <c r="R17" s="76">
        <f t="shared" ref="R17" si="11">(P17/1000)*Q17</f>
        <v>30.002940000000002</v>
      </c>
      <c r="S17" s="77">
        <v>0.15</v>
      </c>
      <c r="T17" s="77">
        <v>0.7</v>
      </c>
      <c r="U17" s="77"/>
      <c r="V17" s="80"/>
      <c r="W17" s="128">
        <f t="shared" si="9"/>
        <v>7000.6859999999997</v>
      </c>
    </row>
    <row r="18" spans="1:27" ht="19.149999999999999" customHeight="1" thickBot="1" x14ac:dyDescent="0.25">
      <c r="A18" s="208" t="s">
        <v>119</v>
      </c>
      <c r="B18" s="277" t="s">
        <v>120</v>
      </c>
      <c r="C18" s="210">
        <f>Zones!K18</f>
        <v>33.261799999999994</v>
      </c>
      <c r="D18" s="210">
        <f>Zones!J18</f>
        <v>6652.36</v>
      </c>
      <c r="E18" s="539">
        <v>15</v>
      </c>
      <c r="F18" s="539">
        <f t="shared" si="0"/>
        <v>0</v>
      </c>
      <c r="G18" s="210"/>
      <c r="H18" s="212">
        <v>0.46666666600000001</v>
      </c>
      <c r="I18" s="213">
        <f t="shared" si="7"/>
        <v>498.92699999999991</v>
      </c>
      <c r="J18" s="215">
        <f t="shared" si="8"/>
        <v>3104.4346622317598</v>
      </c>
      <c r="K18" s="215"/>
      <c r="L18" s="216">
        <f t="shared" si="4"/>
        <v>3104.4346622317598</v>
      </c>
      <c r="M18" s="217"/>
      <c r="N18" s="1"/>
      <c r="O18" s="98" t="s">
        <v>352</v>
      </c>
      <c r="P18" s="108">
        <f>SUM(P5:P17)</f>
        <v>234173.73</v>
      </c>
      <c r="Q18" s="109"/>
      <c r="R18" s="122">
        <f>SUM(R5:R17)</f>
        <v>1805.4229699999999</v>
      </c>
      <c r="S18" s="109"/>
      <c r="T18" s="109"/>
      <c r="U18" s="109"/>
      <c r="V18" s="109"/>
      <c r="W18" s="129">
        <f>SUM(W5:W17)</f>
        <v>93767.350450000013</v>
      </c>
    </row>
    <row r="19" spans="1:27" ht="19.149999999999999" customHeight="1" x14ac:dyDescent="0.2">
      <c r="A19" s="208" t="s">
        <v>114</v>
      </c>
      <c r="B19" s="111" t="s">
        <v>123</v>
      </c>
      <c r="C19" s="210">
        <f>Zones!K19</f>
        <v>35.996300000000005</v>
      </c>
      <c r="D19" s="210">
        <f>Zones!J19</f>
        <v>7199.26</v>
      </c>
      <c r="E19" s="539">
        <v>15</v>
      </c>
      <c r="F19" s="539">
        <f t="shared" si="0"/>
        <v>0</v>
      </c>
      <c r="G19" s="210"/>
      <c r="H19" s="212">
        <v>0.46666666600000001</v>
      </c>
      <c r="I19" s="213">
        <f t="shared" si="7"/>
        <v>539.94450000000006</v>
      </c>
      <c r="J19" s="215">
        <f t="shared" si="8"/>
        <v>3359.65466186716</v>
      </c>
      <c r="K19" s="215"/>
      <c r="L19" s="216">
        <f t="shared" si="4"/>
        <v>3359.65466186716</v>
      </c>
      <c r="M19" s="217"/>
      <c r="N19" s="1"/>
      <c r="O19" s="1"/>
      <c r="P19" s="1"/>
      <c r="Q19" s="1"/>
      <c r="R19" s="1"/>
      <c r="S19" s="1"/>
      <c r="T19" s="1"/>
      <c r="U19" s="1"/>
      <c r="V19" s="1"/>
      <c r="W19" s="1"/>
    </row>
    <row r="20" spans="1:27" ht="19.149999999999999" customHeight="1" x14ac:dyDescent="0.2">
      <c r="A20" s="208" t="s">
        <v>119</v>
      </c>
      <c r="B20" s="111" t="s">
        <v>124</v>
      </c>
      <c r="C20" s="210">
        <f>Zones!K20</f>
        <v>1.1251000000000002</v>
      </c>
      <c r="D20" s="210">
        <f>Zones!J20</f>
        <v>1125.1000000000001</v>
      </c>
      <c r="E20" s="539">
        <v>15</v>
      </c>
      <c r="F20" s="539">
        <f t="shared" si="0"/>
        <v>0</v>
      </c>
      <c r="G20" s="210"/>
      <c r="H20" s="212">
        <v>0.46666666600000001</v>
      </c>
      <c r="I20" s="213">
        <f t="shared" si="7"/>
        <v>16.876500000000004</v>
      </c>
      <c r="J20" s="215">
        <f t="shared" si="8"/>
        <v>525.04666591660009</v>
      </c>
      <c r="K20" s="215"/>
      <c r="L20" s="216">
        <f t="shared" si="4"/>
        <v>525.04666591660009</v>
      </c>
      <c r="M20" s="217"/>
      <c r="N20" s="1"/>
      <c r="O20" s="1"/>
      <c r="P20" s="1"/>
      <c r="Q20" s="1"/>
      <c r="R20" s="1"/>
      <c r="S20" s="1"/>
      <c r="T20" s="1"/>
      <c r="U20" s="1"/>
      <c r="V20" s="1"/>
      <c r="W20" s="1"/>
    </row>
    <row r="21" spans="1:27" ht="19.149999999999999" customHeight="1" x14ac:dyDescent="0.2">
      <c r="A21" s="208" t="s">
        <v>119</v>
      </c>
      <c r="B21" s="111" t="s">
        <v>125</v>
      </c>
      <c r="C21" s="210">
        <f>Zones!K21</f>
        <v>1.5001499999999999</v>
      </c>
      <c r="D21" s="210">
        <f>Zones!J21</f>
        <v>300.02999999999997</v>
      </c>
      <c r="E21" s="539">
        <v>15</v>
      </c>
      <c r="F21" s="539">
        <f t="shared" si="0"/>
        <v>0</v>
      </c>
      <c r="G21" s="210"/>
      <c r="H21" s="212">
        <v>0.46666666600000001</v>
      </c>
      <c r="I21" s="213">
        <f t="shared" si="7"/>
        <v>22.502249999999997</v>
      </c>
      <c r="J21" s="215">
        <f t="shared" si="8"/>
        <v>140.01399979997998</v>
      </c>
      <c r="K21" s="215"/>
      <c r="L21" s="216">
        <f t="shared" si="4"/>
        <v>140.01399979997998</v>
      </c>
      <c r="M21" s="217"/>
      <c r="N21" s="1"/>
      <c r="O21" s="1"/>
      <c r="P21" s="1"/>
      <c r="Q21" s="1"/>
      <c r="R21" s="1"/>
      <c r="S21" s="1"/>
      <c r="T21" s="1"/>
      <c r="U21" s="1"/>
      <c r="V21" s="1"/>
      <c r="W21" s="1"/>
    </row>
    <row r="22" spans="1:27" ht="19.149999999999999" customHeight="1" x14ac:dyDescent="0.2">
      <c r="A22" s="208" t="s">
        <v>119</v>
      </c>
      <c r="B22" s="111" t="s">
        <v>126</v>
      </c>
      <c r="C22" s="210">
        <f>Zones!K22</f>
        <v>1.1251000000000002</v>
      </c>
      <c r="D22" s="210">
        <f>Zones!J22</f>
        <v>1350.1200000000001</v>
      </c>
      <c r="E22" s="539">
        <v>15</v>
      </c>
      <c r="F22" s="539">
        <f t="shared" si="0"/>
        <v>0</v>
      </c>
      <c r="G22" s="210"/>
      <c r="H22" s="212">
        <v>0.46666666600000001</v>
      </c>
      <c r="I22" s="213">
        <f t="shared" si="7"/>
        <v>16.876500000000004</v>
      </c>
      <c r="J22" s="215">
        <f t="shared" si="8"/>
        <v>630.05599909992009</v>
      </c>
      <c r="K22" s="215"/>
      <c r="L22" s="216">
        <f t="shared" si="4"/>
        <v>630.05599909992009</v>
      </c>
      <c r="M22" s="217"/>
      <c r="N22" s="1"/>
      <c r="O22" s="1"/>
      <c r="P22" s="1"/>
      <c r="Q22" s="1"/>
      <c r="R22" s="1"/>
      <c r="S22" s="1"/>
      <c r="T22" s="1"/>
      <c r="U22" s="1"/>
      <c r="V22" s="1"/>
      <c r="W22" s="1"/>
    </row>
    <row r="23" spans="1:27" ht="19.149999999999999" customHeight="1" x14ac:dyDescent="0.2">
      <c r="A23" s="200" t="s">
        <v>127</v>
      </c>
      <c r="B23" s="111" t="s">
        <v>128</v>
      </c>
      <c r="C23" s="210">
        <f>Zones!K23</f>
        <v>30.002939999999999</v>
      </c>
      <c r="D23" s="210">
        <f>Zones!J23</f>
        <v>10000.98</v>
      </c>
      <c r="E23" s="539">
        <v>15</v>
      </c>
      <c r="F23" s="539">
        <v>0.15</v>
      </c>
      <c r="G23" s="218">
        <v>0.7</v>
      </c>
      <c r="H23" s="212"/>
      <c r="I23" s="213">
        <f>E23*C23</f>
        <v>450.04409999999996</v>
      </c>
      <c r="J23" s="215">
        <f>F23*D23</f>
        <v>1500.1469999999999</v>
      </c>
      <c r="K23" s="215">
        <f>G23*D23</f>
        <v>7000.6859999999997</v>
      </c>
      <c r="L23" s="216">
        <f>MAX(I23:K23)</f>
        <v>7000.6859999999997</v>
      </c>
      <c r="M23" s="217" t="s">
        <v>354</v>
      </c>
      <c r="N23" s="1"/>
      <c r="O23" s="1"/>
      <c r="P23" s="1"/>
      <c r="Q23" s="1"/>
      <c r="R23" s="1"/>
      <c r="S23" s="1"/>
      <c r="T23" s="1"/>
      <c r="U23" s="1"/>
      <c r="V23" s="1"/>
      <c r="W23" s="1"/>
    </row>
    <row r="24" spans="1:27" ht="42.75" x14ac:dyDescent="0.2">
      <c r="A24" s="208" t="s">
        <v>355</v>
      </c>
      <c r="B24" s="111" t="s">
        <v>132</v>
      </c>
      <c r="C24" s="210">
        <f>Zones!K24</f>
        <v>14.251400000000002</v>
      </c>
      <c r="D24" s="210">
        <f>Zones!J24</f>
        <v>2850.28</v>
      </c>
      <c r="E24" s="539">
        <v>15</v>
      </c>
      <c r="F24" s="539">
        <f t="shared" ref="F24:F57" si="12">VLOOKUP(A24,O$4:S$17,5)</f>
        <v>0</v>
      </c>
      <c r="G24" s="218">
        <v>1</v>
      </c>
      <c r="H24" s="212">
        <v>0.46666666600000001</v>
      </c>
      <c r="I24" s="213">
        <f t="shared" si="7"/>
        <v>213.77100000000004</v>
      </c>
      <c r="J24" s="215">
        <f>H24*D24</f>
        <v>1330.1306647664801</v>
      </c>
      <c r="K24" s="215">
        <f>G24*D24</f>
        <v>2850.28</v>
      </c>
      <c r="L24" s="216">
        <f>MAX(I24:K24)+E67</f>
        <v>4350.2800000000007</v>
      </c>
      <c r="M24" s="293" t="s">
        <v>356</v>
      </c>
      <c r="N24" s="1"/>
      <c r="O24" s="1"/>
      <c r="P24" s="1"/>
      <c r="Q24" s="1"/>
      <c r="R24" s="1"/>
      <c r="S24" s="1"/>
      <c r="T24" s="1"/>
      <c r="U24" s="1"/>
      <c r="V24" s="1"/>
      <c r="W24" s="1"/>
    </row>
    <row r="25" spans="1:27" ht="43.5" x14ac:dyDescent="0.25">
      <c r="A25" s="208" t="s">
        <v>355</v>
      </c>
      <c r="B25" s="111" t="s">
        <v>135</v>
      </c>
      <c r="C25" s="210">
        <f>Zones!K25</f>
        <v>14.251400000000002</v>
      </c>
      <c r="D25" s="210">
        <f>Zones!J25</f>
        <v>2850.28</v>
      </c>
      <c r="E25" s="539">
        <v>15</v>
      </c>
      <c r="F25" s="539">
        <f t="shared" si="12"/>
        <v>0</v>
      </c>
      <c r="G25" s="218">
        <v>1</v>
      </c>
      <c r="H25" s="212">
        <v>0.46666666600000001</v>
      </c>
      <c r="I25" s="213">
        <f t="shared" si="7"/>
        <v>213.77100000000004</v>
      </c>
      <c r="J25" s="215">
        <f>H25*D25</f>
        <v>1330.1306647664801</v>
      </c>
      <c r="K25" s="215">
        <f>G25*D25</f>
        <v>2850.28</v>
      </c>
      <c r="L25" s="216">
        <f>MAX(I25:K25)+E68</f>
        <v>4350.2800000000007</v>
      </c>
      <c r="M25" s="293" t="s">
        <v>356</v>
      </c>
      <c r="N25"/>
      <c r="O25"/>
      <c r="P25"/>
      <c r="Q25"/>
      <c r="R25"/>
      <c r="S25"/>
      <c r="T25"/>
      <c r="U25"/>
      <c r="V25"/>
      <c r="W25"/>
      <c r="X25"/>
      <c r="Y25"/>
      <c r="Z25"/>
      <c r="AA25"/>
    </row>
    <row r="26" spans="1:27" s="120" customFormat="1" ht="21" customHeight="1" x14ac:dyDescent="0.25">
      <c r="A26" s="294" t="s">
        <v>136</v>
      </c>
      <c r="B26" s="111" t="s">
        <v>137</v>
      </c>
      <c r="C26" s="210">
        <f>Zones!K26</f>
        <v>523.91723999999999</v>
      </c>
      <c r="D26" s="210">
        <f>Zones!J26</f>
        <v>15876.28</v>
      </c>
      <c r="E26" s="539">
        <v>15</v>
      </c>
      <c r="F26" s="539">
        <f t="shared" si="12"/>
        <v>0.15</v>
      </c>
      <c r="G26" s="210"/>
      <c r="H26" s="212">
        <f>VLOOKUP(A26,O$4:V$17,8)</f>
        <v>0</v>
      </c>
      <c r="I26" s="213">
        <f t="shared" si="7"/>
        <v>7858.7586000000001</v>
      </c>
      <c r="J26" s="215">
        <f>F26*D26</f>
        <v>2381.442</v>
      </c>
      <c r="K26" s="215">
        <f t="shared" ref="K26:K57" si="13">G26*D26</f>
        <v>0</v>
      </c>
      <c r="L26" s="216">
        <f t="shared" ref="L26:L57" si="14">MAX(I26:K26)</f>
        <v>7858.7586000000001</v>
      </c>
      <c r="M26" s="219"/>
      <c r="N26"/>
      <c r="O26"/>
      <c r="P26"/>
      <c r="Q26"/>
      <c r="R26"/>
      <c r="S26"/>
      <c r="T26"/>
      <c r="U26"/>
      <c r="V26"/>
      <c r="W26"/>
      <c r="X26"/>
      <c r="Y26"/>
      <c r="Z26"/>
      <c r="AA26"/>
    </row>
    <row r="27" spans="1:27" ht="20.45" customHeight="1" x14ac:dyDescent="0.25">
      <c r="A27" s="208" t="s">
        <v>114</v>
      </c>
      <c r="B27" s="111" t="s">
        <v>138</v>
      </c>
      <c r="C27" s="210">
        <f>Zones!K27</f>
        <v>48.754750000000001</v>
      </c>
      <c r="D27" s="210">
        <f>Zones!J27</f>
        <v>9750.9500000000007</v>
      </c>
      <c r="E27" s="539">
        <v>15</v>
      </c>
      <c r="F27" s="539">
        <f t="shared" si="12"/>
        <v>0</v>
      </c>
      <c r="G27" s="218">
        <f>4551/D27</f>
        <v>0.46672375512129582</v>
      </c>
      <c r="H27" s="212">
        <v>0.46666666600000001</v>
      </c>
      <c r="I27" s="213">
        <f t="shared" si="7"/>
        <v>731.32124999999996</v>
      </c>
      <c r="J27" s="215">
        <f>H27*D27</f>
        <v>4550.4433268327002</v>
      </c>
      <c r="K27" s="215">
        <f t="shared" si="13"/>
        <v>4551</v>
      </c>
      <c r="L27" s="216">
        <f t="shared" si="14"/>
        <v>4551</v>
      </c>
      <c r="M27" s="217" t="s">
        <v>357</v>
      </c>
      <c r="N27"/>
      <c r="O27"/>
      <c r="P27"/>
      <c r="Q27"/>
      <c r="R27"/>
      <c r="S27"/>
      <c r="T27"/>
      <c r="U27"/>
      <c r="V27"/>
      <c r="W27"/>
      <c r="X27"/>
      <c r="Y27"/>
      <c r="Z27"/>
      <c r="AA27"/>
    </row>
    <row r="28" spans="1:27" ht="20.45" customHeight="1" x14ac:dyDescent="0.25">
      <c r="A28" s="208" t="s">
        <v>114</v>
      </c>
      <c r="B28" s="111" t="s">
        <v>139</v>
      </c>
      <c r="C28" s="210">
        <f>Zones!K28</f>
        <v>48.754750000000001</v>
      </c>
      <c r="D28" s="210">
        <f>Zones!J28</f>
        <v>9750.9500000000007</v>
      </c>
      <c r="E28" s="539">
        <v>15</v>
      </c>
      <c r="F28" s="539">
        <f t="shared" si="12"/>
        <v>0</v>
      </c>
      <c r="G28" s="218">
        <f>4551/D28</f>
        <v>0.46672375512129582</v>
      </c>
      <c r="H28" s="212">
        <v>0.46666666600000001</v>
      </c>
      <c r="I28" s="213">
        <f t="shared" si="7"/>
        <v>731.32124999999996</v>
      </c>
      <c r="J28" s="215">
        <f>H28*D28</f>
        <v>4550.4433268327002</v>
      </c>
      <c r="K28" s="215">
        <f t="shared" si="13"/>
        <v>4551</v>
      </c>
      <c r="L28" s="216">
        <f t="shared" si="14"/>
        <v>4551</v>
      </c>
      <c r="M28" s="217" t="s">
        <v>357</v>
      </c>
      <c r="N28"/>
      <c r="O28"/>
      <c r="P28"/>
      <c r="Q28"/>
      <c r="R28"/>
      <c r="S28"/>
      <c r="T28"/>
      <c r="U28"/>
      <c r="V28"/>
      <c r="W28"/>
      <c r="X28"/>
      <c r="Y28"/>
      <c r="Z28"/>
      <c r="AA28"/>
    </row>
    <row r="29" spans="1:27" ht="20.45" customHeight="1" x14ac:dyDescent="0.25">
      <c r="A29" s="208" t="s">
        <v>114</v>
      </c>
      <c r="B29" s="111" t="s">
        <v>140</v>
      </c>
      <c r="C29" s="210">
        <f>Zones!K29</f>
        <v>56.005449999999996</v>
      </c>
      <c r="D29" s="210">
        <f>Zones!J29</f>
        <v>11201.09</v>
      </c>
      <c r="E29" s="539">
        <v>15</v>
      </c>
      <c r="F29" s="539">
        <f t="shared" si="12"/>
        <v>0</v>
      </c>
      <c r="G29" s="210"/>
      <c r="H29" s="212">
        <v>0.46666666600000001</v>
      </c>
      <c r="I29" s="213">
        <f t="shared" si="7"/>
        <v>840.08174999999994</v>
      </c>
      <c r="J29" s="215">
        <f>H29*D29</f>
        <v>5227.1753258659401</v>
      </c>
      <c r="K29" s="215">
        <f t="shared" si="13"/>
        <v>0</v>
      </c>
      <c r="L29" s="216">
        <f t="shared" si="14"/>
        <v>5227.1753258659401</v>
      </c>
      <c r="M29" s="217"/>
      <c r="N29"/>
      <c r="O29"/>
      <c r="P29"/>
      <c r="Q29"/>
      <c r="R29"/>
      <c r="S29"/>
      <c r="T29"/>
      <c r="U29"/>
      <c r="V29"/>
      <c r="W29"/>
      <c r="X29"/>
      <c r="Y29"/>
      <c r="Z29"/>
      <c r="AA29"/>
    </row>
    <row r="30" spans="1:27" ht="20.45" customHeight="1" x14ac:dyDescent="0.25">
      <c r="A30" s="208" t="s">
        <v>90</v>
      </c>
      <c r="B30" s="111" t="s">
        <v>141</v>
      </c>
      <c r="C30" s="210">
        <f>Zones!K30</f>
        <v>3.75135</v>
      </c>
      <c r="D30" s="210">
        <f>Zones!J30</f>
        <v>750.27</v>
      </c>
      <c r="E30" s="539">
        <v>15</v>
      </c>
      <c r="F30" s="539">
        <f t="shared" si="12"/>
        <v>0.15</v>
      </c>
      <c r="G30" s="210"/>
      <c r="H30" s="212">
        <f>VLOOKUP(A30,O$4:V$17,8)</f>
        <v>0</v>
      </c>
      <c r="I30" s="213">
        <f t="shared" si="7"/>
        <v>56.270249999999997</v>
      </c>
      <c r="J30" s="215">
        <f>F30*D30</f>
        <v>112.54049999999999</v>
      </c>
      <c r="K30" s="215">
        <f t="shared" si="13"/>
        <v>0</v>
      </c>
      <c r="L30" s="216">
        <f t="shared" si="14"/>
        <v>112.54049999999999</v>
      </c>
      <c r="M30" s="217"/>
      <c r="N30"/>
      <c r="O30"/>
      <c r="P30"/>
      <c r="Q30"/>
      <c r="R30"/>
      <c r="S30"/>
      <c r="T30"/>
      <c r="U30"/>
      <c r="V30"/>
      <c r="W30"/>
      <c r="X30"/>
      <c r="Y30"/>
      <c r="Z30"/>
      <c r="AA30"/>
    </row>
    <row r="31" spans="1:27" ht="20.45" customHeight="1" x14ac:dyDescent="0.25">
      <c r="A31" s="208" t="s">
        <v>90</v>
      </c>
      <c r="B31" s="111" t="s">
        <v>143</v>
      </c>
      <c r="C31" s="210">
        <f>Zones!K31</f>
        <v>0.75004999999999999</v>
      </c>
      <c r="D31" s="210">
        <f>Zones!J31</f>
        <v>750.05</v>
      </c>
      <c r="E31" s="539">
        <v>15</v>
      </c>
      <c r="F31" s="539">
        <f t="shared" si="12"/>
        <v>0.15</v>
      </c>
      <c r="G31" s="210"/>
      <c r="H31" s="212">
        <f>VLOOKUP(A31,O$4:V$17,8)</f>
        <v>0</v>
      </c>
      <c r="I31" s="213">
        <f t="shared" si="7"/>
        <v>11.25075</v>
      </c>
      <c r="J31" s="215">
        <f>F31*D31</f>
        <v>112.50749999999999</v>
      </c>
      <c r="K31" s="215">
        <f t="shared" si="13"/>
        <v>0</v>
      </c>
      <c r="L31" s="216">
        <f t="shared" si="14"/>
        <v>112.50749999999999</v>
      </c>
      <c r="M31" s="217"/>
      <c r="N31"/>
      <c r="O31"/>
      <c r="P31"/>
      <c r="Q31"/>
      <c r="R31"/>
      <c r="S31"/>
      <c r="T31"/>
      <c r="U31"/>
      <c r="V31"/>
      <c r="W31"/>
      <c r="X31"/>
      <c r="Y31"/>
      <c r="Z31"/>
      <c r="AA31"/>
    </row>
    <row r="32" spans="1:27" ht="20.45" customHeight="1" x14ac:dyDescent="0.25">
      <c r="A32" s="208" t="s">
        <v>90</v>
      </c>
      <c r="B32" s="111" t="s">
        <v>144</v>
      </c>
      <c r="C32" s="210">
        <f>Zones!K32</f>
        <v>3.7503500000000005</v>
      </c>
      <c r="D32" s="210">
        <f>Zones!J32</f>
        <v>3750.3500000000004</v>
      </c>
      <c r="E32" s="539">
        <v>15</v>
      </c>
      <c r="F32" s="539">
        <f t="shared" si="12"/>
        <v>0.15</v>
      </c>
      <c r="G32" s="210"/>
      <c r="H32" s="212">
        <f>VLOOKUP(A32,O$4:V$17,8)</f>
        <v>0</v>
      </c>
      <c r="I32" s="213">
        <f t="shared" si="7"/>
        <v>56.255250000000011</v>
      </c>
      <c r="J32" s="215">
        <f>F32*D32</f>
        <v>562.55250000000001</v>
      </c>
      <c r="K32" s="215">
        <f t="shared" si="13"/>
        <v>0</v>
      </c>
      <c r="L32" s="216">
        <f t="shared" si="14"/>
        <v>562.55250000000001</v>
      </c>
      <c r="M32" s="217"/>
      <c r="N32"/>
      <c r="O32"/>
      <c r="P32"/>
      <c r="Q32"/>
      <c r="R32"/>
      <c r="S32"/>
      <c r="T32"/>
      <c r="U32"/>
      <c r="V32"/>
      <c r="W32"/>
      <c r="X32"/>
      <c r="Y32"/>
      <c r="Z32"/>
      <c r="AA32"/>
    </row>
    <row r="33" spans="1:27" ht="20.45" customHeight="1" x14ac:dyDescent="0.25">
      <c r="A33" s="208" t="s">
        <v>90</v>
      </c>
      <c r="B33" s="111" t="s">
        <v>145</v>
      </c>
      <c r="C33" s="210">
        <f>Zones!K33</f>
        <v>3.7503500000000005</v>
      </c>
      <c r="D33" s="210">
        <f>Zones!J33</f>
        <v>750.07</v>
      </c>
      <c r="E33" s="539">
        <v>15</v>
      </c>
      <c r="F33" s="539">
        <f t="shared" si="12"/>
        <v>0.15</v>
      </c>
      <c r="G33" s="210"/>
      <c r="H33" s="212">
        <f>VLOOKUP(A33,O$4:V$17,8)</f>
        <v>0</v>
      </c>
      <c r="I33" s="213">
        <f t="shared" si="7"/>
        <v>56.255250000000011</v>
      </c>
      <c r="J33" s="215">
        <f>F33*D33</f>
        <v>112.51050000000001</v>
      </c>
      <c r="K33" s="215">
        <f t="shared" si="13"/>
        <v>0</v>
      </c>
      <c r="L33" s="216">
        <f t="shared" si="14"/>
        <v>112.51050000000001</v>
      </c>
      <c r="M33" s="217"/>
      <c r="N33"/>
      <c r="O33"/>
      <c r="P33"/>
      <c r="Q33"/>
      <c r="R33"/>
      <c r="S33"/>
      <c r="T33"/>
      <c r="U33"/>
      <c r="V33"/>
      <c r="W33"/>
      <c r="X33"/>
      <c r="Y33"/>
      <c r="Z33"/>
      <c r="AA33"/>
    </row>
    <row r="34" spans="1:27" ht="20.45" customHeight="1" x14ac:dyDescent="0.25">
      <c r="A34" s="208" t="s">
        <v>90</v>
      </c>
      <c r="B34" s="111" t="s">
        <v>146</v>
      </c>
      <c r="C34" s="210">
        <f>Zones!K34</f>
        <v>0.75004999999999999</v>
      </c>
      <c r="D34" s="210">
        <f>Zones!J34</f>
        <v>900.06</v>
      </c>
      <c r="E34" s="539">
        <v>15</v>
      </c>
      <c r="F34" s="539">
        <f t="shared" si="12"/>
        <v>0.15</v>
      </c>
      <c r="G34" s="210"/>
      <c r="H34" s="212">
        <f>VLOOKUP(A34,O$4:V$17,8)</f>
        <v>0</v>
      </c>
      <c r="I34" s="213">
        <f t="shared" si="7"/>
        <v>11.25075</v>
      </c>
      <c r="J34" s="215">
        <f>F34*D34</f>
        <v>135.00899999999999</v>
      </c>
      <c r="K34" s="215">
        <f t="shared" si="13"/>
        <v>0</v>
      </c>
      <c r="L34" s="216">
        <f t="shared" si="14"/>
        <v>135.00899999999999</v>
      </c>
      <c r="M34" s="217"/>
      <c r="N34"/>
      <c r="O34"/>
      <c r="P34"/>
      <c r="Q34"/>
      <c r="R34"/>
      <c r="S34"/>
      <c r="T34"/>
      <c r="U34"/>
      <c r="V34"/>
      <c r="W34"/>
      <c r="X34"/>
      <c r="Y34"/>
      <c r="Z34"/>
      <c r="AA34"/>
    </row>
    <row r="35" spans="1:27" ht="20.45" customHeight="1" x14ac:dyDescent="0.25">
      <c r="A35" s="208" t="s">
        <v>147</v>
      </c>
      <c r="B35" s="111" t="s">
        <v>148</v>
      </c>
      <c r="C35" s="210">
        <f>Zones!K35</f>
        <v>3.0002999999999997</v>
      </c>
      <c r="D35" s="210">
        <f>Zones!J35</f>
        <v>600.05999999999995</v>
      </c>
      <c r="E35" s="539">
        <v>15</v>
      </c>
      <c r="F35" s="539">
        <f t="shared" si="12"/>
        <v>0</v>
      </c>
      <c r="G35" s="210"/>
      <c r="H35" s="212">
        <v>0.93333330000000003</v>
      </c>
      <c r="I35" s="213">
        <f t="shared" si="7"/>
        <v>45.004499999999993</v>
      </c>
      <c r="J35" s="215">
        <f t="shared" ref="J35:J57" si="15">H35*D35</f>
        <v>560.055979998</v>
      </c>
      <c r="K35" s="215">
        <f t="shared" si="13"/>
        <v>0</v>
      </c>
      <c r="L35" s="216">
        <f t="shared" si="14"/>
        <v>560.055979998</v>
      </c>
      <c r="M35" s="217"/>
      <c r="N35"/>
      <c r="O35"/>
      <c r="P35"/>
      <c r="Q35"/>
      <c r="R35"/>
      <c r="S35"/>
      <c r="T35"/>
      <c r="U35"/>
      <c r="V35"/>
      <c r="W35"/>
      <c r="X35"/>
      <c r="Y35"/>
      <c r="Z35"/>
      <c r="AA35"/>
    </row>
    <row r="36" spans="1:27" ht="20.45" customHeight="1" x14ac:dyDescent="0.25">
      <c r="A36" s="208" t="s">
        <v>147</v>
      </c>
      <c r="B36" s="111" t="s">
        <v>150</v>
      </c>
      <c r="C36" s="210">
        <f>Zones!K36</f>
        <v>3.0002999999999997</v>
      </c>
      <c r="D36" s="210">
        <f>Zones!J36</f>
        <v>3000.2999999999997</v>
      </c>
      <c r="E36" s="539">
        <v>15</v>
      </c>
      <c r="F36" s="539">
        <f t="shared" si="12"/>
        <v>0</v>
      </c>
      <c r="G36" s="210"/>
      <c r="H36" s="212">
        <v>0.93333330000000003</v>
      </c>
      <c r="I36" s="213">
        <f t="shared" si="7"/>
        <v>45.004499999999993</v>
      </c>
      <c r="J36" s="215">
        <f t="shared" si="15"/>
        <v>2800.2798999899996</v>
      </c>
      <c r="K36" s="215">
        <f t="shared" si="13"/>
        <v>0</v>
      </c>
      <c r="L36" s="216">
        <f t="shared" si="14"/>
        <v>2800.2798999899996</v>
      </c>
      <c r="M36" s="217"/>
      <c r="N36"/>
      <c r="O36"/>
      <c r="P36"/>
      <c r="Q36"/>
      <c r="R36"/>
      <c r="S36"/>
      <c r="T36"/>
      <c r="U36"/>
      <c r="V36"/>
      <c r="W36"/>
      <c r="X36"/>
      <c r="Y36"/>
      <c r="Z36"/>
      <c r="AA36"/>
    </row>
    <row r="37" spans="1:27" ht="20.45" customHeight="1" x14ac:dyDescent="0.25">
      <c r="A37" s="208" t="s">
        <v>147</v>
      </c>
      <c r="B37" s="111" t="s">
        <v>151</v>
      </c>
      <c r="C37" s="210">
        <f>Zones!K37</f>
        <v>3.0002999999999997</v>
      </c>
      <c r="D37" s="210">
        <f>Zones!J37</f>
        <v>600.05999999999995</v>
      </c>
      <c r="E37" s="539">
        <v>15</v>
      </c>
      <c r="F37" s="539">
        <f t="shared" si="12"/>
        <v>0</v>
      </c>
      <c r="G37" s="210"/>
      <c r="H37" s="212">
        <v>0.93333330000000003</v>
      </c>
      <c r="I37" s="213">
        <f t="shared" si="7"/>
        <v>45.004499999999993</v>
      </c>
      <c r="J37" s="215">
        <f t="shared" si="15"/>
        <v>560.055979998</v>
      </c>
      <c r="K37" s="215">
        <f t="shared" si="13"/>
        <v>0</v>
      </c>
      <c r="L37" s="216">
        <f t="shared" si="14"/>
        <v>560.055979998</v>
      </c>
      <c r="M37" s="217"/>
      <c r="N37"/>
      <c r="O37"/>
      <c r="P37"/>
      <c r="Q37"/>
      <c r="R37"/>
      <c r="S37"/>
      <c r="T37"/>
      <c r="U37"/>
      <c r="V37"/>
      <c r="W37"/>
      <c r="X37"/>
      <c r="Y37"/>
      <c r="Z37"/>
      <c r="AA37"/>
    </row>
    <row r="38" spans="1:27" ht="20.45" customHeight="1" x14ac:dyDescent="0.25">
      <c r="A38" s="208" t="s">
        <v>147</v>
      </c>
      <c r="B38" s="111" t="s">
        <v>152</v>
      </c>
      <c r="C38" s="210">
        <f>Zones!K38</f>
        <v>12.001149999999999</v>
      </c>
      <c r="D38" s="210">
        <f>Zones!J38</f>
        <v>2400.23</v>
      </c>
      <c r="E38" s="539">
        <v>15</v>
      </c>
      <c r="F38" s="539">
        <f t="shared" si="12"/>
        <v>0</v>
      </c>
      <c r="G38" s="210"/>
      <c r="H38" s="212">
        <v>0.93333330000000003</v>
      </c>
      <c r="I38" s="213">
        <f t="shared" si="7"/>
        <v>180.01724999999999</v>
      </c>
      <c r="J38" s="215">
        <f t="shared" si="15"/>
        <v>2240.2145866589999</v>
      </c>
      <c r="K38" s="215">
        <f t="shared" si="13"/>
        <v>0</v>
      </c>
      <c r="L38" s="216">
        <f t="shared" si="14"/>
        <v>2240.2145866589999</v>
      </c>
      <c r="M38" s="217"/>
      <c r="N38"/>
      <c r="O38"/>
      <c r="P38"/>
      <c r="Q38"/>
      <c r="R38"/>
      <c r="S38"/>
      <c r="T38"/>
      <c r="U38"/>
      <c r="V38"/>
      <c r="W38"/>
      <c r="X38"/>
      <c r="Y38"/>
      <c r="Z38"/>
      <c r="AA38"/>
    </row>
    <row r="39" spans="1:27" ht="20.45" customHeight="1" x14ac:dyDescent="0.25">
      <c r="A39" s="208" t="s">
        <v>114</v>
      </c>
      <c r="B39" s="111" t="s">
        <v>153</v>
      </c>
      <c r="C39" s="210">
        <f>Zones!K39</f>
        <v>54.505299999999998</v>
      </c>
      <c r="D39" s="210">
        <f>Zones!J39</f>
        <v>10901.06</v>
      </c>
      <c r="E39" s="539">
        <v>15</v>
      </c>
      <c r="F39" s="539">
        <f t="shared" si="12"/>
        <v>0</v>
      </c>
      <c r="G39" s="210"/>
      <c r="H39" s="212">
        <v>0.46666666600000001</v>
      </c>
      <c r="I39" s="213">
        <f t="shared" si="7"/>
        <v>817.57949999999994</v>
      </c>
      <c r="J39" s="215">
        <f t="shared" si="15"/>
        <v>5087.1613260659597</v>
      </c>
      <c r="K39" s="215">
        <f t="shared" si="13"/>
        <v>0</v>
      </c>
      <c r="L39" s="216">
        <f t="shared" si="14"/>
        <v>5087.1613260659597</v>
      </c>
      <c r="M39" s="217"/>
      <c r="N39"/>
      <c r="O39"/>
      <c r="P39"/>
      <c r="Q39"/>
      <c r="R39"/>
      <c r="S39"/>
      <c r="T39"/>
      <c r="U39"/>
      <c r="V39"/>
      <c r="W39"/>
      <c r="X39"/>
      <c r="Y39"/>
      <c r="Z39"/>
      <c r="AA39"/>
    </row>
    <row r="40" spans="1:27" ht="20.45" customHeight="1" x14ac:dyDescent="0.25">
      <c r="A40" s="208" t="s">
        <v>154</v>
      </c>
      <c r="B40" s="111" t="s">
        <v>155</v>
      </c>
      <c r="C40" s="210">
        <f>Zones!K40</f>
        <v>1.1251000000000002</v>
      </c>
      <c r="D40" s="210">
        <f>Zones!J40</f>
        <v>2250.2000000000003</v>
      </c>
      <c r="E40" s="539">
        <v>15</v>
      </c>
      <c r="F40" s="539">
        <f t="shared" si="12"/>
        <v>0</v>
      </c>
      <c r="G40" s="210"/>
      <c r="H40" s="212">
        <v>0.46666666600000001</v>
      </c>
      <c r="I40" s="213">
        <f t="shared" si="7"/>
        <v>16.876500000000004</v>
      </c>
      <c r="J40" s="215">
        <f t="shared" si="15"/>
        <v>1050.0933318332002</v>
      </c>
      <c r="K40" s="215">
        <f t="shared" si="13"/>
        <v>0</v>
      </c>
      <c r="L40" s="216">
        <f t="shared" si="14"/>
        <v>1050.0933318332002</v>
      </c>
      <c r="M40" s="217"/>
      <c r="N40"/>
      <c r="O40"/>
      <c r="P40"/>
      <c r="Q40"/>
      <c r="R40"/>
      <c r="S40"/>
      <c r="T40"/>
      <c r="U40"/>
      <c r="V40"/>
      <c r="W40"/>
      <c r="X40"/>
      <c r="Y40"/>
      <c r="Z40"/>
      <c r="AA40"/>
    </row>
    <row r="41" spans="1:27" ht="20.45" customHeight="1" x14ac:dyDescent="0.25">
      <c r="A41" s="208" t="s">
        <v>154</v>
      </c>
      <c r="B41" s="111" t="s">
        <v>158</v>
      </c>
      <c r="C41" s="210">
        <f>Zones!K41</f>
        <v>1.1251000000000002</v>
      </c>
      <c r="D41" s="210">
        <f>Zones!J41</f>
        <v>2250.2000000000003</v>
      </c>
      <c r="E41" s="539">
        <v>15</v>
      </c>
      <c r="F41" s="539">
        <f t="shared" si="12"/>
        <v>0</v>
      </c>
      <c r="G41" s="210"/>
      <c r="H41" s="212">
        <v>0.46666666600000001</v>
      </c>
      <c r="I41" s="213">
        <f t="shared" si="7"/>
        <v>16.876500000000004</v>
      </c>
      <c r="J41" s="215">
        <f t="shared" si="15"/>
        <v>1050.0933318332002</v>
      </c>
      <c r="K41" s="215">
        <f t="shared" si="13"/>
        <v>0</v>
      </c>
      <c r="L41" s="216">
        <f t="shared" si="14"/>
        <v>1050.0933318332002</v>
      </c>
      <c r="M41" s="217"/>
      <c r="N41"/>
      <c r="O41"/>
      <c r="P41"/>
      <c r="Q41"/>
      <c r="R41"/>
      <c r="S41"/>
      <c r="T41"/>
      <c r="U41"/>
      <c r="V41"/>
      <c r="W41"/>
      <c r="X41"/>
      <c r="Y41"/>
      <c r="Z41"/>
      <c r="AA41"/>
    </row>
    <row r="42" spans="1:27" ht="20.45" customHeight="1" x14ac:dyDescent="0.25">
      <c r="A42" s="208" t="s">
        <v>154</v>
      </c>
      <c r="B42" s="111" t="s">
        <v>159</v>
      </c>
      <c r="C42" s="210">
        <f>Zones!K42</f>
        <v>1.8752</v>
      </c>
      <c r="D42" s="210">
        <f>Zones!J42</f>
        <v>375.04</v>
      </c>
      <c r="E42" s="539">
        <v>15</v>
      </c>
      <c r="F42" s="539">
        <f t="shared" si="12"/>
        <v>0</v>
      </c>
      <c r="G42" s="210"/>
      <c r="H42" s="212">
        <v>0.46666666600000001</v>
      </c>
      <c r="I42" s="213">
        <f t="shared" si="7"/>
        <v>28.128</v>
      </c>
      <c r="J42" s="215">
        <f t="shared" si="15"/>
        <v>175.01866641664</v>
      </c>
      <c r="K42" s="215">
        <f t="shared" si="13"/>
        <v>0</v>
      </c>
      <c r="L42" s="216">
        <f t="shared" si="14"/>
        <v>175.01866641664</v>
      </c>
      <c r="M42" s="217"/>
      <c r="N42"/>
      <c r="O42"/>
      <c r="P42"/>
      <c r="Q42"/>
      <c r="R42"/>
      <c r="S42"/>
      <c r="T42"/>
      <c r="U42"/>
      <c r="V42"/>
      <c r="W42"/>
      <c r="X42"/>
      <c r="Y42"/>
      <c r="Z42"/>
      <c r="AA42"/>
    </row>
    <row r="43" spans="1:27" ht="20.45" customHeight="1" x14ac:dyDescent="0.25">
      <c r="A43" s="208" t="s">
        <v>154</v>
      </c>
      <c r="B43" s="111" t="s">
        <v>160</v>
      </c>
      <c r="C43" s="210">
        <f>Zones!K43</f>
        <v>1.8752</v>
      </c>
      <c r="D43" s="210">
        <f>Zones!J43</f>
        <v>375.04</v>
      </c>
      <c r="E43" s="539">
        <v>15</v>
      </c>
      <c r="F43" s="539">
        <f t="shared" si="12"/>
        <v>0</v>
      </c>
      <c r="G43" s="210"/>
      <c r="H43" s="212">
        <v>0.46666666600000001</v>
      </c>
      <c r="I43" s="213">
        <f t="shared" si="7"/>
        <v>28.128</v>
      </c>
      <c r="J43" s="215">
        <f t="shared" si="15"/>
        <v>175.01866641664</v>
      </c>
      <c r="K43" s="215">
        <f t="shared" si="13"/>
        <v>0</v>
      </c>
      <c r="L43" s="216">
        <f t="shared" si="14"/>
        <v>175.01866641664</v>
      </c>
      <c r="M43" s="217"/>
      <c r="N43"/>
      <c r="O43"/>
      <c r="P43"/>
      <c r="Q43"/>
      <c r="R43"/>
      <c r="S43"/>
      <c r="T43"/>
      <c r="U43"/>
      <c r="V43"/>
      <c r="W43"/>
      <c r="X43"/>
      <c r="Y43"/>
      <c r="Z43"/>
      <c r="AA43"/>
    </row>
    <row r="44" spans="1:27" ht="20.45" customHeight="1" x14ac:dyDescent="0.25">
      <c r="A44" s="208" t="s">
        <v>154</v>
      </c>
      <c r="B44" s="111" t="s">
        <v>161</v>
      </c>
      <c r="C44" s="210">
        <f>Zones!K44</f>
        <v>1.0877000000000001</v>
      </c>
      <c r="D44" s="210">
        <f>Zones!J44</f>
        <v>2175.4</v>
      </c>
      <c r="E44" s="539">
        <v>15</v>
      </c>
      <c r="F44" s="539">
        <f t="shared" si="12"/>
        <v>0</v>
      </c>
      <c r="G44" s="210"/>
      <c r="H44" s="212">
        <v>0.46666666600000001</v>
      </c>
      <c r="I44" s="213">
        <f t="shared" si="7"/>
        <v>16.3155</v>
      </c>
      <c r="J44" s="215">
        <f t="shared" si="15"/>
        <v>1015.1866652164001</v>
      </c>
      <c r="K44" s="215">
        <f t="shared" si="13"/>
        <v>0</v>
      </c>
      <c r="L44" s="216">
        <f t="shared" si="14"/>
        <v>1015.1866652164001</v>
      </c>
      <c r="M44" s="217"/>
      <c r="N44"/>
      <c r="O44"/>
      <c r="P44"/>
      <c r="Q44"/>
      <c r="R44"/>
      <c r="S44"/>
      <c r="T44"/>
      <c r="U44"/>
      <c r="V44"/>
      <c r="W44"/>
      <c r="X44"/>
      <c r="Y44"/>
      <c r="Z44"/>
      <c r="AA44"/>
    </row>
    <row r="45" spans="1:27" ht="20.45" customHeight="1" x14ac:dyDescent="0.25">
      <c r="A45" s="208" t="s">
        <v>154</v>
      </c>
      <c r="B45" s="111" t="s">
        <v>162</v>
      </c>
      <c r="C45" s="210">
        <f>Zones!K45</f>
        <v>1.0877000000000001</v>
      </c>
      <c r="D45" s="210">
        <f>Zones!J45</f>
        <v>2175.4</v>
      </c>
      <c r="E45" s="539">
        <v>15</v>
      </c>
      <c r="F45" s="539">
        <f t="shared" si="12"/>
        <v>0</v>
      </c>
      <c r="G45" s="210"/>
      <c r="H45" s="212">
        <v>0.46666666600000001</v>
      </c>
      <c r="I45" s="213">
        <f t="shared" si="7"/>
        <v>16.3155</v>
      </c>
      <c r="J45" s="215">
        <f t="shared" si="15"/>
        <v>1015.1866652164001</v>
      </c>
      <c r="K45" s="215">
        <f t="shared" si="13"/>
        <v>0</v>
      </c>
      <c r="L45" s="216">
        <f t="shared" si="14"/>
        <v>1015.1866652164001</v>
      </c>
      <c r="M45" s="217"/>
      <c r="N45"/>
      <c r="O45"/>
      <c r="P45"/>
      <c r="Q45"/>
      <c r="R45"/>
      <c r="S45"/>
      <c r="T45"/>
      <c r="U45"/>
      <c r="V45"/>
      <c r="W45"/>
      <c r="X45"/>
      <c r="Y45"/>
      <c r="Z45"/>
      <c r="AA45"/>
    </row>
    <row r="46" spans="1:27" ht="20.45" customHeight="1" x14ac:dyDescent="0.25">
      <c r="A46" s="208" t="s">
        <v>154</v>
      </c>
      <c r="B46" s="111" t="s">
        <v>163</v>
      </c>
      <c r="C46" s="210">
        <f>Zones!K46</f>
        <v>1.8752</v>
      </c>
      <c r="D46" s="210">
        <f>Zones!J46</f>
        <v>375.04</v>
      </c>
      <c r="E46" s="539">
        <v>15</v>
      </c>
      <c r="F46" s="539">
        <f t="shared" si="12"/>
        <v>0</v>
      </c>
      <c r="G46" s="210"/>
      <c r="H46" s="212">
        <v>0.46666666600000001</v>
      </c>
      <c r="I46" s="213">
        <f t="shared" si="7"/>
        <v>28.128</v>
      </c>
      <c r="J46" s="215">
        <f t="shared" si="15"/>
        <v>175.01866641664</v>
      </c>
      <c r="K46" s="215">
        <f t="shared" si="13"/>
        <v>0</v>
      </c>
      <c r="L46" s="216">
        <f t="shared" si="14"/>
        <v>175.01866641664</v>
      </c>
      <c r="M46" s="217"/>
      <c r="N46"/>
      <c r="O46"/>
      <c r="P46"/>
      <c r="Q46"/>
      <c r="R46"/>
      <c r="S46"/>
      <c r="T46"/>
      <c r="U46"/>
      <c r="V46"/>
      <c r="W46"/>
      <c r="X46"/>
      <c r="Y46"/>
      <c r="Z46"/>
      <c r="AA46"/>
    </row>
    <row r="47" spans="1:27" ht="20.45" customHeight="1" x14ac:dyDescent="0.25">
      <c r="A47" s="208" t="s">
        <v>154</v>
      </c>
      <c r="B47" s="111" t="s">
        <v>164</v>
      </c>
      <c r="C47" s="210">
        <f>Zones!K47</f>
        <v>1.8752</v>
      </c>
      <c r="D47" s="210">
        <f>Zones!J47</f>
        <v>375.04</v>
      </c>
      <c r="E47" s="539">
        <v>15</v>
      </c>
      <c r="F47" s="539">
        <f t="shared" si="12"/>
        <v>0</v>
      </c>
      <c r="G47" s="210"/>
      <c r="H47" s="212">
        <v>0.46666666600000001</v>
      </c>
      <c r="I47" s="213">
        <f t="shared" si="7"/>
        <v>28.128</v>
      </c>
      <c r="J47" s="215">
        <f t="shared" si="15"/>
        <v>175.01866641664</v>
      </c>
      <c r="K47" s="215">
        <f t="shared" si="13"/>
        <v>0</v>
      </c>
      <c r="L47" s="216">
        <f t="shared" si="14"/>
        <v>175.01866641664</v>
      </c>
      <c r="M47" s="217"/>
      <c r="N47"/>
      <c r="O47"/>
      <c r="P47"/>
      <c r="Q47"/>
      <c r="R47"/>
      <c r="S47"/>
      <c r="T47"/>
      <c r="U47"/>
      <c r="V47"/>
      <c r="W47"/>
      <c r="X47"/>
      <c r="Y47"/>
      <c r="Z47"/>
      <c r="AA47"/>
    </row>
    <row r="48" spans="1:27" ht="20.45" customHeight="1" x14ac:dyDescent="0.25">
      <c r="A48" s="208" t="s">
        <v>154</v>
      </c>
      <c r="B48" s="111" t="s">
        <v>165</v>
      </c>
      <c r="C48" s="210">
        <f>Zones!K48</f>
        <v>1.1251000000000002</v>
      </c>
      <c r="D48" s="210">
        <f>Zones!J48</f>
        <v>2250.2000000000003</v>
      </c>
      <c r="E48" s="539">
        <v>15</v>
      </c>
      <c r="F48" s="539">
        <f t="shared" si="12"/>
        <v>0</v>
      </c>
      <c r="G48" s="210"/>
      <c r="H48" s="212">
        <v>0.46666666600000001</v>
      </c>
      <c r="I48" s="213">
        <f t="shared" si="7"/>
        <v>16.876500000000004</v>
      </c>
      <c r="J48" s="215">
        <f t="shared" si="15"/>
        <v>1050.0933318332002</v>
      </c>
      <c r="K48" s="215">
        <f t="shared" si="13"/>
        <v>0</v>
      </c>
      <c r="L48" s="216">
        <f t="shared" si="14"/>
        <v>1050.0933318332002</v>
      </c>
      <c r="M48" s="217"/>
      <c r="N48"/>
      <c r="O48"/>
      <c r="P48"/>
      <c r="Q48"/>
      <c r="R48"/>
      <c r="S48"/>
      <c r="T48"/>
      <c r="U48"/>
      <c r="V48"/>
      <c r="W48"/>
      <c r="X48"/>
      <c r="Y48"/>
      <c r="Z48"/>
      <c r="AA48"/>
    </row>
    <row r="49" spans="1:14" ht="20.45" customHeight="1" x14ac:dyDescent="0.2">
      <c r="A49" s="208" t="s">
        <v>154</v>
      </c>
      <c r="B49" s="111" t="s">
        <v>166</v>
      </c>
      <c r="C49" s="210">
        <f>Zones!K49</f>
        <v>1.1251000000000002</v>
      </c>
      <c r="D49" s="210">
        <f>Zones!J49</f>
        <v>2250.2000000000003</v>
      </c>
      <c r="E49" s="539">
        <v>15</v>
      </c>
      <c r="F49" s="539">
        <f t="shared" si="12"/>
        <v>0</v>
      </c>
      <c r="G49" s="210"/>
      <c r="H49" s="212">
        <v>0.46666666600000001</v>
      </c>
      <c r="I49" s="213">
        <f t="shared" si="7"/>
        <v>16.876500000000004</v>
      </c>
      <c r="J49" s="215">
        <f t="shared" si="15"/>
        <v>1050.0933318332002</v>
      </c>
      <c r="K49" s="215">
        <f t="shared" si="13"/>
        <v>0</v>
      </c>
      <c r="L49" s="216">
        <f t="shared" si="14"/>
        <v>1050.0933318332002</v>
      </c>
      <c r="M49" s="217"/>
      <c r="N49" s="1"/>
    </row>
    <row r="50" spans="1:14" ht="20.45" customHeight="1" x14ac:dyDescent="0.2">
      <c r="A50" s="208" t="s">
        <v>154</v>
      </c>
      <c r="B50" s="111" t="s">
        <v>167</v>
      </c>
      <c r="C50" s="210">
        <f>Zones!K50</f>
        <v>1.5001499999999999</v>
      </c>
      <c r="D50" s="210">
        <f>Zones!J50</f>
        <v>300.02999999999997</v>
      </c>
      <c r="E50" s="539">
        <v>15</v>
      </c>
      <c r="F50" s="539">
        <f t="shared" si="12"/>
        <v>0</v>
      </c>
      <c r="G50" s="210"/>
      <c r="H50" s="212">
        <v>0.46666666600000001</v>
      </c>
      <c r="I50" s="213">
        <f t="shared" si="7"/>
        <v>22.502249999999997</v>
      </c>
      <c r="J50" s="215">
        <f t="shared" si="15"/>
        <v>140.01399979997998</v>
      </c>
      <c r="K50" s="215">
        <f t="shared" si="13"/>
        <v>0</v>
      </c>
      <c r="L50" s="216">
        <f t="shared" si="14"/>
        <v>140.01399979997998</v>
      </c>
      <c r="M50" s="217"/>
      <c r="N50" s="1"/>
    </row>
    <row r="51" spans="1:14" ht="20.45" customHeight="1" x14ac:dyDescent="0.2">
      <c r="A51" s="208" t="s">
        <v>154</v>
      </c>
      <c r="B51" s="111" t="s">
        <v>168</v>
      </c>
      <c r="C51" s="210">
        <f>Zones!K51</f>
        <v>1.5001499999999999</v>
      </c>
      <c r="D51" s="210">
        <f>Zones!J51</f>
        <v>300.02999999999997</v>
      </c>
      <c r="E51" s="539">
        <v>15</v>
      </c>
      <c r="F51" s="539">
        <f t="shared" si="12"/>
        <v>0</v>
      </c>
      <c r="G51" s="210"/>
      <c r="H51" s="212">
        <v>0.46666666600000001</v>
      </c>
      <c r="I51" s="213">
        <f t="shared" si="7"/>
        <v>22.502249999999997</v>
      </c>
      <c r="J51" s="215">
        <f t="shared" si="15"/>
        <v>140.01399979997998</v>
      </c>
      <c r="K51" s="215">
        <f t="shared" si="13"/>
        <v>0</v>
      </c>
      <c r="L51" s="216">
        <f t="shared" si="14"/>
        <v>140.01399979997998</v>
      </c>
      <c r="M51" s="217"/>
      <c r="N51" s="1"/>
    </row>
    <row r="52" spans="1:14" ht="20.45" customHeight="1" x14ac:dyDescent="0.2">
      <c r="A52" s="208" t="s">
        <v>154</v>
      </c>
      <c r="B52" s="111" t="s">
        <v>169</v>
      </c>
      <c r="C52" s="210">
        <f>Zones!K52</f>
        <v>1.0877000000000001</v>
      </c>
      <c r="D52" s="210">
        <f>Zones!J52</f>
        <v>2175.4</v>
      </c>
      <c r="E52" s="539">
        <v>15</v>
      </c>
      <c r="F52" s="539">
        <f t="shared" si="12"/>
        <v>0</v>
      </c>
      <c r="G52" s="210"/>
      <c r="H52" s="212">
        <v>0.46666666600000001</v>
      </c>
      <c r="I52" s="213">
        <f t="shared" si="7"/>
        <v>16.3155</v>
      </c>
      <c r="J52" s="215">
        <f t="shared" si="15"/>
        <v>1015.1866652164001</v>
      </c>
      <c r="K52" s="215">
        <f t="shared" si="13"/>
        <v>0</v>
      </c>
      <c r="L52" s="216">
        <f t="shared" si="14"/>
        <v>1015.1866652164001</v>
      </c>
      <c r="M52" s="217"/>
      <c r="N52" s="1"/>
    </row>
    <row r="53" spans="1:14" ht="20.45" customHeight="1" x14ac:dyDescent="0.2">
      <c r="A53" s="208" t="s">
        <v>154</v>
      </c>
      <c r="B53" s="111" t="s">
        <v>170</v>
      </c>
      <c r="C53" s="210">
        <f>Zones!K53</f>
        <v>1.0877000000000001</v>
      </c>
      <c r="D53" s="210">
        <f>Zones!J53</f>
        <v>2175.4</v>
      </c>
      <c r="E53" s="539">
        <v>15</v>
      </c>
      <c r="F53" s="539">
        <f t="shared" si="12"/>
        <v>0</v>
      </c>
      <c r="G53" s="210"/>
      <c r="H53" s="212">
        <v>0.46666666600000001</v>
      </c>
      <c r="I53" s="213">
        <f t="shared" si="7"/>
        <v>16.3155</v>
      </c>
      <c r="J53" s="215">
        <f t="shared" si="15"/>
        <v>1015.1866652164001</v>
      </c>
      <c r="K53" s="215">
        <f t="shared" si="13"/>
        <v>0</v>
      </c>
      <c r="L53" s="216">
        <f t="shared" si="14"/>
        <v>1015.1866652164001</v>
      </c>
      <c r="M53" s="217"/>
      <c r="N53" s="1"/>
    </row>
    <row r="54" spans="1:14" ht="20.45" customHeight="1" x14ac:dyDescent="0.2">
      <c r="A54" s="208" t="s">
        <v>154</v>
      </c>
      <c r="B54" s="111" t="s">
        <v>171</v>
      </c>
      <c r="C54" s="210">
        <f>Zones!K54</f>
        <v>1.5001499999999999</v>
      </c>
      <c r="D54" s="210">
        <f>Zones!J54</f>
        <v>300.02999999999997</v>
      </c>
      <c r="E54" s="539">
        <v>15</v>
      </c>
      <c r="F54" s="539">
        <f t="shared" si="12"/>
        <v>0</v>
      </c>
      <c r="G54" s="210"/>
      <c r="H54" s="212">
        <v>0.46666666600000001</v>
      </c>
      <c r="I54" s="213">
        <f t="shared" si="7"/>
        <v>22.502249999999997</v>
      </c>
      <c r="J54" s="215">
        <f t="shared" si="15"/>
        <v>140.01399979997998</v>
      </c>
      <c r="K54" s="215">
        <f t="shared" si="13"/>
        <v>0</v>
      </c>
      <c r="L54" s="216">
        <f t="shared" si="14"/>
        <v>140.01399979997998</v>
      </c>
      <c r="M54" s="217"/>
      <c r="N54" s="1"/>
    </row>
    <row r="55" spans="1:14" ht="20.45" customHeight="1" x14ac:dyDescent="0.2">
      <c r="A55" s="208" t="s">
        <v>154</v>
      </c>
      <c r="B55" s="111" t="s">
        <v>172</v>
      </c>
      <c r="C55" s="210">
        <f>Zones!K55</f>
        <v>1.5001499999999999</v>
      </c>
      <c r="D55" s="210">
        <f>Zones!J55</f>
        <v>300.02999999999997</v>
      </c>
      <c r="E55" s="539">
        <v>15</v>
      </c>
      <c r="F55" s="539">
        <f t="shared" si="12"/>
        <v>0</v>
      </c>
      <c r="G55" s="210"/>
      <c r="H55" s="212">
        <v>0.46666666600000001</v>
      </c>
      <c r="I55" s="213">
        <f t="shared" si="7"/>
        <v>22.502249999999997</v>
      </c>
      <c r="J55" s="215">
        <f t="shared" si="15"/>
        <v>140.01399979997998</v>
      </c>
      <c r="K55" s="215">
        <f t="shared" si="13"/>
        <v>0</v>
      </c>
      <c r="L55" s="216">
        <f t="shared" si="14"/>
        <v>140.01399979997998</v>
      </c>
      <c r="M55" s="217"/>
      <c r="N55" s="1"/>
    </row>
    <row r="56" spans="1:14" ht="20.45" customHeight="1" x14ac:dyDescent="0.2">
      <c r="A56" s="208" t="s">
        <v>173</v>
      </c>
      <c r="B56" s="111" t="s">
        <v>174</v>
      </c>
      <c r="C56" s="210">
        <f>Zones!K56</f>
        <v>26.252550000000003</v>
      </c>
      <c r="D56" s="210">
        <f>Zones!J56</f>
        <v>5250.51</v>
      </c>
      <c r="E56" s="539">
        <v>15</v>
      </c>
      <c r="F56" s="539">
        <f t="shared" si="12"/>
        <v>0</v>
      </c>
      <c r="G56" s="220">
        <f>735/D56</f>
        <v>0.13998640132101453</v>
      </c>
      <c r="H56" s="212">
        <v>0.46666666600000001</v>
      </c>
      <c r="I56" s="213">
        <f t="shared" si="7"/>
        <v>393.78825000000006</v>
      </c>
      <c r="J56" s="215">
        <f>H56*D56</f>
        <v>2450.2379964996603</v>
      </c>
      <c r="K56" s="215">
        <f t="shared" si="13"/>
        <v>735</v>
      </c>
      <c r="L56" s="216">
        <f t="shared" si="14"/>
        <v>2450.2379964996603</v>
      </c>
      <c r="M56" s="217" t="s">
        <v>357</v>
      </c>
      <c r="N56" s="1"/>
    </row>
    <row r="57" spans="1:14" ht="20.45" customHeight="1" x14ac:dyDescent="0.2">
      <c r="A57" s="208" t="s">
        <v>175</v>
      </c>
      <c r="B57" s="111" t="s">
        <v>176</v>
      </c>
      <c r="C57" s="210">
        <f>Zones!K57</f>
        <v>26.252550000000003</v>
      </c>
      <c r="D57" s="210">
        <f>Zones!J57</f>
        <v>5250.51</v>
      </c>
      <c r="E57" s="539">
        <v>15</v>
      </c>
      <c r="F57" s="539">
        <f t="shared" si="12"/>
        <v>0</v>
      </c>
      <c r="G57" s="210"/>
      <c r="H57" s="212">
        <v>0.46666666600000001</v>
      </c>
      <c r="I57" s="213">
        <f t="shared" si="7"/>
        <v>393.78825000000006</v>
      </c>
      <c r="J57" s="215">
        <f t="shared" si="15"/>
        <v>2450.2379964996603</v>
      </c>
      <c r="K57" s="215">
        <f t="shared" si="13"/>
        <v>0</v>
      </c>
      <c r="L57" s="216">
        <f t="shared" si="14"/>
        <v>2450.2379964996603</v>
      </c>
      <c r="M57" s="217"/>
      <c r="N57" s="1"/>
    </row>
    <row r="58" spans="1:14" ht="20.45" customHeight="1" x14ac:dyDescent="0.2">
      <c r="A58" s="221" t="s">
        <v>177</v>
      </c>
      <c r="B58" s="221" t="s">
        <v>178</v>
      </c>
      <c r="C58" s="210">
        <f>SUM(C3:C57)</f>
        <v>1705.1352200000001</v>
      </c>
      <c r="D58" s="210">
        <f>SUM(D3:D57)</f>
        <v>241524.40000000005</v>
      </c>
      <c r="E58" s="210"/>
      <c r="F58" s="210"/>
      <c r="G58" s="210"/>
      <c r="H58" s="210"/>
      <c r="I58" s="295"/>
      <c r="J58" s="295"/>
      <c r="K58" s="215"/>
      <c r="L58" s="296">
        <f>SUM(L3:L57)</f>
        <v>99856.498006422189</v>
      </c>
      <c r="M58" s="217"/>
      <c r="N58" s="1"/>
    </row>
    <row r="59" spans="1:14" x14ac:dyDescent="0.2">
      <c r="C59" s="24"/>
      <c r="D59" s="24"/>
      <c r="E59" s="24"/>
      <c r="F59" s="24"/>
      <c r="G59" s="24"/>
      <c r="H59" s="24"/>
      <c r="I59" s="1"/>
      <c r="J59" s="1"/>
      <c r="K59" s="1"/>
      <c r="L59" s="1"/>
      <c r="M59" s="1"/>
      <c r="N59" s="1"/>
    </row>
    <row r="60" spans="1:14" x14ac:dyDescent="0.2">
      <c r="B60" s="4"/>
      <c r="C60" s="24"/>
      <c r="D60" s="24"/>
      <c r="E60" s="24"/>
      <c r="F60" s="24"/>
      <c r="G60" s="24"/>
      <c r="H60" s="24"/>
      <c r="I60" s="1"/>
      <c r="J60" s="1"/>
      <c r="K60" s="1"/>
      <c r="L60" s="1"/>
      <c r="M60" s="1"/>
      <c r="N60" s="1"/>
    </row>
    <row r="61" spans="1:14" ht="15" x14ac:dyDescent="0.25">
      <c r="A61" t="s">
        <v>358</v>
      </c>
      <c r="B61" s="8"/>
      <c r="C61" s="24"/>
      <c r="D61" s="24"/>
      <c r="E61" s="24"/>
      <c r="F61" s="24"/>
      <c r="G61" s="24"/>
      <c r="H61" s="24"/>
      <c r="I61" s="1"/>
      <c r="J61" s="1"/>
      <c r="K61" s="1"/>
      <c r="L61" s="1"/>
      <c r="M61" s="1"/>
      <c r="N61" s="1"/>
    </row>
    <row r="62" spans="1:14" x14ac:dyDescent="0.2">
      <c r="A62" s="27"/>
      <c r="B62" s="27"/>
      <c r="C62" s="24"/>
      <c r="D62" s="24"/>
      <c r="E62" s="24"/>
      <c r="F62" s="24"/>
      <c r="G62" s="24"/>
      <c r="H62" s="24"/>
      <c r="I62" s="1"/>
      <c r="J62" s="1"/>
      <c r="K62" s="1"/>
      <c r="L62" s="1"/>
      <c r="M62" s="1"/>
      <c r="N62" s="1"/>
    </row>
    <row r="63" spans="1:14" ht="15.75" thickBot="1" x14ac:dyDescent="0.3">
      <c r="A63" s="123"/>
      <c r="B63" s="124"/>
      <c r="C63" s="124"/>
      <c r="D63" s="124"/>
      <c r="E63" s="124"/>
      <c r="F63" s="24"/>
      <c r="G63" s="24"/>
      <c r="H63" s="24"/>
      <c r="I63" s="1"/>
      <c r="J63" s="1"/>
      <c r="K63" s="1"/>
      <c r="L63" s="1"/>
      <c r="M63" s="1"/>
      <c r="N63" s="1"/>
    </row>
    <row r="64" spans="1:14" ht="14.25" customHeight="1" x14ac:dyDescent="0.2">
      <c r="A64" s="651" t="s">
        <v>359</v>
      </c>
      <c r="B64" s="652"/>
      <c r="C64" s="652"/>
      <c r="D64" s="652"/>
      <c r="E64" s="652"/>
      <c r="F64" s="652"/>
      <c r="G64" s="653"/>
      <c r="H64" s="24"/>
      <c r="I64" s="1"/>
      <c r="J64" s="1"/>
      <c r="K64" s="1"/>
      <c r="L64" s="1"/>
      <c r="M64" s="1"/>
      <c r="N64" s="1"/>
    </row>
    <row r="65" spans="1:8" ht="56.45" customHeight="1" x14ac:dyDescent="0.2">
      <c r="A65" s="300" t="s">
        <v>360</v>
      </c>
      <c r="B65" s="300" t="s">
        <v>361</v>
      </c>
      <c r="C65" s="299" t="s">
        <v>362</v>
      </c>
      <c r="D65" s="300" t="s">
        <v>363</v>
      </c>
      <c r="E65" s="299" t="s">
        <v>364</v>
      </c>
      <c r="F65" s="300" t="s">
        <v>89</v>
      </c>
      <c r="G65" s="300" t="s">
        <v>41</v>
      </c>
      <c r="H65" s="24"/>
    </row>
    <row r="66" spans="1:8" ht="30.6" customHeight="1" x14ac:dyDescent="0.2">
      <c r="A66" s="301" t="s">
        <v>365</v>
      </c>
      <c r="B66" s="302" t="str">
        <f>A23</f>
        <v>Kitchen/Food Preparation Area</v>
      </c>
      <c r="C66" s="302">
        <v>210</v>
      </c>
      <c r="D66" s="303">
        <f>E66/C66</f>
        <v>33.336599999999997</v>
      </c>
      <c r="E66" s="304">
        <f>L23</f>
        <v>7000.6859999999997</v>
      </c>
      <c r="F66" s="307"/>
      <c r="G66" s="308" t="s">
        <v>366</v>
      </c>
      <c r="H66" s="24"/>
    </row>
    <row r="67" spans="1:8" ht="31.9" customHeight="1" x14ac:dyDescent="0.2">
      <c r="A67" s="305" t="s">
        <v>367</v>
      </c>
      <c r="B67" s="305" t="str">
        <f>A24</f>
        <v>Laboratory-General Health</v>
      </c>
      <c r="C67" s="474">
        <f>E67/D67</f>
        <v>250</v>
      </c>
      <c r="D67" s="305">
        <v>6</v>
      </c>
      <c r="E67" s="306">
        <v>1500</v>
      </c>
      <c r="F67" s="656" t="s">
        <v>368</v>
      </c>
      <c r="G67" s="658" t="s">
        <v>33</v>
      </c>
      <c r="H67" s="24"/>
    </row>
    <row r="68" spans="1:8" ht="31.9" customHeight="1" x14ac:dyDescent="0.2">
      <c r="A68" s="110" t="s">
        <v>367</v>
      </c>
      <c r="B68" s="110" t="str">
        <f>A25</f>
        <v>Laboratory-General Health</v>
      </c>
      <c r="C68" s="474">
        <f>E68/D68</f>
        <v>250</v>
      </c>
      <c r="D68" s="110">
        <v>6</v>
      </c>
      <c r="E68" s="75">
        <v>1500</v>
      </c>
      <c r="F68" s="657"/>
      <c r="G68" s="657"/>
      <c r="H68" s="24"/>
    </row>
    <row r="69" spans="1:8" x14ac:dyDescent="0.2">
      <c r="A69" s="125"/>
      <c r="C69" s="24"/>
      <c r="D69" s="24"/>
      <c r="E69" s="24"/>
      <c r="F69" s="24"/>
      <c r="G69" s="24"/>
      <c r="H69" s="24"/>
    </row>
    <row r="70" spans="1:8" x14ac:dyDescent="0.2">
      <c r="A70" s="1" t="s">
        <v>369</v>
      </c>
      <c r="C70" s="24"/>
      <c r="D70" s="24"/>
      <c r="E70" s="24"/>
      <c r="F70" s="24"/>
      <c r="G70" s="24"/>
      <c r="H70" s="24"/>
    </row>
    <row r="71" spans="1:8" x14ac:dyDescent="0.2">
      <c r="A71" s="1"/>
      <c r="C71" s="24"/>
      <c r="D71" s="24"/>
      <c r="E71" s="24"/>
      <c r="F71" s="24"/>
      <c r="G71" s="24"/>
      <c r="H71" s="24"/>
    </row>
    <row r="72" spans="1:8" x14ac:dyDescent="0.2">
      <c r="A72" s="1"/>
      <c r="C72" s="24"/>
      <c r="D72" s="24"/>
      <c r="E72" s="24"/>
      <c r="F72" s="24"/>
      <c r="G72" s="24"/>
      <c r="H72" s="24"/>
    </row>
    <row r="73" spans="1:8" x14ac:dyDescent="0.2">
      <c r="C73" s="24"/>
      <c r="D73" s="24"/>
      <c r="E73" s="24"/>
      <c r="F73" s="24"/>
      <c r="G73" s="24"/>
      <c r="H73" s="24"/>
    </row>
    <row r="74" spans="1:8" s="121" customFormat="1" x14ac:dyDescent="0.2">
      <c r="A74" s="28" t="s">
        <v>184</v>
      </c>
      <c r="B74" s="28"/>
      <c r="C74" s="28"/>
      <c r="D74" s="28"/>
      <c r="E74" s="28"/>
      <c r="F74" s="28"/>
      <c r="G74" s="28"/>
      <c r="H74" s="28"/>
    </row>
    <row r="75" spans="1:8" x14ac:dyDescent="0.2">
      <c r="A75" s="23"/>
      <c r="B75" s="23"/>
    </row>
  </sheetData>
  <mergeCells count="5">
    <mergeCell ref="A64:G64"/>
    <mergeCell ref="O3:W3"/>
    <mergeCell ref="A1:M1"/>
    <mergeCell ref="F67:F68"/>
    <mergeCell ref="G67:G68"/>
  </mergeCells>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dimension ref="A1:S105"/>
  <sheetViews>
    <sheetView workbookViewId="0">
      <selection sqref="A1:S1"/>
    </sheetView>
  </sheetViews>
  <sheetFormatPr defaultRowHeight="15" x14ac:dyDescent="0.25"/>
  <cols>
    <col min="1" max="1" width="32.42578125" customWidth="1"/>
    <col min="18" max="18" width="19.28515625" customWidth="1"/>
    <col min="19" max="19" width="51.7109375" customWidth="1"/>
  </cols>
  <sheetData>
    <row r="1" spans="1:19" ht="20.45" customHeight="1" x14ac:dyDescent="0.25">
      <c r="A1" s="619" t="str">
        <f>"Thermostat Setpoints - "&amp;Prototype!A2</f>
        <v>Thermostat Setpoints - Hospital</v>
      </c>
      <c r="B1" s="619"/>
      <c r="C1" s="619"/>
      <c r="D1" s="619"/>
      <c r="E1" s="619"/>
      <c r="F1" s="619"/>
      <c r="G1" s="619"/>
      <c r="H1" s="619"/>
      <c r="I1" s="619"/>
      <c r="J1" s="619"/>
      <c r="K1" s="619"/>
      <c r="L1" s="619"/>
      <c r="M1" s="619"/>
      <c r="N1" s="619"/>
      <c r="O1" s="619"/>
      <c r="P1" s="619"/>
      <c r="Q1" s="619"/>
      <c r="R1" s="619"/>
      <c r="S1" s="619"/>
    </row>
    <row r="2" spans="1:19" ht="23.45" customHeight="1" thickBot="1" x14ac:dyDescent="0.3">
      <c r="A2" s="330" t="s">
        <v>370</v>
      </c>
      <c r="B2" s="551" t="s">
        <v>195</v>
      </c>
      <c r="C2" s="551" t="s">
        <v>196</v>
      </c>
      <c r="D2" s="551" t="s">
        <v>197</v>
      </c>
      <c r="E2" s="551" t="s">
        <v>198</v>
      </c>
      <c r="F2" s="551" t="s">
        <v>199</v>
      </c>
      <c r="G2" s="551" t="s">
        <v>200</v>
      </c>
      <c r="H2" s="551" t="s">
        <v>201</v>
      </c>
      <c r="I2" s="551" t="s">
        <v>202</v>
      </c>
      <c r="J2" s="551" t="s">
        <v>203</v>
      </c>
      <c r="K2" s="551" t="s">
        <v>204</v>
      </c>
      <c r="L2" s="551" t="s">
        <v>205</v>
      </c>
      <c r="M2" s="551" t="s">
        <v>206</v>
      </c>
      <c r="N2" s="551" t="s">
        <v>207</v>
      </c>
      <c r="O2" s="551" t="s">
        <v>208</v>
      </c>
      <c r="P2" s="551" t="s">
        <v>209</v>
      </c>
      <c r="Q2" s="551" t="s">
        <v>210</v>
      </c>
      <c r="R2" s="507" t="s">
        <v>41</v>
      </c>
      <c r="S2" s="508" t="s">
        <v>89</v>
      </c>
    </row>
    <row r="3" spans="1:19" ht="26.45" customHeight="1" x14ac:dyDescent="0.25">
      <c r="A3" s="502" t="s">
        <v>371</v>
      </c>
      <c r="B3" s="262">
        <v>70</v>
      </c>
      <c r="C3" s="262">
        <v>70</v>
      </c>
      <c r="D3" s="262">
        <v>70</v>
      </c>
      <c r="E3" s="262">
        <v>70</v>
      </c>
      <c r="F3" s="262">
        <v>70</v>
      </c>
      <c r="G3" s="262">
        <v>70</v>
      </c>
      <c r="H3" s="262">
        <v>70</v>
      </c>
      <c r="I3" s="262">
        <v>70</v>
      </c>
      <c r="J3" s="262">
        <v>70</v>
      </c>
      <c r="K3" s="262">
        <v>70</v>
      </c>
      <c r="L3" s="262">
        <v>70</v>
      </c>
      <c r="M3" s="262">
        <v>70</v>
      </c>
      <c r="N3" s="262">
        <v>70</v>
      </c>
      <c r="O3" s="262">
        <v>70</v>
      </c>
      <c r="P3" s="262">
        <v>70</v>
      </c>
      <c r="Q3" s="262">
        <v>70</v>
      </c>
      <c r="R3" s="662" t="s">
        <v>372</v>
      </c>
      <c r="S3" s="664" t="s">
        <v>373</v>
      </c>
    </row>
    <row r="4" spans="1:19" ht="26.45" customHeight="1" x14ac:dyDescent="0.25">
      <c r="A4" s="504" t="s">
        <v>374</v>
      </c>
      <c r="B4" s="536">
        <v>70</v>
      </c>
      <c r="C4" s="536">
        <v>70</v>
      </c>
      <c r="D4" s="536">
        <v>70</v>
      </c>
      <c r="E4" s="536">
        <v>70</v>
      </c>
      <c r="F4" s="536">
        <v>70</v>
      </c>
      <c r="G4" s="536">
        <v>70</v>
      </c>
      <c r="H4" s="536">
        <v>70</v>
      </c>
      <c r="I4" s="536">
        <v>70</v>
      </c>
      <c r="J4" s="536">
        <v>70</v>
      </c>
      <c r="K4" s="536">
        <v>70</v>
      </c>
      <c r="L4" s="536">
        <v>70</v>
      </c>
      <c r="M4" s="536">
        <v>70</v>
      </c>
      <c r="N4" s="536">
        <v>70</v>
      </c>
      <c r="O4" s="536">
        <v>70</v>
      </c>
      <c r="P4" s="536">
        <v>70</v>
      </c>
      <c r="Q4" s="536">
        <v>70</v>
      </c>
      <c r="R4" s="616"/>
      <c r="S4" s="665"/>
    </row>
    <row r="5" spans="1:19" ht="26.45" customHeight="1" x14ac:dyDescent="0.25">
      <c r="A5" s="504" t="s">
        <v>375</v>
      </c>
      <c r="B5" s="536">
        <v>75</v>
      </c>
      <c r="C5" s="536">
        <v>75</v>
      </c>
      <c r="D5" s="536">
        <v>75</v>
      </c>
      <c r="E5" s="536">
        <v>75</v>
      </c>
      <c r="F5" s="536">
        <v>75</v>
      </c>
      <c r="G5" s="536">
        <v>75</v>
      </c>
      <c r="H5" s="536">
        <v>75</v>
      </c>
      <c r="I5" s="536">
        <v>75</v>
      </c>
      <c r="J5" s="536">
        <v>75</v>
      </c>
      <c r="K5" s="536">
        <v>75</v>
      </c>
      <c r="L5" s="536">
        <v>75</v>
      </c>
      <c r="M5" s="536">
        <v>75</v>
      </c>
      <c r="N5" s="536">
        <v>75</v>
      </c>
      <c r="O5" s="536">
        <v>75</v>
      </c>
      <c r="P5" s="536">
        <v>75</v>
      </c>
      <c r="Q5" s="536">
        <v>75</v>
      </c>
      <c r="R5" s="616"/>
      <c r="S5" s="665"/>
    </row>
    <row r="6" spans="1:19" ht="23.45" customHeight="1" thickBot="1" x14ac:dyDescent="0.3">
      <c r="A6" s="505" t="s">
        <v>376</v>
      </c>
      <c r="B6" s="260">
        <v>75</v>
      </c>
      <c r="C6" s="260">
        <v>75</v>
      </c>
      <c r="D6" s="260">
        <v>75</v>
      </c>
      <c r="E6" s="260">
        <v>75</v>
      </c>
      <c r="F6" s="260">
        <v>75</v>
      </c>
      <c r="G6" s="260">
        <v>75</v>
      </c>
      <c r="H6" s="260">
        <v>75</v>
      </c>
      <c r="I6" s="260">
        <v>75</v>
      </c>
      <c r="J6" s="260">
        <v>75</v>
      </c>
      <c r="K6" s="260">
        <v>75</v>
      </c>
      <c r="L6" s="260">
        <v>75</v>
      </c>
      <c r="M6" s="260">
        <v>75</v>
      </c>
      <c r="N6" s="260">
        <v>75</v>
      </c>
      <c r="O6" s="260">
        <v>75</v>
      </c>
      <c r="P6" s="260">
        <v>75</v>
      </c>
      <c r="Q6" s="260">
        <v>75</v>
      </c>
      <c r="R6" s="663"/>
      <c r="S6" s="666"/>
    </row>
    <row r="7" spans="1:19" ht="20.45" customHeight="1" x14ac:dyDescent="0.25">
      <c r="A7" s="502" t="s">
        <v>377</v>
      </c>
      <c r="B7" s="503">
        <v>66</v>
      </c>
      <c r="C7" s="503">
        <v>66</v>
      </c>
      <c r="D7" s="503">
        <v>66</v>
      </c>
      <c r="E7" s="503">
        <v>66</v>
      </c>
      <c r="F7" s="503">
        <v>66</v>
      </c>
      <c r="G7" s="503">
        <v>66</v>
      </c>
      <c r="H7" s="503">
        <v>66</v>
      </c>
      <c r="I7" s="503">
        <v>66</v>
      </c>
      <c r="J7" s="503">
        <v>66</v>
      </c>
      <c r="K7" s="503">
        <v>66</v>
      </c>
      <c r="L7" s="503">
        <v>66</v>
      </c>
      <c r="M7" s="503">
        <v>66</v>
      </c>
      <c r="N7" s="503">
        <v>66</v>
      </c>
      <c r="O7" s="503">
        <v>66</v>
      </c>
      <c r="P7" s="503">
        <v>66</v>
      </c>
      <c r="Q7" s="503">
        <v>66</v>
      </c>
      <c r="R7" s="673" t="s">
        <v>378</v>
      </c>
      <c r="S7" s="664"/>
    </row>
    <row r="8" spans="1:19" ht="20.45" customHeight="1" x14ac:dyDescent="0.25">
      <c r="A8" s="504" t="s">
        <v>379</v>
      </c>
      <c r="B8" s="326">
        <v>60</v>
      </c>
      <c r="C8" s="326">
        <v>60</v>
      </c>
      <c r="D8" s="326">
        <v>60</v>
      </c>
      <c r="E8" s="326">
        <v>60</v>
      </c>
      <c r="F8" s="326">
        <v>60</v>
      </c>
      <c r="G8" s="326">
        <v>60</v>
      </c>
      <c r="H8" s="326">
        <v>60</v>
      </c>
      <c r="I8" s="326">
        <v>60</v>
      </c>
      <c r="J8" s="326">
        <v>60</v>
      </c>
      <c r="K8" s="326">
        <v>60</v>
      </c>
      <c r="L8" s="326">
        <v>60</v>
      </c>
      <c r="M8" s="326">
        <v>60</v>
      </c>
      <c r="N8" s="326">
        <v>60</v>
      </c>
      <c r="O8" s="326">
        <v>60</v>
      </c>
      <c r="P8" s="326">
        <v>60</v>
      </c>
      <c r="Q8" s="326">
        <v>60</v>
      </c>
      <c r="R8" s="660"/>
      <c r="S8" s="665"/>
    </row>
    <row r="9" spans="1:19" ht="20.45" customHeight="1" x14ac:dyDescent="0.25">
      <c r="A9" s="504" t="s">
        <v>380</v>
      </c>
      <c r="B9" s="326">
        <v>79</v>
      </c>
      <c r="C9" s="326">
        <v>79</v>
      </c>
      <c r="D9" s="326">
        <v>79</v>
      </c>
      <c r="E9" s="326">
        <v>79</v>
      </c>
      <c r="F9" s="326">
        <v>79</v>
      </c>
      <c r="G9" s="326">
        <v>79</v>
      </c>
      <c r="H9" s="326">
        <v>79</v>
      </c>
      <c r="I9" s="326">
        <v>79</v>
      </c>
      <c r="J9" s="326">
        <v>79</v>
      </c>
      <c r="K9" s="326">
        <v>79</v>
      </c>
      <c r="L9" s="326">
        <v>79</v>
      </c>
      <c r="M9" s="326">
        <v>79</v>
      </c>
      <c r="N9" s="326">
        <v>79</v>
      </c>
      <c r="O9" s="326">
        <v>79</v>
      </c>
      <c r="P9" s="326">
        <v>79</v>
      </c>
      <c r="Q9" s="326">
        <v>79</v>
      </c>
      <c r="R9" s="660"/>
      <c r="S9" s="665"/>
    </row>
    <row r="10" spans="1:19" ht="20.45" customHeight="1" thickBot="1" x14ac:dyDescent="0.3">
      <c r="A10" s="505" t="s">
        <v>381</v>
      </c>
      <c r="B10" s="506">
        <v>86</v>
      </c>
      <c r="C10" s="506">
        <v>86</v>
      </c>
      <c r="D10" s="506">
        <v>86</v>
      </c>
      <c r="E10" s="506">
        <v>86</v>
      </c>
      <c r="F10" s="506">
        <v>86</v>
      </c>
      <c r="G10" s="506">
        <v>86</v>
      </c>
      <c r="H10" s="506">
        <v>86</v>
      </c>
      <c r="I10" s="506">
        <v>86</v>
      </c>
      <c r="J10" s="506">
        <v>86</v>
      </c>
      <c r="K10" s="506">
        <v>86</v>
      </c>
      <c r="L10" s="506">
        <v>86</v>
      </c>
      <c r="M10" s="506">
        <v>86</v>
      </c>
      <c r="N10" s="506">
        <v>86</v>
      </c>
      <c r="O10" s="506">
        <v>86</v>
      </c>
      <c r="P10" s="506">
        <v>86</v>
      </c>
      <c r="Q10" s="506">
        <v>86</v>
      </c>
      <c r="R10" s="674"/>
      <c r="S10" s="666"/>
    </row>
    <row r="11" spans="1:19" ht="22.15" customHeight="1" x14ac:dyDescent="0.25">
      <c r="A11" s="502" t="s">
        <v>382</v>
      </c>
      <c r="B11" s="503">
        <f>B3-4</f>
        <v>66</v>
      </c>
      <c r="C11" s="503">
        <f t="shared" ref="C11:Q11" si="0">C3-4</f>
        <v>66</v>
      </c>
      <c r="D11" s="503">
        <f t="shared" si="0"/>
        <v>66</v>
      </c>
      <c r="E11" s="503">
        <f t="shared" si="0"/>
        <v>66</v>
      </c>
      <c r="F11" s="503">
        <f t="shared" si="0"/>
        <v>66</v>
      </c>
      <c r="G11" s="503">
        <f t="shared" si="0"/>
        <v>66</v>
      </c>
      <c r="H11" s="503">
        <f t="shared" si="0"/>
        <v>66</v>
      </c>
      <c r="I11" s="503">
        <f t="shared" si="0"/>
        <v>66</v>
      </c>
      <c r="J11" s="503">
        <f t="shared" si="0"/>
        <v>66</v>
      </c>
      <c r="K11" s="503">
        <f t="shared" si="0"/>
        <v>66</v>
      </c>
      <c r="L11" s="503">
        <f t="shared" si="0"/>
        <v>66</v>
      </c>
      <c r="M11" s="503">
        <f t="shared" si="0"/>
        <v>66</v>
      </c>
      <c r="N11" s="503">
        <f t="shared" si="0"/>
        <v>66</v>
      </c>
      <c r="O11" s="503">
        <f t="shared" si="0"/>
        <v>66</v>
      </c>
      <c r="P11" s="503">
        <f t="shared" si="0"/>
        <v>66</v>
      </c>
      <c r="Q11" s="503">
        <f t="shared" si="0"/>
        <v>66</v>
      </c>
      <c r="R11" s="662" t="s">
        <v>372</v>
      </c>
      <c r="S11" s="664"/>
    </row>
    <row r="12" spans="1:19" ht="22.15" customHeight="1" x14ac:dyDescent="0.25">
      <c r="A12" s="504" t="s">
        <v>383</v>
      </c>
      <c r="B12" s="326">
        <f t="shared" ref="B12:Q12" si="1">B4-4</f>
        <v>66</v>
      </c>
      <c r="C12" s="326">
        <f t="shared" si="1"/>
        <v>66</v>
      </c>
      <c r="D12" s="326">
        <f t="shared" si="1"/>
        <v>66</v>
      </c>
      <c r="E12" s="326">
        <f t="shared" si="1"/>
        <v>66</v>
      </c>
      <c r="F12" s="326">
        <f t="shared" si="1"/>
        <v>66</v>
      </c>
      <c r="G12" s="326">
        <f t="shared" si="1"/>
        <v>66</v>
      </c>
      <c r="H12" s="326">
        <f t="shared" si="1"/>
        <v>66</v>
      </c>
      <c r="I12" s="326">
        <f t="shared" si="1"/>
        <v>66</v>
      </c>
      <c r="J12" s="326">
        <f t="shared" si="1"/>
        <v>66</v>
      </c>
      <c r="K12" s="326">
        <f t="shared" si="1"/>
        <v>66</v>
      </c>
      <c r="L12" s="326">
        <f t="shared" si="1"/>
        <v>66</v>
      </c>
      <c r="M12" s="326">
        <f t="shared" si="1"/>
        <v>66</v>
      </c>
      <c r="N12" s="326">
        <f t="shared" si="1"/>
        <v>66</v>
      </c>
      <c r="O12" s="326">
        <f t="shared" si="1"/>
        <v>66</v>
      </c>
      <c r="P12" s="326">
        <f t="shared" si="1"/>
        <v>66</v>
      </c>
      <c r="Q12" s="326">
        <f t="shared" si="1"/>
        <v>66</v>
      </c>
      <c r="R12" s="616"/>
      <c r="S12" s="665"/>
    </row>
    <row r="13" spans="1:19" ht="22.15" customHeight="1" x14ac:dyDescent="0.25">
      <c r="A13" s="504" t="s">
        <v>384</v>
      </c>
      <c r="B13" s="326">
        <f>B5+4</f>
        <v>79</v>
      </c>
      <c r="C13" s="326">
        <f t="shared" ref="C13:Q14" si="2">C5+4</f>
        <v>79</v>
      </c>
      <c r="D13" s="326">
        <f t="shared" si="2"/>
        <v>79</v>
      </c>
      <c r="E13" s="326">
        <f t="shared" si="2"/>
        <v>79</v>
      </c>
      <c r="F13" s="326">
        <f t="shared" si="2"/>
        <v>79</v>
      </c>
      <c r="G13" s="326">
        <f t="shared" si="2"/>
        <v>79</v>
      </c>
      <c r="H13" s="326">
        <f t="shared" si="2"/>
        <v>79</v>
      </c>
      <c r="I13" s="326">
        <f t="shared" si="2"/>
        <v>79</v>
      </c>
      <c r="J13" s="326">
        <f t="shared" si="2"/>
        <v>79</v>
      </c>
      <c r="K13" s="326">
        <f t="shared" si="2"/>
        <v>79</v>
      </c>
      <c r="L13" s="326">
        <f t="shared" si="2"/>
        <v>79</v>
      </c>
      <c r="M13" s="326">
        <f t="shared" si="2"/>
        <v>79</v>
      </c>
      <c r="N13" s="326">
        <f t="shared" si="2"/>
        <v>79</v>
      </c>
      <c r="O13" s="326">
        <f t="shared" si="2"/>
        <v>79</v>
      </c>
      <c r="P13" s="326">
        <f t="shared" si="2"/>
        <v>79</v>
      </c>
      <c r="Q13" s="326">
        <f t="shared" si="2"/>
        <v>79</v>
      </c>
      <c r="R13" s="616"/>
      <c r="S13" s="665"/>
    </row>
    <row r="14" spans="1:19" ht="22.15" customHeight="1" thickBot="1" x14ac:dyDescent="0.3">
      <c r="A14" s="505" t="s">
        <v>385</v>
      </c>
      <c r="B14" s="506">
        <f>B6+4</f>
        <v>79</v>
      </c>
      <c r="C14" s="506">
        <f t="shared" si="2"/>
        <v>79</v>
      </c>
      <c r="D14" s="506">
        <f t="shared" si="2"/>
        <v>79</v>
      </c>
      <c r="E14" s="506">
        <f t="shared" si="2"/>
        <v>79</v>
      </c>
      <c r="F14" s="506">
        <f t="shared" si="2"/>
        <v>79</v>
      </c>
      <c r="G14" s="506">
        <f t="shared" si="2"/>
        <v>79</v>
      </c>
      <c r="H14" s="506">
        <f t="shared" si="2"/>
        <v>79</v>
      </c>
      <c r="I14" s="506">
        <f t="shared" si="2"/>
        <v>79</v>
      </c>
      <c r="J14" s="506">
        <f t="shared" si="2"/>
        <v>79</v>
      </c>
      <c r="K14" s="506">
        <f t="shared" si="2"/>
        <v>79</v>
      </c>
      <c r="L14" s="506">
        <f t="shared" si="2"/>
        <v>79</v>
      </c>
      <c r="M14" s="506">
        <f t="shared" si="2"/>
        <v>79</v>
      </c>
      <c r="N14" s="506">
        <f t="shared" si="2"/>
        <v>79</v>
      </c>
      <c r="O14" s="506">
        <f t="shared" si="2"/>
        <v>79</v>
      </c>
      <c r="P14" s="506">
        <f t="shared" si="2"/>
        <v>79</v>
      </c>
      <c r="Q14" s="506">
        <f t="shared" si="2"/>
        <v>79</v>
      </c>
      <c r="R14" s="663"/>
      <c r="S14" s="666"/>
    </row>
    <row r="15" spans="1:19" ht="14.45" customHeight="1" x14ac:dyDescent="0.25">
      <c r="A15" s="531"/>
      <c r="B15" s="501"/>
      <c r="C15" s="501"/>
      <c r="D15" s="501"/>
      <c r="E15" s="501"/>
      <c r="F15" s="501"/>
      <c r="G15" s="501"/>
      <c r="H15" s="501"/>
      <c r="I15" s="501"/>
      <c r="J15" s="501"/>
      <c r="K15" s="501"/>
      <c r="L15" s="501"/>
      <c r="M15" s="501"/>
      <c r="N15" s="501"/>
      <c r="O15" s="501"/>
      <c r="P15" s="501"/>
      <c r="Q15" s="501"/>
      <c r="R15" s="7"/>
      <c r="S15" s="7"/>
    </row>
    <row r="16" spans="1:19" ht="14.45" customHeight="1" x14ac:dyDescent="0.25">
      <c r="A16" s="531"/>
      <c r="B16" s="501"/>
      <c r="C16" s="501"/>
      <c r="D16" s="501"/>
      <c r="E16" s="501"/>
      <c r="F16" s="501"/>
      <c r="G16" s="501"/>
      <c r="H16" s="501"/>
      <c r="I16" s="501"/>
      <c r="J16" s="501"/>
      <c r="K16" s="501"/>
      <c r="L16" s="501"/>
      <c r="M16" s="501"/>
      <c r="N16" s="501"/>
      <c r="O16" s="501"/>
      <c r="P16" s="501"/>
      <c r="Q16" s="501"/>
      <c r="R16" s="7"/>
      <c r="S16" s="7"/>
    </row>
    <row r="17" spans="1:19" ht="14.45" customHeight="1" x14ac:dyDescent="0.25">
      <c r="A17" s="531"/>
      <c r="B17" s="501"/>
      <c r="C17" s="501"/>
      <c r="D17" s="501"/>
      <c r="E17" s="501"/>
      <c r="F17" s="501"/>
      <c r="G17" s="501"/>
      <c r="H17" s="501"/>
      <c r="I17" s="501"/>
      <c r="J17" s="501"/>
      <c r="K17" s="501"/>
      <c r="L17" s="501"/>
      <c r="M17" s="501"/>
      <c r="N17" s="501"/>
      <c r="O17" s="501"/>
      <c r="P17" s="501"/>
      <c r="Q17" s="501"/>
      <c r="R17" s="7"/>
      <c r="S17" s="7"/>
    </row>
    <row r="18" spans="1:19" ht="14.45" customHeight="1" x14ac:dyDescent="0.25">
      <c r="A18" s="531"/>
      <c r="B18" s="501"/>
      <c r="C18" s="501"/>
      <c r="D18" s="501"/>
      <c r="E18" s="501"/>
      <c r="F18" s="501"/>
      <c r="G18" s="501"/>
      <c r="H18" s="501"/>
      <c r="I18" s="501"/>
      <c r="J18" s="501"/>
      <c r="K18" s="501"/>
      <c r="L18" s="501"/>
      <c r="M18" s="501"/>
      <c r="N18" s="501"/>
      <c r="O18" s="501"/>
      <c r="P18" s="501"/>
      <c r="Q18" s="501"/>
      <c r="R18" s="7"/>
      <c r="S18" s="7"/>
    </row>
    <row r="19" spans="1:19" ht="14.45" customHeight="1" x14ac:dyDescent="0.25">
      <c r="A19" s="531"/>
      <c r="B19" s="501"/>
      <c r="C19" s="501"/>
      <c r="D19" s="501"/>
      <c r="E19" s="501"/>
      <c r="F19" s="501"/>
      <c r="G19" s="501"/>
      <c r="H19" s="501"/>
      <c r="I19" s="501"/>
      <c r="J19" s="501"/>
      <c r="K19" s="501"/>
      <c r="L19" s="501"/>
      <c r="M19" s="501"/>
      <c r="N19" s="501"/>
      <c r="O19" s="501"/>
      <c r="P19" s="501"/>
      <c r="Q19" s="501"/>
      <c r="R19" s="7"/>
      <c r="S19" s="7"/>
    </row>
    <row r="20" spans="1:19" s="58" customFormat="1" ht="12.75" x14ac:dyDescent="0.25">
      <c r="A20" s="668" t="s">
        <v>184</v>
      </c>
      <c r="B20" s="668"/>
      <c r="C20" s="668"/>
      <c r="D20" s="668"/>
      <c r="E20" s="668"/>
    </row>
    <row r="21" spans="1:19" hidden="1" x14ac:dyDescent="0.25">
      <c r="B21" s="669" t="s">
        <v>188</v>
      </c>
      <c r="C21" s="670"/>
      <c r="D21" s="671"/>
      <c r="E21" s="669" t="s">
        <v>250</v>
      </c>
      <c r="F21" s="670"/>
      <c r="G21" s="671"/>
    </row>
    <row r="22" spans="1:19" hidden="1" x14ac:dyDescent="0.25">
      <c r="B22" s="83" t="s">
        <v>386</v>
      </c>
      <c r="C22" s="84" t="s">
        <v>387</v>
      </c>
      <c r="D22" s="85" t="s">
        <v>388</v>
      </c>
      <c r="E22" s="83" t="s">
        <v>389</v>
      </c>
      <c r="F22" s="84" t="s">
        <v>390</v>
      </c>
      <c r="G22" s="85" t="s">
        <v>388</v>
      </c>
    </row>
    <row r="23" spans="1:19" hidden="1" x14ac:dyDescent="0.25">
      <c r="A23" s="672" t="s">
        <v>391</v>
      </c>
      <c r="B23" s="86" t="s">
        <v>392</v>
      </c>
      <c r="C23" t="s">
        <v>392</v>
      </c>
      <c r="D23" s="87" t="s">
        <v>393</v>
      </c>
      <c r="E23" s="86" t="s">
        <v>392</v>
      </c>
      <c r="F23" t="s">
        <v>392</v>
      </c>
      <c r="G23" s="87" t="s">
        <v>393</v>
      </c>
    </row>
    <row r="24" spans="1:19" hidden="1" x14ac:dyDescent="0.25">
      <c r="A24" s="672"/>
      <c r="B24" s="86">
        <v>15.56</v>
      </c>
      <c r="C24">
        <v>15.56</v>
      </c>
      <c r="D24" s="87">
        <v>15.56</v>
      </c>
      <c r="E24" s="86">
        <v>29.22</v>
      </c>
      <c r="F24">
        <v>29.22</v>
      </c>
      <c r="G24" s="87">
        <v>29.22</v>
      </c>
    </row>
    <row r="25" spans="1:19" hidden="1" x14ac:dyDescent="0.25">
      <c r="A25" s="672"/>
      <c r="B25" s="88" t="s">
        <v>394</v>
      </c>
      <c r="C25" t="s">
        <v>395</v>
      </c>
      <c r="D25" s="87"/>
      <c r="E25" s="88" t="s">
        <v>394</v>
      </c>
      <c r="F25" t="s">
        <v>395</v>
      </c>
      <c r="G25" s="87"/>
    </row>
    <row r="26" spans="1:19" hidden="1" x14ac:dyDescent="0.25">
      <c r="A26" s="672"/>
      <c r="B26" s="83">
        <v>21.11</v>
      </c>
      <c r="C26" s="84">
        <v>21.11</v>
      </c>
      <c r="D26" s="85"/>
      <c r="E26" s="83">
        <v>23.88</v>
      </c>
      <c r="F26" s="84">
        <v>23.88</v>
      </c>
      <c r="G26" s="85"/>
    </row>
    <row r="27" spans="1:19" hidden="1" x14ac:dyDescent="0.25"/>
    <row r="28" spans="1:19" hidden="1" x14ac:dyDescent="0.25"/>
    <row r="29" spans="1:19" ht="42" hidden="1" customHeight="1" x14ac:dyDescent="0.25">
      <c r="A29" s="667" t="s">
        <v>396</v>
      </c>
      <c r="B29" s="667"/>
      <c r="C29" s="667"/>
      <c r="D29" s="667"/>
      <c r="E29" s="667"/>
      <c r="F29" s="667"/>
      <c r="G29" s="667"/>
      <c r="H29" s="667"/>
      <c r="I29" s="667"/>
    </row>
    <row r="30" spans="1:19" hidden="1" x14ac:dyDescent="0.25"/>
    <row r="31" spans="1:19" hidden="1" x14ac:dyDescent="0.25"/>
    <row r="32" spans="1:19" hidden="1" x14ac:dyDescent="0.25"/>
    <row r="33" spans="1:18" hidden="1" x14ac:dyDescent="0.25"/>
    <row r="34" spans="1:18" hidden="1" x14ac:dyDescent="0.25"/>
    <row r="35" spans="1:18" hidden="1" x14ac:dyDescent="0.25"/>
    <row r="36" spans="1:18" hidden="1" x14ac:dyDescent="0.25"/>
    <row r="37" spans="1:18" hidden="1" x14ac:dyDescent="0.25"/>
    <row r="38" spans="1:18" hidden="1" x14ac:dyDescent="0.25"/>
    <row r="39" spans="1:18" hidden="1" x14ac:dyDescent="0.25"/>
    <row r="40" spans="1:18" hidden="1" x14ac:dyDescent="0.25"/>
    <row r="41" spans="1:18" hidden="1" x14ac:dyDescent="0.25"/>
    <row r="42" spans="1:18" hidden="1" x14ac:dyDescent="0.25"/>
    <row r="43" spans="1:18" hidden="1" x14ac:dyDescent="0.25"/>
    <row r="44" spans="1:18" hidden="1" x14ac:dyDescent="0.25"/>
    <row r="45" spans="1:18" ht="13.15" hidden="1" customHeight="1" x14ac:dyDescent="0.25"/>
    <row r="46" spans="1:18" hidden="1" x14ac:dyDescent="0.25">
      <c r="A46" s="538" t="s">
        <v>377</v>
      </c>
      <c r="B46" s="326">
        <v>66</v>
      </c>
      <c r="C46" s="326">
        <v>66</v>
      </c>
      <c r="D46" s="326">
        <v>66</v>
      </c>
      <c r="E46" s="326">
        <v>66</v>
      </c>
      <c r="F46" s="326">
        <v>66</v>
      </c>
      <c r="G46" s="326">
        <v>66</v>
      </c>
      <c r="H46" s="326">
        <v>66</v>
      </c>
      <c r="I46" s="326">
        <v>66</v>
      </c>
      <c r="J46" s="326">
        <v>66</v>
      </c>
      <c r="K46" s="326">
        <v>66</v>
      </c>
      <c r="L46" s="326">
        <v>66</v>
      </c>
      <c r="M46" s="326">
        <v>66</v>
      </c>
      <c r="N46" s="326">
        <v>66</v>
      </c>
      <c r="O46" s="326">
        <v>66</v>
      </c>
      <c r="P46" s="326">
        <v>66</v>
      </c>
      <c r="Q46" s="326">
        <v>66</v>
      </c>
      <c r="R46" s="659" t="s">
        <v>378</v>
      </c>
    </row>
    <row r="47" spans="1:18" hidden="1" x14ac:dyDescent="0.25">
      <c r="A47" s="538" t="s">
        <v>379</v>
      </c>
      <c r="B47" s="326">
        <v>60</v>
      </c>
      <c r="C47" s="326">
        <v>60</v>
      </c>
      <c r="D47" s="326">
        <v>60</v>
      </c>
      <c r="E47" s="326">
        <v>60</v>
      </c>
      <c r="F47" s="326">
        <v>60</v>
      </c>
      <c r="G47" s="326">
        <v>60</v>
      </c>
      <c r="H47" s="326">
        <v>60</v>
      </c>
      <c r="I47" s="326">
        <v>60</v>
      </c>
      <c r="J47" s="326">
        <v>60</v>
      </c>
      <c r="K47" s="326">
        <v>60</v>
      </c>
      <c r="L47" s="326">
        <v>60</v>
      </c>
      <c r="M47" s="326">
        <v>60</v>
      </c>
      <c r="N47" s="326">
        <v>60</v>
      </c>
      <c r="O47" s="326">
        <v>60</v>
      </c>
      <c r="P47" s="326">
        <v>60</v>
      </c>
      <c r="Q47" s="326">
        <v>60</v>
      </c>
      <c r="R47" s="660"/>
    </row>
    <row r="48" spans="1:18" hidden="1" x14ac:dyDescent="0.25">
      <c r="A48" s="538" t="s">
        <v>380</v>
      </c>
      <c r="B48" s="326">
        <v>79</v>
      </c>
      <c r="C48" s="326">
        <v>79</v>
      </c>
      <c r="D48" s="326">
        <v>79</v>
      </c>
      <c r="E48" s="326">
        <v>79</v>
      </c>
      <c r="F48" s="326">
        <v>79</v>
      </c>
      <c r="G48" s="326">
        <v>79</v>
      </c>
      <c r="H48" s="326">
        <v>79</v>
      </c>
      <c r="I48" s="326">
        <v>79</v>
      </c>
      <c r="J48" s="326">
        <v>79</v>
      </c>
      <c r="K48" s="326">
        <v>79</v>
      </c>
      <c r="L48" s="326">
        <v>79</v>
      </c>
      <c r="M48" s="326">
        <v>79</v>
      </c>
      <c r="N48" s="326">
        <v>79</v>
      </c>
      <c r="O48" s="326">
        <v>79</v>
      </c>
      <c r="P48" s="326">
        <v>79</v>
      </c>
      <c r="Q48" s="326">
        <v>79</v>
      </c>
      <c r="R48" s="660"/>
    </row>
    <row r="49" spans="1:18" hidden="1" x14ac:dyDescent="0.25">
      <c r="A49" s="538" t="s">
        <v>381</v>
      </c>
      <c r="B49" s="326">
        <v>86</v>
      </c>
      <c r="C49" s="326">
        <v>86</v>
      </c>
      <c r="D49" s="326">
        <v>86</v>
      </c>
      <c r="E49" s="326">
        <v>86</v>
      </c>
      <c r="F49" s="326">
        <v>86</v>
      </c>
      <c r="G49" s="326">
        <v>86</v>
      </c>
      <c r="H49" s="326">
        <v>86</v>
      </c>
      <c r="I49" s="326">
        <v>86</v>
      </c>
      <c r="J49" s="326">
        <v>86</v>
      </c>
      <c r="K49" s="326">
        <v>86</v>
      </c>
      <c r="L49" s="326">
        <v>86</v>
      </c>
      <c r="M49" s="326">
        <v>86</v>
      </c>
      <c r="N49" s="326">
        <v>86</v>
      </c>
      <c r="O49" s="326">
        <v>86</v>
      </c>
      <c r="P49" s="326">
        <v>86</v>
      </c>
      <c r="Q49" s="326">
        <v>86</v>
      </c>
      <c r="R49" s="661"/>
    </row>
    <row r="50" spans="1:18" hidden="1" x14ac:dyDescent="0.25"/>
    <row r="51" spans="1:18" hidden="1" x14ac:dyDescent="0.25"/>
    <row r="52" spans="1:18" hidden="1" x14ac:dyDescent="0.25"/>
    <row r="53" spans="1:18" hidden="1" x14ac:dyDescent="0.25"/>
    <row r="54" spans="1:18" hidden="1" x14ac:dyDescent="0.25"/>
    <row r="55" spans="1:18" hidden="1" x14ac:dyDescent="0.25"/>
    <row r="56" spans="1:18" hidden="1" x14ac:dyDescent="0.25"/>
    <row r="57" spans="1:18" hidden="1" x14ac:dyDescent="0.25"/>
    <row r="58" spans="1:18" hidden="1" x14ac:dyDescent="0.25"/>
    <row r="59" spans="1:18" hidden="1" x14ac:dyDescent="0.25"/>
    <row r="60" spans="1:18" hidden="1" x14ac:dyDescent="0.25"/>
    <row r="61" spans="1:18" hidden="1" x14ac:dyDescent="0.25"/>
    <row r="62" spans="1:18" hidden="1" x14ac:dyDescent="0.25"/>
    <row r="63" spans="1:18" hidden="1" x14ac:dyDescent="0.25"/>
    <row r="64" spans="1:18"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sheetData>
  <mergeCells count="13">
    <mergeCell ref="R46:R49"/>
    <mergeCell ref="R3:R6"/>
    <mergeCell ref="S3:S6"/>
    <mergeCell ref="A1:S1"/>
    <mergeCell ref="A29:I29"/>
    <mergeCell ref="A20:E20"/>
    <mergeCell ref="B21:D21"/>
    <mergeCell ref="E21:G21"/>
    <mergeCell ref="A23:A26"/>
    <mergeCell ref="R7:R10"/>
    <mergeCell ref="S7:S10"/>
    <mergeCell ref="R11:R14"/>
    <mergeCell ref="S11:S1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AR141"/>
  <sheetViews>
    <sheetView zoomScaleNormal="100" workbookViewId="0">
      <selection sqref="A1:G1"/>
    </sheetView>
  </sheetViews>
  <sheetFormatPr defaultColWidth="8.7109375" defaultRowHeight="12.75" x14ac:dyDescent="0.2"/>
  <cols>
    <col min="1" max="1" width="49.5703125" style="3" bestFit="1" customWidth="1"/>
    <col min="2" max="3" width="22.5703125" style="3" customWidth="1"/>
    <col min="4" max="4" width="20.85546875" style="3" customWidth="1"/>
    <col min="5" max="5" width="27.7109375" style="3" customWidth="1"/>
    <col min="6" max="6" width="17.140625" style="3" customWidth="1"/>
    <col min="7" max="7" width="37.42578125" style="3" customWidth="1"/>
    <col min="8" max="8" width="8.42578125" style="3" customWidth="1"/>
    <col min="9" max="9" width="21.42578125" style="3" customWidth="1"/>
    <col min="10" max="10" width="29.7109375" style="3" customWidth="1"/>
    <col min="11" max="12" width="15.28515625" style="3" customWidth="1"/>
    <col min="13" max="13" width="12.28515625" style="3" customWidth="1"/>
    <col min="14" max="14" width="13.28515625" style="3" customWidth="1"/>
    <col min="15" max="15" width="15.28515625" style="3" customWidth="1"/>
    <col min="16" max="16" width="11" style="3" customWidth="1"/>
    <col min="17" max="20" width="15.28515625" style="3" customWidth="1"/>
    <col min="21" max="21" width="7.7109375" style="3" hidden="1" customWidth="1"/>
    <col min="22" max="22" width="12.42578125" style="3" hidden="1" customWidth="1"/>
    <col min="23" max="38" width="6.5703125" style="3" hidden="1" customWidth="1"/>
    <col min="39" max="39" width="15.28515625" style="3" customWidth="1"/>
    <col min="40" max="40" width="11.28515625" style="3" customWidth="1"/>
    <col min="41" max="41" width="6.28515625" style="3" customWidth="1"/>
    <col min="42" max="45" width="4.7109375" style="3" customWidth="1"/>
    <col min="46" max="46" width="6.28515625" style="3" customWidth="1"/>
    <col min="47" max="61" width="4.7109375" style="3" customWidth="1"/>
    <col min="62" max="16384" width="8.7109375" style="3"/>
  </cols>
  <sheetData>
    <row r="1" spans="1:8" ht="24" customHeight="1" x14ac:dyDescent="0.2">
      <c r="A1" s="675" t="str">
        <f>"Water Heater - "&amp;Prototype!A2</f>
        <v>Water Heater - Hospital</v>
      </c>
      <c r="B1" s="676"/>
      <c r="C1" s="676"/>
      <c r="D1" s="676"/>
      <c r="E1" s="676"/>
      <c r="F1" s="676"/>
      <c r="G1" s="677"/>
    </row>
    <row r="2" spans="1:8" ht="22.15" customHeight="1" x14ac:dyDescent="0.2">
      <c r="A2" s="184" t="s">
        <v>193</v>
      </c>
      <c r="B2" s="184" t="s">
        <v>397</v>
      </c>
      <c r="C2" s="184" t="s">
        <v>398</v>
      </c>
      <c r="D2" s="184" t="s">
        <v>399</v>
      </c>
      <c r="E2" s="678" t="s">
        <v>400</v>
      </c>
      <c r="F2" s="679"/>
      <c r="G2" s="184" t="s">
        <v>89</v>
      </c>
    </row>
    <row r="3" spans="1:8" ht="25.15" customHeight="1" x14ac:dyDescent="0.2">
      <c r="A3" s="535" t="s">
        <v>401</v>
      </c>
      <c r="B3" s="535" t="s">
        <v>186</v>
      </c>
      <c r="C3" s="535">
        <v>0.8</v>
      </c>
      <c r="D3" s="203">
        <f>F72</f>
        <v>143.77302837600001</v>
      </c>
      <c r="E3" s="316">
        <f>G74</f>
        <v>1542.3745020072661</v>
      </c>
      <c r="F3" s="315" t="s">
        <v>402</v>
      </c>
      <c r="G3" s="158"/>
    </row>
    <row r="4" spans="1:8" ht="21" customHeight="1" x14ac:dyDescent="0.2">
      <c r="A4" s="535" t="s">
        <v>261</v>
      </c>
      <c r="B4" s="535" t="s">
        <v>186</v>
      </c>
      <c r="C4" s="535">
        <v>0.8</v>
      </c>
      <c r="D4" s="245">
        <f>F70</f>
        <v>143.77302837600001</v>
      </c>
      <c r="E4" s="316">
        <f>G70</f>
        <v>1542.3745020072661</v>
      </c>
      <c r="F4" s="315" t="s">
        <v>402</v>
      </c>
      <c r="G4" s="158"/>
    </row>
    <row r="5" spans="1:8" ht="14.65" customHeight="1" x14ac:dyDescent="0.2"/>
    <row r="6" spans="1:8" ht="21.6" customHeight="1" x14ac:dyDescent="0.2">
      <c r="H6" s="92"/>
    </row>
    <row r="7" spans="1:8" ht="26.25" customHeight="1" x14ac:dyDescent="0.2">
      <c r="A7" s="644" t="s">
        <v>403</v>
      </c>
      <c r="B7" s="644"/>
      <c r="C7" s="644"/>
      <c r="D7" s="644"/>
      <c r="E7" s="644"/>
      <c r="F7" s="644"/>
      <c r="G7" s="644"/>
      <c r="H7" s="140"/>
    </row>
    <row r="8" spans="1:8" ht="73.5" customHeight="1" x14ac:dyDescent="0.2">
      <c r="A8" s="330" t="s">
        <v>404</v>
      </c>
      <c r="B8" s="330" t="s">
        <v>405</v>
      </c>
      <c r="C8" s="330" t="s">
        <v>86</v>
      </c>
      <c r="D8" s="330" t="s">
        <v>87</v>
      </c>
      <c r="E8" s="330" t="s">
        <v>406</v>
      </c>
      <c r="F8" s="330" t="s">
        <v>407</v>
      </c>
      <c r="G8" s="330" t="s">
        <v>408</v>
      </c>
      <c r="H8" s="140"/>
    </row>
    <row r="9" spans="1:8" ht="22.5" customHeight="1" x14ac:dyDescent="0.2">
      <c r="A9" s="328" t="s">
        <v>91</v>
      </c>
      <c r="B9" s="158" t="s">
        <v>186</v>
      </c>
      <c r="C9" s="251">
        <f>Zones!G3</f>
        <v>40253.93</v>
      </c>
      <c r="D9" s="329">
        <f>Zones!K3</f>
        <v>201.26964999999998</v>
      </c>
      <c r="E9" s="158">
        <f>VLOOKUP(Zones!A3,'Water Heater'!$A$128:$E$141,5,FALSE)</f>
        <v>0.18</v>
      </c>
      <c r="F9" s="317">
        <f>E9*D9</f>
        <v>36.228536999999996</v>
      </c>
      <c r="G9" s="318">
        <f>F9/60</f>
        <v>0.6038089499999999</v>
      </c>
      <c r="H9" s="140"/>
    </row>
    <row r="10" spans="1:8" ht="22.5" customHeight="1" x14ac:dyDescent="0.2">
      <c r="A10" s="328" t="s">
        <v>96</v>
      </c>
      <c r="B10" s="158" t="s">
        <v>186</v>
      </c>
      <c r="C10" s="251">
        <f>Zones!G4</f>
        <v>6125.6</v>
      </c>
      <c r="D10" s="329">
        <f>Zones!K4</f>
        <v>30.628</v>
      </c>
      <c r="E10" s="158">
        <f>VLOOKUP(Zones!A4,'Water Heater'!$A$128:$E$141,5,FALSE)</f>
        <v>0</v>
      </c>
      <c r="F10" s="317">
        <f t="shared" ref="F10:F63" si="0">E10*D10</f>
        <v>0</v>
      </c>
      <c r="G10" s="318">
        <f t="shared" ref="G10:G63" si="1">F10/60</f>
        <v>0</v>
      </c>
      <c r="H10" s="140"/>
    </row>
    <row r="11" spans="1:8" ht="22.5" customHeight="1" x14ac:dyDescent="0.2">
      <c r="A11" s="328" t="s">
        <v>98</v>
      </c>
      <c r="B11" s="158" t="s">
        <v>186</v>
      </c>
      <c r="C11" s="251">
        <f>Zones!G5</f>
        <v>6125.6</v>
      </c>
      <c r="D11" s="329">
        <f>Zones!K5</f>
        <v>30.628</v>
      </c>
      <c r="E11" s="158">
        <f>VLOOKUP(Zones!A5,'Water Heater'!$A$128:$E$141,5,FALSE)</f>
        <v>0</v>
      </c>
      <c r="F11" s="317">
        <f t="shared" si="0"/>
        <v>0</v>
      </c>
      <c r="G11" s="318">
        <f t="shared" si="1"/>
        <v>0</v>
      </c>
      <c r="H11" s="140"/>
    </row>
    <row r="12" spans="1:8" ht="22.5" customHeight="1" x14ac:dyDescent="0.2">
      <c r="A12" s="328" t="s">
        <v>99</v>
      </c>
      <c r="B12" s="158" t="s">
        <v>186</v>
      </c>
      <c r="C12" s="251">
        <f>Zones!G6</f>
        <v>5400.53</v>
      </c>
      <c r="D12" s="329">
        <f>Zones!K6</f>
        <v>27.002649999999999</v>
      </c>
      <c r="E12" s="158">
        <f>VLOOKUP(Zones!A6,'Water Heater'!$A$128:$E$141,5,FALSE)</f>
        <v>0</v>
      </c>
      <c r="F12" s="317">
        <f t="shared" si="0"/>
        <v>0</v>
      </c>
      <c r="G12" s="318">
        <f t="shared" si="1"/>
        <v>0</v>
      </c>
      <c r="H12" s="140"/>
    </row>
    <row r="13" spans="1:8" ht="22.5" customHeight="1" x14ac:dyDescent="0.2">
      <c r="A13" s="328" t="s">
        <v>101</v>
      </c>
      <c r="B13" s="158" t="s">
        <v>186</v>
      </c>
      <c r="C13" s="251">
        <f>Zones!G7</f>
        <v>6100.6</v>
      </c>
      <c r="D13" s="329">
        <f>Zones!K7</f>
        <v>30.503</v>
      </c>
      <c r="E13" s="158">
        <f>VLOOKUP(Zones!A7,'Water Heater'!$A$128:$E$141,5,FALSE)</f>
        <v>0</v>
      </c>
      <c r="F13" s="317">
        <f t="shared" si="0"/>
        <v>0</v>
      </c>
      <c r="G13" s="318">
        <f t="shared" si="1"/>
        <v>0</v>
      </c>
      <c r="H13" s="140"/>
    </row>
    <row r="14" spans="1:8" ht="22.5" customHeight="1" x14ac:dyDescent="0.2">
      <c r="A14" s="328" t="s">
        <v>102</v>
      </c>
      <c r="B14" s="158" t="s">
        <v>186</v>
      </c>
      <c r="C14" s="251">
        <f>Zones!G8</f>
        <v>6100.6</v>
      </c>
      <c r="D14" s="329">
        <f>Zones!K8</f>
        <v>30.503</v>
      </c>
      <c r="E14" s="158">
        <f>VLOOKUP(Zones!A8,'Water Heater'!$A$128:$E$141,5,FALSE)</f>
        <v>0</v>
      </c>
      <c r="F14" s="317">
        <f t="shared" si="0"/>
        <v>0</v>
      </c>
      <c r="G14" s="318">
        <f t="shared" si="1"/>
        <v>0</v>
      </c>
      <c r="H14" s="140"/>
    </row>
    <row r="15" spans="1:8" ht="22.5" customHeight="1" x14ac:dyDescent="0.2">
      <c r="A15" s="328" t="s">
        <v>103</v>
      </c>
      <c r="B15" s="158" t="s">
        <v>186</v>
      </c>
      <c r="C15" s="251">
        <f>Zones!G9</f>
        <v>6100.6</v>
      </c>
      <c r="D15" s="329">
        <f>Zones!K9</f>
        <v>30.503</v>
      </c>
      <c r="E15" s="158">
        <f>VLOOKUP(Zones!A9,'Water Heater'!$A$128:$E$141,5,FALSE)</f>
        <v>0</v>
      </c>
      <c r="F15" s="317">
        <f t="shared" si="0"/>
        <v>0</v>
      </c>
      <c r="G15" s="318">
        <f t="shared" si="1"/>
        <v>0</v>
      </c>
      <c r="H15" s="140"/>
    </row>
    <row r="16" spans="1:8" ht="22.5" customHeight="1" x14ac:dyDescent="0.2">
      <c r="A16" s="328" t="s">
        <v>104</v>
      </c>
      <c r="B16" s="158" t="s">
        <v>186</v>
      </c>
      <c r="C16" s="251">
        <f>Zones!G10</f>
        <v>6100.6</v>
      </c>
      <c r="D16" s="329">
        <f>Zones!K10</f>
        <v>30.503</v>
      </c>
      <c r="E16" s="158">
        <f>VLOOKUP(Zones!A10,'Water Heater'!$A$128:$E$141,5,FALSE)</f>
        <v>0</v>
      </c>
      <c r="F16" s="317">
        <f t="shared" si="0"/>
        <v>0</v>
      </c>
      <c r="G16" s="318">
        <f t="shared" si="1"/>
        <v>0</v>
      </c>
      <c r="H16" s="140"/>
    </row>
    <row r="17" spans="1:8" ht="22.5" customHeight="1" x14ac:dyDescent="0.2">
      <c r="A17" s="328" t="s">
        <v>106</v>
      </c>
      <c r="B17" s="158" t="s">
        <v>186</v>
      </c>
      <c r="C17" s="251">
        <f>Zones!G11</f>
        <v>7500.73</v>
      </c>
      <c r="D17" s="329">
        <f>Zones!K11</f>
        <v>247.52409</v>
      </c>
      <c r="E17" s="158">
        <f>VLOOKUP(Zones!A11,'Water Heater'!$A$128:$E$141,5,FALSE)</f>
        <v>0.57799999999999996</v>
      </c>
      <c r="F17" s="317">
        <f t="shared" si="0"/>
        <v>143.06892402</v>
      </c>
      <c r="G17" s="318">
        <f t="shared" si="1"/>
        <v>2.384482067</v>
      </c>
      <c r="H17" s="140"/>
    </row>
    <row r="18" spans="1:8" ht="22.5" customHeight="1" x14ac:dyDescent="0.2">
      <c r="A18" s="328" t="s">
        <v>109</v>
      </c>
      <c r="B18" s="158" t="s">
        <v>186</v>
      </c>
      <c r="C18" s="251">
        <f>Zones!G12</f>
        <v>300.02999999999997</v>
      </c>
      <c r="D18" s="329">
        <f>Zones!K12</f>
        <v>1.5001499999999999</v>
      </c>
      <c r="E18" s="158">
        <f>VLOOKUP(Zones!A12,'Water Heater'!$A$128:$E$141,5,FALSE)</f>
        <v>0.24</v>
      </c>
      <c r="F18" s="317">
        <f t="shared" si="0"/>
        <v>0.36003599999999997</v>
      </c>
      <c r="G18" s="318">
        <f t="shared" si="1"/>
        <v>6.0005999999999992E-3</v>
      </c>
      <c r="H18" s="140"/>
    </row>
    <row r="19" spans="1:8" ht="22.5" customHeight="1" x14ac:dyDescent="0.2">
      <c r="A19" s="328" t="s">
        <v>113</v>
      </c>
      <c r="B19" s="158" t="s">
        <v>186</v>
      </c>
      <c r="C19" s="251">
        <f>Zones!G13</f>
        <v>300.02999999999997</v>
      </c>
      <c r="D19" s="329">
        <f>Zones!K13</f>
        <v>1.5001499999999999</v>
      </c>
      <c r="E19" s="158">
        <f>VLOOKUP(Zones!A13,'Water Heater'!$A$128:$E$141,5,FALSE)</f>
        <v>0.24</v>
      </c>
      <c r="F19" s="317">
        <f t="shared" si="0"/>
        <v>0.36003599999999997</v>
      </c>
      <c r="G19" s="318">
        <f t="shared" si="1"/>
        <v>6.0005999999999992E-3</v>
      </c>
      <c r="H19" s="140"/>
    </row>
    <row r="20" spans="1:8" ht="22.5" customHeight="1" x14ac:dyDescent="0.2">
      <c r="A20" s="328" t="s">
        <v>115</v>
      </c>
      <c r="B20" s="158" t="s">
        <v>186</v>
      </c>
      <c r="C20" s="251">
        <f>Zones!G14</f>
        <v>13301.3</v>
      </c>
      <c r="D20" s="329">
        <f>Zones!K14</f>
        <v>66.506500000000003</v>
      </c>
      <c r="E20" s="158">
        <f>VLOOKUP(Zones!A14,'Water Heater'!$A$128:$E$141,5,FALSE)</f>
        <v>0.24</v>
      </c>
      <c r="F20" s="317">
        <f t="shared" si="0"/>
        <v>15.96156</v>
      </c>
      <c r="G20" s="318">
        <f t="shared" si="1"/>
        <v>0.26602599999999998</v>
      </c>
      <c r="H20" s="140"/>
    </row>
    <row r="21" spans="1:8" ht="22.5" customHeight="1" x14ac:dyDescent="0.2">
      <c r="A21" s="328" t="s">
        <v>116</v>
      </c>
      <c r="B21" s="158" t="s">
        <v>186</v>
      </c>
      <c r="C21" s="251">
        <f>Zones!G15</f>
        <v>300.02999999999997</v>
      </c>
      <c r="D21" s="329">
        <f>Zones!K15</f>
        <v>1.5001499999999999</v>
      </c>
      <c r="E21" s="158">
        <f>VLOOKUP(Zones!A15,'Water Heater'!$A$128:$E$141,5,FALSE)</f>
        <v>0.24</v>
      </c>
      <c r="F21" s="317">
        <f t="shared" si="0"/>
        <v>0.36003599999999997</v>
      </c>
      <c r="G21" s="318">
        <f t="shared" si="1"/>
        <v>6.0005999999999992E-3</v>
      </c>
      <c r="H21" s="140"/>
    </row>
    <row r="22" spans="1:8" ht="22.5" customHeight="1" x14ac:dyDescent="0.2">
      <c r="A22" s="328" t="s">
        <v>117</v>
      </c>
      <c r="B22" s="158" t="s">
        <v>186</v>
      </c>
      <c r="C22" s="251">
        <f>Zones!G16</f>
        <v>300.02999999999997</v>
      </c>
      <c r="D22" s="329">
        <f>Zones!K16</f>
        <v>1.5001499999999999</v>
      </c>
      <c r="E22" s="158">
        <f>VLOOKUP(Zones!A16,'Water Heater'!$A$128:$E$141,5,FALSE)</f>
        <v>0.24</v>
      </c>
      <c r="F22" s="317">
        <f t="shared" si="0"/>
        <v>0.36003599999999997</v>
      </c>
      <c r="G22" s="318">
        <f t="shared" si="1"/>
        <v>6.0005999999999992E-3</v>
      </c>
      <c r="H22" s="140"/>
    </row>
    <row r="23" spans="1:8" ht="22.5" customHeight="1" x14ac:dyDescent="0.2">
      <c r="A23" s="328" t="s">
        <v>118</v>
      </c>
      <c r="B23" s="158" t="s">
        <v>186</v>
      </c>
      <c r="C23" s="251">
        <f>Zones!G17</f>
        <v>300.02999999999997</v>
      </c>
      <c r="D23" s="329">
        <f>Zones!K17</f>
        <v>1.5001499999999999</v>
      </c>
      <c r="E23" s="158">
        <f>VLOOKUP(Zones!A17,'Water Heater'!$A$128:$E$141,5,FALSE)</f>
        <v>0.24</v>
      </c>
      <c r="F23" s="317">
        <f t="shared" si="0"/>
        <v>0.36003599999999997</v>
      </c>
      <c r="G23" s="318">
        <f t="shared" si="1"/>
        <v>6.0005999999999992E-3</v>
      </c>
      <c r="H23" s="140"/>
    </row>
    <row r="24" spans="1:8" ht="22.5" customHeight="1" x14ac:dyDescent="0.2">
      <c r="A24" s="208" t="s">
        <v>120</v>
      </c>
      <c r="B24" s="158" t="s">
        <v>186</v>
      </c>
      <c r="C24" s="251">
        <f>Zones!G18</f>
        <v>6652.36</v>
      </c>
      <c r="D24" s="329">
        <f>Zones!K18</f>
        <v>33.261799999999994</v>
      </c>
      <c r="E24" s="158">
        <f>VLOOKUP(Zones!A18,'Water Heater'!$A$128:$E$141,5,FALSE)</f>
        <v>0.24</v>
      </c>
      <c r="F24" s="317">
        <f t="shared" si="0"/>
        <v>7.9828319999999984</v>
      </c>
      <c r="G24" s="318">
        <f t="shared" si="1"/>
        <v>0.13304719999999998</v>
      </c>
      <c r="H24" s="140"/>
    </row>
    <row r="25" spans="1:8" ht="22.5" customHeight="1" x14ac:dyDescent="0.2">
      <c r="A25" s="328" t="s">
        <v>123</v>
      </c>
      <c r="B25" s="158" t="s">
        <v>186</v>
      </c>
      <c r="C25" s="251">
        <f>Zones!G19</f>
        <v>7199.26</v>
      </c>
      <c r="D25" s="329">
        <f>Zones!K19</f>
        <v>35.996300000000005</v>
      </c>
      <c r="E25" s="158">
        <f>VLOOKUP(Zones!A19,'Water Heater'!$A$128:$E$141,5,FALSE)</f>
        <v>0.24</v>
      </c>
      <c r="F25" s="317">
        <f t="shared" si="0"/>
        <v>8.6391120000000008</v>
      </c>
      <c r="G25" s="318">
        <f t="shared" si="1"/>
        <v>0.14398520000000001</v>
      </c>
      <c r="H25" s="140"/>
    </row>
    <row r="26" spans="1:8" ht="22.5" customHeight="1" x14ac:dyDescent="0.2">
      <c r="A26" s="328" t="s">
        <v>124</v>
      </c>
      <c r="B26" s="158" t="s">
        <v>186</v>
      </c>
      <c r="C26" s="251">
        <f>Zones!G20</f>
        <v>225.02</v>
      </c>
      <c r="D26" s="329">
        <f>Zones!K20</f>
        <v>1.1251000000000002</v>
      </c>
      <c r="E26" s="158">
        <f>VLOOKUP(Zones!A20,'Water Heater'!$A$128:$E$141,5,FALSE)</f>
        <v>0.24</v>
      </c>
      <c r="F26" s="317">
        <f t="shared" si="0"/>
        <v>0.27002400000000004</v>
      </c>
      <c r="G26" s="318">
        <f t="shared" si="1"/>
        <v>4.5004000000000008E-3</v>
      </c>
      <c r="H26" s="140"/>
    </row>
    <row r="27" spans="1:8" ht="22.5" customHeight="1" x14ac:dyDescent="0.2">
      <c r="A27" s="328" t="s">
        <v>125</v>
      </c>
      <c r="B27" s="158" t="s">
        <v>186</v>
      </c>
      <c r="C27" s="251">
        <f>Zones!G21</f>
        <v>300.02999999999997</v>
      </c>
      <c r="D27" s="329">
        <f>Zones!K21</f>
        <v>1.5001499999999999</v>
      </c>
      <c r="E27" s="158">
        <f>VLOOKUP(Zones!A21,'Water Heater'!$A$128:$E$141,5,FALSE)</f>
        <v>0.24</v>
      </c>
      <c r="F27" s="317">
        <f t="shared" si="0"/>
        <v>0.36003599999999997</v>
      </c>
      <c r="G27" s="318">
        <f t="shared" si="1"/>
        <v>6.0005999999999992E-3</v>
      </c>
      <c r="H27" s="140"/>
    </row>
    <row r="28" spans="1:8" ht="22.5" customHeight="1" x14ac:dyDescent="0.2">
      <c r="A28" s="328" t="s">
        <v>126</v>
      </c>
      <c r="B28" s="158" t="s">
        <v>186</v>
      </c>
      <c r="C28" s="251">
        <f>Zones!G22</f>
        <v>225.02</v>
      </c>
      <c r="D28" s="329">
        <f>Zones!K22</f>
        <v>1.1251000000000002</v>
      </c>
      <c r="E28" s="158">
        <f>VLOOKUP(Zones!A22,'Water Heater'!$A$128:$E$141,5,FALSE)</f>
        <v>0.24</v>
      </c>
      <c r="F28" s="317">
        <f t="shared" si="0"/>
        <v>0.27002400000000004</v>
      </c>
      <c r="G28" s="318">
        <f t="shared" si="1"/>
        <v>4.5004000000000008E-3</v>
      </c>
      <c r="H28" s="140"/>
    </row>
    <row r="29" spans="1:8" ht="22.5" customHeight="1" x14ac:dyDescent="0.2">
      <c r="A29" s="328" t="s">
        <v>128</v>
      </c>
      <c r="B29" s="158" t="s">
        <v>186</v>
      </c>
      <c r="C29" s="251">
        <f>Zones!G23</f>
        <v>10000.98</v>
      </c>
      <c r="D29" s="329">
        <f>Zones!K23</f>
        <v>30.002939999999999</v>
      </c>
      <c r="E29" s="158">
        <f>VLOOKUP(Zones!A23,'Water Heater'!$A$128:$E$141,5,FALSE)</f>
        <v>0.57799999999999996</v>
      </c>
      <c r="F29" s="317">
        <f t="shared" si="0"/>
        <v>17.341699319999996</v>
      </c>
      <c r="G29" s="318">
        <f t="shared" si="1"/>
        <v>0.28902832199999995</v>
      </c>
      <c r="H29" s="140"/>
    </row>
    <row r="30" spans="1:8" ht="22.5" customHeight="1" x14ac:dyDescent="0.2">
      <c r="A30" s="328" t="s">
        <v>132</v>
      </c>
      <c r="B30" s="158" t="s">
        <v>186</v>
      </c>
      <c r="C30" s="251">
        <f>Zones!G24</f>
        <v>2850.28</v>
      </c>
      <c r="D30" s="329">
        <f>Zones!K24</f>
        <v>14.251400000000002</v>
      </c>
      <c r="E30" s="158">
        <f>VLOOKUP(Zones!A24,'Water Heater'!$A$128:$E$141,5,FALSE)</f>
        <v>0.18</v>
      </c>
      <c r="F30" s="317">
        <f t="shared" si="0"/>
        <v>2.5652520000000001</v>
      </c>
      <c r="G30" s="318">
        <f t="shared" si="1"/>
        <v>4.2754199999999999E-2</v>
      </c>
      <c r="H30" s="140"/>
    </row>
    <row r="31" spans="1:8" ht="22.5" customHeight="1" x14ac:dyDescent="0.2">
      <c r="A31" s="328" t="s">
        <v>135</v>
      </c>
      <c r="B31" s="158" t="s">
        <v>186</v>
      </c>
      <c r="C31" s="251">
        <f>Zones!G25</f>
        <v>2850.28</v>
      </c>
      <c r="D31" s="329">
        <f>Zones!K25</f>
        <v>14.251400000000002</v>
      </c>
      <c r="E31" s="158">
        <f>VLOOKUP(Zones!A25,'Water Heater'!$A$128:$E$141,5,FALSE)</f>
        <v>0.18</v>
      </c>
      <c r="F31" s="317">
        <f t="shared" si="0"/>
        <v>2.5652520000000001</v>
      </c>
      <c r="G31" s="318">
        <f t="shared" si="1"/>
        <v>4.2754199999999999E-2</v>
      </c>
      <c r="H31" s="140"/>
    </row>
    <row r="32" spans="1:8" ht="22.5" customHeight="1" x14ac:dyDescent="0.2">
      <c r="A32" s="328" t="s">
        <v>137</v>
      </c>
      <c r="B32" s="158" t="s">
        <v>186</v>
      </c>
      <c r="C32" s="251">
        <f>Zones!G26</f>
        <v>15876.28</v>
      </c>
      <c r="D32" s="329">
        <f>Zones!K26</f>
        <v>523.91723999999999</v>
      </c>
      <c r="E32" s="158">
        <f>VLOOKUP(Zones!A26,'Water Heater'!$A$128:$E$141,5,FALSE)</f>
        <v>0.09</v>
      </c>
      <c r="F32" s="317">
        <f t="shared" si="0"/>
        <v>47.152551599999995</v>
      </c>
      <c r="G32" s="318">
        <f t="shared" si="1"/>
        <v>0.78587585999999987</v>
      </c>
      <c r="H32" s="140"/>
    </row>
    <row r="33" spans="1:8" ht="22.5" customHeight="1" x14ac:dyDescent="0.2">
      <c r="A33" s="328" t="s">
        <v>138</v>
      </c>
      <c r="B33" s="158" t="s">
        <v>186</v>
      </c>
      <c r="C33" s="251">
        <f>Zones!G27</f>
        <v>9750.9500000000007</v>
      </c>
      <c r="D33" s="329">
        <f>Zones!K27</f>
        <v>48.754750000000001</v>
      </c>
      <c r="E33" s="158">
        <f>VLOOKUP(Zones!A27,'Water Heater'!$A$128:$E$141,5,FALSE)</f>
        <v>0.24</v>
      </c>
      <c r="F33" s="317">
        <f t="shared" si="0"/>
        <v>11.701140000000001</v>
      </c>
      <c r="G33" s="318">
        <f t="shared" si="1"/>
        <v>0.195019</v>
      </c>
      <c r="H33" s="140"/>
    </row>
    <row r="34" spans="1:8" ht="22.5" customHeight="1" x14ac:dyDescent="0.2">
      <c r="A34" s="328" t="s">
        <v>139</v>
      </c>
      <c r="B34" s="158" t="s">
        <v>186</v>
      </c>
      <c r="C34" s="251">
        <f>Zones!G28</f>
        <v>9750.9500000000007</v>
      </c>
      <c r="D34" s="329">
        <f>Zones!K28</f>
        <v>48.754750000000001</v>
      </c>
      <c r="E34" s="158">
        <f>VLOOKUP(Zones!A28,'Water Heater'!$A$128:$E$141,5,FALSE)</f>
        <v>0.24</v>
      </c>
      <c r="F34" s="317">
        <f t="shared" si="0"/>
        <v>11.701140000000001</v>
      </c>
      <c r="G34" s="318">
        <f t="shared" si="1"/>
        <v>0.195019</v>
      </c>
      <c r="H34" s="140"/>
    </row>
    <row r="35" spans="1:8" ht="22.5" customHeight="1" x14ac:dyDescent="0.2">
      <c r="A35" s="328" t="s">
        <v>140</v>
      </c>
      <c r="B35" s="158" t="s">
        <v>186</v>
      </c>
      <c r="C35" s="251">
        <f>Zones!G29</f>
        <v>11201.09</v>
      </c>
      <c r="D35" s="329">
        <f>Zones!K29</f>
        <v>56.005449999999996</v>
      </c>
      <c r="E35" s="158">
        <f>VLOOKUP(Zones!A29,'Water Heater'!$A$128:$E$141,5,FALSE)</f>
        <v>0.24</v>
      </c>
      <c r="F35" s="317">
        <f t="shared" si="0"/>
        <v>13.441307999999999</v>
      </c>
      <c r="G35" s="318">
        <f t="shared" si="1"/>
        <v>0.22402179999999999</v>
      </c>
      <c r="H35" s="140"/>
    </row>
    <row r="36" spans="1:8" ht="22.5" customHeight="1" x14ac:dyDescent="0.2">
      <c r="A36" s="328" t="s">
        <v>141</v>
      </c>
      <c r="B36" s="158" t="s">
        <v>186</v>
      </c>
      <c r="C36" s="251">
        <f>Zones!G30</f>
        <v>750.27</v>
      </c>
      <c r="D36" s="329">
        <f>Zones!K30</f>
        <v>3.75135</v>
      </c>
      <c r="E36" s="158">
        <f>VLOOKUP(Zones!A30,'Water Heater'!$A$128:$E$141,5,FALSE)</f>
        <v>0.18</v>
      </c>
      <c r="F36" s="317">
        <f t="shared" si="0"/>
        <v>0.67524299999999993</v>
      </c>
      <c r="G36" s="318">
        <f t="shared" si="1"/>
        <v>1.1254049999999998E-2</v>
      </c>
      <c r="H36" s="140"/>
    </row>
    <row r="37" spans="1:8" ht="22.5" customHeight="1" x14ac:dyDescent="0.2">
      <c r="A37" s="328" t="s">
        <v>143</v>
      </c>
      <c r="B37" s="158" t="s">
        <v>186</v>
      </c>
      <c r="C37" s="251">
        <f>Zones!G31</f>
        <v>150.01</v>
      </c>
      <c r="D37" s="329">
        <f>Zones!K31</f>
        <v>0.75004999999999999</v>
      </c>
      <c r="E37" s="158">
        <v>0.18</v>
      </c>
      <c r="F37" s="317">
        <f t="shared" si="0"/>
        <v>0.13500899999999999</v>
      </c>
      <c r="G37" s="318">
        <f t="shared" si="1"/>
        <v>2.2501499999999998E-3</v>
      </c>
      <c r="H37" s="140"/>
    </row>
    <row r="38" spans="1:8" ht="22.5" customHeight="1" x14ac:dyDescent="0.2">
      <c r="A38" s="328" t="s">
        <v>144</v>
      </c>
      <c r="B38" s="158" t="s">
        <v>186</v>
      </c>
      <c r="C38" s="251">
        <f>Zones!G32</f>
        <v>750.07</v>
      </c>
      <c r="D38" s="329">
        <f>Zones!K32</f>
        <v>3.7503500000000005</v>
      </c>
      <c r="E38" s="158">
        <f>VLOOKUP(Zones!A32,'Water Heater'!$A$128:$E$141,5,FALSE)</f>
        <v>0.18</v>
      </c>
      <c r="F38" s="317">
        <f t="shared" si="0"/>
        <v>0.67506300000000008</v>
      </c>
      <c r="G38" s="318">
        <f t="shared" si="1"/>
        <v>1.1251050000000002E-2</v>
      </c>
      <c r="H38" s="140"/>
    </row>
    <row r="39" spans="1:8" ht="22.5" customHeight="1" x14ac:dyDescent="0.2">
      <c r="A39" s="328" t="s">
        <v>145</v>
      </c>
      <c r="B39" s="158" t="s">
        <v>186</v>
      </c>
      <c r="C39" s="251">
        <f>Zones!G33</f>
        <v>750.07</v>
      </c>
      <c r="D39" s="329">
        <f>Zones!K33</f>
        <v>3.7503500000000005</v>
      </c>
      <c r="E39" s="158">
        <f>VLOOKUP(Zones!A33,'Water Heater'!$A$128:$E$141,5,FALSE)</f>
        <v>0.18</v>
      </c>
      <c r="F39" s="317">
        <f t="shared" si="0"/>
        <v>0.67506300000000008</v>
      </c>
      <c r="G39" s="318">
        <f t="shared" si="1"/>
        <v>1.1251050000000002E-2</v>
      </c>
      <c r="H39" s="140"/>
    </row>
    <row r="40" spans="1:8" ht="22.5" customHeight="1" x14ac:dyDescent="0.2">
      <c r="A40" s="328" t="s">
        <v>146</v>
      </c>
      <c r="B40" s="158" t="s">
        <v>186</v>
      </c>
      <c r="C40" s="251">
        <f>Zones!G34</f>
        <v>150.01</v>
      </c>
      <c r="D40" s="329">
        <f>Zones!K34</f>
        <v>0.75004999999999999</v>
      </c>
      <c r="E40" s="158">
        <v>0.18</v>
      </c>
      <c r="F40" s="317">
        <f t="shared" si="0"/>
        <v>0.13500899999999999</v>
      </c>
      <c r="G40" s="318">
        <f t="shared" si="1"/>
        <v>2.2501499999999998E-3</v>
      </c>
      <c r="H40" s="140"/>
    </row>
    <row r="41" spans="1:8" ht="22.5" customHeight="1" x14ac:dyDescent="0.2">
      <c r="A41" s="328" t="s">
        <v>148</v>
      </c>
      <c r="B41" s="158" t="s">
        <v>186</v>
      </c>
      <c r="C41" s="251">
        <f>Zones!G35</f>
        <v>600.05999999999995</v>
      </c>
      <c r="D41" s="329">
        <f>Zones!K35</f>
        <v>3.0002999999999997</v>
      </c>
      <c r="E41" s="158">
        <f>VLOOKUP(Zones!A35,'Water Heater'!$A$128:$E$141,5,FALSE)</f>
        <v>0.24</v>
      </c>
      <c r="F41" s="317">
        <f t="shared" si="0"/>
        <v>0.72007199999999993</v>
      </c>
      <c r="G41" s="318">
        <f t="shared" si="1"/>
        <v>1.2001199999999998E-2</v>
      </c>
      <c r="H41" s="140"/>
    </row>
    <row r="42" spans="1:8" ht="21" customHeight="1" x14ac:dyDescent="0.2">
      <c r="A42" s="328" t="s">
        <v>150</v>
      </c>
      <c r="B42" s="158" t="s">
        <v>186</v>
      </c>
      <c r="C42" s="251">
        <f>Zones!G36</f>
        <v>600.05999999999995</v>
      </c>
      <c r="D42" s="329">
        <f>Zones!K36</f>
        <v>3.0002999999999997</v>
      </c>
      <c r="E42" s="158">
        <f>VLOOKUP(Zones!A36,'Water Heater'!$A$128:$E$141,5,FALSE)</f>
        <v>0.24</v>
      </c>
      <c r="F42" s="317">
        <f t="shared" si="0"/>
        <v>0.72007199999999993</v>
      </c>
      <c r="G42" s="318">
        <f t="shared" si="1"/>
        <v>1.2001199999999998E-2</v>
      </c>
      <c r="H42" s="140"/>
    </row>
    <row r="43" spans="1:8" ht="21" customHeight="1" x14ac:dyDescent="0.2">
      <c r="A43" s="328" t="s">
        <v>151</v>
      </c>
      <c r="B43" s="158" t="s">
        <v>186</v>
      </c>
      <c r="C43" s="251">
        <f>Zones!G37</f>
        <v>600.05999999999995</v>
      </c>
      <c r="D43" s="329">
        <f>Zones!K37</f>
        <v>3.0002999999999997</v>
      </c>
      <c r="E43" s="158">
        <f>VLOOKUP(Zones!A37,'Water Heater'!$A$128:$E$141,5,FALSE)</f>
        <v>0.24</v>
      </c>
      <c r="F43" s="317">
        <f t="shared" si="0"/>
        <v>0.72007199999999993</v>
      </c>
      <c r="G43" s="318">
        <f t="shared" si="1"/>
        <v>1.2001199999999998E-2</v>
      </c>
      <c r="H43" s="140"/>
    </row>
    <row r="44" spans="1:8" ht="21" customHeight="1" x14ac:dyDescent="0.2">
      <c r="A44" s="328" t="s">
        <v>152</v>
      </c>
      <c r="B44" s="158" t="s">
        <v>186</v>
      </c>
      <c r="C44" s="251">
        <f>Zones!G38</f>
        <v>2400.23</v>
      </c>
      <c r="D44" s="329">
        <f>Zones!K38</f>
        <v>12.001149999999999</v>
      </c>
      <c r="E44" s="158">
        <f>VLOOKUP(Zones!A38,'Water Heater'!$A$128:$E$141,5,FALSE)</f>
        <v>0.24</v>
      </c>
      <c r="F44" s="317">
        <f t="shared" si="0"/>
        <v>2.8802759999999998</v>
      </c>
      <c r="G44" s="318">
        <f t="shared" si="1"/>
        <v>4.8004599999999994E-2</v>
      </c>
      <c r="H44" s="140"/>
    </row>
    <row r="45" spans="1:8" ht="21" customHeight="1" x14ac:dyDescent="0.2">
      <c r="A45" s="328" t="s">
        <v>153</v>
      </c>
      <c r="B45" s="158" t="s">
        <v>186</v>
      </c>
      <c r="C45" s="251">
        <f>Zones!G39</f>
        <v>10901.06</v>
      </c>
      <c r="D45" s="329">
        <f>Zones!K39</f>
        <v>54.505299999999998</v>
      </c>
      <c r="E45" s="158">
        <f>VLOOKUP(Zones!A39,'Water Heater'!$A$128:$E$141,5,FALSE)</f>
        <v>0.24</v>
      </c>
      <c r="F45" s="317">
        <f t="shared" si="0"/>
        <v>13.081271999999998</v>
      </c>
      <c r="G45" s="318">
        <f t="shared" si="1"/>
        <v>0.21802119999999997</v>
      </c>
      <c r="H45" s="140"/>
    </row>
    <row r="46" spans="1:8" ht="21" customHeight="1" x14ac:dyDescent="0.2">
      <c r="A46" s="328" t="s">
        <v>155</v>
      </c>
      <c r="B46" s="158" t="s">
        <v>186</v>
      </c>
      <c r="C46" s="251">
        <f>Zones!G40</f>
        <v>225.02</v>
      </c>
      <c r="D46" s="329">
        <f>Zones!K40</f>
        <v>1.1251000000000002</v>
      </c>
      <c r="E46" s="158">
        <f>VLOOKUP(Zones!A40,'Water Heater'!$A$128:$E$141,5,FALSE)</f>
        <v>0.24</v>
      </c>
      <c r="F46" s="317">
        <f t="shared" si="0"/>
        <v>0.27002400000000004</v>
      </c>
      <c r="G46" s="318">
        <f t="shared" si="1"/>
        <v>4.5004000000000008E-3</v>
      </c>
      <c r="H46" s="140"/>
    </row>
    <row r="47" spans="1:8" ht="21" customHeight="1" x14ac:dyDescent="0.2">
      <c r="A47" s="328" t="s">
        <v>158</v>
      </c>
      <c r="B47" s="158" t="s">
        <v>186</v>
      </c>
      <c r="C47" s="251">
        <f>Zones!G41</f>
        <v>225.02</v>
      </c>
      <c r="D47" s="329">
        <f>Zones!K41</f>
        <v>1.1251000000000002</v>
      </c>
      <c r="E47" s="158">
        <f>VLOOKUP(Zones!A41,'Water Heater'!$A$128:$E$141,5,FALSE)</f>
        <v>0.24</v>
      </c>
      <c r="F47" s="317">
        <f t="shared" si="0"/>
        <v>0.27002400000000004</v>
      </c>
      <c r="G47" s="318">
        <f t="shared" si="1"/>
        <v>4.5004000000000008E-3</v>
      </c>
      <c r="H47" s="140"/>
    </row>
    <row r="48" spans="1:8" ht="21" customHeight="1" x14ac:dyDescent="0.2">
      <c r="A48" s="328" t="s">
        <v>159</v>
      </c>
      <c r="B48" s="158" t="s">
        <v>186</v>
      </c>
      <c r="C48" s="251">
        <f>Zones!G42</f>
        <v>375.04</v>
      </c>
      <c r="D48" s="329">
        <f>Zones!K42</f>
        <v>1.8752</v>
      </c>
      <c r="E48" s="158">
        <f>VLOOKUP(Zones!A42,'Water Heater'!$A$128:$E$141,5,FALSE)</f>
        <v>0.24</v>
      </c>
      <c r="F48" s="317">
        <f t="shared" si="0"/>
        <v>0.450048</v>
      </c>
      <c r="G48" s="318">
        <f t="shared" si="1"/>
        <v>7.5008000000000002E-3</v>
      </c>
      <c r="H48" s="140"/>
    </row>
    <row r="49" spans="1:8" ht="21" customHeight="1" x14ac:dyDescent="0.2">
      <c r="A49" s="328" t="s">
        <v>160</v>
      </c>
      <c r="B49" s="158" t="s">
        <v>186</v>
      </c>
      <c r="C49" s="251">
        <f>Zones!G43</f>
        <v>375.04</v>
      </c>
      <c r="D49" s="329">
        <f>Zones!K43</f>
        <v>1.8752</v>
      </c>
      <c r="E49" s="158">
        <f>VLOOKUP(Zones!A43,'Water Heater'!$A$128:$E$141,5,FALSE)</f>
        <v>0.24</v>
      </c>
      <c r="F49" s="317">
        <f t="shared" si="0"/>
        <v>0.450048</v>
      </c>
      <c r="G49" s="318">
        <f t="shared" si="1"/>
        <v>7.5008000000000002E-3</v>
      </c>
      <c r="H49" s="140"/>
    </row>
    <row r="50" spans="1:8" ht="21" customHeight="1" x14ac:dyDescent="0.2">
      <c r="A50" s="328" t="s">
        <v>161</v>
      </c>
      <c r="B50" s="158" t="s">
        <v>186</v>
      </c>
      <c r="C50" s="251">
        <f>Zones!G44</f>
        <v>217.54</v>
      </c>
      <c r="D50" s="329">
        <f>Zones!K44</f>
        <v>1.0877000000000001</v>
      </c>
      <c r="E50" s="158">
        <f>VLOOKUP(Zones!A44,'Water Heater'!$A$128:$E$141,5,FALSE)</f>
        <v>0.24</v>
      </c>
      <c r="F50" s="317">
        <f t="shared" si="0"/>
        <v>0.261048</v>
      </c>
      <c r="G50" s="318">
        <f t="shared" si="1"/>
        <v>4.3508000000000002E-3</v>
      </c>
      <c r="H50" s="140"/>
    </row>
    <row r="51" spans="1:8" ht="21" customHeight="1" x14ac:dyDescent="0.2">
      <c r="A51" s="328" t="s">
        <v>162</v>
      </c>
      <c r="B51" s="158" t="s">
        <v>186</v>
      </c>
      <c r="C51" s="251">
        <f>Zones!G45</f>
        <v>217.54</v>
      </c>
      <c r="D51" s="329">
        <f>Zones!K45</f>
        <v>1.0877000000000001</v>
      </c>
      <c r="E51" s="158">
        <f>VLOOKUP(Zones!A45,'Water Heater'!$A$128:$E$141,5,FALSE)</f>
        <v>0.24</v>
      </c>
      <c r="F51" s="317">
        <f t="shared" si="0"/>
        <v>0.261048</v>
      </c>
      <c r="G51" s="318">
        <f t="shared" si="1"/>
        <v>4.3508000000000002E-3</v>
      </c>
      <c r="H51" s="140"/>
    </row>
    <row r="52" spans="1:8" ht="21" customHeight="1" x14ac:dyDescent="0.2">
      <c r="A52" s="328" t="s">
        <v>163</v>
      </c>
      <c r="B52" s="158" t="s">
        <v>186</v>
      </c>
      <c r="C52" s="251">
        <f>Zones!G46</f>
        <v>375.04</v>
      </c>
      <c r="D52" s="329">
        <f>Zones!K46</f>
        <v>1.8752</v>
      </c>
      <c r="E52" s="158">
        <f>VLOOKUP(Zones!A46,'Water Heater'!$A$128:$E$141,5,FALSE)</f>
        <v>0.24</v>
      </c>
      <c r="F52" s="317">
        <f t="shared" si="0"/>
        <v>0.450048</v>
      </c>
      <c r="G52" s="318">
        <f t="shared" si="1"/>
        <v>7.5008000000000002E-3</v>
      </c>
      <c r="H52" s="140"/>
    </row>
    <row r="53" spans="1:8" ht="21" customHeight="1" x14ac:dyDescent="0.2">
      <c r="A53" s="328" t="s">
        <v>164</v>
      </c>
      <c r="B53" s="158" t="s">
        <v>186</v>
      </c>
      <c r="C53" s="251">
        <f>Zones!G47</f>
        <v>375.04</v>
      </c>
      <c r="D53" s="329">
        <f>Zones!K47</f>
        <v>1.8752</v>
      </c>
      <c r="E53" s="158">
        <f>VLOOKUP(Zones!A47,'Water Heater'!$A$128:$E$141,5,FALSE)</f>
        <v>0.24</v>
      </c>
      <c r="F53" s="317">
        <f t="shared" si="0"/>
        <v>0.450048</v>
      </c>
      <c r="G53" s="318">
        <f t="shared" si="1"/>
        <v>7.5008000000000002E-3</v>
      </c>
      <c r="H53" s="140"/>
    </row>
    <row r="54" spans="1:8" ht="21" customHeight="1" x14ac:dyDescent="0.2">
      <c r="A54" s="328" t="s">
        <v>165</v>
      </c>
      <c r="B54" s="158" t="s">
        <v>186</v>
      </c>
      <c r="C54" s="251">
        <f>Zones!G48</f>
        <v>225.02</v>
      </c>
      <c r="D54" s="329">
        <f>Zones!K48</f>
        <v>1.1251000000000002</v>
      </c>
      <c r="E54" s="158">
        <f>VLOOKUP(Zones!A48,'Water Heater'!$A$128:$E$141,5,FALSE)</f>
        <v>0.24</v>
      </c>
      <c r="F54" s="317">
        <f t="shared" si="0"/>
        <v>0.27002400000000004</v>
      </c>
      <c r="G54" s="318">
        <f t="shared" si="1"/>
        <v>4.5004000000000008E-3</v>
      </c>
      <c r="H54" s="140"/>
    </row>
    <row r="55" spans="1:8" ht="21" customHeight="1" x14ac:dyDescent="0.2">
      <c r="A55" s="328" t="s">
        <v>166</v>
      </c>
      <c r="B55" s="158" t="s">
        <v>186</v>
      </c>
      <c r="C55" s="251">
        <f>Zones!G49</f>
        <v>225.02</v>
      </c>
      <c r="D55" s="329">
        <f>Zones!K49</f>
        <v>1.1251000000000002</v>
      </c>
      <c r="E55" s="158">
        <f>VLOOKUP(Zones!A49,'Water Heater'!$A$128:$E$141,5,FALSE)</f>
        <v>0.24</v>
      </c>
      <c r="F55" s="317">
        <f t="shared" si="0"/>
        <v>0.27002400000000004</v>
      </c>
      <c r="G55" s="318">
        <f t="shared" si="1"/>
        <v>4.5004000000000008E-3</v>
      </c>
      <c r="H55" s="140"/>
    </row>
    <row r="56" spans="1:8" ht="21" customHeight="1" x14ac:dyDescent="0.2">
      <c r="A56" s="328" t="s">
        <v>167</v>
      </c>
      <c r="B56" s="158" t="s">
        <v>186</v>
      </c>
      <c r="C56" s="251">
        <f>Zones!G50</f>
        <v>300.02999999999997</v>
      </c>
      <c r="D56" s="329">
        <f>Zones!K50</f>
        <v>1.5001499999999999</v>
      </c>
      <c r="E56" s="158">
        <f>VLOOKUP(Zones!A50,'Water Heater'!$A$128:$E$141,5,FALSE)</f>
        <v>0.24</v>
      </c>
      <c r="F56" s="317">
        <f t="shared" si="0"/>
        <v>0.36003599999999997</v>
      </c>
      <c r="G56" s="318">
        <f t="shared" si="1"/>
        <v>6.0005999999999992E-3</v>
      </c>
      <c r="H56" s="140"/>
    </row>
    <row r="57" spans="1:8" ht="19.899999999999999" customHeight="1" x14ac:dyDescent="0.2">
      <c r="A57" s="328" t="s">
        <v>168</v>
      </c>
      <c r="B57" s="158" t="s">
        <v>186</v>
      </c>
      <c r="C57" s="251">
        <f>Zones!G51</f>
        <v>300.02999999999997</v>
      </c>
      <c r="D57" s="329">
        <f>Zones!K51</f>
        <v>1.5001499999999999</v>
      </c>
      <c r="E57" s="158">
        <f>VLOOKUP(Zones!A51,'Water Heater'!$A$128:$E$141,5,FALSE)</f>
        <v>0.24</v>
      </c>
      <c r="F57" s="317">
        <f t="shared" si="0"/>
        <v>0.36003599999999997</v>
      </c>
      <c r="G57" s="318">
        <f t="shared" si="1"/>
        <v>6.0005999999999992E-3</v>
      </c>
      <c r="H57" s="93"/>
    </row>
    <row r="58" spans="1:8" ht="19.899999999999999" customHeight="1" x14ac:dyDescent="0.2">
      <c r="A58" s="328" t="s">
        <v>169</v>
      </c>
      <c r="B58" s="158" t="s">
        <v>186</v>
      </c>
      <c r="C58" s="251">
        <f>Zones!G52</f>
        <v>217.54</v>
      </c>
      <c r="D58" s="329">
        <f>Zones!K52</f>
        <v>1.0877000000000001</v>
      </c>
      <c r="E58" s="158">
        <f>VLOOKUP(Zones!A52,'Water Heater'!$A$128:$E$141,5,FALSE)</f>
        <v>0.24</v>
      </c>
      <c r="F58" s="317">
        <f t="shared" si="0"/>
        <v>0.261048</v>
      </c>
      <c r="G58" s="318">
        <f t="shared" si="1"/>
        <v>4.3508000000000002E-3</v>
      </c>
      <c r="H58" s="93"/>
    </row>
    <row r="59" spans="1:8" ht="19.899999999999999" customHeight="1" x14ac:dyDescent="0.2">
      <c r="A59" s="328" t="s">
        <v>170</v>
      </c>
      <c r="B59" s="158" t="s">
        <v>186</v>
      </c>
      <c r="C59" s="251">
        <f>Zones!G53</f>
        <v>217.54</v>
      </c>
      <c r="D59" s="329">
        <f>Zones!K53</f>
        <v>1.0877000000000001</v>
      </c>
      <c r="E59" s="158">
        <f>VLOOKUP(Zones!A53,'Water Heater'!$A$128:$E$141,5,FALSE)</f>
        <v>0.24</v>
      </c>
      <c r="F59" s="317">
        <f t="shared" si="0"/>
        <v>0.261048</v>
      </c>
      <c r="G59" s="318">
        <f t="shared" si="1"/>
        <v>4.3508000000000002E-3</v>
      </c>
      <c r="H59" s="93"/>
    </row>
    <row r="60" spans="1:8" ht="31.5" customHeight="1" x14ac:dyDescent="0.2">
      <c r="A60" s="328" t="s">
        <v>171</v>
      </c>
      <c r="B60" s="158" t="s">
        <v>186</v>
      </c>
      <c r="C60" s="251">
        <f>Zones!G54</f>
        <v>300.02999999999997</v>
      </c>
      <c r="D60" s="329">
        <f>Zones!K54</f>
        <v>1.5001499999999999</v>
      </c>
      <c r="E60" s="158">
        <f>VLOOKUP(Zones!A54,'Water Heater'!$A$128:$E$141,5,FALSE)</f>
        <v>0.24</v>
      </c>
      <c r="F60" s="317">
        <f t="shared" si="0"/>
        <v>0.36003599999999997</v>
      </c>
      <c r="G60" s="318">
        <f t="shared" si="1"/>
        <v>6.0005999999999992E-3</v>
      </c>
      <c r="H60" s="93"/>
    </row>
    <row r="61" spans="1:8" ht="19.899999999999999" customHeight="1" x14ac:dyDescent="0.2">
      <c r="A61" s="328" t="s">
        <v>172</v>
      </c>
      <c r="B61" s="158" t="s">
        <v>186</v>
      </c>
      <c r="C61" s="251">
        <f>Zones!G55</f>
        <v>300.02999999999997</v>
      </c>
      <c r="D61" s="329">
        <f>Zones!K55</f>
        <v>1.5001499999999999</v>
      </c>
      <c r="E61" s="158">
        <f>VLOOKUP(Zones!A55,'Water Heater'!$A$128:$E$141,5,FALSE)</f>
        <v>0.24</v>
      </c>
      <c r="F61" s="317">
        <f t="shared" si="0"/>
        <v>0.36003599999999997</v>
      </c>
      <c r="G61" s="318">
        <f t="shared" si="1"/>
        <v>6.0005999999999992E-3</v>
      </c>
      <c r="H61" s="93"/>
    </row>
    <row r="62" spans="1:8" ht="19.899999999999999" customHeight="1" x14ac:dyDescent="0.2">
      <c r="A62" s="328" t="s">
        <v>174</v>
      </c>
      <c r="B62" s="158" t="s">
        <v>186</v>
      </c>
      <c r="C62" s="251">
        <f>Zones!G56</f>
        <v>5250.51</v>
      </c>
      <c r="D62" s="329">
        <f>Zones!K56</f>
        <v>26.252550000000003</v>
      </c>
      <c r="E62" s="158">
        <f>VLOOKUP(Zones!A56,'Water Heater'!$A$128:$E$141,5,FALSE)</f>
        <v>0.24</v>
      </c>
      <c r="F62" s="317">
        <f t="shared" si="0"/>
        <v>6.3006120000000001</v>
      </c>
      <c r="G62" s="318">
        <f t="shared" si="1"/>
        <v>0.1050102</v>
      </c>
      <c r="H62" s="93"/>
    </row>
    <row r="63" spans="1:8" ht="19.899999999999999" customHeight="1" x14ac:dyDescent="0.2">
      <c r="A63" s="328" t="s">
        <v>176</v>
      </c>
      <c r="B63" s="158" t="s">
        <v>186</v>
      </c>
      <c r="C63" s="251">
        <f>Zones!G57</f>
        <v>5250.51</v>
      </c>
      <c r="D63" s="329">
        <f>Zones!K57</f>
        <v>26.252550000000003</v>
      </c>
      <c r="E63" s="158">
        <f>VLOOKUP(Zones!A57,'Water Heater'!$A$128:$E$141,5,FALSE)</f>
        <v>0.24</v>
      </c>
      <c r="F63" s="317">
        <f t="shared" si="0"/>
        <v>6.3006120000000001</v>
      </c>
      <c r="G63" s="318">
        <f t="shared" si="1"/>
        <v>0.1050102</v>
      </c>
      <c r="H63" s="93"/>
    </row>
    <row r="64" spans="1:8" ht="19.899999999999999" customHeight="1" x14ac:dyDescent="0.2">
      <c r="A64" s="158" t="s">
        <v>352</v>
      </c>
      <c r="B64" s="158"/>
      <c r="C64" s="251">
        <f>SUM(C9:C63)</f>
        <v>214116.18000000008</v>
      </c>
      <c r="D64" s="329">
        <f>SUM(D9:D63)</f>
        <v>1705.1352200000001</v>
      </c>
      <c r="E64" s="158"/>
      <c r="F64" s="331">
        <f>SUM(F9:F63)</f>
        <v>359.43257094000001</v>
      </c>
      <c r="G64" s="331">
        <f>SUM(G9:G63)</f>
        <v>5.9905428490000032</v>
      </c>
      <c r="H64" s="93"/>
    </row>
    <row r="65" spans="1:44" ht="19.899999999999999" customHeight="1" x14ac:dyDescent="0.2">
      <c r="H65" s="93"/>
      <c r="I65" s="93"/>
    </row>
    <row r="66" spans="1:44" ht="22.15" customHeight="1" x14ac:dyDescent="0.2">
      <c r="A66" s="94"/>
      <c r="C66" s="141"/>
      <c r="D66" s="141"/>
      <c r="E66" s="141"/>
      <c r="F66" s="142"/>
      <c r="G66" s="93"/>
      <c r="H66" s="93"/>
      <c r="I66" s="93"/>
    </row>
    <row r="67" spans="1:44" x14ac:dyDescent="0.2">
      <c r="A67" s="94"/>
      <c r="E67" s="95"/>
    </row>
    <row r="68" spans="1:44" ht="24.6" customHeight="1" x14ac:dyDescent="0.2">
      <c r="A68" s="684" t="s">
        <v>409</v>
      </c>
      <c r="B68" s="685"/>
      <c r="C68" s="685"/>
      <c r="D68" s="685"/>
      <c r="E68" s="685"/>
      <c r="F68" s="685"/>
      <c r="G68" s="685"/>
      <c r="H68" s="685"/>
      <c r="I68" s="685"/>
      <c r="J68" s="686"/>
    </row>
    <row r="69" spans="1:44" ht="51" x14ac:dyDescent="0.2">
      <c r="A69" s="232" t="s">
        <v>397</v>
      </c>
      <c r="B69" s="558" t="s">
        <v>407</v>
      </c>
      <c r="C69" s="558" t="s">
        <v>410</v>
      </c>
      <c r="D69" s="558" t="s">
        <v>411</v>
      </c>
      <c r="E69" s="558" t="s">
        <v>412</v>
      </c>
      <c r="F69" s="253" t="s">
        <v>413</v>
      </c>
      <c r="G69" s="687" t="s">
        <v>414</v>
      </c>
      <c r="H69" s="688"/>
      <c r="I69" s="138" t="s">
        <v>415</v>
      </c>
      <c r="J69" s="233" t="s">
        <v>41</v>
      </c>
    </row>
    <row r="70" spans="1:44" ht="18" customHeight="1" x14ac:dyDescent="0.2">
      <c r="A70" s="234" t="s">
        <v>416</v>
      </c>
      <c r="B70" s="97">
        <f>SUMIF($B$9:$B$63, "*Gas*",$F$9:$F$63)</f>
        <v>359.43257094000001</v>
      </c>
      <c r="C70" s="97">
        <f>B70*(135-55)*8.2877*1</f>
        <v>238309.54545435501</v>
      </c>
      <c r="D70" s="97">
        <f>C70*0.6</f>
        <v>142985.727272613</v>
      </c>
      <c r="E70" s="252">
        <f>D70/0.8</f>
        <v>178732.15909076625</v>
      </c>
      <c r="F70" s="251">
        <f>(B70*F72)/B72</f>
        <v>143.77302837600001</v>
      </c>
      <c r="G70" s="309">
        <f>(E70/800)+110*SQRT(F70)</f>
        <v>1542.3745020072661</v>
      </c>
      <c r="H70" s="310" t="s">
        <v>417</v>
      </c>
      <c r="I70" s="153">
        <f>G70/B82</f>
        <v>23.020514955332331</v>
      </c>
      <c r="J70" s="681" t="s">
        <v>418</v>
      </c>
    </row>
    <row r="71" spans="1:44" ht="18" customHeight="1" x14ac:dyDescent="0.2">
      <c r="A71" s="234" t="s">
        <v>419</v>
      </c>
      <c r="B71" s="97">
        <f>SUMIF($B$9:$B$63, "*Electric*",$F$9:$F$63)</f>
        <v>0</v>
      </c>
      <c r="C71" s="97">
        <f>B71*(135-55)*8.2877*1</f>
        <v>0</v>
      </c>
      <c r="D71" s="97">
        <f>C71*0.6</f>
        <v>0</v>
      </c>
      <c r="E71" s="252">
        <f>D71/1</f>
        <v>0</v>
      </c>
      <c r="F71" s="251">
        <f>(B71*F72)/B72</f>
        <v>0</v>
      </c>
      <c r="G71" s="309"/>
      <c r="H71" s="310" t="s">
        <v>420</v>
      </c>
      <c r="I71" s="152">
        <f>0.0834*G71*F71</f>
        <v>0</v>
      </c>
      <c r="J71" s="682"/>
    </row>
    <row r="72" spans="1:44" ht="18" customHeight="1" x14ac:dyDescent="0.2">
      <c r="A72" s="235" t="s">
        <v>352</v>
      </c>
      <c r="B72" s="236">
        <f>B70+B71</f>
        <v>359.43257094000001</v>
      </c>
      <c r="C72" s="236">
        <f>B72*(135-55)*8.2877*1</f>
        <v>238309.54545435501</v>
      </c>
      <c r="D72" s="237">
        <f>C70*0.6</f>
        <v>142985.727272613</v>
      </c>
      <c r="E72" s="238">
        <f>D72/0.8</f>
        <v>178732.15909076625</v>
      </c>
      <c r="F72" s="254">
        <f>B72*1*0.4</f>
        <v>143.77302837600001</v>
      </c>
      <c r="G72" s="311"/>
      <c r="H72" s="312"/>
      <c r="I72" s="239"/>
      <c r="J72" s="683"/>
    </row>
    <row r="73" spans="1:44" x14ac:dyDescent="0.2">
      <c r="A73" s="94"/>
      <c r="E73" s="95"/>
    </row>
    <row r="74" spans="1:44" s="6" customFormat="1" x14ac:dyDescent="0.2">
      <c r="A74" s="528" t="s">
        <v>421</v>
      </c>
      <c r="B74" s="49">
        <v>135</v>
      </c>
      <c r="C74" s="528" t="s">
        <v>422</v>
      </c>
      <c r="D74" s="528"/>
      <c r="E74" s="528"/>
      <c r="F74" s="143" t="s">
        <v>423</v>
      </c>
      <c r="G74" s="313">
        <f>(E72/800)+110*SQRT(F72)</f>
        <v>1542.3745020072661</v>
      </c>
      <c r="H74" s="314" t="s">
        <v>417</v>
      </c>
      <c r="I74" s="152">
        <f>G74/B82</f>
        <v>23.020514955332331</v>
      </c>
    </row>
    <row r="75" spans="1:44" s="6" customFormat="1" x14ac:dyDescent="0.2">
      <c r="A75" s="528" t="s">
        <v>424</v>
      </c>
      <c r="B75" s="49">
        <v>55</v>
      </c>
      <c r="C75" s="528" t="s">
        <v>425</v>
      </c>
      <c r="D75" s="528"/>
      <c r="E75" s="528"/>
      <c r="F75" s="528"/>
      <c r="G75" s="528"/>
      <c r="H75" s="528"/>
      <c r="I75" s="528"/>
    </row>
    <row r="76" spans="1:44" s="6" customFormat="1" ht="15" x14ac:dyDescent="0.25">
      <c r="A76" s="144" t="s">
        <v>426</v>
      </c>
      <c r="B76" s="49">
        <v>0.6</v>
      </c>
      <c r="C76" s="528" t="s">
        <v>425</v>
      </c>
      <c r="D76" s="528"/>
      <c r="E76" s="528"/>
      <c r="F76" s="528"/>
      <c r="G76" s="528"/>
      <c r="H76" s="528"/>
      <c r="I76" s="528"/>
    </row>
    <row r="77" spans="1:44" s="6" customFormat="1" x14ac:dyDescent="0.2">
      <c r="A77" s="528" t="s">
        <v>427</v>
      </c>
      <c r="B77" s="49">
        <v>0.4</v>
      </c>
      <c r="C77" s="528"/>
      <c r="D77" s="528"/>
      <c r="E77" s="528"/>
      <c r="F77" s="528"/>
      <c r="G77" s="528"/>
      <c r="H77" s="528"/>
      <c r="I77" s="528"/>
    </row>
    <row r="78" spans="1:44" s="6" customFormat="1" ht="24" customHeight="1" x14ac:dyDescent="0.2">
      <c r="A78" s="680" t="s">
        <v>428</v>
      </c>
      <c r="B78" s="680"/>
      <c r="C78" s="680"/>
      <c r="D78" s="680"/>
      <c r="E78" s="680"/>
      <c r="F78" s="680"/>
      <c r="G78" s="680"/>
      <c r="H78" s="680"/>
      <c r="I78" s="680"/>
    </row>
    <row r="79" spans="1:44" s="6" customFormat="1" ht="15.6" customHeight="1" x14ac:dyDescent="0.2">
      <c r="A79" s="548"/>
      <c r="B79" s="548"/>
      <c r="C79" s="548"/>
      <c r="D79" s="548"/>
      <c r="E79" s="548"/>
      <c r="F79" s="548"/>
      <c r="G79" s="548"/>
      <c r="H79" s="548"/>
      <c r="I79" s="548"/>
    </row>
    <row r="80" spans="1:44" s="6" customFormat="1" ht="15.6" customHeight="1" x14ac:dyDescent="0.25">
      <c r="A80" s="144" t="s">
        <v>429</v>
      </c>
      <c r="B80" s="528"/>
      <c r="C80" s="528"/>
      <c r="D80" s="528"/>
      <c r="E80" s="534"/>
      <c r="F80" s="528"/>
      <c r="G80" s="528"/>
      <c r="H80" s="528"/>
      <c r="I80" s="528"/>
      <c r="J80" s="528"/>
      <c r="K80" s="528"/>
      <c r="L80" s="528"/>
      <c r="M80" s="528"/>
      <c r="N80" s="528"/>
      <c r="O80" s="528"/>
      <c r="P80" s="528"/>
      <c r="Q80" s="528"/>
      <c r="R80" s="528"/>
      <c r="S80" s="528"/>
      <c r="T80" s="528"/>
      <c r="U80" s="528"/>
      <c r="V80" s="528"/>
      <c r="W80" s="528"/>
      <c r="X80" s="578"/>
      <c r="Y80" s="578"/>
      <c r="Z80" s="578"/>
      <c r="AA80" s="578"/>
      <c r="AB80" s="578"/>
      <c r="AC80" s="578"/>
      <c r="AD80" s="578"/>
      <c r="AE80" s="578"/>
      <c r="AF80" s="578"/>
      <c r="AG80" s="578"/>
      <c r="AH80" s="578"/>
      <c r="AI80" s="578"/>
      <c r="AJ80" s="578"/>
      <c r="AK80" s="578"/>
      <c r="AL80" s="578"/>
      <c r="AM80" s="578"/>
      <c r="AN80" s="578"/>
      <c r="AO80" s="578"/>
      <c r="AP80" s="578"/>
      <c r="AQ80" s="578"/>
      <c r="AR80" s="528"/>
    </row>
    <row r="81" spans="1:44" s="6" customFormat="1" ht="15.6" customHeight="1" x14ac:dyDescent="0.25">
      <c r="A81" s="144" t="s">
        <v>430</v>
      </c>
      <c r="B81" s="528">
        <v>68</v>
      </c>
      <c r="C81" s="528"/>
      <c r="D81" s="528"/>
      <c r="E81" s="528"/>
      <c r="F81" s="528"/>
      <c r="G81" s="528"/>
      <c r="H81" s="528"/>
      <c r="I81" s="528"/>
      <c r="J81" s="528"/>
      <c r="K81" s="528"/>
      <c r="L81" s="528"/>
      <c r="M81" s="528"/>
      <c r="N81" s="528"/>
      <c r="O81" s="528"/>
      <c r="P81" s="528"/>
      <c r="Q81" s="528"/>
      <c r="R81" s="528"/>
      <c r="S81" s="528"/>
      <c r="T81" s="528"/>
      <c r="U81" s="528"/>
      <c r="V81" s="528"/>
      <c r="W81" s="528"/>
      <c r="X81" s="578"/>
      <c r="Y81" s="578"/>
      <c r="Z81" s="578"/>
      <c r="AA81" s="578"/>
      <c r="AB81" s="578"/>
      <c r="AC81" s="578"/>
      <c r="AD81" s="578"/>
      <c r="AE81" s="578"/>
      <c r="AF81" s="578"/>
      <c r="AG81" s="578"/>
      <c r="AH81" s="578"/>
      <c r="AI81" s="578"/>
      <c r="AJ81" s="578"/>
      <c r="AK81" s="578"/>
      <c r="AL81" s="578"/>
      <c r="AM81" s="578"/>
      <c r="AN81" s="578"/>
      <c r="AO81" s="578"/>
      <c r="AP81" s="578"/>
      <c r="AQ81" s="578"/>
      <c r="AR81" s="528"/>
    </row>
    <row r="82" spans="1:44" s="6" customFormat="1" ht="13.15" customHeight="1" x14ac:dyDescent="0.25">
      <c r="A82" s="144" t="s">
        <v>431</v>
      </c>
      <c r="B82" s="528">
        <f>B74-B81</f>
        <v>67</v>
      </c>
      <c r="C82" s="528"/>
      <c r="D82" s="528"/>
      <c r="E82" s="528"/>
      <c r="F82" s="528"/>
      <c r="G82" s="528"/>
      <c r="H82" s="528"/>
      <c r="I82" s="528"/>
      <c r="J82" s="528"/>
      <c r="K82" s="528"/>
      <c r="L82" s="528"/>
      <c r="M82" s="528"/>
      <c r="N82" s="528"/>
      <c r="O82" s="528"/>
      <c r="P82" s="528"/>
      <c r="Q82" s="528"/>
      <c r="R82" s="528"/>
      <c r="S82" s="528"/>
      <c r="T82" s="528"/>
      <c r="U82" s="528"/>
      <c r="V82" s="528"/>
      <c r="W82" s="528"/>
      <c r="X82" s="578"/>
      <c r="Y82" s="578"/>
      <c r="Z82" s="578"/>
      <c r="AA82" s="578"/>
      <c r="AB82" s="578"/>
      <c r="AC82" s="578"/>
      <c r="AD82" s="578"/>
      <c r="AE82" s="578"/>
      <c r="AF82" s="578"/>
      <c r="AG82" s="578"/>
      <c r="AH82" s="578"/>
      <c r="AI82" s="578"/>
      <c r="AJ82" s="578"/>
      <c r="AK82" s="578"/>
      <c r="AL82" s="578"/>
      <c r="AM82" s="578"/>
      <c r="AN82" s="578"/>
      <c r="AO82" s="578"/>
      <c r="AP82" s="578"/>
      <c r="AQ82" s="578"/>
      <c r="AR82" s="528"/>
    </row>
    <row r="83" spans="1:44" ht="15" x14ac:dyDescent="0.25">
      <c r="A83" s="144" t="s">
        <v>432</v>
      </c>
      <c r="B83" s="528"/>
      <c r="C83" s="528"/>
      <c r="D83" s="528"/>
      <c r="E83" s="528"/>
      <c r="F83" s="528"/>
      <c r="G83" s="528"/>
      <c r="H83" s="528"/>
      <c r="I83" s="528"/>
      <c r="J83" s="528"/>
      <c r="K83" s="528"/>
      <c r="L83" s="528"/>
      <c r="M83" s="528"/>
      <c r="N83" s="528"/>
      <c r="O83" s="528"/>
      <c r="P83" s="528"/>
      <c r="Q83" s="528"/>
      <c r="R83" s="528"/>
      <c r="S83" s="528"/>
      <c r="T83" s="528"/>
      <c r="U83" s="528"/>
      <c r="V83" s="528"/>
      <c r="W83" s="528"/>
      <c r="X83" s="578"/>
      <c r="Y83" s="578"/>
      <c r="Z83" s="578"/>
      <c r="AA83" s="578"/>
      <c r="AB83" s="578"/>
      <c r="AC83" s="578"/>
      <c r="AD83" s="578"/>
      <c r="AE83" s="578"/>
      <c r="AF83" s="578"/>
      <c r="AG83" s="578"/>
      <c r="AH83" s="578"/>
      <c r="AI83" s="578"/>
      <c r="AJ83" s="578"/>
      <c r="AK83" s="578"/>
      <c r="AL83" s="578"/>
      <c r="AM83" s="578"/>
      <c r="AN83" s="578"/>
      <c r="AO83" s="578"/>
      <c r="AP83" s="578"/>
      <c r="AQ83" s="578"/>
      <c r="AR83" s="528"/>
    </row>
    <row r="84" spans="1:44" ht="15" x14ac:dyDescent="0.2">
      <c r="A84" s="101"/>
    </row>
    <row r="85" spans="1:44" ht="15" x14ac:dyDescent="0.2">
      <c r="A85" s="101"/>
    </row>
    <row r="86" spans="1:44" ht="15" x14ac:dyDescent="0.2">
      <c r="A86" s="101"/>
    </row>
    <row r="87" spans="1:44" ht="15" x14ac:dyDescent="0.2">
      <c r="A87" s="101"/>
    </row>
    <row r="88" spans="1:44" ht="15" x14ac:dyDescent="0.2">
      <c r="A88" s="101"/>
    </row>
    <row r="89" spans="1:44" s="126" customFormat="1" x14ac:dyDescent="0.25">
      <c r="A89" s="126" t="s">
        <v>184</v>
      </c>
    </row>
    <row r="90" spans="1:44" ht="15" x14ac:dyDescent="0.2">
      <c r="A90" s="101"/>
    </row>
    <row r="91" spans="1:44" ht="15" x14ac:dyDescent="0.2">
      <c r="A91" s="100"/>
    </row>
    <row r="92" spans="1:44" ht="15" x14ac:dyDescent="0.2">
      <c r="A92" s="101"/>
    </row>
    <row r="93" spans="1:44" ht="15" x14ac:dyDescent="0.2">
      <c r="A93" s="100"/>
    </row>
    <row r="94" spans="1:44" ht="15" x14ac:dyDescent="0.2">
      <c r="A94" s="99"/>
    </row>
    <row r="95" spans="1:44" ht="15" x14ac:dyDescent="0.2">
      <c r="A95" s="100"/>
    </row>
    <row r="96" spans="1:44" ht="15" x14ac:dyDescent="0.2">
      <c r="A96" s="99"/>
    </row>
    <row r="97" spans="1:1" ht="15" x14ac:dyDescent="0.2">
      <c r="A97" s="99"/>
    </row>
    <row r="98" spans="1:1" ht="15" x14ac:dyDescent="0.2">
      <c r="A98" s="101"/>
    </row>
    <row r="99" spans="1:1" ht="15" x14ac:dyDescent="0.2">
      <c r="A99" s="101"/>
    </row>
    <row r="100" spans="1:1" ht="15" x14ac:dyDescent="0.2">
      <c r="A100" s="101"/>
    </row>
    <row r="101" spans="1:1" ht="15" x14ac:dyDescent="0.2">
      <c r="A101" s="101"/>
    </row>
    <row r="102" spans="1:1" ht="15" x14ac:dyDescent="0.2">
      <c r="A102" s="101"/>
    </row>
    <row r="103" spans="1:1" ht="15" x14ac:dyDescent="0.2">
      <c r="A103" s="101"/>
    </row>
    <row r="104" spans="1:1" ht="15" x14ac:dyDescent="0.2">
      <c r="A104" s="99"/>
    </row>
    <row r="105" spans="1:1" ht="15" x14ac:dyDescent="0.2">
      <c r="A105" s="100"/>
    </row>
    <row r="106" spans="1:1" ht="15" x14ac:dyDescent="0.2">
      <c r="A106" s="99"/>
    </row>
    <row r="107" spans="1:1" ht="15" x14ac:dyDescent="0.2">
      <c r="A107" s="99"/>
    </row>
    <row r="108" spans="1:1" ht="15" x14ac:dyDescent="0.2">
      <c r="A108" s="101"/>
    </row>
    <row r="109" spans="1:1" ht="15" x14ac:dyDescent="0.2">
      <c r="A109" s="101"/>
    </row>
    <row r="110" spans="1:1" ht="15" x14ac:dyDescent="0.2">
      <c r="A110" s="99"/>
    </row>
    <row r="111" spans="1:1" ht="15" x14ac:dyDescent="0.2">
      <c r="A111" s="100"/>
    </row>
    <row r="112" spans="1:1" ht="15" x14ac:dyDescent="0.2">
      <c r="A112" s="99"/>
    </row>
    <row r="113" spans="1:7" ht="15" x14ac:dyDescent="0.2">
      <c r="A113" s="99"/>
    </row>
    <row r="114" spans="1:7" ht="15" x14ac:dyDescent="0.2">
      <c r="A114" s="101"/>
    </row>
    <row r="115" spans="1:7" ht="15" x14ac:dyDescent="0.2">
      <c r="A115" s="101"/>
    </row>
    <row r="116" spans="1:7" ht="15" x14ac:dyDescent="0.2">
      <c r="A116" s="101"/>
    </row>
    <row r="117" spans="1:7" ht="15" x14ac:dyDescent="0.2">
      <c r="A117" s="101"/>
    </row>
    <row r="118" spans="1:7" ht="15" x14ac:dyDescent="0.2">
      <c r="A118" s="101"/>
    </row>
    <row r="119" spans="1:7" ht="15" x14ac:dyDescent="0.2">
      <c r="A119" s="101"/>
    </row>
    <row r="120" spans="1:7" ht="15" x14ac:dyDescent="0.2">
      <c r="A120" s="101"/>
    </row>
    <row r="121" spans="1:7" ht="15" x14ac:dyDescent="0.2">
      <c r="A121" s="101"/>
    </row>
    <row r="122" spans="1:7" ht="15" x14ac:dyDescent="0.2">
      <c r="A122" s="99"/>
    </row>
    <row r="123" spans="1:7" ht="15" x14ac:dyDescent="0.2">
      <c r="A123" s="100"/>
    </row>
    <row r="124" spans="1:7" ht="15" x14ac:dyDescent="0.2">
      <c r="A124" s="99"/>
    </row>
    <row r="125" spans="1:7" ht="15" x14ac:dyDescent="0.2">
      <c r="A125" s="99"/>
    </row>
    <row r="126" spans="1:7" ht="15.75" x14ac:dyDescent="0.2">
      <c r="A126" s="644" t="s">
        <v>403</v>
      </c>
      <c r="B126" s="644"/>
      <c r="C126" s="644"/>
      <c r="D126" s="644"/>
      <c r="E126" s="644"/>
      <c r="F126" s="644"/>
      <c r="G126" s="644"/>
    </row>
    <row r="127" spans="1:7" ht="76.5" x14ac:dyDescent="0.2">
      <c r="A127" s="184" t="s">
        <v>77</v>
      </c>
      <c r="B127" s="184" t="s">
        <v>433</v>
      </c>
      <c r="C127" s="184" t="s">
        <v>86</v>
      </c>
      <c r="D127" s="184" t="s">
        <v>87</v>
      </c>
      <c r="E127" s="184" t="s">
        <v>406</v>
      </c>
      <c r="F127" s="184" t="s">
        <v>407</v>
      </c>
      <c r="G127" s="184" t="s">
        <v>408</v>
      </c>
    </row>
    <row r="128" spans="1:7" x14ac:dyDescent="0.2">
      <c r="A128" s="201" t="str">
        <f>Ventilation!O5</f>
        <v>Office Area (&gt;250 square feet)</v>
      </c>
      <c r="B128" s="187" t="s">
        <v>434</v>
      </c>
      <c r="C128" s="240">
        <f>Ventilation!P5</f>
        <v>45504.619999999995</v>
      </c>
      <c r="D128" s="241">
        <f>Ventilation!R5</f>
        <v>227.52309999999997</v>
      </c>
      <c r="E128" s="242">
        <v>0.18</v>
      </c>
      <c r="F128" s="317">
        <f>E128*D128</f>
        <v>40.954157999999993</v>
      </c>
      <c r="G128" s="318">
        <f>F128/60</f>
        <v>0.68256929999999982</v>
      </c>
    </row>
    <row r="129" spans="1:7" x14ac:dyDescent="0.2">
      <c r="A129" s="201" t="str">
        <f>Ventilation!O6</f>
        <v>Corridor Area</v>
      </c>
      <c r="B129" s="187" t="s">
        <v>434</v>
      </c>
      <c r="C129" s="240">
        <f>Ventilation!P6</f>
        <v>42054.13</v>
      </c>
      <c r="D129" s="241">
        <f>Ventilation!R6</f>
        <v>210.27064999999999</v>
      </c>
      <c r="E129" s="241">
        <v>0</v>
      </c>
      <c r="F129" s="317">
        <f t="shared" ref="F129:F139" si="2">E129*D129</f>
        <v>0</v>
      </c>
      <c r="G129" s="318">
        <f t="shared" ref="G129:G140" si="3">F129/60</f>
        <v>0</v>
      </c>
    </row>
    <row r="130" spans="1:7" x14ac:dyDescent="0.2">
      <c r="A130" s="201" t="str">
        <f>Ventilation!O7</f>
        <v>Dining Area (Cafeteria/Fast Food)</v>
      </c>
      <c r="B130" s="187" t="s">
        <v>186</v>
      </c>
      <c r="C130" s="240">
        <f>Ventilation!P7</f>
        <v>7500.73</v>
      </c>
      <c r="D130" s="241">
        <f>Ventilation!R7</f>
        <v>247.52409</v>
      </c>
      <c r="E130" s="243">
        <v>0.57799999999999996</v>
      </c>
      <c r="F130" s="317">
        <f t="shared" si="2"/>
        <v>143.06892402</v>
      </c>
      <c r="G130" s="318">
        <f t="shared" si="3"/>
        <v>2.384482067</v>
      </c>
    </row>
    <row r="131" spans="1:7" ht="25.5" x14ac:dyDescent="0.2">
      <c r="A131" s="201" t="str">
        <f>Ventilation!O8</f>
        <v>Healthcare Facility and Hospitals (Exam/Treatment Room)</v>
      </c>
      <c r="B131" s="187" t="s">
        <v>434</v>
      </c>
      <c r="C131" s="240">
        <f>Ventilation!P8</f>
        <v>4200.4199999999992</v>
      </c>
      <c r="D131" s="241">
        <f>Ventilation!R8</f>
        <v>21.002099999999999</v>
      </c>
      <c r="E131" s="243">
        <v>0.24</v>
      </c>
      <c r="F131" s="317">
        <f t="shared" si="2"/>
        <v>5.0405039999999994</v>
      </c>
      <c r="G131" s="318">
        <f t="shared" si="3"/>
        <v>8.4008399999999997E-2</v>
      </c>
    </row>
    <row r="132" spans="1:7" x14ac:dyDescent="0.2">
      <c r="A132" s="201" t="str">
        <f>Ventilation!O9</f>
        <v>Healthcare Facility and Hospitals (Nurse's Station)</v>
      </c>
      <c r="B132" s="187" t="s">
        <v>186</v>
      </c>
      <c r="C132" s="240">
        <f>Ventilation!P9</f>
        <v>62104.61</v>
      </c>
      <c r="D132" s="241">
        <f>Ventilation!R9</f>
        <v>310.52305000000001</v>
      </c>
      <c r="E132" s="243">
        <v>0.24</v>
      </c>
      <c r="F132" s="317">
        <f>E132*D132</f>
        <v>74.525531999999998</v>
      </c>
      <c r="G132" s="318">
        <f t="shared" si="3"/>
        <v>1.2420921999999999</v>
      </c>
    </row>
    <row r="133" spans="1:7" x14ac:dyDescent="0.2">
      <c r="A133" s="201" t="str">
        <f>Ventilation!O10</f>
        <v>Healthcare Facility and Hospitals (Recovery Room)</v>
      </c>
      <c r="B133" s="187" t="s">
        <v>186</v>
      </c>
      <c r="C133" s="240">
        <f>Ventilation!P10</f>
        <v>9427.61</v>
      </c>
      <c r="D133" s="241">
        <f>Ventilation!R10</f>
        <v>47.138050000000007</v>
      </c>
      <c r="E133" s="243">
        <v>0.24</v>
      </c>
      <c r="F133" s="317">
        <f t="shared" si="2"/>
        <v>11.313132000000001</v>
      </c>
      <c r="G133" s="318">
        <f t="shared" si="3"/>
        <v>0.18855220000000003</v>
      </c>
    </row>
    <row r="134" spans="1:7" x14ac:dyDescent="0.2">
      <c r="A134" s="201" t="str">
        <f>Ventilation!O11</f>
        <v>Laboratory, Scientific</v>
      </c>
      <c r="B134" s="187" t="s">
        <v>186</v>
      </c>
      <c r="C134" s="240">
        <f>Ventilation!P11</f>
        <v>0</v>
      </c>
      <c r="D134" s="241">
        <f>Ventilation!R11</f>
        <v>0</v>
      </c>
      <c r="E134" s="243">
        <v>0.18</v>
      </c>
      <c r="F134" s="317">
        <f t="shared" si="2"/>
        <v>0</v>
      </c>
      <c r="G134" s="318">
        <f t="shared" si="3"/>
        <v>0</v>
      </c>
    </row>
    <row r="135" spans="1:7" x14ac:dyDescent="0.2">
      <c r="A135" s="201" t="str">
        <f>Ventilation!O12</f>
        <v>Healthcare Facility and Hospitals (Operating Room)</v>
      </c>
      <c r="B135" s="187" t="s">
        <v>186</v>
      </c>
      <c r="C135" s="240">
        <f>Ventilation!P12</f>
        <v>6600.65</v>
      </c>
      <c r="D135" s="241">
        <f>Ventilation!R12</f>
        <v>33.003250000000001</v>
      </c>
      <c r="E135" s="243">
        <v>0.24</v>
      </c>
      <c r="F135" s="317">
        <f t="shared" si="2"/>
        <v>7.9207799999999997</v>
      </c>
      <c r="G135" s="318">
        <f t="shared" si="3"/>
        <v>0.13201299999999999</v>
      </c>
    </row>
    <row r="136" spans="1:7" ht="25.5" x14ac:dyDescent="0.2">
      <c r="A136" s="201" t="str">
        <f>Ventilation!O13</f>
        <v>Healthcare Facility and Hospitals (Physical Therapy Room)</v>
      </c>
      <c r="B136" s="187" t="s">
        <v>434</v>
      </c>
      <c r="C136" s="240">
        <f>Ventilation!P13</f>
        <v>5250.51</v>
      </c>
      <c r="D136" s="241">
        <f>Ventilation!R13</f>
        <v>26.252549999999999</v>
      </c>
      <c r="E136" s="243">
        <v>0.24</v>
      </c>
      <c r="F136" s="317">
        <f t="shared" si="2"/>
        <v>6.3006119999999992</v>
      </c>
      <c r="G136" s="318">
        <f t="shared" si="3"/>
        <v>0.10501019999999998</v>
      </c>
    </row>
    <row r="137" spans="1:7" x14ac:dyDescent="0.2">
      <c r="A137" s="201" t="str">
        <f>Ventilation!O14</f>
        <v>Healthcare Facility and Hospitals (Imaging Room)</v>
      </c>
      <c r="B137" s="187" t="s">
        <v>186</v>
      </c>
      <c r="C137" s="240">
        <f>Ventilation!P14</f>
        <v>5250.51</v>
      </c>
      <c r="D137" s="241">
        <f>Ventilation!R14</f>
        <v>26.252549999999999</v>
      </c>
      <c r="E137" s="243">
        <v>0.24</v>
      </c>
      <c r="F137" s="317">
        <f t="shared" si="2"/>
        <v>6.3006119999999992</v>
      </c>
      <c r="G137" s="318">
        <f t="shared" si="3"/>
        <v>0.10501019999999998</v>
      </c>
    </row>
    <row r="138" spans="1:7" x14ac:dyDescent="0.2">
      <c r="A138" s="201" t="str">
        <f>Ventilation!O15</f>
        <v>Healthcare Facility and Hospitals (Patient Room)</v>
      </c>
      <c r="B138" s="187" t="s">
        <v>186</v>
      </c>
      <c r="C138" s="240">
        <f>Ventilation!P15</f>
        <v>20402.680000000004</v>
      </c>
      <c r="D138" s="241">
        <f>Ventilation!R15</f>
        <v>102.01340000000002</v>
      </c>
      <c r="E138" s="243">
        <v>0.24</v>
      </c>
      <c r="F138" s="317">
        <f t="shared" si="2"/>
        <v>24.483216000000002</v>
      </c>
      <c r="G138" s="318">
        <f t="shared" si="3"/>
        <v>0.40805360000000002</v>
      </c>
    </row>
    <row r="139" spans="1:7" x14ac:dyDescent="0.2">
      <c r="A139" s="201" t="str">
        <f>Ventilation!O16</f>
        <v>Lobby, Main Entry</v>
      </c>
      <c r="B139" s="187" t="s">
        <v>434</v>
      </c>
      <c r="C139" s="240">
        <f>Ventilation!P16</f>
        <v>15876.28</v>
      </c>
      <c r="D139" s="241">
        <f>Ventilation!R16</f>
        <v>523.91723999999999</v>
      </c>
      <c r="E139" s="243">
        <v>0.09</v>
      </c>
      <c r="F139" s="317">
        <f t="shared" si="2"/>
        <v>47.152551599999995</v>
      </c>
      <c r="G139" s="318">
        <f t="shared" si="3"/>
        <v>0.78587585999999987</v>
      </c>
    </row>
    <row r="140" spans="1:7" x14ac:dyDescent="0.2">
      <c r="A140" s="201" t="str">
        <f>Ventilation!O17</f>
        <v>Kitchen/Food Preparation Area</v>
      </c>
      <c r="B140" s="187" t="s">
        <v>186</v>
      </c>
      <c r="C140" s="240">
        <f>Ventilation!P17</f>
        <v>10000.98</v>
      </c>
      <c r="D140" s="241">
        <f>Ventilation!R17</f>
        <v>30.002940000000002</v>
      </c>
      <c r="E140" s="243">
        <v>0.57799999999999996</v>
      </c>
      <c r="F140" s="317">
        <f>E140*D140</f>
        <v>17.34169932</v>
      </c>
      <c r="G140" s="318">
        <f t="shared" si="3"/>
        <v>0.289028322</v>
      </c>
    </row>
    <row r="141" spans="1:7" ht="38.25" customHeight="1" x14ac:dyDescent="0.2">
      <c r="A141" s="208" t="s">
        <v>352</v>
      </c>
      <c r="B141" s="187"/>
      <c r="C141" s="319">
        <f>SUM(C128:C140)</f>
        <v>234173.73</v>
      </c>
      <c r="D141" s="319">
        <f>SUM(D128:D140)</f>
        <v>1805.4229699999999</v>
      </c>
      <c r="E141" s="319"/>
      <c r="F141" s="244">
        <f>SUM(F128:F140)</f>
        <v>384.40172093999996</v>
      </c>
      <c r="G141" s="318">
        <f>F141/60</f>
        <v>6.4066953489999996</v>
      </c>
    </row>
  </sheetData>
  <mergeCells count="48">
    <mergeCell ref="E2:F2"/>
    <mergeCell ref="A7:G7"/>
    <mergeCell ref="A78:I78"/>
    <mergeCell ref="J70:J72"/>
    <mergeCell ref="A126:G126"/>
    <mergeCell ref="A68:J68"/>
    <mergeCell ref="G69:H69"/>
    <mergeCell ref="AN80:AO80"/>
    <mergeCell ref="AP80:AQ80"/>
    <mergeCell ref="X80:Y80"/>
    <mergeCell ref="Z80:AA80"/>
    <mergeCell ref="AB80:AC80"/>
    <mergeCell ref="AD80:AE80"/>
    <mergeCell ref="AF80:AG80"/>
    <mergeCell ref="AP81:AQ81"/>
    <mergeCell ref="X81:Y81"/>
    <mergeCell ref="Z81:AA81"/>
    <mergeCell ref="AB81:AC81"/>
    <mergeCell ref="AD81:AE81"/>
    <mergeCell ref="AF81:AG81"/>
    <mergeCell ref="AP82:AQ82"/>
    <mergeCell ref="X82:Y82"/>
    <mergeCell ref="Z82:AA82"/>
    <mergeCell ref="AB82:AC82"/>
    <mergeCell ref="AD82:AE82"/>
    <mergeCell ref="AF82:AG82"/>
    <mergeCell ref="AP83:AQ83"/>
    <mergeCell ref="X83:Y83"/>
    <mergeCell ref="Z83:AA83"/>
    <mergeCell ref="AB83:AC83"/>
    <mergeCell ref="AD83:AE83"/>
    <mergeCell ref="AF83:AG83"/>
    <mergeCell ref="A1:G1"/>
    <mergeCell ref="AH83:AI83"/>
    <mergeCell ref="AJ83:AK83"/>
    <mergeCell ref="AL83:AM83"/>
    <mergeCell ref="AN83:AO83"/>
    <mergeCell ref="AH82:AI82"/>
    <mergeCell ref="AJ82:AK82"/>
    <mergeCell ref="AL82:AM82"/>
    <mergeCell ref="AN82:AO82"/>
    <mergeCell ref="AH81:AI81"/>
    <mergeCell ref="AJ81:AK81"/>
    <mergeCell ref="AL81:AM81"/>
    <mergeCell ref="AN81:AO81"/>
    <mergeCell ref="AH80:AI80"/>
    <mergeCell ref="AJ80:AK80"/>
    <mergeCell ref="AL80:AM8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9"/>
  <sheetViews>
    <sheetView zoomScale="85" zoomScaleNormal="85" workbookViewId="0">
      <selection sqref="A1:D1"/>
    </sheetView>
  </sheetViews>
  <sheetFormatPr defaultColWidth="8.7109375" defaultRowHeight="12.75" x14ac:dyDescent="0.2"/>
  <cols>
    <col min="1" max="1" width="31.5703125" style="3" customWidth="1"/>
    <col min="2" max="2" width="42.28515625" style="3" customWidth="1"/>
    <col min="3" max="3" width="19.42578125" style="3" customWidth="1"/>
    <col min="4" max="4" width="32.28515625" style="3" customWidth="1"/>
    <col min="5" max="5" width="26.140625" style="3" customWidth="1"/>
    <col min="6" max="6" width="17.140625" style="3" customWidth="1"/>
    <col min="7" max="7" width="17.5703125" style="3" customWidth="1"/>
    <col min="8" max="8" width="15.5703125" style="3" customWidth="1"/>
    <col min="9" max="9" width="13.28515625" style="3" customWidth="1"/>
    <col min="10" max="16384" width="8.7109375" style="3"/>
  </cols>
  <sheetData>
    <row r="1" spans="1:7" ht="25.15" customHeight="1" x14ac:dyDescent="0.2">
      <c r="A1" s="612" t="str">
        <f>"Exterior Lighting - "&amp;Prototype!A2</f>
        <v>Exterior Lighting - Hospital</v>
      </c>
      <c r="B1" s="612"/>
      <c r="C1" s="612"/>
      <c r="D1" s="612"/>
    </row>
    <row r="2" spans="1:7" ht="28.15" customHeight="1" x14ac:dyDescent="0.2">
      <c r="A2" s="549" t="s">
        <v>435</v>
      </c>
      <c r="B2" s="549" t="s">
        <v>436</v>
      </c>
      <c r="C2" s="549" t="s">
        <v>437</v>
      </c>
      <c r="D2" s="549" t="s">
        <v>41</v>
      </c>
    </row>
    <row r="3" spans="1:7" ht="43.15" customHeight="1" x14ac:dyDescent="0.2">
      <c r="A3" s="185">
        <f>G14</f>
        <v>8349.0609999999997</v>
      </c>
      <c r="B3" s="185">
        <f>G15</f>
        <v>1383.9590000000001</v>
      </c>
      <c r="C3" s="185">
        <f>A3+B3</f>
        <v>9733.02</v>
      </c>
      <c r="D3" s="535" t="s">
        <v>438</v>
      </c>
    </row>
    <row r="4" spans="1:7" ht="22.15" customHeight="1" x14ac:dyDescent="0.2">
      <c r="A4" s="57"/>
      <c r="B4" s="57"/>
      <c r="C4" s="57"/>
    </row>
    <row r="5" spans="1:7" ht="15" x14ac:dyDescent="0.25">
      <c r="A5"/>
      <c r="C5" s="146"/>
      <c r="E5" s="147"/>
    </row>
    <row r="6" spans="1:7" ht="23.45" customHeight="1" x14ac:dyDescent="0.2">
      <c r="A6" s="612" t="str">
        <f>"Exterior Lighting "</f>
        <v xml:space="preserve">Exterior Lighting </v>
      </c>
      <c r="B6" s="612"/>
      <c r="C6" s="612"/>
      <c r="D6" s="612"/>
      <c r="E6" s="612"/>
      <c r="F6" s="612"/>
      <c r="G6" s="612"/>
    </row>
    <row r="7" spans="1:7" ht="43.15" customHeight="1" x14ac:dyDescent="0.2">
      <c r="A7" s="186" t="s">
        <v>439</v>
      </c>
      <c r="B7" s="692" t="s">
        <v>440</v>
      </c>
      <c r="C7" s="692"/>
      <c r="D7" s="549" t="s">
        <v>441</v>
      </c>
      <c r="E7" s="549" t="s">
        <v>442</v>
      </c>
      <c r="F7" s="549" t="s">
        <v>441</v>
      </c>
      <c r="G7" s="549" t="s">
        <v>443</v>
      </c>
    </row>
    <row r="8" spans="1:7" ht="23.45" customHeight="1" x14ac:dyDescent="0.2">
      <c r="A8" s="187" t="s">
        <v>444</v>
      </c>
      <c r="B8" s="187"/>
      <c r="C8" s="188"/>
      <c r="D8" s="536"/>
      <c r="E8" s="536">
        <v>200</v>
      </c>
      <c r="F8" s="195" t="s">
        <v>445</v>
      </c>
      <c r="G8" s="189">
        <f>$E8</f>
        <v>200</v>
      </c>
    </row>
    <row r="9" spans="1:7" ht="38.25" x14ac:dyDescent="0.2">
      <c r="A9" s="187" t="s">
        <v>446</v>
      </c>
      <c r="B9" s="163" t="s">
        <v>447</v>
      </c>
      <c r="C9" s="190">
        <v>386198</v>
      </c>
      <c r="D9" s="536" t="s">
        <v>448</v>
      </c>
      <c r="E9" s="536">
        <v>1.9E-2</v>
      </c>
      <c r="F9" s="196" t="s">
        <v>449</v>
      </c>
      <c r="G9" s="189">
        <f>$E9*C9</f>
        <v>7337.7619999999997</v>
      </c>
    </row>
    <row r="10" spans="1:7" ht="21" customHeight="1" x14ac:dyDescent="0.2">
      <c r="A10" s="187" t="s">
        <v>450</v>
      </c>
      <c r="B10" s="194" t="s">
        <v>451</v>
      </c>
      <c r="C10" s="188">
        <v>10</v>
      </c>
      <c r="D10" s="536" t="s">
        <v>452</v>
      </c>
      <c r="E10" s="536">
        <v>15</v>
      </c>
      <c r="F10" s="196" t="s">
        <v>453</v>
      </c>
      <c r="G10" s="189">
        <f>E10*C10</f>
        <v>150</v>
      </c>
    </row>
    <row r="11" spans="1:7" ht="25.5" x14ac:dyDescent="0.2">
      <c r="A11" s="187" t="s">
        <v>454</v>
      </c>
      <c r="B11" s="164" t="s">
        <v>455</v>
      </c>
      <c r="C11" s="191">
        <v>24137</v>
      </c>
      <c r="D11" s="536" t="s">
        <v>448</v>
      </c>
      <c r="E11" s="536">
        <v>7.0000000000000001E-3</v>
      </c>
      <c r="F11" s="196" t="s">
        <v>449</v>
      </c>
      <c r="G11" s="192">
        <f>E11*C11</f>
        <v>168.959</v>
      </c>
    </row>
    <row r="12" spans="1:7" ht="108.75" customHeight="1" x14ac:dyDescent="0.2">
      <c r="A12" s="187" t="s">
        <v>456</v>
      </c>
      <c r="B12" s="197" t="s">
        <v>457</v>
      </c>
      <c r="C12" s="193">
        <f>B21*0.5*30</f>
        <v>12150</v>
      </c>
      <c r="D12" s="536" t="s">
        <v>448</v>
      </c>
      <c r="E12" s="536">
        <v>0.1</v>
      </c>
      <c r="F12" s="196" t="s">
        <v>449</v>
      </c>
      <c r="G12" s="192">
        <f>E12*C12</f>
        <v>1215</v>
      </c>
    </row>
    <row r="13" spans="1:7" x14ac:dyDescent="0.2">
      <c r="A13" s="187" t="s">
        <v>458</v>
      </c>
      <c r="B13" s="187"/>
      <c r="C13" s="188">
        <v>4827</v>
      </c>
      <c r="D13" s="536" t="s">
        <v>448</v>
      </c>
      <c r="E13" s="536">
        <v>0.13700000000000001</v>
      </c>
      <c r="F13" s="196" t="s">
        <v>449</v>
      </c>
      <c r="G13" s="192">
        <f>E13*C13</f>
        <v>661.29900000000009</v>
      </c>
    </row>
    <row r="14" spans="1:7" x14ac:dyDescent="0.2">
      <c r="A14" s="689" t="s">
        <v>435</v>
      </c>
      <c r="B14" s="690"/>
      <c r="C14" s="690"/>
      <c r="D14" s="690"/>
      <c r="E14" s="690"/>
      <c r="F14" s="691"/>
      <c r="G14" s="320">
        <f>G9+G8+G13+G10</f>
        <v>8349.0609999999997</v>
      </c>
    </row>
    <row r="15" spans="1:7" x14ac:dyDescent="0.2">
      <c r="A15" s="689" t="s">
        <v>459</v>
      </c>
      <c r="B15" s="690"/>
      <c r="C15" s="690"/>
      <c r="D15" s="690"/>
      <c r="E15" s="690"/>
      <c r="F15" s="691"/>
      <c r="G15" s="320">
        <f>G11+G12</f>
        <v>1383.9590000000001</v>
      </c>
    </row>
    <row r="16" spans="1:7" x14ac:dyDescent="0.2">
      <c r="A16" s="689" t="s">
        <v>352</v>
      </c>
      <c r="B16" s="690"/>
      <c r="C16" s="690"/>
      <c r="D16" s="690"/>
      <c r="E16" s="690"/>
      <c r="F16" s="691"/>
      <c r="G16" s="320">
        <f>G14+G15</f>
        <v>9733.02</v>
      </c>
    </row>
    <row r="20" spans="1:7" x14ac:dyDescent="0.2">
      <c r="A20" s="3" t="s">
        <v>460</v>
      </c>
      <c r="B20" s="148" t="str">
        <f>Prototype!B8</f>
        <v>241500  (230 ft x 175 ft for each floor)</v>
      </c>
    </row>
    <row r="21" spans="1:7" x14ac:dyDescent="0.2">
      <c r="A21" s="3" t="s">
        <v>461</v>
      </c>
      <c r="B21" s="149">
        <v>810</v>
      </c>
    </row>
    <row r="22" spans="1:7" x14ac:dyDescent="0.2">
      <c r="A22" s="3" t="s">
        <v>462</v>
      </c>
      <c r="B22" s="3">
        <v>3</v>
      </c>
    </row>
    <row r="29" spans="1:7" s="28" customFormat="1" ht="13.15" hidden="1" customHeight="1" x14ac:dyDescent="0.2">
      <c r="A29" s="28" t="s">
        <v>184</v>
      </c>
      <c r="E29" s="29"/>
      <c r="F29" s="30"/>
      <c r="G29" s="31"/>
    </row>
  </sheetData>
  <mergeCells count="6">
    <mergeCell ref="A16:F16"/>
    <mergeCell ref="A6:G6"/>
    <mergeCell ref="B7:C7"/>
    <mergeCell ref="A1:D1"/>
    <mergeCell ref="A14:F14"/>
    <mergeCell ref="A15:F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G41"/>
  <sheetViews>
    <sheetView zoomScaleNormal="100" workbookViewId="0">
      <selection sqref="A1:G1"/>
    </sheetView>
  </sheetViews>
  <sheetFormatPr defaultColWidth="8.7109375" defaultRowHeight="12.75" x14ac:dyDescent="0.2"/>
  <cols>
    <col min="1" max="1" width="49.7109375" style="3" bestFit="1" customWidth="1"/>
    <col min="2" max="2" width="21.42578125" style="3" bestFit="1" customWidth="1"/>
    <col min="3" max="3" width="24.5703125" style="3" customWidth="1"/>
    <col min="4" max="4" width="21.42578125" style="3" customWidth="1"/>
    <col min="5" max="5" width="17" style="3" customWidth="1"/>
    <col min="6" max="6" width="24.28515625" style="3" customWidth="1"/>
    <col min="7" max="7" width="21.42578125" style="3" customWidth="1"/>
    <col min="8" max="8" width="10.5703125" style="3" customWidth="1"/>
    <col min="9" max="9" width="11.42578125" style="3" customWidth="1"/>
    <col min="10" max="10" width="10.5703125" style="3" customWidth="1"/>
    <col min="11" max="11" width="13.28515625" style="3" customWidth="1"/>
    <col min="12" max="12" width="9.7109375" style="3" customWidth="1"/>
    <col min="13" max="13" width="9.42578125" style="3" customWidth="1"/>
    <col min="14" max="14" width="12.7109375" style="3" customWidth="1"/>
    <col min="15" max="15" width="14.7109375" style="3" customWidth="1"/>
    <col min="16" max="16" width="20.7109375" style="3" customWidth="1"/>
    <col min="17" max="17" width="19.7109375" style="3" customWidth="1"/>
    <col min="18" max="23" width="8.7109375" style="3"/>
    <col min="24" max="24" width="13.7109375" style="3" bestFit="1" customWidth="1"/>
    <col min="25" max="16384" width="8.7109375" style="3"/>
  </cols>
  <sheetData>
    <row r="1" spans="1:7" ht="25.9" customHeight="1" x14ac:dyDescent="0.2">
      <c r="A1" s="644" t="str">
        <f>"Interior Lighting - "&amp;Prototype!B4</f>
        <v>Interior Lighting - Hospital</v>
      </c>
      <c r="B1" s="644"/>
      <c r="C1" s="644"/>
      <c r="D1" s="644"/>
      <c r="E1" s="644"/>
      <c r="F1" s="644"/>
      <c r="G1" s="644"/>
    </row>
    <row r="2" spans="1:7" ht="19.899999999999999" customHeight="1" x14ac:dyDescent="0.2">
      <c r="A2" s="693" t="s">
        <v>77</v>
      </c>
      <c r="B2" s="693" t="s">
        <v>463</v>
      </c>
      <c r="C2" s="693"/>
      <c r="D2" s="693"/>
      <c r="E2" s="693" t="s">
        <v>294</v>
      </c>
      <c r="F2" s="693"/>
      <c r="G2" s="693"/>
    </row>
    <row r="3" spans="1:7" ht="36" customHeight="1" x14ac:dyDescent="0.2">
      <c r="A3" s="694"/>
      <c r="B3" s="524" t="s">
        <v>464</v>
      </c>
      <c r="C3" s="524" t="s">
        <v>465</v>
      </c>
      <c r="D3" s="524" t="s">
        <v>41</v>
      </c>
      <c r="E3" s="524" t="s">
        <v>466</v>
      </c>
      <c r="F3" s="524" t="s">
        <v>465</v>
      </c>
      <c r="G3" s="551" t="s">
        <v>41</v>
      </c>
    </row>
    <row r="4" spans="1:7" ht="17.45" customHeight="1" x14ac:dyDescent="0.2">
      <c r="A4" s="246" t="str">
        <f>Ventilation!O5</f>
        <v>Office Area (&gt;250 square feet)</v>
      </c>
      <c r="B4" s="535">
        <v>0.6</v>
      </c>
      <c r="C4" s="537"/>
      <c r="D4" s="695" t="s">
        <v>467</v>
      </c>
      <c r="E4" s="535">
        <v>0.65</v>
      </c>
      <c r="F4" s="158"/>
      <c r="G4" s="695" t="s">
        <v>468</v>
      </c>
    </row>
    <row r="5" spans="1:7" ht="17.45" customHeight="1" x14ac:dyDescent="0.2">
      <c r="A5" s="246" t="str">
        <f>Ventilation!O6</f>
        <v>Corridor Area</v>
      </c>
      <c r="B5" s="535">
        <v>0.4</v>
      </c>
      <c r="C5" s="537"/>
      <c r="D5" s="696"/>
      <c r="E5" s="539">
        <v>0.6</v>
      </c>
      <c r="F5" s="158"/>
      <c r="G5" s="696"/>
    </row>
    <row r="6" spans="1:7" ht="17.45" customHeight="1" x14ac:dyDescent="0.2">
      <c r="A6" s="246" t="str">
        <f>Ventilation!O7</f>
        <v>Dining Area (Cafeteria/Fast Food)</v>
      </c>
      <c r="B6" s="535">
        <v>0.45</v>
      </c>
      <c r="C6" s="537"/>
      <c r="D6" s="696"/>
      <c r="E6" s="535">
        <v>0.4</v>
      </c>
      <c r="F6" s="158"/>
      <c r="G6" s="696"/>
    </row>
    <row r="7" spans="1:7" ht="17.45" customHeight="1" x14ac:dyDescent="0.2">
      <c r="A7" s="246" t="str">
        <f>Ventilation!O8</f>
        <v>Healthcare Facility and Hospitals (Exam/Treatment Room)</v>
      </c>
      <c r="B7" s="535">
        <v>1.1499999999999999</v>
      </c>
      <c r="C7" s="537"/>
      <c r="D7" s="696"/>
      <c r="E7" s="535">
        <v>1.1499999999999999</v>
      </c>
      <c r="F7" s="158"/>
      <c r="G7" s="696"/>
    </row>
    <row r="8" spans="1:7" ht="17.45" customHeight="1" x14ac:dyDescent="0.2">
      <c r="A8" s="246" t="str">
        <f>Ventilation!O9</f>
        <v>Healthcare Facility and Hospitals (Nurse's Station)</v>
      </c>
      <c r="B8" s="535">
        <v>0.85</v>
      </c>
      <c r="C8" s="537"/>
      <c r="D8" s="696"/>
      <c r="E8" s="535">
        <v>0.75</v>
      </c>
      <c r="F8" s="158"/>
      <c r="G8" s="696"/>
    </row>
    <row r="9" spans="1:7" ht="17.45" customHeight="1" x14ac:dyDescent="0.2">
      <c r="A9" s="246" t="str">
        <f>Ventilation!O10</f>
        <v>Healthcare Facility and Hospitals (Recovery Room)</v>
      </c>
      <c r="B9" s="535">
        <v>0.9</v>
      </c>
      <c r="C9" s="537"/>
      <c r="D9" s="696"/>
      <c r="E9" s="535">
        <v>0.9</v>
      </c>
      <c r="F9" s="158"/>
      <c r="G9" s="696"/>
    </row>
    <row r="10" spans="1:7" ht="17.45" customHeight="1" x14ac:dyDescent="0.2">
      <c r="A10" s="246" t="str">
        <f>Ventilation!O11</f>
        <v>Laboratory, Scientific</v>
      </c>
      <c r="B10" s="535">
        <v>0.9</v>
      </c>
      <c r="C10" s="537"/>
      <c r="D10" s="696"/>
      <c r="E10" s="535">
        <v>1</v>
      </c>
      <c r="F10" s="158"/>
      <c r="G10" s="696"/>
    </row>
    <row r="11" spans="1:7" ht="17.45" customHeight="1" x14ac:dyDescent="0.2">
      <c r="A11" s="246" t="str">
        <f>Ventilation!O12</f>
        <v>Healthcare Facility and Hospitals (Operating Room)</v>
      </c>
      <c r="B11" s="535">
        <v>1.9</v>
      </c>
      <c r="C11" s="537"/>
      <c r="D11" s="696"/>
      <c r="E11" s="535">
        <v>1.9</v>
      </c>
      <c r="F11" s="158"/>
      <c r="G11" s="696"/>
    </row>
    <row r="12" spans="1:7" ht="17.45" customHeight="1" x14ac:dyDescent="0.2">
      <c r="A12" s="246" t="str">
        <f>Ventilation!O13</f>
        <v>Healthcare Facility and Hospitals (Physical Therapy Room)</v>
      </c>
      <c r="B12" s="535">
        <v>0.75</v>
      </c>
      <c r="C12" s="537"/>
      <c r="D12" s="696"/>
      <c r="E12" s="535">
        <v>0.85</v>
      </c>
      <c r="F12" s="158"/>
      <c r="G12" s="696"/>
    </row>
    <row r="13" spans="1:7" ht="17.45" customHeight="1" x14ac:dyDescent="0.2">
      <c r="A13" s="246" t="str">
        <f>Ventilation!O14</f>
        <v>Healthcare Facility and Hospitals (Imaging Room)</v>
      </c>
      <c r="B13" s="535">
        <v>0.6</v>
      </c>
      <c r="C13" s="537"/>
      <c r="D13" s="696"/>
      <c r="E13" s="535">
        <v>1</v>
      </c>
      <c r="F13" s="158"/>
      <c r="G13" s="696"/>
    </row>
    <row r="14" spans="1:7" ht="17.45" customHeight="1" x14ac:dyDescent="0.2">
      <c r="A14" s="246" t="str">
        <f>Ventilation!O15</f>
        <v>Healthcare Facility and Hospitals (Patient Room)</v>
      </c>
      <c r="B14" s="535">
        <v>0.7</v>
      </c>
      <c r="C14" s="537"/>
      <c r="D14" s="696"/>
      <c r="E14" s="535">
        <v>0.55000000000000004</v>
      </c>
      <c r="F14" s="158"/>
      <c r="G14" s="696"/>
    </row>
    <row r="15" spans="1:7" ht="17.45" customHeight="1" x14ac:dyDescent="0.2">
      <c r="A15" s="246" t="str">
        <f>Ventilation!O16</f>
        <v>Lobby, Main Entry</v>
      </c>
      <c r="B15" s="535">
        <v>0.7</v>
      </c>
      <c r="C15" s="537"/>
      <c r="D15" s="696"/>
      <c r="E15" s="535">
        <v>0.85</v>
      </c>
      <c r="F15" s="158"/>
      <c r="G15" s="696"/>
    </row>
    <row r="16" spans="1:7" ht="17.45" customHeight="1" x14ac:dyDescent="0.2">
      <c r="A16" s="246" t="str">
        <f>Ventilation!O17</f>
        <v>Kitchen/Food Preparation Area</v>
      </c>
      <c r="B16" s="535">
        <v>0.95</v>
      </c>
      <c r="C16" s="537"/>
      <c r="D16" s="696"/>
      <c r="E16" s="535">
        <v>0.95</v>
      </c>
      <c r="F16" s="158"/>
      <c r="G16" s="696"/>
    </row>
    <row r="17" spans="1:7" ht="16.899999999999999" customHeight="1" x14ac:dyDescent="0.2">
      <c r="A17" s="158" t="str">
        <f>Zones!A31</f>
        <v>Office Area (&lt;250 square feet)</v>
      </c>
      <c r="B17" s="535">
        <v>0.65</v>
      </c>
      <c r="C17" s="537"/>
      <c r="D17" s="697"/>
      <c r="E17" s="535">
        <v>0.7</v>
      </c>
      <c r="F17" s="158"/>
      <c r="G17" s="697"/>
    </row>
    <row r="18" spans="1:7" ht="16.899999999999999" customHeight="1" x14ac:dyDescent="0.2">
      <c r="C18" s="145"/>
      <c r="E18" s="44"/>
    </row>
    <row r="19" spans="1:7" ht="16.899999999999999" customHeight="1" x14ac:dyDescent="0.2">
      <c r="C19" s="145"/>
      <c r="E19" s="44"/>
    </row>
    <row r="20" spans="1:7" ht="16.899999999999999" customHeight="1" x14ac:dyDescent="0.2">
      <c r="C20" s="145"/>
      <c r="E20" s="44"/>
    </row>
    <row r="21" spans="1:7" ht="16.899999999999999" customHeight="1" x14ac:dyDescent="0.2">
      <c r="C21" s="145"/>
      <c r="E21" s="44"/>
    </row>
    <row r="22" spans="1:7" ht="16.899999999999999" customHeight="1" x14ac:dyDescent="0.2">
      <c r="C22" s="145"/>
      <c r="E22" s="44"/>
    </row>
    <row r="23" spans="1:7" ht="16.899999999999999" customHeight="1" x14ac:dyDescent="0.2">
      <c r="C23" s="145"/>
      <c r="E23" s="44"/>
    </row>
    <row r="24" spans="1:7" ht="16.899999999999999" customHeight="1" x14ac:dyDescent="0.2">
      <c r="C24" s="145"/>
      <c r="E24" s="44"/>
    </row>
    <row r="25" spans="1:7" ht="16.899999999999999" customHeight="1" x14ac:dyDescent="0.2">
      <c r="C25" s="145"/>
    </row>
    <row r="26" spans="1:7" ht="16.899999999999999" customHeight="1" x14ac:dyDescent="0.2">
      <c r="C26" s="145"/>
    </row>
    <row r="27" spans="1:7" ht="16.899999999999999" customHeight="1" x14ac:dyDescent="0.2">
      <c r="C27" s="145"/>
    </row>
    <row r="28" spans="1:7" ht="16.899999999999999" customHeight="1" x14ac:dyDescent="0.2">
      <c r="C28" s="145"/>
    </row>
    <row r="29" spans="1:7" ht="19.149999999999999" customHeight="1" x14ac:dyDescent="0.2">
      <c r="C29" s="145"/>
    </row>
    <row r="30" spans="1:7" ht="13.15" customHeight="1" x14ac:dyDescent="0.2">
      <c r="A30" s="24"/>
      <c r="B30" s="24"/>
    </row>
    <row r="31" spans="1:7" ht="13.15" customHeight="1" x14ac:dyDescent="0.2">
      <c r="A31" s="24"/>
      <c r="B31" s="24"/>
    </row>
    <row r="32" spans="1:7" ht="13.15" customHeight="1" x14ac:dyDescent="0.2">
      <c r="A32" s="24"/>
      <c r="B32" s="24"/>
    </row>
    <row r="33" spans="1:4" ht="13.15" customHeight="1" x14ac:dyDescent="0.2">
      <c r="A33" s="24"/>
      <c r="B33" s="24"/>
    </row>
    <row r="34" spans="1:4" ht="13.15" customHeight="1" x14ac:dyDescent="0.2">
      <c r="A34" s="24"/>
      <c r="B34" s="24"/>
    </row>
    <row r="35" spans="1:4" ht="13.15" customHeight="1" x14ac:dyDescent="0.2">
      <c r="A35" s="24"/>
      <c r="B35" s="24"/>
    </row>
    <row r="36" spans="1:4" ht="13.15" customHeight="1" x14ac:dyDescent="0.2">
      <c r="A36" s="24"/>
      <c r="B36" s="24"/>
    </row>
    <row r="37" spans="1:4" ht="13.15" customHeight="1" x14ac:dyDescent="0.2">
      <c r="A37" s="24"/>
      <c r="B37" s="24"/>
    </row>
    <row r="38" spans="1:4" ht="13.15" customHeight="1" x14ac:dyDescent="0.2">
      <c r="A38" s="24"/>
      <c r="B38" s="24"/>
    </row>
    <row r="39" spans="1:4" ht="13.15" customHeight="1" x14ac:dyDescent="0.2">
      <c r="A39" s="24"/>
      <c r="B39" s="24"/>
    </row>
    <row r="40" spans="1:4" s="28" customFormat="1" x14ac:dyDescent="0.2">
      <c r="C40" s="29"/>
      <c r="D40" s="31"/>
    </row>
    <row r="41" spans="1:4" ht="17.649999999999999" customHeight="1" x14ac:dyDescent="0.2"/>
  </sheetData>
  <mergeCells count="6">
    <mergeCell ref="E2:G2"/>
    <mergeCell ref="A1:G1"/>
    <mergeCell ref="A2:A3"/>
    <mergeCell ref="B2:D2"/>
    <mergeCell ref="D4:D17"/>
    <mergeCell ref="G4:G17"/>
  </mergeCells>
  <phoneticPr fontId="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dimension ref="A1:I41"/>
  <sheetViews>
    <sheetView zoomScale="80" zoomScaleNormal="80" workbookViewId="0">
      <selection sqref="A1:F1"/>
    </sheetView>
  </sheetViews>
  <sheetFormatPr defaultColWidth="8.7109375" defaultRowHeight="12.75" x14ac:dyDescent="0.2"/>
  <cols>
    <col min="1" max="1" width="49" style="3" customWidth="1"/>
    <col min="2" max="2" width="23.42578125" style="3" customWidth="1"/>
    <col min="3" max="3" width="23.7109375" style="3" customWidth="1"/>
    <col min="4" max="4" width="22.28515625" style="3" customWidth="1"/>
    <col min="5" max="5" width="28.7109375" style="3" customWidth="1"/>
    <col min="6" max="6" width="59.42578125" style="3" customWidth="1"/>
    <col min="7" max="7" width="14" style="3" customWidth="1"/>
    <col min="8" max="8" width="10.5703125" style="3" bestFit="1" customWidth="1"/>
    <col min="9" max="9" width="23.7109375" style="3" bestFit="1" customWidth="1"/>
    <col min="10" max="10" width="10.7109375" style="3" bestFit="1" customWidth="1"/>
    <col min="11" max="11" width="10.5703125" style="3" bestFit="1" customWidth="1"/>
    <col min="12" max="16384" width="8.7109375" style="3"/>
  </cols>
  <sheetData>
    <row r="1" spans="1:7" ht="23.45" customHeight="1" x14ac:dyDescent="0.2">
      <c r="A1" s="612" t="str">
        <f>"Equipment - "&amp;Prototype!A2</f>
        <v>Equipment - Hospital</v>
      </c>
      <c r="B1" s="612"/>
      <c r="C1" s="612"/>
      <c r="D1" s="612"/>
      <c r="E1" s="612"/>
      <c r="F1" s="612"/>
    </row>
    <row r="2" spans="1:7" s="133" customFormat="1" ht="36.6" customHeight="1" x14ac:dyDescent="0.2">
      <c r="A2" s="526" t="s">
        <v>471</v>
      </c>
      <c r="B2" s="527" t="s">
        <v>472</v>
      </c>
      <c r="C2" s="527" t="s">
        <v>473</v>
      </c>
      <c r="D2" s="527" t="s">
        <v>474</v>
      </c>
      <c r="E2" s="526" t="s">
        <v>41</v>
      </c>
      <c r="F2" s="526" t="s">
        <v>89</v>
      </c>
    </row>
    <row r="3" spans="1:7" ht="23.45" customHeight="1" x14ac:dyDescent="0.2">
      <c r="A3" s="198" t="str">
        <f>Ventilation!O5</f>
        <v>Office Area (&gt;250 square feet)</v>
      </c>
      <c r="B3" s="536">
        <v>0.7</v>
      </c>
      <c r="C3" s="536"/>
      <c r="D3" s="536"/>
      <c r="E3" s="695" t="s">
        <v>475</v>
      </c>
      <c r="F3" s="525" t="s">
        <v>476</v>
      </c>
    </row>
    <row r="4" spans="1:7" ht="23.45" customHeight="1" x14ac:dyDescent="0.2">
      <c r="A4" s="198" t="str">
        <f>Ventilation!O6</f>
        <v>Corridor Area</v>
      </c>
      <c r="B4" s="536">
        <v>0</v>
      </c>
      <c r="C4" s="536"/>
      <c r="D4" s="536"/>
      <c r="E4" s="696"/>
      <c r="F4" s="187"/>
      <c r="G4" s="60"/>
    </row>
    <row r="5" spans="1:7" ht="23.45" customHeight="1" x14ac:dyDescent="0.2">
      <c r="A5" s="198" t="str">
        <f>Ventilation!O7</f>
        <v>Dining Area (Cafeteria/Fast Food)</v>
      </c>
      <c r="B5" s="536">
        <v>0.5</v>
      </c>
      <c r="C5" s="536"/>
      <c r="D5" s="536">
        <v>0.25</v>
      </c>
      <c r="E5" s="696"/>
      <c r="F5" s="187" t="s">
        <v>477</v>
      </c>
      <c r="G5" s="60"/>
    </row>
    <row r="6" spans="1:7" ht="28.9" customHeight="1" x14ac:dyDescent="0.2">
      <c r="A6" s="198" t="str">
        <f>Ventilation!O8</f>
        <v>Healthcare Facility and Hospitals (Exam/Treatment Room)</v>
      </c>
      <c r="B6" s="536">
        <v>1.5</v>
      </c>
      <c r="C6" s="536">
        <v>1.1258999999999999</v>
      </c>
      <c r="D6" s="536"/>
      <c r="E6" s="696"/>
      <c r="F6" s="199" t="s">
        <v>478</v>
      </c>
      <c r="G6" s="60"/>
    </row>
    <row r="7" spans="1:7" ht="23.45" customHeight="1" x14ac:dyDescent="0.2">
      <c r="A7" s="198" t="str">
        <f>Ventilation!O9</f>
        <v>Healthcare Facility and Hospitals (Nurse's Station)</v>
      </c>
      <c r="B7" s="536">
        <v>2</v>
      </c>
      <c r="C7" s="536"/>
      <c r="D7" s="536"/>
      <c r="E7" s="696"/>
      <c r="F7" s="200" t="s">
        <v>479</v>
      </c>
      <c r="G7" s="60"/>
    </row>
    <row r="8" spans="1:7" ht="23.45" customHeight="1" x14ac:dyDescent="0.2">
      <c r="A8" s="198" t="str">
        <f>Ventilation!O10</f>
        <v>Healthcare Facility and Hospitals (Recovery Room)</v>
      </c>
      <c r="B8" s="536">
        <v>1.5</v>
      </c>
      <c r="C8" s="536"/>
      <c r="D8" s="536"/>
      <c r="E8" s="696"/>
      <c r="F8" s="200"/>
      <c r="G8" s="60"/>
    </row>
    <row r="9" spans="1:7" ht="26.45" customHeight="1" x14ac:dyDescent="0.2">
      <c r="A9" s="198" t="str">
        <f>Ventilation!O11</f>
        <v>Laboratory, Scientific</v>
      </c>
      <c r="B9" s="536">
        <v>2</v>
      </c>
      <c r="C9" s="536"/>
      <c r="D9" s="536"/>
      <c r="E9" s="696"/>
      <c r="F9" s="199" t="s">
        <v>480</v>
      </c>
      <c r="G9" s="60"/>
    </row>
    <row r="10" spans="1:7" ht="26.45" customHeight="1" x14ac:dyDescent="0.2">
      <c r="A10" s="198" t="str">
        <f>Ventilation!O12</f>
        <v>Healthcare Facility and Hospitals (Operating Room)</v>
      </c>
      <c r="B10" s="536">
        <v>11</v>
      </c>
      <c r="C10" s="536"/>
      <c r="D10" s="536"/>
      <c r="E10" s="696"/>
      <c r="F10" s="321" t="s">
        <v>481</v>
      </c>
      <c r="G10" s="60"/>
    </row>
    <row r="11" spans="1:7" ht="23.45" customHeight="1" x14ac:dyDescent="0.2">
      <c r="A11" s="198" t="str">
        <f>Ventilation!O13</f>
        <v>Healthcare Facility and Hospitals (Physical Therapy Room)</v>
      </c>
      <c r="B11" s="536">
        <v>1.5</v>
      </c>
      <c r="C11" s="536"/>
      <c r="D11" s="536"/>
      <c r="E11" s="696"/>
      <c r="F11" s="187"/>
      <c r="G11" s="60"/>
    </row>
    <row r="12" spans="1:7" ht="23.45" customHeight="1" x14ac:dyDescent="0.2">
      <c r="A12" s="198" t="str">
        <f>Ventilation!O14</f>
        <v>Healthcare Facility and Hospitals (Imaging Room)</v>
      </c>
      <c r="B12" s="536">
        <v>10</v>
      </c>
      <c r="C12" s="536"/>
      <c r="D12" s="536"/>
      <c r="E12" s="696"/>
      <c r="F12" s="187" t="s">
        <v>482</v>
      </c>
      <c r="G12" s="60"/>
    </row>
    <row r="13" spans="1:7" ht="23.45" customHeight="1" x14ac:dyDescent="0.2">
      <c r="A13" s="198" t="str">
        <f>Ventilation!O15</f>
        <v>Healthcare Facility and Hospitals (Patient Room)</v>
      </c>
      <c r="B13" s="536">
        <v>1.5</v>
      </c>
      <c r="C13" s="536"/>
      <c r="D13" s="536"/>
      <c r="E13" s="696"/>
      <c r="F13" s="158"/>
      <c r="G13" s="60"/>
    </row>
    <row r="14" spans="1:7" ht="23.45" customHeight="1" x14ac:dyDescent="0.2">
      <c r="A14" s="198" t="str">
        <f>Ventilation!O16</f>
        <v>Lobby, Main Entry</v>
      </c>
      <c r="B14" s="536">
        <v>0.5</v>
      </c>
      <c r="C14" s="536"/>
      <c r="D14" s="536"/>
      <c r="E14" s="696"/>
      <c r="F14" s="158"/>
      <c r="G14" s="60"/>
    </row>
    <row r="15" spans="1:7" ht="39" customHeight="1" x14ac:dyDescent="0.2">
      <c r="A15" s="198" t="str">
        <f>Ventilation!O17</f>
        <v>Kitchen/Food Preparation Area</v>
      </c>
      <c r="B15" s="536">
        <v>1.5</v>
      </c>
      <c r="C15" s="536">
        <v>17.54</v>
      </c>
      <c r="D15" s="536">
        <v>1.1200000000000001</v>
      </c>
      <c r="E15" s="696"/>
      <c r="F15" s="199" t="s">
        <v>483</v>
      </c>
      <c r="G15" s="60"/>
    </row>
    <row r="16" spans="1:7" ht="18" customHeight="1" x14ac:dyDescent="0.2">
      <c r="A16" s="198" t="str">
        <f>Zones!A31</f>
        <v>Office Area (&lt;250 square feet)</v>
      </c>
      <c r="B16" s="536">
        <v>0.7</v>
      </c>
      <c r="C16" s="535"/>
      <c r="D16" s="187"/>
      <c r="E16" s="697"/>
      <c r="F16" s="158"/>
    </row>
    <row r="17" spans="1:9" ht="18" customHeight="1" x14ac:dyDescent="0.2">
      <c r="A17" s="127"/>
      <c r="B17" s="5"/>
      <c r="C17" s="7"/>
      <c r="D17" s="6"/>
      <c r="E17" s="22"/>
    </row>
    <row r="18" spans="1:9" ht="27.6" customHeight="1" x14ac:dyDescent="0.2">
      <c r="A18" s="644" t="s">
        <v>484</v>
      </c>
      <c r="B18" s="644"/>
      <c r="C18" s="644"/>
      <c r="D18" s="644"/>
      <c r="E18" s="644"/>
      <c r="F18" s="644"/>
      <c r="G18" s="644"/>
      <c r="H18" s="644"/>
      <c r="I18" s="644"/>
    </row>
    <row r="19" spans="1:9" ht="39" customHeight="1" x14ac:dyDescent="0.2">
      <c r="A19" s="550" t="s">
        <v>193</v>
      </c>
      <c r="B19" s="550" t="s">
        <v>485</v>
      </c>
      <c r="C19" s="184" t="s">
        <v>486</v>
      </c>
      <c r="D19" s="184" t="s">
        <v>487</v>
      </c>
      <c r="E19" s="184" t="s">
        <v>488</v>
      </c>
      <c r="F19" s="184" t="s">
        <v>489</v>
      </c>
      <c r="G19" s="184" t="s">
        <v>490</v>
      </c>
      <c r="H19" s="184" t="s">
        <v>491</v>
      </c>
      <c r="I19" s="184" t="s">
        <v>89</v>
      </c>
    </row>
    <row r="20" spans="1:9" ht="41.45" customHeight="1" x14ac:dyDescent="0.2">
      <c r="A20" s="201" t="s">
        <v>294</v>
      </c>
      <c r="B20" s="202">
        <f>C28</f>
        <v>6</v>
      </c>
      <c r="C20" s="535">
        <v>1.65</v>
      </c>
      <c r="D20" s="535" t="s">
        <v>275</v>
      </c>
      <c r="E20" s="535" t="s">
        <v>275</v>
      </c>
      <c r="F20" s="535" t="s">
        <v>275</v>
      </c>
      <c r="G20" s="535" t="s">
        <v>275</v>
      </c>
      <c r="H20" s="203">
        <f>D38</f>
        <v>58131.4</v>
      </c>
      <c r="I20" s="535" t="s">
        <v>492</v>
      </c>
    </row>
    <row r="21" spans="1:9" ht="85.9" customHeight="1" x14ac:dyDescent="0.2">
      <c r="A21" s="201" t="s">
        <v>261</v>
      </c>
      <c r="B21" s="202">
        <f>C28</f>
        <v>6</v>
      </c>
      <c r="C21" s="250" t="s">
        <v>493</v>
      </c>
      <c r="D21" s="204" t="s">
        <v>494</v>
      </c>
      <c r="E21" s="205" t="s">
        <v>495</v>
      </c>
      <c r="F21" s="204" t="s">
        <v>496</v>
      </c>
      <c r="G21" s="535" t="s">
        <v>275</v>
      </c>
      <c r="H21" s="203">
        <f>B38</f>
        <v>35089.21</v>
      </c>
      <c r="I21" s="250" t="s">
        <v>497</v>
      </c>
    </row>
    <row r="22" spans="1:9" ht="18" customHeight="1" x14ac:dyDescent="0.2">
      <c r="A22" s="127"/>
      <c r="B22" s="5"/>
      <c r="C22" s="7"/>
      <c r="D22" s="6"/>
      <c r="E22" s="22"/>
    </row>
    <row r="23" spans="1:9" ht="12.6" customHeight="1" x14ac:dyDescent="0.25">
      <c r="A23" s="327"/>
    </row>
    <row r="24" spans="1:9" ht="12.6" customHeight="1" x14ac:dyDescent="0.2">
      <c r="A24" s="698" t="s">
        <v>498</v>
      </c>
      <c r="B24" s="698"/>
      <c r="C24" s="698"/>
      <c r="D24" s="698"/>
      <c r="E24" s="698"/>
    </row>
    <row r="25" spans="1:9" ht="12.6" customHeight="1" x14ac:dyDescent="0.2">
      <c r="A25" s="586" t="s">
        <v>499</v>
      </c>
      <c r="B25" s="586"/>
      <c r="C25" s="586"/>
      <c r="D25" s="586"/>
      <c r="E25" s="586"/>
    </row>
    <row r="26" spans="1:9" ht="12.6" customHeight="1" x14ac:dyDescent="0.2">
      <c r="A26" s="586" t="s">
        <v>500</v>
      </c>
      <c r="B26" s="586"/>
      <c r="C26" s="586"/>
      <c r="D26" s="586"/>
      <c r="E26" s="586"/>
    </row>
    <row r="27" spans="1:9" ht="12.6" customHeight="1" x14ac:dyDescent="0.2">
      <c r="A27" s="579" t="s">
        <v>501</v>
      </c>
      <c r="B27" s="579"/>
      <c r="C27" s="579"/>
      <c r="D27" s="579"/>
      <c r="E27" s="579"/>
    </row>
    <row r="28" spans="1:9" ht="12.6" customHeight="1" x14ac:dyDescent="0.2">
      <c r="A28" s="579" t="s">
        <v>502</v>
      </c>
      <c r="B28" s="579"/>
      <c r="C28" s="5">
        <f>ROUND((241500*0.7/50000)+ROUND(5/2,0),0)</f>
        <v>6</v>
      </c>
      <c r="D28" s="586" t="s">
        <v>503</v>
      </c>
      <c r="E28" s="586"/>
    </row>
    <row r="29" spans="1:9" ht="12.6" customHeight="1" x14ac:dyDescent="0.2">
      <c r="A29" s="579" t="s">
        <v>504</v>
      </c>
      <c r="B29" s="579"/>
      <c r="C29" s="5">
        <f>C28*C30</f>
        <v>60</v>
      </c>
      <c r="D29" s="586" t="s">
        <v>505</v>
      </c>
      <c r="E29" s="586"/>
    </row>
    <row r="30" spans="1:9" ht="12.6" customHeight="1" x14ac:dyDescent="0.2">
      <c r="A30" s="579" t="s">
        <v>506</v>
      </c>
      <c r="B30" s="579"/>
      <c r="C30" s="5">
        <v>10</v>
      </c>
      <c r="D30" s="586"/>
      <c r="E30" s="586"/>
    </row>
    <row r="31" spans="1:9" x14ac:dyDescent="0.2">
      <c r="A31" s="583" t="s">
        <v>507</v>
      </c>
      <c r="B31" s="583"/>
      <c r="C31" s="583"/>
      <c r="D31" s="583"/>
      <c r="E31" s="583"/>
    </row>
    <row r="32" spans="1:9" x14ac:dyDescent="0.2">
      <c r="A32" s="532"/>
      <c r="B32" s="532"/>
      <c r="C32" s="532"/>
      <c r="D32" s="532"/>
      <c r="E32" s="532"/>
    </row>
    <row r="33" spans="1:5" x14ac:dyDescent="0.2">
      <c r="A33" s="91" t="s">
        <v>508</v>
      </c>
      <c r="B33" s="91">
        <v>2022</v>
      </c>
      <c r="C33" s="91">
        <v>2019</v>
      </c>
      <c r="D33" s="91">
        <v>2013</v>
      </c>
      <c r="E33" s="532"/>
    </row>
    <row r="34" spans="1:5" x14ac:dyDescent="0.2">
      <c r="A34" s="91" t="s">
        <v>509</v>
      </c>
      <c r="B34" s="150">
        <v>34667.949999999997</v>
      </c>
      <c r="C34" s="150">
        <v>57630.400000000001</v>
      </c>
      <c r="D34" s="150">
        <v>57630.400000000001</v>
      </c>
      <c r="E34" s="532"/>
    </row>
    <row r="35" spans="1:5" x14ac:dyDescent="0.2">
      <c r="A35" s="91" t="s">
        <v>510</v>
      </c>
      <c r="B35" s="150">
        <v>421.26</v>
      </c>
      <c r="C35" s="151">
        <v>501</v>
      </c>
      <c r="D35" s="151">
        <v>501</v>
      </c>
      <c r="E35" s="532"/>
    </row>
    <row r="36" spans="1:5" x14ac:dyDescent="0.2">
      <c r="A36" s="91" t="s">
        <v>511</v>
      </c>
      <c r="B36" s="91" t="s">
        <v>512</v>
      </c>
      <c r="C36" s="91" t="s">
        <v>513</v>
      </c>
      <c r="D36" s="91" t="s">
        <v>514</v>
      </c>
      <c r="E36" s="532"/>
    </row>
    <row r="37" spans="1:5" x14ac:dyDescent="0.2">
      <c r="A37" s="91"/>
      <c r="B37" s="91"/>
      <c r="C37" s="91"/>
      <c r="D37" s="91"/>
      <c r="E37" s="532"/>
    </row>
    <row r="38" spans="1:5" x14ac:dyDescent="0.2">
      <c r="A38" s="91" t="s">
        <v>515</v>
      </c>
      <c r="B38" s="150">
        <f t="shared" ref="B38:C38" si="0">B34+B35</f>
        <v>35089.21</v>
      </c>
      <c r="C38" s="150">
        <f t="shared" si="0"/>
        <v>58131.4</v>
      </c>
      <c r="D38" s="150">
        <f>D34+D35</f>
        <v>58131.4</v>
      </c>
    </row>
    <row r="40" spans="1:5" ht="13.9" customHeight="1" x14ac:dyDescent="0.2"/>
    <row r="41" spans="1:5" s="28" customFormat="1" hidden="1" x14ac:dyDescent="0.2">
      <c r="A41" s="28" t="s">
        <v>184</v>
      </c>
      <c r="D41" s="30"/>
      <c r="E41" s="31"/>
    </row>
  </sheetData>
  <mergeCells count="14">
    <mergeCell ref="A1:F1"/>
    <mergeCell ref="A26:E26"/>
    <mergeCell ref="A24:E24"/>
    <mergeCell ref="A25:E25"/>
    <mergeCell ref="A18:I18"/>
    <mergeCell ref="E3:E16"/>
    <mergeCell ref="A30:B30"/>
    <mergeCell ref="D30:E30"/>
    <mergeCell ref="A31:E31"/>
    <mergeCell ref="A27:E27"/>
    <mergeCell ref="A28:B28"/>
    <mergeCell ref="D28:E28"/>
    <mergeCell ref="A29:B29"/>
    <mergeCell ref="D29:E2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dimension ref="A1:BK232"/>
  <sheetViews>
    <sheetView zoomScale="85" zoomScaleNormal="85" workbookViewId="0">
      <selection sqref="A1:AC1"/>
    </sheetView>
  </sheetViews>
  <sheetFormatPr defaultColWidth="9.28515625" defaultRowHeight="12" x14ac:dyDescent="0.25"/>
  <cols>
    <col min="1" max="1" width="25" style="45" customWidth="1"/>
    <col min="2" max="2" width="19.7109375" style="45" customWidth="1"/>
    <col min="3" max="3" width="15.28515625" style="45" customWidth="1"/>
    <col min="4" max="4" width="26.5703125" style="45" customWidth="1"/>
    <col min="5" max="5" width="9.28515625" style="45" customWidth="1"/>
    <col min="6" max="29" width="5.7109375" style="45" customWidth="1"/>
    <col min="30" max="16384" width="9.28515625" style="45"/>
  </cols>
  <sheetData>
    <row r="1" spans="1:63" ht="24" customHeight="1" x14ac:dyDescent="0.25">
      <c r="A1" s="806" t="str">
        <f>"Schedules - "&amp;Prototype!A2</f>
        <v>Schedules - Hospital</v>
      </c>
      <c r="B1" s="806"/>
      <c r="C1" s="806"/>
      <c r="D1" s="806"/>
      <c r="E1" s="806"/>
      <c r="F1" s="806"/>
      <c r="G1" s="806"/>
      <c r="H1" s="806"/>
      <c r="I1" s="806"/>
      <c r="J1" s="806"/>
      <c r="K1" s="806"/>
      <c r="L1" s="806"/>
      <c r="M1" s="806"/>
      <c r="N1" s="806"/>
      <c r="O1" s="806"/>
      <c r="P1" s="806"/>
      <c r="Q1" s="806"/>
      <c r="R1" s="806"/>
      <c r="S1" s="806"/>
      <c r="T1" s="806"/>
      <c r="U1" s="806"/>
      <c r="V1" s="806"/>
      <c r="W1" s="806"/>
      <c r="X1" s="806"/>
      <c r="Y1" s="806"/>
      <c r="Z1" s="806"/>
      <c r="AA1" s="806"/>
      <c r="AB1" s="806"/>
      <c r="AC1" s="807"/>
      <c r="AD1" s="46"/>
      <c r="AE1" s="46"/>
      <c r="AF1" s="46"/>
      <c r="AG1" s="46"/>
      <c r="AH1" s="46"/>
      <c r="AI1" s="47"/>
      <c r="AJ1" s="47"/>
      <c r="AK1" s="47"/>
    </row>
    <row r="2" spans="1:63" ht="24" customHeight="1" x14ac:dyDescent="0.25">
      <c r="A2" s="800" t="s">
        <v>516</v>
      </c>
      <c r="B2" s="800" t="s">
        <v>80</v>
      </c>
      <c r="C2" s="800" t="s">
        <v>517</v>
      </c>
      <c r="D2" s="800" t="s">
        <v>41</v>
      </c>
      <c r="E2" s="800" t="s">
        <v>518</v>
      </c>
      <c r="F2" s="808" t="s">
        <v>469</v>
      </c>
      <c r="G2" s="808"/>
      <c r="H2" s="808"/>
      <c r="I2" s="808"/>
      <c r="J2" s="808"/>
      <c r="K2" s="808"/>
      <c r="L2" s="808"/>
      <c r="M2" s="808"/>
      <c r="N2" s="808"/>
      <c r="O2" s="808"/>
      <c r="P2" s="808"/>
      <c r="Q2" s="808"/>
      <c r="R2" s="808"/>
      <c r="S2" s="808"/>
      <c r="T2" s="808"/>
      <c r="U2" s="808"/>
      <c r="V2" s="808"/>
      <c r="W2" s="808"/>
      <c r="X2" s="808"/>
      <c r="Y2" s="808"/>
      <c r="Z2" s="808"/>
      <c r="AA2" s="808"/>
      <c r="AB2" s="808"/>
      <c r="AC2" s="808"/>
      <c r="AD2" s="46"/>
      <c r="AE2" s="46"/>
      <c r="AF2" s="46"/>
      <c r="AG2" s="46"/>
      <c r="AH2" s="46"/>
      <c r="AI2" s="47"/>
      <c r="AJ2" s="47"/>
      <c r="AK2" s="47"/>
    </row>
    <row r="3" spans="1:63" ht="25.15" customHeight="1" thickBot="1" x14ac:dyDescent="0.3">
      <c r="A3" s="801"/>
      <c r="B3" s="801"/>
      <c r="C3" s="801"/>
      <c r="D3" s="801"/>
      <c r="E3" s="801"/>
      <c r="F3" s="557">
        <v>1</v>
      </c>
      <c r="G3" s="557">
        <v>2</v>
      </c>
      <c r="H3" s="557">
        <v>3</v>
      </c>
      <c r="I3" s="557">
        <v>4</v>
      </c>
      <c r="J3" s="557">
        <v>5</v>
      </c>
      <c r="K3" s="557">
        <v>6</v>
      </c>
      <c r="L3" s="557">
        <v>7</v>
      </c>
      <c r="M3" s="557">
        <v>8</v>
      </c>
      <c r="N3" s="557">
        <v>9</v>
      </c>
      <c r="O3" s="557">
        <v>10</v>
      </c>
      <c r="P3" s="557">
        <v>11</v>
      </c>
      <c r="Q3" s="557">
        <v>12</v>
      </c>
      <c r="R3" s="557">
        <v>13</v>
      </c>
      <c r="S3" s="557">
        <v>14</v>
      </c>
      <c r="T3" s="557">
        <v>15</v>
      </c>
      <c r="U3" s="557">
        <v>16</v>
      </c>
      <c r="V3" s="557">
        <v>17</v>
      </c>
      <c r="W3" s="557">
        <v>18</v>
      </c>
      <c r="X3" s="557">
        <v>19</v>
      </c>
      <c r="Y3" s="557">
        <v>20</v>
      </c>
      <c r="Z3" s="557">
        <v>21</v>
      </c>
      <c r="AA3" s="557">
        <v>22</v>
      </c>
      <c r="AB3" s="557">
        <v>23</v>
      </c>
      <c r="AC3" s="557">
        <v>24</v>
      </c>
      <c r="AD3" s="47"/>
      <c r="AE3" s="47"/>
      <c r="AF3" s="47"/>
      <c r="AG3" s="47"/>
      <c r="AH3" s="47"/>
      <c r="AI3" s="47"/>
      <c r="AJ3" s="47"/>
      <c r="AK3" s="47"/>
      <c r="AM3" s="45" t="s">
        <v>470</v>
      </c>
    </row>
    <row r="4" spans="1:63" ht="25.15" customHeight="1" x14ac:dyDescent="0.25">
      <c r="A4" s="713" t="s">
        <v>519</v>
      </c>
      <c r="B4" s="702" t="s">
        <v>97</v>
      </c>
      <c r="C4" s="702" t="s">
        <v>520</v>
      </c>
      <c r="D4" s="708" t="s">
        <v>521</v>
      </c>
      <c r="E4" s="554" t="s">
        <v>386</v>
      </c>
      <c r="F4" s="554">
        <v>0</v>
      </c>
      <c r="G4" s="554">
        <v>0</v>
      </c>
      <c r="H4" s="554">
        <v>0</v>
      </c>
      <c r="I4" s="554">
        <v>0</v>
      </c>
      <c r="J4" s="554">
        <v>0</v>
      </c>
      <c r="K4" s="554">
        <v>0</v>
      </c>
      <c r="L4" s="554">
        <v>0</v>
      </c>
      <c r="M4" s="554">
        <v>0.1</v>
      </c>
      <c r="N4" s="554">
        <v>0.5</v>
      </c>
      <c r="O4" s="554">
        <v>0.8</v>
      </c>
      <c r="P4" s="554">
        <v>0.8</v>
      </c>
      <c r="Q4" s="554">
        <v>0.8</v>
      </c>
      <c r="R4" s="554">
        <v>0.8</v>
      </c>
      <c r="S4" s="554">
        <v>0.8</v>
      </c>
      <c r="T4" s="554">
        <v>0.8</v>
      </c>
      <c r="U4" s="554">
        <v>0.8</v>
      </c>
      <c r="V4" s="554">
        <v>0.8</v>
      </c>
      <c r="W4" s="554">
        <v>0.5</v>
      </c>
      <c r="X4" s="554">
        <v>0.3</v>
      </c>
      <c r="Y4" s="554">
        <v>0.3</v>
      </c>
      <c r="Z4" s="554">
        <v>0.2</v>
      </c>
      <c r="AA4" s="554">
        <v>0.2</v>
      </c>
      <c r="AB4" s="554">
        <v>0</v>
      </c>
      <c r="AC4" s="255">
        <v>0</v>
      </c>
      <c r="AD4" s="47"/>
      <c r="AE4" s="47"/>
      <c r="AF4" s="47"/>
      <c r="AG4" s="47"/>
      <c r="AH4" s="47"/>
      <c r="AI4" s="47"/>
      <c r="AJ4" s="47"/>
      <c r="AK4" s="47"/>
      <c r="AM4"/>
      <c r="AN4" s="45">
        <v>0.34899999999999998</v>
      </c>
      <c r="AO4" s="45">
        <v>0.34899999999999998</v>
      </c>
      <c r="AP4" s="45">
        <v>0.34899999999999998</v>
      </c>
      <c r="AQ4" s="45">
        <v>0.34899999999999998</v>
      </c>
      <c r="AR4" s="45">
        <v>0.34899999999999998</v>
      </c>
      <c r="AS4" s="45">
        <v>0.34899999999999998</v>
      </c>
      <c r="AT4" s="45">
        <v>0.34899999999999998</v>
      </c>
      <c r="AU4" s="45">
        <v>0.68200000000000005</v>
      </c>
      <c r="AV4" s="45">
        <v>0.877</v>
      </c>
      <c r="AW4" s="45">
        <v>0.877</v>
      </c>
      <c r="AX4" s="45">
        <v>0.877</v>
      </c>
      <c r="AY4" s="45">
        <v>0.877</v>
      </c>
      <c r="AZ4" s="45">
        <v>0.877</v>
      </c>
      <c r="BA4" s="45">
        <v>0.877</v>
      </c>
      <c r="BB4" s="45">
        <v>0.877</v>
      </c>
      <c r="BC4" s="45">
        <v>0.877</v>
      </c>
      <c r="BD4" s="45">
        <v>0.58399999999999996</v>
      </c>
      <c r="BE4" s="45">
        <v>0.58399999999999996</v>
      </c>
      <c r="BF4" s="45">
        <v>0.58399999999999996</v>
      </c>
      <c r="BG4" s="45">
        <v>0.58399999999999996</v>
      </c>
      <c r="BH4" s="45">
        <v>0.58399999999999996</v>
      </c>
      <c r="BI4" s="45">
        <v>0.58399999999999996</v>
      </c>
      <c r="BJ4" s="45">
        <v>0.52400000000000002</v>
      </c>
      <c r="BK4" s="45">
        <v>0.34899999999999998</v>
      </c>
    </row>
    <row r="5" spans="1:63" ht="33" customHeight="1" x14ac:dyDescent="0.25">
      <c r="A5" s="714"/>
      <c r="B5" s="703"/>
      <c r="C5" s="703"/>
      <c r="D5" s="709"/>
      <c r="E5" s="555" t="s">
        <v>387</v>
      </c>
      <c r="F5" s="555">
        <v>0</v>
      </c>
      <c r="G5" s="555">
        <v>0</v>
      </c>
      <c r="H5" s="555">
        <v>0</v>
      </c>
      <c r="I5" s="555">
        <v>0</v>
      </c>
      <c r="J5" s="555">
        <v>0</v>
      </c>
      <c r="K5" s="555">
        <v>0</v>
      </c>
      <c r="L5" s="555">
        <v>0</v>
      </c>
      <c r="M5" s="555">
        <v>0.1</v>
      </c>
      <c r="N5" s="555">
        <v>0.3</v>
      </c>
      <c r="O5" s="555">
        <v>0.4</v>
      </c>
      <c r="P5" s="555">
        <v>0.4</v>
      </c>
      <c r="Q5" s="555">
        <v>0.4</v>
      </c>
      <c r="R5" s="555">
        <v>0.4</v>
      </c>
      <c r="S5" s="555">
        <v>0.4</v>
      </c>
      <c r="T5" s="555">
        <v>0.4</v>
      </c>
      <c r="U5" s="555">
        <v>0.4</v>
      </c>
      <c r="V5" s="555">
        <v>0.4</v>
      </c>
      <c r="W5" s="555">
        <v>0.1</v>
      </c>
      <c r="X5" s="555">
        <v>0.1</v>
      </c>
      <c r="Y5" s="555">
        <v>0</v>
      </c>
      <c r="Z5" s="555">
        <v>0</v>
      </c>
      <c r="AA5" s="555">
        <v>0</v>
      </c>
      <c r="AB5" s="555">
        <v>0</v>
      </c>
      <c r="AC5" s="256">
        <v>0</v>
      </c>
      <c r="AD5" s="47"/>
      <c r="AE5" s="47"/>
      <c r="AF5" s="47"/>
      <c r="AG5" s="47"/>
      <c r="AH5" s="47"/>
      <c r="AI5" s="47"/>
      <c r="AJ5" s="47"/>
      <c r="AK5" s="47"/>
      <c r="AM5"/>
      <c r="AN5" s="45">
        <v>0.34899999999999998</v>
      </c>
      <c r="AO5" s="45">
        <v>0.34899999999999998</v>
      </c>
      <c r="AP5" s="45">
        <v>0.34899999999999998</v>
      </c>
      <c r="AQ5" s="45">
        <v>0.34899999999999998</v>
      </c>
      <c r="AR5" s="45">
        <v>0.34899999999999998</v>
      </c>
      <c r="AS5" s="45">
        <v>0.34899999999999998</v>
      </c>
      <c r="AT5" s="45">
        <v>0.34899999999999998</v>
      </c>
      <c r="AU5" s="45">
        <v>0.48699999999999999</v>
      </c>
      <c r="AV5" s="45">
        <v>0.63300000000000001</v>
      </c>
      <c r="AW5" s="45">
        <v>0.63300000000000001</v>
      </c>
      <c r="AX5" s="45">
        <v>0.63300000000000001</v>
      </c>
      <c r="AY5" s="45">
        <v>0.63300000000000001</v>
      </c>
      <c r="AZ5" s="45">
        <v>0.63300000000000001</v>
      </c>
      <c r="BA5" s="45">
        <v>0.63300000000000001</v>
      </c>
      <c r="BB5" s="45">
        <v>0.63300000000000001</v>
      </c>
      <c r="BC5" s="45">
        <v>0.63300000000000001</v>
      </c>
      <c r="BD5" s="45">
        <v>0.63300000000000001</v>
      </c>
      <c r="BE5" s="45">
        <v>0.63300000000000001</v>
      </c>
      <c r="BF5" s="45">
        <v>0.34899999999999998</v>
      </c>
      <c r="BG5" s="45">
        <v>0.34899999999999998</v>
      </c>
      <c r="BH5" s="45">
        <v>0.34899999999999998</v>
      </c>
      <c r="BI5" s="45">
        <v>0.34899999999999998</v>
      </c>
      <c r="BJ5" s="45">
        <v>0.34899999999999998</v>
      </c>
      <c r="BK5" s="45">
        <v>0.34899999999999998</v>
      </c>
    </row>
    <row r="6" spans="1:63" ht="33" customHeight="1" thickBot="1" x14ac:dyDescent="0.3">
      <c r="A6" s="715"/>
      <c r="B6" s="704"/>
      <c r="C6" s="704"/>
      <c r="D6" s="710"/>
      <c r="E6" s="556" t="s">
        <v>388</v>
      </c>
      <c r="F6" s="556">
        <v>0</v>
      </c>
      <c r="G6" s="556">
        <v>0</v>
      </c>
      <c r="H6" s="556">
        <v>0</v>
      </c>
      <c r="I6" s="556">
        <v>0</v>
      </c>
      <c r="J6" s="556">
        <v>0</v>
      </c>
      <c r="K6" s="556">
        <v>0</v>
      </c>
      <c r="L6" s="556">
        <v>0</v>
      </c>
      <c r="M6" s="556">
        <v>0</v>
      </c>
      <c r="N6" s="556">
        <v>0.05</v>
      </c>
      <c r="O6" s="556">
        <v>0.05</v>
      </c>
      <c r="P6" s="556">
        <v>0.05</v>
      </c>
      <c r="Q6" s="556">
        <v>0.05</v>
      </c>
      <c r="R6" s="556">
        <v>0.05</v>
      </c>
      <c r="S6" s="556">
        <v>0.05</v>
      </c>
      <c r="T6" s="556">
        <v>0.05</v>
      </c>
      <c r="U6" s="556">
        <v>0.05</v>
      </c>
      <c r="V6" s="556">
        <v>0</v>
      </c>
      <c r="W6" s="556">
        <v>0</v>
      </c>
      <c r="X6" s="556">
        <v>0</v>
      </c>
      <c r="Y6" s="556">
        <v>0</v>
      </c>
      <c r="Z6" s="556">
        <v>0</v>
      </c>
      <c r="AA6" s="556">
        <v>0</v>
      </c>
      <c r="AB6" s="556">
        <v>0</v>
      </c>
      <c r="AC6" s="257">
        <v>0</v>
      </c>
      <c r="AD6" s="47"/>
      <c r="AE6" s="47"/>
      <c r="AF6" s="47"/>
      <c r="AG6" s="47"/>
      <c r="AH6" s="47"/>
      <c r="AI6" s="47"/>
      <c r="AJ6" s="47"/>
      <c r="AK6" s="47"/>
      <c r="AM6"/>
      <c r="AN6" s="45">
        <v>0.26200000000000001</v>
      </c>
      <c r="AO6" s="45">
        <v>0.26200000000000001</v>
      </c>
      <c r="AP6" s="45">
        <v>0.26200000000000001</v>
      </c>
      <c r="AQ6" s="45">
        <v>0.26200000000000001</v>
      </c>
      <c r="AR6" s="45">
        <v>0.26200000000000001</v>
      </c>
      <c r="AS6" s="45">
        <v>0.26200000000000001</v>
      </c>
      <c r="AT6" s="45">
        <v>0.26200000000000001</v>
      </c>
      <c r="AU6" s="45">
        <v>0.26200000000000001</v>
      </c>
      <c r="AV6" s="45">
        <v>0.34899999999999998</v>
      </c>
      <c r="AW6" s="45">
        <v>0.34899999999999998</v>
      </c>
      <c r="AX6" s="45">
        <v>0.34899999999999998</v>
      </c>
      <c r="AY6" s="45">
        <v>0.34899999999999998</v>
      </c>
      <c r="AZ6" s="45">
        <v>0.34899999999999998</v>
      </c>
      <c r="BA6" s="45">
        <v>0.34899999999999998</v>
      </c>
      <c r="BB6" s="45">
        <v>0.34899999999999998</v>
      </c>
      <c r="BC6" s="45">
        <v>0.34899999999999998</v>
      </c>
      <c r="BD6" s="45">
        <v>0.26200000000000001</v>
      </c>
      <c r="BE6" s="45">
        <v>0.26200000000000001</v>
      </c>
      <c r="BF6" s="45">
        <v>0.26200000000000001</v>
      </c>
      <c r="BG6" s="45">
        <v>0.26200000000000001</v>
      </c>
      <c r="BH6" s="45">
        <v>0.26200000000000001</v>
      </c>
      <c r="BI6" s="45">
        <v>0.26200000000000001</v>
      </c>
      <c r="BJ6" s="45">
        <v>0.26200000000000001</v>
      </c>
      <c r="BK6" s="45">
        <v>0.26200000000000001</v>
      </c>
    </row>
    <row r="7" spans="1:63" ht="38.65" customHeight="1" x14ac:dyDescent="0.25">
      <c r="A7" s="657" t="s">
        <v>519</v>
      </c>
      <c r="B7" s="722" t="s">
        <v>97</v>
      </c>
      <c r="C7" s="705" t="s">
        <v>522</v>
      </c>
      <c r="D7" s="802" t="s">
        <v>521</v>
      </c>
      <c r="E7" s="545" t="s">
        <v>386</v>
      </c>
      <c r="F7" s="545">
        <v>0.1</v>
      </c>
      <c r="G7" s="545">
        <v>0.1</v>
      </c>
      <c r="H7" s="545">
        <v>0.1</v>
      </c>
      <c r="I7" s="545">
        <v>0.1</v>
      </c>
      <c r="J7" s="545">
        <v>0.1</v>
      </c>
      <c r="K7" s="545">
        <v>0.1</v>
      </c>
      <c r="L7" s="545">
        <v>0.1</v>
      </c>
      <c r="M7" s="545">
        <v>0.45</v>
      </c>
      <c r="N7" s="545">
        <v>0.8</v>
      </c>
      <c r="O7" s="545">
        <v>0.8</v>
      </c>
      <c r="P7" s="545">
        <v>0.8</v>
      </c>
      <c r="Q7" s="545">
        <v>0.8</v>
      </c>
      <c r="R7" s="545">
        <v>0.8</v>
      </c>
      <c r="S7" s="545">
        <v>0.8</v>
      </c>
      <c r="T7" s="545">
        <v>0.8</v>
      </c>
      <c r="U7" s="545">
        <v>0.8</v>
      </c>
      <c r="V7" s="545">
        <v>0.3</v>
      </c>
      <c r="W7" s="545">
        <v>0.3</v>
      </c>
      <c r="X7" s="545">
        <v>0.3</v>
      </c>
      <c r="Y7" s="545">
        <v>0.3</v>
      </c>
      <c r="Z7" s="545">
        <v>0.3</v>
      </c>
      <c r="AA7" s="545">
        <v>0.3</v>
      </c>
      <c r="AB7" s="545">
        <v>0.3</v>
      </c>
      <c r="AC7" s="258">
        <v>0.1</v>
      </c>
      <c r="AD7" s="47"/>
      <c r="AE7" s="47"/>
      <c r="AF7" s="47"/>
      <c r="AG7" s="47"/>
      <c r="AH7" s="47"/>
      <c r="AI7" s="47"/>
      <c r="AJ7" s="47"/>
      <c r="AK7" s="47"/>
      <c r="AM7" s="59"/>
    </row>
    <row r="8" spans="1:63" ht="38.65" customHeight="1" x14ac:dyDescent="0.25">
      <c r="A8" s="700"/>
      <c r="B8" s="703"/>
      <c r="C8" s="706"/>
      <c r="D8" s="709"/>
      <c r="E8" s="536" t="s">
        <v>387</v>
      </c>
      <c r="F8" s="536">
        <v>0.1</v>
      </c>
      <c r="G8" s="536">
        <v>0.1</v>
      </c>
      <c r="H8" s="536">
        <v>0.1</v>
      </c>
      <c r="I8" s="536">
        <v>0.1</v>
      </c>
      <c r="J8" s="536">
        <v>0.1</v>
      </c>
      <c r="K8" s="536">
        <v>0.1</v>
      </c>
      <c r="L8" s="536">
        <v>0.1</v>
      </c>
      <c r="M8" s="536">
        <v>0.2</v>
      </c>
      <c r="N8" s="536">
        <v>0.35</v>
      </c>
      <c r="O8" s="536">
        <v>0.35</v>
      </c>
      <c r="P8" s="536">
        <v>0.35</v>
      </c>
      <c r="Q8" s="536">
        <v>0.35</v>
      </c>
      <c r="R8" s="536">
        <v>0.35</v>
      </c>
      <c r="S8" s="536">
        <v>0.35</v>
      </c>
      <c r="T8" s="536">
        <v>0.35</v>
      </c>
      <c r="U8" s="536">
        <v>0.35</v>
      </c>
      <c r="V8" s="536">
        <v>0.35</v>
      </c>
      <c r="W8" s="536">
        <v>0.35</v>
      </c>
      <c r="X8" s="536">
        <v>0.1</v>
      </c>
      <c r="Y8" s="536">
        <v>0.1</v>
      </c>
      <c r="Z8" s="536">
        <v>0.1</v>
      </c>
      <c r="AA8" s="536">
        <v>0.1</v>
      </c>
      <c r="AB8" s="536">
        <v>0.1</v>
      </c>
      <c r="AC8" s="259">
        <v>0.1</v>
      </c>
      <c r="AD8" s="47"/>
      <c r="AE8" s="47"/>
      <c r="AF8" s="47"/>
      <c r="AG8" s="47"/>
      <c r="AH8" s="47"/>
      <c r="AI8" s="47"/>
      <c r="AJ8" s="47"/>
      <c r="AK8" s="47"/>
      <c r="AM8" s="59"/>
    </row>
    <row r="9" spans="1:63" ht="38.65" customHeight="1" thickBot="1" x14ac:dyDescent="0.3">
      <c r="A9" s="701"/>
      <c r="B9" s="704"/>
      <c r="C9" s="723"/>
      <c r="D9" s="803"/>
      <c r="E9" s="260" t="s">
        <v>388</v>
      </c>
      <c r="F9" s="260">
        <v>0.05</v>
      </c>
      <c r="G9" s="260">
        <v>0.05</v>
      </c>
      <c r="H9" s="260">
        <v>0.05</v>
      </c>
      <c r="I9" s="260">
        <v>0.05</v>
      </c>
      <c r="J9" s="260">
        <v>0.05</v>
      </c>
      <c r="K9" s="260">
        <v>0.05</v>
      </c>
      <c r="L9" s="260">
        <v>0.05</v>
      </c>
      <c r="M9" s="260">
        <v>0.05</v>
      </c>
      <c r="N9" s="260">
        <v>0.1</v>
      </c>
      <c r="O9" s="260">
        <v>0.1</v>
      </c>
      <c r="P9" s="260">
        <v>0.1</v>
      </c>
      <c r="Q9" s="260">
        <v>0.1</v>
      </c>
      <c r="R9" s="260">
        <v>0.1</v>
      </c>
      <c r="S9" s="260">
        <v>0.1</v>
      </c>
      <c r="T9" s="260">
        <v>0.1</v>
      </c>
      <c r="U9" s="260">
        <v>0.1</v>
      </c>
      <c r="V9" s="260">
        <v>0.05</v>
      </c>
      <c r="W9" s="260">
        <v>0.05</v>
      </c>
      <c r="X9" s="260">
        <v>0.05</v>
      </c>
      <c r="Y9" s="260">
        <v>0.05</v>
      </c>
      <c r="Z9" s="260">
        <v>0.05</v>
      </c>
      <c r="AA9" s="260">
        <v>0.05</v>
      </c>
      <c r="AB9" s="260">
        <v>0.05</v>
      </c>
      <c r="AC9" s="261">
        <v>0.05</v>
      </c>
      <c r="AD9" s="47"/>
      <c r="AE9" s="47"/>
      <c r="AF9" s="47"/>
      <c r="AG9" s="47"/>
      <c r="AH9" s="47"/>
      <c r="AI9" s="47"/>
      <c r="AJ9" s="47"/>
      <c r="AK9" s="47"/>
      <c r="AM9" s="59"/>
    </row>
    <row r="10" spans="1:63" ht="36" customHeight="1" x14ac:dyDescent="0.25">
      <c r="A10" s="699" t="s">
        <v>519</v>
      </c>
      <c r="B10" s="702" t="s">
        <v>97</v>
      </c>
      <c r="C10" s="724" t="s">
        <v>523</v>
      </c>
      <c r="D10" s="802" t="s">
        <v>521</v>
      </c>
      <c r="E10" s="262" t="s">
        <v>386</v>
      </c>
      <c r="F10" s="263">
        <v>0.1</v>
      </c>
      <c r="G10" s="263">
        <v>0.1</v>
      </c>
      <c r="H10" s="263">
        <v>0.1</v>
      </c>
      <c r="I10" s="263">
        <v>0.1</v>
      </c>
      <c r="J10" s="263">
        <v>0.1</v>
      </c>
      <c r="K10" s="263">
        <v>0.1</v>
      </c>
      <c r="L10" s="263">
        <v>0.1</v>
      </c>
      <c r="M10" s="263">
        <v>0.5</v>
      </c>
      <c r="N10" s="263">
        <v>0.9</v>
      </c>
      <c r="O10" s="263">
        <v>0.9</v>
      </c>
      <c r="P10" s="263">
        <v>0.9</v>
      </c>
      <c r="Q10" s="263">
        <v>0.9</v>
      </c>
      <c r="R10" s="263">
        <v>0.9</v>
      </c>
      <c r="S10" s="263">
        <v>0.9</v>
      </c>
      <c r="T10" s="263">
        <v>0.9</v>
      </c>
      <c r="U10" s="263">
        <v>0.9</v>
      </c>
      <c r="V10" s="263">
        <v>0.3</v>
      </c>
      <c r="W10" s="263">
        <v>0.3</v>
      </c>
      <c r="X10" s="263">
        <v>0.3</v>
      </c>
      <c r="Y10" s="263">
        <v>0.3</v>
      </c>
      <c r="Z10" s="263">
        <v>0.3</v>
      </c>
      <c r="AA10" s="263">
        <v>0.3</v>
      </c>
      <c r="AB10" s="263">
        <v>0.3</v>
      </c>
      <c r="AC10" s="264">
        <v>0.1</v>
      </c>
      <c r="AD10" s="48"/>
      <c r="AE10" s="47"/>
      <c r="AF10" s="47"/>
      <c r="AG10" s="47"/>
      <c r="AH10" s="47"/>
      <c r="AI10" s="47"/>
      <c r="AJ10" s="47"/>
      <c r="AK10" s="47"/>
      <c r="AM10" s="59"/>
      <c r="AN10" s="82">
        <v>0.34899999999999998</v>
      </c>
      <c r="AO10" s="82">
        <v>0.34899999999999998</v>
      </c>
      <c r="AP10" s="82">
        <v>0.34899999999999998</v>
      </c>
      <c r="AQ10" s="82">
        <v>0.34899999999999998</v>
      </c>
      <c r="AR10" s="82">
        <v>0.34899999999999998</v>
      </c>
      <c r="AS10" s="82">
        <v>0.34899999999999998</v>
      </c>
      <c r="AT10" s="82">
        <v>0.34899999999999998</v>
      </c>
      <c r="AU10" s="82">
        <v>0.68200000000000005</v>
      </c>
      <c r="AV10" s="82">
        <v>0.877</v>
      </c>
      <c r="AW10" s="82">
        <v>0.877</v>
      </c>
      <c r="AX10" s="82">
        <v>0.877</v>
      </c>
      <c r="AY10" s="82">
        <v>0.877</v>
      </c>
      <c r="AZ10" s="82">
        <v>0.877</v>
      </c>
      <c r="BA10" s="82">
        <v>0.877</v>
      </c>
      <c r="BB10" s="82">
        <v>0.877</v>
      </c>
      <c r="BC10" s="82">
        <v>0.877</v>
      </c>
      <c r="BD10" s="82">
        <v>0.58399999999999996</v>
      </c>
      <c r="BE10" s="82">
        <v>0.58399999999999996</v>
      </c>
      <c r="BF10" s="82">
        <v>0.58399999999999996</v>
      </c>
      <c r="BG10" s="82">
        <v>0.58399999999999996</v>
      </c>
      <c r="BH10" s="82">
        <v>0.58399999999999996</v>
      </c>
      <c r="BI10" s="82">
        <v>0.58399999999999996</v>
      </c>
      <c r="BJ10" s="82">
        <v>0.52400000000000002</v>
      </c>
      <c r="BK10" s="82">
        <v>0.34899999999999998</v>
      </c>
    </row>
    <row r="11" spans="1:63" ht="36" customHeight="1" x14ac:dyDescent="0.25">
      <c r="A11" s="700"/>
      <c r="B11" s="703"/>
      <c r="C11" s="706"/>
      <c r="D11" s="709"/>
      <c r="E11" s="536" t="s">
        <v>387</v>
      </c>
      <c r="F11" s="265">
        <v>0.1</v>
      </c>
      <c r="G11" s="265">
        <v>0.1</v>
      </c>
      <c r="H11" s="265">
        <v>0.1</v>
      </c>
      <c r="I11" s="265">
        <v>0.1</v>
      </c>
      <c r="J11" s="265">
        <v>0.1</v>
      </c>
      <c r="K11" s="265">
        <v>0.1</v>
      </c>
      <c r="L11" s="265">
        <v>0.1</v>
      </c>
      <c r="M11" s="265">
        <v>0.2</v>
      </c>
      <c r="N11" s="265">
        <v>0.4</v>
      </c>
      <c r="O11" s="265">
        <v>0.4</v>
      </c>
      <c r="P11" s="265">
        <v>0.4</v>
      </c>
      <c r="Q11" s="265">
        <v>0.4</v>
      </c>
      <c r="R11" s="265">
        <v>0.4</v>
      </c>
      <c r="S11" s="265">
        <v>0.4</v>
      </c>
      <c r="T11" s="265">
        <v>0.4</v>
      </c>
      <c r="U11" s="265">
        <v>0.4</v>
      </c>
      <c r="V11" s="265">
        <v>0.4</v>
      </c>
      <c r="W11" s="265">
        <v>0.4</v>
      </c>
      <c r="X11" s="265">
        <v>0.1</v>
      </c>
      <c r="Y11" s="265">
        <v>0.1</v>
      </c>
      <c r="Z11" s="265">
        <v>0.1</v>
      </c>
      <c r="AA11" s="265">
        <v>0.1</v>
      </c>
      <c r="AB11" s="265">
        <v>0.1</v>
      </c>
      <c r="AC11" s="266">
        <v>0.1</v>
      </c>
      <c r="AD11" s="48"/>
      <c r="AE11" s="47"/>
      <c r="AF11" s="47"/>
      <c r="AG11" s="47"/>
      <c r="AH11" s="47"/>
      <c r="AI11" s="47"/>
      <c r="AJ11" s="47"/>
      <c r="AK11" s="47"/>
      <c r="AM11" s="59"/>
      <c r="AN11" s="82">
        <v>0.34899999999999998</v>
      </c>
      <c r="AO11" s="82">
        <v>0.34899999999999998</v>
      </c>
      <c r="AP11" s="82">
        <v>0.34899999999999998</v>
      </c>
      <c r="AQ11" s="82">
        <v>0.34899999999999998</v>
      </c>
      <c r="AR11" s="82">
        <v>0.34899999999999998</v>
      </c>
      <c r="AS11" s="82">
        <v>0.34899999999999998</v>
      </c>
      <c r="AT11" s="82">
        <v>0.34899999999999998</v>
      </c>
      <c r="AU11" s="82">
        <v>0.48699999999999999</v>
      </c>
      <c r="AV11" s="82">
        <v>0.63300000000000001</v>
      </c>
      <c r="AW11" s="82">
        <v>0.63300000000000001</v>
      </c>
      <c r="AX11" s="82">
        <v>0.63300000000000001</v>
      </c>
      <c r="AY11" s="82">
        <v>0.63300000000000001</v>
      </c>
      <c r="AZ11" s="82">
        <v>0.63300000000000001</v>
      </c>
      <c r="BA11" s="82">
        <v>0.63300000000000001</v>
      </c>
      <c r="BB11" s="82">
        <v>0.63300000000000001</v>
      </c>
      <c r="BC11" s="82">
        <v>0.63300000000000001</v>
      </c>
      <c r="BD11" s="82">
        <v>0.63300000000000001</v>
      </c>
      <c r="BE11" s="82">
        <v>0.63300000000000001</v>
      </c>
      <c r="BF11" s="82">
        <v>0.34899999999999998</v>
      </c>
      <c r="BG11" s="82">
        <v>0.34899999999999998</v>
      </c>
      <c r="BH11" s="82">
        <v>0.34899999999999998</v>
      </c>
      <c r="BI11" s="82">
        <v>0.34899999999999998</v>
      </c>
      <c r="BJ11" s="82">
        <v>0.34899999999999998</v>
      </c>
      <c r="BK11" s="82">
        <v>0.34899999999999998</v>
      </c>
    </row>
    <row r="12" spans="1:63" ht="36" customHeight="1" thickBot="1" x14ac:dyDescent="0.3">
      <c r="A12" s="701"/>
      <c r="B12" s="704"/>
      <c r="C12" s="707"/>
      <c r="D12" s="803"/>
      <c r="E12" s="260" t="s">
        <v>388</v>
      </c>
      <c r="F12" s="267">
        <v>0.05</v>
      </c>
      <c r="G12" s="267">
        <v>0.05</v>
      </c>
      <c r="H12" s="267">
        <v>0.05</v>
      </c>
      <c r="I12" s="267">
        <v>0.05</v>
      </c>
      <c r="J12" s="267">
        <v>0.05</v>
      </c>
      <c r="K12" s="267">
        <v>0.05</v>
      </c>
      <c r="L12" s="267">
        <v>0.05</v>
      </c>
      <c r="M12" s="267">
        <v>0.05</v>
      </c>
      <c r="N12" s="267">
        <v>0.1</v>
      </c>
      <c r="O12" s="267">
        <v>0.1</v>
      </c>
      <c r="P12" s="267">
        <v>0.1</v>
      </c>
      <c r="Q12" s="267">
        <v>0.1</v>
      </c>
      <c r="R12" s="267">
        <v>0.1</v>
      </c>
      <c r="S12" s="267">
        <v>0.1</v>
      </c>
      <c r="T12" s="267">
        <v>0.1</v>
      </c>
      <c r="U12" s="267">
        <v>0.1</v>
      </c>
      <c r="V12" s="267">
        <v>0.05</v>
      </c>
      <c r="W12" s="267">
        <v>0.05</v>
      </c>
      <c r="X12" s="267">
        <v>0.05</v>
      </c>
      <c r="Y12" s="267">
        <v>0.05</v>
      </c>
      <c r="Z12" s="267">
        <v>0.05</v>
      </c>
      <c r="AA12" s="267">
        <v>0.05</v>
      </c>
      <c r="AB12" s="267">
        <v>0.05</v>
      </c>
      <c r="AC12" s="268">
        <v>0.05</v>
      </c>
      <c r="AD12" s="48"/>
      <c r="AE12" s="47"/>
      <c r="AF12" s="47"/>
      <c r="AG12" s="47"/>
      <c r="AH12" s="47"/>
      <c r="AI12" s="47"/>
      <c r="AJ12" s="47"/>
      <c r="AK12" s="47"/>
      <c r="AM12" s="59"/>
      <c r="AN12" s="82">
        <v>0.26200000000000001</v>
      </c>
      <c r="AO12" s="82">
        <v>0.26200000000000001</v>
      </c>
      <c r="AP12" s="82">
        <v>0.26200000000000001</v>
      </c>
      <c r="AQ12" s="82">
        <v>0.26200000000000001</v>
      </c>
      <c r="AR12" s="82">
        <v>0.26200000000000001</v>
      </c>
      <c r="AS12" s="82">
        <v>0.26200000000000001</v>
      </c>
      <c r="AT12" s="82">
        <v>0.26200000000000001</v>
      </c>
      <c r="AU12" s="82">
        <v>0.26200000000000001</v>
      </c>
      <c r="AV12" s="82">
        <v>0.34899999999999998</v>
      </c>
      <c r="AW12" s="82">
        <v>0.34899999999999998</v>
      </c>
      <c r="AX12" s="82">
        <v>0.34899999999999998</v>
      </c>
      <c r="AY12" s="82">
        <v>0.34899999999999998</v>
      </c>
      <c r="AZ12" s="82">
        <v>0.34899999999999998</v>
      </c>
      <c r="BA12" s="82">
        <v>0.34899999999999998</v>
      </c>
      <c r="BB12" s="82">
        <v>0.34899999999999998</v>
      </c>
      <c r="BC12" s="82">
        <v>0.34899999999999998</v>
      </c>
      <c r="BD12" s="82">
        <v>0.26200000000000001</v>
      </c>
      <c r="BE12" s="82">
        <v>0.26200000000000001</v>
      </c>
      <c r="BF12" s="82">
        <v>0.26200000000000001</v>
      </c>
      <c r="BG12" s="82">
        <v>0.26200000000000001</v>
      </c>
      <c r="BH12" s="82">
        <v>0.26200000000000001</v>
      </c>
      <c r="BI12" s="82">
        <v>0.26200000000000001</v>
      </c>
      <c r="BJ12" s="82">
        <v>0.26200000000000001</v>
      </c>
      <c r="BK12" s="82">
        <v>0.26200000000000001</v>
      </c>
    </row>
    <row r="13" spans="1:63" ht="36" customHeight="1" x14ac:dyDescent="0.25">
      <c r="A13" s="699" t="s">
        <v>519</v>
      </c>
      <c r="B13" s="702" t="s">
        <v>97</v>
      </c>
      <c r="C13" s="705" t="s">
        <v>524</v>
      </c>
      <c r="D13" s="802" t="s">
        <v>521</v>
      </c>
      <c r="E13" s="554" t="s">
        <v>386</v>
      </c>
      <c r="F13" s="554">
        <v>0.01</v>
      </c>
      <c r="G13" s="554">
        <v>0.01</v>
      </c>
      <c r="H13" s="554">
        <v>0.01</v>
      </c>
      <c r="I13" s="554">
        <v>0.01</v>
      </c>
      <c r="J13" s="554">
        <v>0.01</v>
      </c>
      <c r="K13" s="554">
        <v>0.01</v>
      </c>
      <c r="L13" s="554">
        <v>0.01</v>
      </c>
      <c r="M13" s="554">
        <v>0.17</v>
      </c>
      <c r="N13" s="554">
        <v>0.57999999999999996</v>
      </c>
      <c r="O13" s="554">
        <v>0.66</v>
      </c>
      <c r="P13" s="554">
        <v>0.78</v>
      </c>
      <c r="Q13" s="554">
        <v>0.82</v>
      </c>
      <c r="R13" s="554">
        <v>0.71</v>
      </c>
      <c r="S13" s="554">
        <v>0.82</v>
      </c>
      <c r="T13" s="554">
        <v>0.78</v>
      </c>
      <c r="U13" s="554">
        <v>0.74</v>
      </c>
      <c r="V13" s="554">
        <v>0.63</v>
      </c>
      <c r="W13" s="554">
        <v>0.41</v>
      </c>
      <c r="X13" s="554">
        <v>0.18</v>
      </c>
      <c r="Y13" s="554">
        <v>0.18</v>
      </c>
      <c r="Z13" s="554">
        <v>0.18</v>
      </c>
      <c r="AA13" s="554">
        <v>0.1</v>
      </c>
      <c r="AB13" s="554">
        <v>0.01</v>
      </c>
      <c r="AC13" s="255">
        <v>0.01</v>
      </c>
      <c r="AD13" s="47"/>
      <c r="AE13" s="47"/>
      <c r="AF13" s="47"/>
      <c r="AG13" s="47"/>
      <c r="AH13" s="47"/>
      <c r="AI13" s="47"/>
      <c r="AJ13" s="47"/>
      <c r="AK13" s="47"/>
      <c r="AM13" s="59"/>
      <c r="AN13" s="82"/>
    </row>
    <row r="14" spans="1:63" ht="36" customHeight="1" x14ac:dyDescent="0.25">
      <c r="A14" s="700"/>
      <c r="B14" s="703"/>
      <c r="C14" s="706"/>
      <c r="D14" s="709"/>
      <c r="E14" s="555" t="s">
        <v>387</v>
      </c>
      <c r="F14" s="555">
        <v>0.01</v>
      </c>
      <c r="G14" s="555">
        <v>0.01</v>
      </c>
      <c r="H14" s="555">
        <v>0.01</v>
      </c>
      <c r="I14" s="555">
        <v>0.01</v>
      </c>
      <c r="J14" s="555">
        <v>0.01</v>
      </c>
      <c r="K14" s="555">
        <v>0.01</v>
      </c>
      <c r="L14" s="555">
        <v>0.01</v>
      </c>
      <c r="M14" s="555">
        <v>0.01</v>
      </c>
      <c r="N14" s="555">
        <v>0.2</v>
      </c>
      <c r="O14" s="555">
        <v>0.28000000000000003</v>
      </c>
      <c r="P14" s="555">
        <v>0.3</v>
      </c>
      <c r="Q14" s="555">
        <v>0.3</v>
      </c>
      <c r="R14" s="555">
        <v>0.24</v>
      </c>
      <c r="S14" s="555">
        <v>0.24</v>
      </c>
      <c r="T14" s="555">
        <v>0.23</v>
      </c>
      <c r="U14" s="555">
        <v>0.23</v>
      </c>
      <c r="V14" s="555">
        <v>0.23</v>
      </c>
      <c r="W14" s="555">
        <v>0.1</v>
      </c>
      <c r="X14" s="555">
        <v>0.01</v>
      </c>
      <c r="Y14" s="555">
        <v>0.01</v>
      </c>
      <c r="Z14" s="555">
        <v>0.01</v>
      </c>
      <c r="AA14" s="555">
        <v>0.01</v>
      </c>
      <c r="AB14" s="555">
        <v>0.01</v>
      </c>
      <c r="AC14" s="256">
        <v>0.01</v>
      </c>
      <c r="AD14" s="47"/>
      <c r="AE14" s="47"/>
      <c r="AF14" s="47"/>
      <c r="AG14" s="47"/>
      <c r="AH14" s="47"/>
      <c r="AI14" s="47"/>
      <c r="AJ14" s="47"/>
      <c r="AK14" s="47"/>
      <c r="AM14" s="59"/>
      <c r="AN14" s="82"/>
    </row>
    <row r="15" spans="1:63" ht="36" customHeight="1" thickBot="1" x14ac:dyDescent="0.3">
      <c r="A15" s="701"/>
      <c r="B15" s="704"/>
      <c r="C15" s="707"/>
      <c r="D15" s="803"/>
      <c r="E15" s="556" t="s">
        <v>388</v>
      </c>
      <c r="F15" s="556">
        <v>0.01</v>
      </c>
      <c r="G15" s="556">
        <v>0.01</v>
      </c>
      <c r="H15" s="556">
        <v>0.01</v>
      </c>
      <c r="I15" s="556">
        <v>0.01</v>
      </c>
      <c r="J15" s="556">
        <v>0.01</v>
      </c>
      <c r="K15" s="556">
        <v>0.01</v>
      </c>
      <c r="L15" s="556">
        <v>0.01</v>
      </c>
      <c r="M15" s="556">
        <v>0.01</v>
      </c>
      <c r="N15" s="556">
        <v>0.01</v>
      </c>
      <c r="O15" s="556">
        <v>0.01</v>
      </c>
      <c r="P15" s="556">
        <v>0.01</v>
      </c>
      <c r="Q15" s="556">
        <v>0.01</v>
      </c>
      <c r="R15" s="556">
        <v>0.01</v>
      </c>
      <c r="S15" s="556">
        <v>0.01</v>
      </c>
      <c r="T15" s="556">
        <v>0.01</v>
      </c>
      <c r="U15" s="556">
        <v>0.01</v>
      </c>
      <c r="V15" s="556">
        <v>0.01</v>
      </c>
      <c r="W15" s="556">
        <v>0.01</v>
      </c>
      <c r="X15" s="556">
        <v>0.01</v>
      </c>
      <c r="Y15" s="556">
        <v>0.01</v>
      </c>
      <c r="Z15" s="556">
        <v>0.01</v>
      </c>
      <c r="AA15" s="556">
        <v>0.01</v>
      </c>
      <c r="AB15" s="556">
        <v>0.01</v>
      </c>
      <c r="AC15" s="257">
        <v>0.01</v>
      </c>
      <c r="AD15" s="47"/>
      <c r="AE15" s="47"/>
      <c r="AF15" s="47"/>
      <c r="AG15" s="47"/>
      <c r="AH15" s="47"/>
      <c r="AI15" s="47"/>
      <c r="AJ15" s="47"/>
      <c r="AK15" s="47"/>
      <c r="AM15" s="59"/>
      <c r="AN15" s="82"/>
    </row>
    <row r="16" spans="1:63" ht="36" customHeight="1" x14ac:dyDescent="0.25">
      <c r="A16" s="699" t="s">
        <v>519</v>
      </c>
      <c r="B16" s="702" t="s">
        <v>97</v>
      </c>
      <c r="C16" s="705" t="s">
        <v>525</v>
      </c>
      <c r="D16" s="802" t="s">
        <v>521</v>
      </c>
      <c r="E16" s="262" t="s">
        <v>386</v>
      </c>
      <c r="F16" s="263">
        <v>0</v>
      </c>
      <c r="G16" s="263">
        <v>0</v>
      </c>
      <c r="H16" s="263">
        <v>0</v>
      </c>
      <c r="I16" s="263">
        <v>0</v>
      </c>
      <c r="J16" s="263">
        <v>0</v>
      </c>
      <c r="K16" s="263">
        <v>0</v>
      </c>
      <c r="L16" s="263">
        <v>0</v>
      </c>
      <c r="M16" s="263">
        <v>0.75</v>
      </c>
      <c r="N16" s="263">
        <v>0.9</v>
      </c>
      <c r="O16" s="263">
        <v>0.9</v>
      </c>
      <c r="P16" s="263">
        <v>0.9</v>
      </c>
      <c r="Q16" s="263">
        <v>0.9</v>
      </c>
      <c r="R16" s="263">
        <v>0.9</v>
      </c>
      <c r="S16" s="263">
        <v>0.9</v>
      </c>
      <c r="T16" s="263">
        <v>0.9</v>
      </c>
      <c r="U16" s="263">
        <v>0.9</v>
      </c>
      <c r="V16" s="263">
        <v>0.9</v>
      </c>
      <c r="W16" s="263">
        <v>0.75</v>
      </c>
      <c r="X16" s="263">
        <v>0.2</v>
      </c>
      <c r="Y16" s="263">
        <v>0.1</v>
      </c>
      <c r="Z16" s="263">
        <v>0</v>
      </c>
      <c r="AA16" s="263">
        <v>0</v>
      </c>
      <c r="AB16" s="263">
        <v>0</v>
      </c>
      <c r="AC16" s="264">
        <v>0</v>
      </c>
      <c r="AD16" s="48"/>
      <c r="AE16" s="47"/>
      <c r="AF16" s="47"/>
      <c r="AG16" s="47"/>
      <c r="AH16" s="47"/>
      <c r="AI16" s="47"/>
      <c r="AJ16" s="47"/>
      <c r="AK16" s="47"/>
      <c r="AM16" s="59"/>
      <c r="AN16" s="82"/>
    </row>
    <row r="17" spans="1:40" ht="36" customHeight="1" x14ac:dyDescent="0.25">
      <c r="A17" s="700"/>
      <c r="B17" s="703"/>
      <c r="C17" s="706"/>
      <c r="D17" s="709"/>
      <c r="E17" s="536" t="s">
        <v>387</v>
      </c>
      <c r="F17" s="265">
        <v>0</v>
      </c>
      <c r="G17" s="265">
        <v>0</v>
      </c>
      <c r="H17" s="265">
        <v>0</v>
      </c>
      <c r="I17" s="265">
        <v>0</v>
      </c>
      <c r="J17" s="265">
        <v>0</v>
      </c>
      <c r="K17" s="265">
        <v>0</v>
      </c>
      <c r="L17" s="265">
        <v>0</v>
      </c>
      <c r="M17" s="265">
        <v>0.3</v>
      </c>
      <c r="N17" s="265">
        <v>0.5</v>
      </c>
      <c r="O17" s="265">
        <v>0.5</v>
      </c>
      <c r="P17" s="265">
        <v>0.5</v>
      </c>
      <c r="Q17" s="265">
        <v>0.5</v>
      </c>
      <c r="R17" s="265">
        <v>0.5</v>
      </c>
      <c r="S17" s="265">
        <v>0.5</v>
      </c>
      <c r="T17" s="265">
        <v>0.5</v>
      </c>
      <c r="U17" s="265">
        <v>0.5</v>
      </c>
      <c r="V17" s="265">
        <v>0.5</v>
      </c>
      <c r="W17" s="265">
        <v>0.3</v>
      </c>
      <c r="X17" s="265">
        <v>0</v>
      </c>
      <c r="Y17" s="265">
        <v>0</v>
      </c>
      <c r="Z17" s="265">
        <v>0</v>
      </c>
      <c r="AA17" s="265">
        <v>0</v>
      </c>
      <c r="AB17" s="265">
        <v>0</v>
      </c>
      <c r="AC17" s="266">
        <v>0</v>
      </c>
      <c r="AD17" s="48"/>
      <c r="AE17" s="47"/>
      <c r="AF17" s="47"/>
      <c r="AG17" s="47"/>
      <c r="AH17" s="47"/>
      <c r="AI17" s="47"/>
      <c r="AJ17" s="47"/>
      <c r="AK17" s="47"/>
      <c r="AM17" s="59"/>
      <c r="AN17" s="82"/>
    </row>
    <row r="18" spans="1:40" ht="36" customHeight="1" thickBot="1" x14ac:dyDescent="0.3">
      <c r="A18" s="747"/>
      <c r="B18" s="799"/>
      <c r="C18" s="723"/>
      <c r="D18" s="780"/>
      <c r="E18" s="260" t="s">
        <v>388</v>
      </c>
      <c r="F18" s="267">
        <v>0</v>
      </c>
      <c r="G18" s="267">
        <v>0</v>
      </c>
      <c r="H18" s="267">
        <v>0</v>
      </c>
      <c r="I18" s="267">
        <v>0</v>
      </c>
      <c r="J18" s="267">
        <v>0</v>
      </c>
      <c r="K18" s="267">
        <v>0</v>
      </c>
      <c r="L18" s="267">
        <v>0</v>
      </c>
      <c r="M18" s="267">
        <v>0</v>
      </c>
      <c r="N18" s="267">
        <v>0</v>
      </c>
      <c r="O18" s="267">
        <v>0</v>
      </c>
      <c r="P18" s="267">
        <v>0</v>
      </c>
      <c r="Q18" s="267">
        <v>0</v>
      </c>
      <c r="R18" s="267">
        <v>0</v>
      </c>
      <c r="S18" s="267">
        <v>0</v>
      </c>
      <c r="T18" s="267">
        <v>0</v>
      </c>
      <c r="U18" s="267">
        <v>0</v>
      </c>
      <c r="V18" s="267">
        <v>0</v>
      </c>
      <c r="W18" s="267">
        <v>0</v>
      </c>
      <c r="X18" s="267">
        <v>0</v>
      </c>
      <c r="Y18" s="267">
        <v>0</v>
      </c>
      <c r="Z18" s="267">
        <v>0</v>
      </c>
      <c r="AA18" s="267">
        <v>0</v>
      </c>
      <c r="AB18" s="267">
        <v>0</v>
      </c>
      <c r="AC18" s="268">
        <v>0</v>
      </c>
      <c r="AD18" s="48"/>
      <c r="AE18" s="47"/>
      <c r="AF18" s="47"/>
      <c r="AG18" s="47"/>
      <c r="AH18" s="47"/>
      <c r="AI18" s="47"/>
      <c r="AJ18" s="47"/>
      <c r="AK18" s="47"/>
      <c r="AM18" s="59"/>
      <c r="AN18" s="82"/>
    </row>
    <row r="19" spans="1:40" ht="36" customHeight="1" x14ac:dyDescent="0.25">
      <c r="A19" s="713" t="s">
        <v>519</v>
      </c>
      <c r="B19" s="702" t="s">
        <v>97</v>
      </c>
      <c r="C19" s="699" t="s">
        <v>526</v>
      </c>
      <c r="D19" s="804" t="s">
        <v>521</v>
      </c>
      <c r="E19" s="262" t="s">
        <v>386</v>
      </c>
      <c r="F19" s="263">
        <v>0.9</v>
      </c>
      <c r="G19" s="263">
        <v>0.9</v>
      </c>
      <c r="H19" s="263">
        <v>0.9</v>
      </c>
      <c r="I19" s="263">
        <v>0.9</v>
      </c>
      <c r="J19" s="263">
        <v>0.9</v>
      </c>
      <c r="K19" s="263">
        <v>0.9</v>
      </c>
      <c r="L19" s="263">
        <v>0.9</v>
      </c>
      <c r="M19" s="263">
        <v>0.9</v>
      </c>
      <c r="N19" s="263">
        <v>0.9</v>
      </c>
      <c r="O19" s="263">
        <v>0.9</v>
      </c>
      <c r="P19" s="263">
        <v>0.9</v>
      </c>
      <c r="Q19" s="263">
        <v>0.9</v>
      </c>
      <c r="R19" s="263">
        <v>0.9</v>
      </c>
      <c r="S19" s="263">
        <v>0.9</v>
      </c>
      <c r="T19" s="263">
        <v>0.9</v>
      </c>
      <c r="U19" s="263">
        <v>0.9</v>
      </c>
      <c r="V19" s="263">
        <v>0.9</v>
      </c>
      <c r="W19" s="263">
        <v>0.9</v>
      </c>
      <c r="X19" s="263">
        <v>0.9</v>
      </c>
      <c r="Y19" s="263">
        <v>0.9</v>
      </c>
      <c r="Z19" s="263">
        <v>0.9</v>
      </c>
      <c r="AA19" s="263">
        <v>0.9</v>
      </c>
      <c r="AB19" s="263">
        <v>0.9</v>
      </c>
      <c r="AC19" s="264">
        <v>0.9</v>
      </c>
      <c r="AD19" s="48"/>
      <c r="AE19" s="47"/>
      <c r="AF19" s="47"/>
      <c r="AG19" s="47"/>
      <c r="AH19" s="47"/>
      <c r="AI19" s="47"/>
      <c r="AJ19" s="47"/>
      <c r="AK19" s="47"/>
      <c r="AM19" s="59"/>
      <c r="AN19" s="82"/>
    </row>
    <row r="20" spans="1:40" ht="36" customHeight="1" x14ac:dyDescent="0.25">
      <c r="A20" s="714"/>
      <c r="B20" s="703"/>
      <c r="C20" s="700"/>
      <c r="D20" s="788"/>
      <c r="E20" s="536" t="s">
        <v>387</v>
      </c>
      <c r="F20" s="265">
        <v>0.9</v>
      </c>
      <c r="G20" s="265">
        <v>0.9</v>
      </c>
      <c r="H20" s="265">
        <v>0.9</v>
      </c>
      <c r="I20" s="265">
        <v>0.9</v>
      </c>
      <c r="J20" s="265">
        <v>0.9</v>
      </c>
      <c r="K20" s="265">
        <v>0.9</v>
      </c>
      <c r="L20" s="265">
        <v>0.9</v>
      </c>
      <c r="M20" s="265">
        <v>0.9</v>
      </c>
      <c r="N20" s="265">
        <v>0.9</v>
      </c>
      <c r="O20" s="265">
        <v>0.9</v>
      </c>
      <c r="P20" s="265">
        <v>0.9</v>
      </c>
      <c r="Q20" s="265">
        <v>0.9</v>
      </c>
      <c r="R20" s="265">
        <v>0.9</v>
      </c>
      <c r="S20" s="265">
        <v>0.9</v>
      </c>
      <c r="T20" s="265">
        <v>0.9</v>
      </c>
      <c r="U20" s="265">
        <v>0.9</v>
      </c>
      <c r="V20" s="265">
        <v>0.9</v>
      </c>
      <c r="W20" s="265">
        <v>0.9</v>
      </c>
      <c r="X20" s="265">
        <v>0.9</v>
      </c>
      <c r="Y20" s="265">
        <v>0.9</v>
      </c>
      <c r="Z20" s="265">
        <v>0.9</v>
      </c>
      <c r="AA20" s="265">
        <v>0.9</v>
      </c>
      <c r="AB20" s="265">
        <v>0.9</v>
      </c>
      <c r="AC20" s="266">
        <v>0.9</v>
      </c>
      <c r="AD20" s="48"/>
      <c r="AE20" s="47"/>
      <c r="AF20" s="47"/>
      <c r="AG20" s="47"/>
      <c r="AH20" s="47"/>
      <c r="AI20" s="47"/>
      <c r="AJ20" s="47"/>
      <c r="AK20" s="47"/>
      <c r="AM20" s="59"/>
      <c r="AN20" s="82"/>
    </row>
    <row r="21" spans="1:40" ht="36" customHeight="1" thickBot="1" x14ac:dyDescent="0.3">
      <c r="A21" s="715"/>
      <c r="B21" s="704"/>
      <c r="C21" s="701"/>
      <c r="D21" s="805"/>
      <c r="E21" s="540" t="s">
        <v>388</v>
      </c>
      <c r="F21" s="269">
        <v>0.9</v>
      </c>
      <c r="G21" s="269">
        <v>0.9</v>
      </c>
      <c r="H21" s="269">
        <v>0.9</v>
      </c>
      <c r="I21" s="269">
        <v>0.9</v>
      </c>
      <c r="J21" s="269">
        <v>0.9</v>
      </c>
      <c r="K21" s="269">
        <v>0.9</v>
      </c>
      <c r="L21" s="269">
        <v>0.9</v>
      </c>
      <c r="M21" s="269">
        <v>0.9</v>
      </c>
      <c r="N21" s="269">
        <v>0.9</v>
      </c>
      <c r="O21" s="269">
        <v>0.9</v>
      </c>
      <c r="P21" s="269">
        <v>0.9</v>
      </c>
      <c r="Q21" s="269">
        <v>0.9</v>
      </c>
      <c r="R21" s="269">
        <v>0.9</v>
      </c>
      <c r="S21" s="269">
        <v>0.9</v>
      </c>
      <c r="T21" s="269">
        <v>0.9</v>
      </c>
      <c r="U21" s="269">
        <v>0.9</v>
      </c>
      <c r="V21" s="269">
        <v>0.9</v>
      </c>
      <c r="W21" s="269">
        <v>0.9</v>
      </c>
      <c r="X21" s="269">
        <v>0.9</v>
      </c>
      <c r="Y21" s="269">
        <v>0.9</v>
      </c>
      <c r="Z21" s="269">
        <v>0.9</v>
      </c>
      <c r="AA21" s="269">
        <v>0.9</v>
      </c>
      <c r="AB21" s="269">
        <v>0.9</v>
      </c>
      <c r="AC21" s="270">
        <v>0.9</v>
      </c>
      <c r="AD21" s="48"/>
      <c r="AE21" s="47"/>
      <c r="AF21" s="47"/>
      <c r="AG21" s="47"/>
      <c r="AH21" s="47"/>
      <c r="AI21" s="47"/>
      <c r="AJ21" s="47"/>
      <c r="AK21" s="47"/>
      <c r="AM21" s="59"/>
      <c r="AN21" s="82"/>
    </row>
    <row r="22" spans="1:40" ht="36" customHeight="1" x14ac:dyDescent="0.25">
      <c r="A22" s="657" t="s">
        <v>527</v>
      </c>
      <c r="B22" s="722" t="s">
        <v>97</v>
      </c>
      <c r="C22" s="657" t="s">
        <v>241</v>
      </c>
      <c r="D22" s="787" t="s">
        <v>521</v>
      </c>
      <c r="E22" s="262" t="s">
        <v>386</v>
      </c>
      <c r="F22" s="263">
        <f>IF(F4=0,1,0.25)</f>
        <v>1</v>
      </c>
      <c r="G22" s="263">
        <f t="shared" ref="G22:AC22" si="0">IF(G4=0,1,0.25)</f>
        <v>1</v>
      </c>
      <c r="H22" s="263">
        <f t="shared" si="0"/>
        <v>1</v>
      </c>
      <c r="I22" s="263">
        <f t="shared" si="0"/>
        <v>1</v>
      </c>
      <c r="J22" s="263">
        <f t="shared" si="0"/>
        <v>1</v>
      </c>
      <c r="K22" s="263">
        <f t="shared" si="0"/>
        <v>1</v>
      </c>
      <c r="L22" s="263">
        <f t="shared" si="0"/>
        <v>1</v>
      </c>
      <c r="M22" s="263">
        <f t="shared" si="0"/>
        <v>0.25</v>
      </c>
      <c r="N22" s="263">
        <f t="shared" si="0"/>
        <v>0.25</v>
      </c>
      <c r="O22" s="263">
        <f t="shared" si="0"/>
        <v>0.25</v>
      </c>
      <c r="P22" s="263">
        <f t="shared" si="0"/>
        <v>0.25</v>
      </c>
      <c r="Q22" s="263">
        <f t="shared" si="0"/>
        <v>0.25</v>
      </c>
      <c r="R22" s="263">
        <f t="shared" si="0"/>
        <v>0.25</v>
      </c>
      <c r="S22" s="263">
        <f t="shared" si="0"/>
        <v>0.25</v>
      </c>
      <c r="T22" s="263">
        <f t="shared" si="0"/>
        <v>0.25</v>
      </c>
      <c r="U22" s="263">
        <f t="shared" si="0"/>
        <v>0.25</v>
      </c>
      <c r="V22" s="263">
        <f t="shared" si="0"/>
        <v>0.25</v>
      </c>
      <c r="W22" s="263">
        <f t="shared" si="0"/>
        <v>0.25</v>
      </c>
      <c r="X22" s="263">
        <f t="shared" si="0"/>
        <v>0.25</v>
      </c>
      <c r="Y22" s="263">
        <f t="shared" si="0"/>
        <v>0.25</v>
      </c>
      <c r="Z22" s="263">
        <f t="shared" si="0"/>
        <v>0.25</v>
      </c>
      <c r="AA22" s="263">
        <f t="shared" si="0"/>
        <v>0.25</v>
      </c>
      <c r="AB22" s="263">
        <f t="shared" si="0"/>
        <v>1</v>
      </c>
      <c r="AC22" s="264">
        <f t="shared" si="0"/>
        <v>1</v>
      </c>
      <c r="AD22" s="48"/>
      <c r="AE22" s="47"/>
      <c r="AF22" s="47"/>
      <c r="AG22" s="47"/>
      <c r="AH22" s="47"/>
      <c r="AI22" s="47"/>
      <c r="AJ22" s="47"/>
      <c r="AK22" s="47"/>
      <c r="AM22" s="59"/>
      <c r="AN22" s="82"/>
    </row>
    <row r="23" spans="1:40" ht="36" customHeight="1" x14ac:dyDescent="0.25">
      <c r="A23" s="700"/>
      <c r="B23" s="703"/>
      <c r="C23" s="700"/>
      <c r="D23" s="788"/>
      <c r="E23" s="536" t="s">
        <v>387</v>
      </c>
      <c r="F23" s="265">
        <f t="shared" ref="F23:F24" si="1">IF(F5=0,1,0.25)</f>
        <v>1</v>
      </c>
      <c r="G23" s="265">
        <f t="shared" ref="G23:AC23" si="2">IF(G5=0,1,0.25)</f>
        <v>1</v>
      </c>
      <c r="H23" s="265">
        <f t="shared" si="2"/>
        <v>1</v>
      </c>
      <c r="I23" s="265">
        <f t="shared" si="2"/>
        <v>1</v>
      </c>
      <c r="J23" s="265">
        <f t="shared" si="2"/>
        <v>1</v>
      </c>
      <c r="K23" s="265">
        <f t="shared" si="2"/>
        <v>1</v>
      </c>
      <c r="L23" s="265">
        <f t="shared" si="2"/>
        <v>1</v>
      </c>
      <c r="M23" s="265">
        <f t="shared" si="2"/>
        <v>0.25</v>
      </c>
      <c r="N23" s="265">
        <f t="shared" si="2"/>
        <v>0.25</v>
      </c>
      <c r="O23" s="265">
        <f t="shared" si="2"/>
        <v>0.25</v>
      </c>
      <c r="P23" s="265">
        <f t="shared" si="2"/>
        <v>0.25</v>
      </c>
      <c r="Q23" s="265">
        <f t="shared" si="2"/>
        <v>0.25</v>
      </c>
      <c r="R23" s="265">
        <f t="shared" si="2"/>
        <v>0.25</v>
      </c>
      <c r="S23" s="265">
        <f t="shared" si="2"/>
        <v>0.25</v>
      </c>
      <c r="T23" s="265">
        <f t="shared" si="2"/>
        <v>0.25</v>
      </c>
      <c r="U23" s="265">
        <f t="shared" si="2"/>
        <v>0.25</v>
      </c>
      <c r="V23" s="265">
        <f t="shared" si="2"/>
        <v>0.25</v>
      </c>
      <c r="W23" s="265">
        <f t="shared" si="2"/>
        <v>0.25</v>
      </c>
      <c r="X23" s="265">
        <f t="shared" si="2"/>
        <v>0.25</v>
      </c>
      <c r="Y23" s="265">
        <f t="shared" si="2"/>
        <v>1</v>
      </c>
      <c r="Z23" s="265">
        <f t="shared" si="2"/>
        <v>1</v>
      </c>
      <c r="AA23" s="265">
        <f t="shared" si="2"/>
        <v>1</v>
      </c>
      <c r="AB23" s="265">
        <f t="shared" si="2"/>
        <v>1</v>
      </c>
      <c r="AC23" s="266">
        <f t="shared" si="2"/>
        <v>1</v>
      </c>
      <c r="AD23" s="48"/>
      <c r="AE23" s="47"/>
      <c r="AF23" s="47"/>
      <c r="AG23" s="47"/>
      <c r="AH23" s="47"/>
      <c r="AI23" s="47"/>
      <c r="AJ23" s="47"/>
      <c r="AK23" s="47"/>
      <c r="AM23" s="59"/>
      <c r="AN23" s="82"/>
    </row>
    <row r="24" spans="1:40" ht="36" customHeight="1" thickBot="1" x14ac:dyDescent="0.3">
      <c r="A24" s="747"/>
      <c r="B24" s="799"/>
      <c r="C24" s="747"/>
      <c r="D24" s="789"/>
      <c r="E24" s="540" t="s">
        <v>388</v>
      </c>
      <c r="F24" s="269">
        <f t="shared" si="1"/>
        <v>1</v>
      </c>
      <c r="G24" s="269">
        <f t="shared" ref="G24:AC24" si="3">IF(G6=0,1,0.25)</f>
        <v>1</v>
      </c>
      <c r="H24" s="269">
        <f t="shared" si="3"/>
        <v>1</v>
      </c>
      <c r="I24" s="269">
        <f t="shared" si="3"/>
        <v>1</v>
      </c>
      <c r="J24" s="269">
        <f t="shared" si="3"/>
        <v>1</v>
      </c>
      <c r="K24" s="269">
        <f t="shared" si="3"/>
        <v>1</v>
      </c>
      <c r="L24" s="269">
        <f t="shared" si="3"/>
        <v>1</v>
      </c>
      <c r="M24" s="269">
        <f t="shared" si="3"/>
        <v>1</v>
      </c>
      <c r="N24" s="269">
        <f t="shared" si="3"/>
        <v>0.25</v>
      </c>
      <c r="O24" s="269">
        <f t="shared" si="3"/>
        <v>0.25</v>
      </c>
      <c r="P24" s="269">
        <f t="shared" si="3"/>
        <v>0.25</v>
      </c>
      <c r="Q24" s="269">
        <f t="shared" si="3"/>
        <v>0.25</v>
      </c>
      <c r="R24" s="269">
        <f t="shared" si="3"/>
        <v>0.25</v>
      </c>
      <c r="S24" s="269">
        <f t="shared" si="3"/>
        <v>0.25</v>
      </c>
      <c r="T24" s="269">
        <f t="shared" si="3"/>
        <v>0.25</v>
      </c>
      <c r="U24" s="269">
        <f t="shared" si="3"/>
        <v>0.25</v>
      </c>
      <c r="V24" s="269">
        <f t="shared" si="3"/>
        <v>1</v>
      </c>
      <c r="W24" s="269">
        <f t="shared" si="3"/>
        <v>1</v>
      </c>
      <c r="X24" s="269">
        <f t="shared" si="3"/>
        <v>1</v>
      </c>
      <c r="Y24" s="269">
        <f t="shared" si="3"/>
        <v>1</v>
      </c>
      <c r="Z24" s="269">
        <f t="shared" si="3"/>
        <v>1</v>
      </c>
      <c r="AA24" s="269">
        <f t="shared" si="3"/>
        <v>1</v>
      </c>
      <c r="AB24" s="269">
        <f t="shared" si="3"/>
        <v>1</v>
      </c>
      <c r="AC24" s="270">
        <f t="shared" si="3"/>
        <v>1</v>
      </c>
      <c r="AD24" s="48"/>
      <c r="AE24" s="47"/>
      <c r="AF24" s="47"/>
      <c r="AG24" s="47"/>
      <c r="AH24" s="47"/>
      <c r="AI24" s="47"/>
      <c r="AJ24" s="47"/>
      <c r="AK24" s="47"/>
      <c r="AM24" s="59"/>
      <c r="AN24" s="82"/>
    </row>
    <row r="25" spans="1:40" ht="31.15" customHeight="1" x14ac:dyDescent="0.25">
      <c r="A25" s="713" t="s">
        <v>519</v>
      </c>
      <c r="B25" s="702" t="s">
        <v>97</v>
      </c>
      <c r="C25" s="699" t="s">
        <v>528</v>
      </c>
      <c r="D25" s="804" t="s">
        <v>521</v>
      </c>
      <c r="E25" s="366" t="s">
        <v>386</v>
      </c>
      <c r="F25" s="271">
        <v>0</v>
      </c>
      <c r="G25" s="271">
        <v>0</v>
      </c>
      <c r="H25" s="271">
        <v>0</v>
      </c>
      <c r="I25" s="271">
        <v>0</v>
      </c>
      <c r="J25" s="271">
        <v>0</v>
      </c>
      <c r="K25" s="271">
        <v>0</v>
      </c>
      <c r="L25" s="271">
        <v>1</v>
      </c>
      <c r="M25" s="271">
        <v>1</v>
      </c>
      <c r="N25" s="271">
        <v>1</v>
      </c>
      <c r="O25" s="271">
        <v>1</v>
      </c>
      <c r="P25" s="271">
        <v>1</v>
      </c>
      <c r="Q25" s="271">
        <v>1</v>
      </c>
      <c r="R25" s="271">
        <v>1</v>
      </c>
      <c r="S25" s="271">
        <v>1</v>
      </c>
      <c r="T25" s="271">
        <v>1</v>
      </c>
      <c r="U25" s="271">
        <v>1</v>
      </c>
      <c r="V25" s="271">
        <v>1</v>
      </c>
      <c r="W25" s="271">
        <v>1</v>
      </c>
      <c r="X25" s="271">
        <v>1</v>
      </c>
      <c r="Y25" s="271">
        <v>1</v>
      </c>
      <c r="Z25" s="271">
        <v>1</v>
      </c>
      <c r="AA25" s="271">
        <v>1</v>
      </c>
      <c r="AB25" s="271">
        <v>0</v>
      </c>
      <c r="AC25" s="272">
        <v>0</v>
      </c>
      <c r="AN25" s="82"/>
    </row>
    <row r="26" spans="1:40" ht="30" customHeight="1" x14ac:dyDescent="0.25">
      <c r="A26" s="714"/>
      <c r="B26" s="703"/>
      <c r="C26" s="700"/>
      <c r="D26" s="788"/>
      <c r="E26" s="367" t="s">
        <v>387</v>
      </c>
      <c r="F26" s="273">
        <v>0</v>
      </c>
      <c r="G26" s="273">
        <v>0</v>
      </c>
      <c r="H26" s="273">
        <v>0</v>
      </c>
      <c r="I26" s="273">
        <v>0</v>
      </c>
      <c r="J26" s="273">
        <v>0</v>
      </c>
      <c r="K26" s="273">
        <v>0</v>
      </c>
      <c r="L26" s="273">
        <v>1</v>
      </c>
      <c r="M26" s="273">
        <v>1</v>
      </c>
      <c r="N26" s="273">
        <v>1</v>
      </c>
      <c r="O26" s="273">
        <v>1</v>
      </c>
      <c r="P26" s="273">
        <v>1</v>
      </c>
      <c r="Q26" s="273">
        <v>1</v>
      </c>
      <c r="R26" s="273">
        <v>1</v>
      </c>
      <c r="S26" s="273">
        <v>1</v>
      </c>
      <c r="T26" s="273">
        <v>1</v>
      </c>
      <c r="U26" s="273">
        <v>1</v>
      </c>
      <c r="V26" s="273">
        <v>1</v>
      </c>
      <c r="W26" s="273">
        <v>1</v>
      </c>
      <c r="X26" s="273">
        <v>1</v>
      </c>
      <c r="Y26" s="273">
        <v>0</v>
      </c>
      <c r="Z26" s="273">
        <v>0</v>
      </c>
      <c r="AA26" s="273">
        <v>0</v>
      </c>
      <c r="AB26" s="273">
        <v>0</v>
      </c>
      <c r="AC26" s="274">
        <v>0</v>
      </c>
      <c r="AN26" s="82"/>
    </row>
    <row r="27" spans="1:40" ht="33" customHeight="1" x14ac:dyDescent="0.25">
      <c r="A27" s="715"/>
      <c r="B27" s="704"/>
      <c r="C27" s="701"/>
      <c r="D27" s="805"/>
      <c r="E27" s="368" t="s">
        <v>388</v>
      </c>
      <c r="F27" s="338">
        <v>0</v>
      </c>
      <c r="G27" s="338">
        <v>0</v>
      </c>
      <c r="H27" s="338">
        <v>0</v>
      </c>
      <c r="I27" s="338">
        <v>0</v>
      </c>
      <c r="J27" s="338">
        <v>0</v>
      </c>
      <c r="K27" s="338">
        <v>0</v>
      </c>
      <c r="L27" s="338">
        <v>0</v>
      </c>
      <c r="M27" s="338">
        <v>1</v>
      </c>
      <c r="N27" s="338">
        <v>1</v>
      </c>
      <c r="O27" s="338">
        <v>1</v>
      </c>
      <c r="P27" s="338">
        <v>1</v>
      </c>
      <c r="Q27" s="338">
        <v>1</v>
      </c>
      <c r="R27" s="338">
        <v>1</v>
      </c>
      <c r="S27" s="338">
        <v>1</v>
      </c>
      <c r="T27" s="338">
        <v>1</v>
      </c>
      <c r="U27" s="338">
        <v>1</v>
      </c>
      <c r="V27" s="338">
        <v>0</v>
      </c>
      <c r="W27" s="338">
        <v>0</v>
      </c>
      <c r="X27" s="338">
        <v>0</v>
      </c>
      <c r="Y27" s="338">
        <v>0</v>
      </c>
      <c r="Z27" s="338">
        <v>0</v>
      </c>
      <c r="AA27" s="338">
        <v>0</v>
      </c>
      <c r="AB27" s="338">
        <v>0</v>
      </c>
      <c r="AC27" s="339">
        <v>0</v>
      </c>
      <c r="AN27" s="82"/>
    </row>
    <row r="28" spans="1:40" ht="22.9" customHeight="1" x14ac:dyDescent="0.25">
      <c r="A28" s="713" t="s">
        <v>519</v>
      </c>
      <c r="B28" s="702" t="s">
        <v>97</v>
      </c>
      <c r="C28" s="716" t="s">
        <v>529</v>
      </c>
      <c r="D28" s="719"/>
      <c r="E28" s="366" t="s">
        <v>386</v>
      </c>
      <c r="F28" s="271">
        <f>IF(F25=0,Thermostat!$B$4,Thermostat!$B$3)</f>
        <v>70</v>
      </c>
      <c r="G28" s="271">
        <f>IF(G25=0,Thermostat!$B$4,Thermostat!$B$3)</f>
        <v>70</v>
      </c>
      <c r="H28" s="271">
        <f>IF(H25=0,Thermostat!$B$4,Thermostat!$B$3)</f>
        <v>70</v>
      </c>
      <c r="I28" s="271">
        <f>IF(I25=0,Thermostat!$B$4,Thermostat!$B$3)</f>
        <v>70</v>
      </c>
      <c r="J28" s="271">
        <f>IF(J25=0,Thermostat!$B$4,Thermostat!$B$3)</f>
        <v>70</v>
      </c>
      <c r="K28" s="271">
        <f>IF(K25=0,Thermostat!$B$4,Thermostat!$B$3)</f>
        <v>70</v>
      </c>
      <c r="L28" s="271">
        <f>IF(L25=0,Thermostat!$B$4,Thermostat!$B$3)</f>
        <v>70</v>
      </c>
      <c r="M28" s="271">
        <f>IF(M25=0,Thermostat!$B$4,Thermostat!$B$3)</f>
        <v>70</v>
      </c>
      <c r="N28" s="271">
        <f>IF(N25=0,Thermostat!$B$4,Thermostat!$B$3)</f>
        <v>70</v>
      </c>
      <c r="O28" s="271">
        <f>IF(O25=0,Thermostat!$B$4,Thermostat!$B$3)</f>
        <v>70</v>
      </c>
      <c r="P28" s="271">
        <f>IF(P25=0,Thermostat!$B$4,Thermostat!$B$3)</f>
        <v>70</v>
      </c>
      <c r="Q28" s="271">
        <f>IF(Q25=0,Thermostat!$B$4,Thermostat!$B$3)</f>
        <v>70</v>
      </c>
      <c r="R28" s="271">
        <f>IF(R25=0,Thermostat!$B$4,Thermostat!$B$3)</f>
        <v>70</v>
      </c>
      <c r="S28" s="271">
        <f>IF(S25=0,Thermostat!$B$4,Thermostat!$B$3)</f>
        <v>70</v>
      </c>
      <c r="T28" s="271">
        <f>IF(T25=0,Thermostat!$B$4,Thermostat!$B$3)</f>
        <v>70</v>
      </c>
      <c r="U28" s="271">
        <f>IF(U25=0,Thermostat!$B$4,Thermostat!$B$3)</f>
        <v>70</v>
      </c>
      <c r="V28" s="271">
        <f>IF(V25=0,Thermostat!$B$4,Thermostat!$B$3)</f>
        <v>70</v>
      </c>
      <c r="W28" s="271">
        <f>IF(W25=0,Thermostat!$B$4,Thermostat!$B$3)</f>
        <v>70</v>
      </c>
      <c r="X28" s="271">
        <f>IF(X25=0,Thermostat!$B$4,Thermostat!$B$3)</f>
        <v>70</v>
      </c>
      <c r="Y28" s="271">
        <f>IF(Y25=0,Thermostat!$B$4,Thermostat!$B$3)</f>
        <v>70</v>
      </c>
      <c r="Z28" s="271">
        <f>IF(Z25=0,Thermostat!$B$4,Thermostat!$B$3)</f>
        <v>70</v>
      </c>
      <c r="AA28" s="271">
        <f>IF(AA25=0,Thermostat!$B$4,Thermostat!$B$3)</f>
        <v>70</v>
      </c>
      <c r="AB28" s="271">
        <f>IF(AB25=0,Thermostat!$B$4,Thermostat!$B$3)</f>
        <v>70</v>
      </c>
      <c r="AC28" s="272">
        <f>IF(AC25=0,Thermostat!$B$4,Thermostat!$B$3)</f>
        <v>70</v>
      </c>
      <c r="AN28" s="82"/>
    </row>
    <row r="29" spans="1:40" ht="22.9" customHeight="1" x14ac:dyDescent="0.25">
      <c r="A29" s="714"/>
      <c r="B29" s="703"/>
      <c r="C29" s="717"/>
      <c r="D29" s="720"/>
      <c r="E29" s="367" t="s">
        <v>387</v>
      </c>
      <c r="F29" s="273">
        <f>IF(F26=0,Thermostat!$B$4,Thermostat!$B$3)</f>
        <v>70</v>
      </c>
      <c r="G29" s="273">
        <f>IF(G26=0,Thermostat!$B$4,Thermostat!$B$3)</f>
        <v>70</v>
      </c>
      <c r="H29" s="273">
        <f>IF(H26=0,Thermostat!$B$4,Thermostat!$B$3)</f>
        <v>70</v>
      </c>
      <c r="I29" s="273">
        <f>IF(I26=0,Thermostat!$B$4,Thermostat!$B$3)</f>
        <v>70</v>
      </c>
      <c r="J29" s="273">
        <f>IF(J26=0,Thermostat!$B$4,Thermostat!$B$3)</f>
        <v>70</v>
      </c>
      <c r="K29" s="273">
        <f>IF(K26=0,Thermostat!$B$4,Thermostat!$B$3)</f>
        <v>70</v>
      </c>
      <c r="L29" s="273">
        <f>IF(L26=0,Thermostat!$B$4,Thermostat!$B$3)</f>
        <v>70</v>
      </c>
      <c r="M29" s="273">
        <f>IF(M26=0,Thermostat!$B$4,Thermostat!$B$3)</f>
        <v>70</v>
      </c>
      <c r="N29" s="273">
        <f>IF(N26=0,Thermostat!$B$4,Thermostat!$B$3)</f>
        <v>70</v>
      </c>
      <c r="O29" s="273">
        <f>IF(O26=0,Thermostat!$B$4,Thermostat!$B$3)</f>
        <v>70</v>
      </c>
      <c r="P29" s="273">
        <f>IF(P26=0,Thermostat!$B$4,Thermostat!$B$3)</f>
        <v>70</v>
      </c>
      <c r="Q29" s="273">
        <f>IF(Q26=0,Thermostat!$B$4,Thermostat!$B$3)</f>
        <v>70</v>
      </c>
      <c r="R29" s="273">
        <f>IF(R26=0,Thermostat!$B$4,Thermostat!$B$3)</f>
        <v>70</v>
      </c>
      <c r="S29" s="273">
        <f>IF(S26=0,Thermostat!$B$4,Thermostat!$B$3)</f>
        <v>70</v>
      </c>
      <c r="T29" s="273">
        <f>IF(T26=0,Thermostat!$B$4,Thermostat!$B$3)</f>
        <v>70</v>
      </c>
      <c r="U29" s="273">
        <f>IF(U26=0,Thermostat!$B$4,Thermostat!$B$3)</f>
        <v>70</v>
      </c>
      <c r="V29" s="273">
        <f>IF(V26=0,Thermostat!$B$4,Thermostat!$B$3)</f>
        <v>70</v>
      </c>
      <c r="W29" s="273">
        <f>IF(W26=0,Thermostat!$B$4,Thermostat!$B$3)</f>
        <v>70</v>
      </c>
      <c r="X29" s="273">
        <f>IF(X26=0,Thermostat!$B$4,Thermostat!$B$3)</f>
        <v>70</v>
      </c>
      <c r="Y29" s="273">
        <f>IF(Y26=0,Thermostat!$B$4,Thermostat!$B$3)</f>
        <v>70</v>
      </c>
      <c r="Z29" s="273">
        <f>IF(Z26=0,Thermostat!$B$4,Thermostat!$B$3)</f>
        <v>70</v>
      </c>
      <c r="AA29" s="273">
        <f>IF(AA26=0,Thermostat!$B$4,Thermostat!$B$3)</f>
        <v>70</v>
      </c>
      <c r="AB29" s="273">
        <f>IF(AB26=0,Thermostat!$B$4,Thermostat!$B$3)</f>
        <v>70</v>
      </c>
      <c r="AC29" s="274">
        <f>IF(AC26=0,Thermostat!$B$4,Thermostat!$B$3)</f>
        <v>70</v>
      </c>
      <c r="AN29" s="82"/>
    </row>
    <row r="30" spans="1:40" ht="22.9" customHeight="1" x14ac:dyDescent="0.25">
      <c r="A30" s="715"/>
      <c r="B30" s="704"/>
      <c r="C30" s="718"/>
      <c r="D30" s="721"/>
      <c r="E30" s="368" t="s">
        <v>388</v>
      </c>
      <c r="F30" s="338">
        <f>IF(F27=0,Thermostat!$B$4,Thermostat!$B$3)</f>
        <v>70</v>
      </c>
      <c r="G30" s="338">
        <f>IF(G27=0,Thermostat!$B$4,Thermostat!$B$3)</f>
        <v>70</v>
      </c>
      <c r="H30" s="338">
        <f>IF(H27=0,Thermostat!$B$4,Thermostat!$B$3)</f>
        <v>70</v>
      </c>
      <c r="I30" s="338">
        <f>IF(I27=0,Thermostat!$B$4,Thermostat!$B$3)</f>
        <v>70</v>
      </c>
      <c r="J30" s="338">
        <f>IF(J27=0,Thermostat!$B$4,Thermostat!$B$3)</f>
        <v>70</v>
      </c>
      <c r="K30" s="338">
        <f>IF(K27=0,Thermostat!$B$4,Thermostat!$B$3)</f>
        <v>70</v>
      </c>
      <c r="L30" s="338">
        <f>IF(L27=0,Thermostat!$B$4,Thermostat!$B$3)</f>
        <v>70</v>
      </c>
      <c r="M30" s="338">
        <f>IF(M27=0,Thermostat!$B$4,Thermostat!$B$3)</f>
        <v>70</v>
      </c>
      <c r="N30" s="338">
        <f>IF(N27=0,Thermostat!$B$4,Thermostat!$B$3)</f>
        <v>70</v>
      </c>
      <c r="O30" s="338">
        <f>IF(O27=0,Thermostat!$B$4,Thermostat!$B$3)</f>
        <v>70</v>
      </c>
      <c r="P30" s="338">
        <f>IF(P27=0,Thermostat!$B$4,Thermostat!$B$3)</f>
        <v>70</v>
      </c>
      <c r="Q30" s="338">
        <f>IF(Q27=0,Thermostat!$B$4,Thermostat!$B$3)</f>
        <v>70</v>
      </c>
      <c r="R30" s="338">
        <f>IF(R27=0,Thermostat!$B$4,Thermostat!$B$3)</f>
        <v>70</v>
      </c>
      <c r="S30" s="338">
        <f>IF(S27=0,Thermostat!$B$4,Thermostat!$B$3)</f>
        <v>70</v>
      </c>
      <c r="T30" s="338">
        <f>IF(T27=0,Thermostat!$B$4,Thermostat!$B$3)</f>
        <v>70</v>
      </c>
      <c r="U30" s="338">
        <f>IF(U27=0,Thermostat!$B$4,Thermostat!$B$3)</f>
        <v>70</v>
      </c>
      <c r="V30" s="338">
        <f>IF(V27=0,Thermostat!$B$4,Thermostat!$B$3)</f>
        <v>70</v>
      </c>
      <c r="W30" s="338">
        <f>IF(W27=0,Thermostat!$B$4,Thermostat!$B$3)</f>
        <v>70</v>
      </c>
      <c r="X30" s="338">
        <f>IF(X27=0,Thermostat!$B$4,Thermostat!$B$3)</f>
        <v>70</v>
      </c>
      <c r="Y30" s="338">
        <f>IF(Y27=0,Thermostat!$B$4,Thermostat!$B$3)</f>
        <v>70</v>
      </c>
      <c r="Z30" s="338">
        <f>IF(Z27=0,Thermostat!$B$4,Thermostat!$B$3)</f>
        <v>70</v>
      </c>
      <c r="AA30" s="338">
        <f>IF(AA27=0,Thermostat!$B$4,Thermostat!$B$3)</f>
        <v>70</v>
      </c>
      <c r="AB30" s="338">
        <f>IF(AB27=0,Thermostat!$B$4,Thermostat!$B$3)</f>
        <v>70</v>
      </c>
      <c r="AC30" s="339">
        <f>IF(AC27=0,Thermostat!$B$4,Thermostat!$B$3)</f>
        <v>70</v>
      </c>
      <c r="AN30" s="82"/>
    </row>
    <row r="31" spans="1:40" ht="22.9" customHeight="1" x14ac:dyDescent="0.25">
      <c r="A31" s="713" t="s">
        <v>519</v>
      </c>
      <c r="B31" s="702" t="s">
        <v>97</v>
      </c>
      <c r="C31" s="716" t="s">
        <v>530</v>
      </c>
      <c r="D31" s="719"/>
      <c r="E31" s="332" t="s">
        <v>386</v>
      </c>
      <c r="F31" s="560">
        <f>IF(F25=1,Thermostat!$B$5,Thermostat!$B$6)</f>
        <v>75</v>
      </c>
      <c r="G31" s="560">
        <f>IF(G25=1,Thermostat!$B$5,Thermostat!$B$6)</f>
        <v>75</v>
      </c>
      <c r="H31" s="560">
        <f>IF(H25=1,Thermostat!$B$5,Thermostat!$B$6)</f>
        <v>75</v>
      </c>
      <c r="I31" s="560">
        <f>IF(I25=1,Thermostat!$B$5,Thermostat!$B$6)</f>
        <v>75</v>
      </c>
      <c r="J31" s="560">
        <f>IF(J25=1,Thermostat!$B$5,Thermostat!$B$6)</f>
        <v>75</v>
      </c>
      <c r="K31" s="560">
        <f>IF(K25=1,Thermostat!$B$5,Thermostat!$B$6)</f>
        <v>75</v>
      </c>
      <c r="L31" s="560">
        <f>IF(L25=1,Thermostat!$B$5,Thermostat!$B$6)</f>
        <v>75</v>
      </c>
      <c r="M31" s="560">
        <f>IF(M25=1,Thermostat!$B$5,Thermostat!$B$6)</f>
        <v>75</v>
      </c>
      <c r="N31" s="560">
        <f>IF(N25=1,Thermostat!$B$5,Thermostat!$B$6)</f>
        <v>75</v>
      </c>
      <c r="O31" s="560">
        <f>IF(O25=1,Thermostat!$B$5,Thermostat!$B$6)</f>
        <v>75</v>
      </c>
      <c r="P31" s="560">
        <f>IF(P25=1,Thermostat!$B$5,Thermostat!$B$6)</f>
        <v>75</v>
      </c>
      <c r="Q31" s="560">
        <f>IF(Q25=1,Thermostat!$B$5,Thermostat!$B$6)</f>
        <v>75</v>
      </c>
      <c r="R31" s="560">
        <f>IF(R25=1,Thermostat!$B$5,Thermostat!$B$6)</f>
        <v>75</v>
      </c>
      <c r="S31" s="560">
        <f>IF(S25=1,Thermostat!$B$5,Thermostat!$B$6)</f>
        <v>75</v>
      </c>
      <c r="T31" s="560">
        <f>IF(T25=1,Thermostat!$B$5,Thermostat!$B$6)</f>
        <v>75</v>
      </c>
      <c r="U31" s="560">
        <f>IF(U25=1,Thermostat!$B$5,Thermostat!$B$6)</f>
        <v>75</v>
      </c>
      <c r="V31" s="560">
        <f>IF(V25=1,Thermostat!$B$5,Thermostat!$B$6)</f>
        <v>75</v>
      </c>
      <c r="W31" s="560">
        <f>IF(W25=1,Thermostat!$B$5,Thermostat!$B$6)</f>
        <v>75</v>
      </c>
      <c r="X31" s="560">
        <f>IF(X25=1,Thermostat!$B$5,Thermostat!$B$6)</f>
        <v>75</v>
      </c>
      <c r="Y31" s="560">
        <f>IF(Y25=1,Thermostat!$B$5,Thermostat!$B$6)</f>
        <v>75</v>
      </c>
      <c r="Z31" s="560">
        <f>IF(Z25=1,Thermostat!$B$5,Thermostat!$B$6)</f>
        <v>75</v>
      </c>
      <c r="AA31" s="560">
        <f>IF(AA25=1,Thermostat!$B$5,Thermostat!$B$6)</f>
        <v>75</v>
      </c>
      <c r="AB31" s="560">
        <f>IF(AB25=1,Thermostat!$B$5,Thermostat!$B$6)</f>
        <v>75</v>
      </c>
      <c r="AC31" s="333">
        <f>IF(AC25=1,Thermostat!$B$5,Thermostat!$B$6)</f>
        <v>75</v>
      </c>
      <c r="AN31" s="82"/>
    </row>
    <row r="32" spans="1:40" ht="22.9" customHeight="1" x14ac:dyDescent="0.25">
      <c r="A32" s="714"/>
      <c r="B32" s="703"/>
      <c r="C32" s="717"/>
      <c r="D32" s="720"/>
      <c r="E32" s="334" t="s">
        <v>387</v>
      </c>
      <c r="F32" s="561">
        <f>IF(F26=1,Thermostat!$B$5,Thermostat!$B$6)</f>
        <v>75</v>
      </c>
      <c r="G32" s="561">
        <f>IF(G26=1,Thermostat!$B$5,Thermostat!$B$6)</f>
        <v>75</v>
      </c>
      <c r="H32" s="561">
        <f>IF(H26=1,Thermostat!$B$5,Thermostat!$B$6)</f>
        <v>75</v>
      </c>
      <c r="I32" s="561">
        <f>IF(I26=1,Thermostat!$B$5,Thermostat!$B$6)</f>
        <v>75</v>
      </c>
      <c r="J32" s="561">
        <f>IF(J26=1,Thermostat!$B$5,Thermostat!$B$6)</f>
        <v>75</v>
      </c>
      <c r="K32" s="561">
        <f>IF(K26=1,Thermostat!$B$5,Thermostat!$B$6)</f>
        <v>75</v>
      </c>
      <c r="L32" s="561">
        <f>IF(L26=1,Thermostat!$B$5,Thermostat!$B$6)</f>
        <v>75</v>
      </c>
      <c r="M32" s="561">
        <f>IF(M26=1,Thermostat!$B$5,Thermostat!$B$6)</f>
        <v>75</v>
      </c>
      <c r="N32" s="561">
        <f>IF(N26=1,Thermostat!$B$5,Thermostat!$B$6)</f>
        <v>75</v>
      </c>
      <c r="O32" s="561">
        <f>IF(O26=1,Thermostat!$B$5,Thermostat!$B$6)</f>
        <v>75</v>
      </c>
      <c r="P32" s="561">
        <f>IF(P26=1,Thermostat!$B$5,Thermostat!$B$6)</f>
        <v>75</v>
      </c>
      <c r="Q32" s="561">
        <f>IF(Q26=1,Thermostat!$B$5,Thermostat!$B$6)</f>
        <v>75</v>
      </c>
      <c r="R32" s="561">
        <f>IF(R26=1,Thermostat!$B$5,Thermostat!$B$6)</f>
        <v>75</v>
      </c>
      <c r="S32" s="561">
        <f>IF(S26=1,Thermostat!$B$5,Thermostat!$B$6)</f>
        <v>75</v>
      </c>
      <c r="T32" s="561">
        <f>IF(T26=1,Thermostat!$B$5,Thermostat!$B$6)</f>
        <v>75</v>
      </c>
      <c r="U32" s="561">
        <f>IF(U26=1,Thermostat!$B$5,Thermostat!$B$6)</f>
        <v>75</v>
      </c>
      <c r="V32" s="561">
        <f>IF(V26=1,Thermostat!$B$5,Thermostat!$B$6)</f>
        <v>75</v>
      </c>
      <c r="W32" s="561">
        <f>IF(W26=1,Thermostat!$B$5,Thermostat!$B$6)</f>
        <v>75</v>
      </c>
      <c r="X32" s="561">
        <f>IF(X26=1,Thermostat!$B$5,Thermostat!$B$6)</f>
        <v>75</v>
      </c>
      <c r="Y32" s="561">
        <f>IF(Y26=1,Thermostat!$B$5,Thermostat!$B$6)</f>
        <v>75</v>
      </c>
      <c r="Z32" s="561">
        <f>IF(Z26=1,Thermostat!$B$5,Thermostat!$B$6)</f>
        <v>75</v>
      </c>
      <c r="AA32" s="561">
        <f>IF(AA26=1,Thermostat!$B$5,Thermostat!$B$6)</f>
        <v>75</v>
      </c>
      <c r="AB32" s="561">
        <f>IF(AB26=1,Thermostat!$B$5,Thermostat!$B$6)</f>
        <v>75</v>
      </c>
      <c r="AC32" s="335">
        <f>IF(AC26=1,Thermostat!$B$5,Thermostat!$B$6)</f>
        <v>75</v>
      </c>
      <c r="AN32" s="82"/>
    </row>
    <row r="33" spans="1:63" ht="22.9" customHeight="1" thickBot="1" x14ac:dyDescent="0.3">
      <c r="A33" s="715"/>
      <c r="B33" s="704"/>
      <c r="C33" s="718"/>
      <c r="D33" s="721"/>
      <c r="E33" s="336" t="s">
        <v>388</v>
      </c>
      <c r="F33" s="562">
        <f>IF(F27=1,Thermostat!$B$5,Thermostat!$B$6)</f>
        <v>75</v>
      </c>
      <c r="G33" s="562">
        <f>IF(G27=1,Thermostat!$B$5,Thermostat!$B$6)</f>
        <v>75</v>
      </c>
      <c r="H33" s="562">
        <f>IF(H27=1,Thermostat!$B$5,Thermostat!$B$6)</f>
        <v>75</v>
      </c>
      <c r="I33" s="562">
        <f>IF(I27=1,Thermostat!$B$5,Thermostat!$B$6)</f>
        <v>75</v>
      </c>
      <c r="J33" s="562">
        <f>IF(J27=1,Thermostat!$B$5,Thermostat!$B$6)</f>
        <v>75</v>
      </c>
      <c r="K33" s="562">
        <f>IF(K27=1,Thermostat!$B$5,Thermostat!$B$6)</f>
        <v>75</v>
      </c>
      <c r="L33" s="562">
        <f>IF(L27=1,Thermostat!$B$5,Thermostat!$B$6)</f>
        <v>75</v>
      </c>
      <c r="M33" s="562">
        <f>IF(M27=1,Thermostat!$B$5,Thermostat!$B$6)</f>
        <v>75</v>
      </c>
      <c r="N33" s="562">
        <f>IF(N27=1,Thermostat!$B$5,Thermostat!$B$6)</f>
        <v>75</v>
      </c>
      <c r="O33" s="562">
        <f>IF(O27=1,Thermostat!$B$5,Thermostat!$B$6)</f>
        <v>75</v>
      </c>
      <c r="P33" s="562">
        <f>IF(P27=1,Thermostat!$B$5,Thermostat!$B$6)</f>
        <v>75</v>
      </c>
      <c r="Q33" s="562">
        <f>IF(Q27=1,Thermostat!$B$5,Thermostat!$B$6)</f>
        <v>75</v>
      </c>
      <c r="R33" s="562">
        <f>IF(R27=1,Thermostat!$B$5,Thermostat!$B$6)</f>
        <v>75</v>
      </c>
      <c r="S33" s="562">
        <f>IF(S27=1,Thermostat!$B$5,Thermostat!$B$6)</f>
        <v>75</v>
      </c>
      <c r="T33" s="562">
        <f>IF(T27=1,Thermostat!$B$5,Thermostat!$B$6)</f>
        <v>75</v>
      </c>
      <c r="U33" s="562">
        <f>IF(U27=1,Thermostat!$B$5,Thermostat!$B$6)</f>
        <v>75</v>
      </c>
      <c r="V33" s="562">
        <f>IF(V27=1,Thermostat!$B$5,Thermostat!$B$6)</f>
        <v>75</v>
      </c>
      <c r="W33" s="562">
        <f>IF(W27=1,Thermostat!$B$5,Thermostat!$B$6)</f>
        <v>75</v>
      </c>
      <c r="X33" s="562">
        <f>IF(X27=1,Thermostat!$B$5,Thermostat!$B$6)</f>
        <v>75</v>
      </c>
      <c r="Y33" s="562">
        <f>IF(Y27=1,Thermostat!$B$5,Thermostat!$B$6)</f>
        <v>75</v>
      </c>
      <c r="Z33" s="562">
        <f>IF(Z27=1,Thermostat!$B$5,Thermostat!$B$6)</f>
        <v>75</v>
      </c>
      <c r="AA33" s="562">
        <f>IF(AA27=1,Thermostat!$B$5,Thermostat!$B$6)</f>
        <v>75</v>
      </c>
      <c r="AB33" s="562">
        <f>IF(AB27=1,Thermostat!$B$5,Thermostat!$B$6)</f>
        <v>75</v>
      </c>
      <c r="AC33" s="337">
        <f>IF(AC27=1,Thermostat!$B$5,Thermostat!$B$6)</f>
        <v>75</v>
      </c>
      <c r="AN33" s="82"/>
    </row>
    <row r="34" spans="1:63" ht="25.15" customHeight="1" thickBot="1" x14ac:dyDescent="0.3">
      <c r="A34" s="725" t="s">
        <v>111</v>
      </c>
      <c r="B34" s="725"/>
      <c r="C34" s="725" t="s">
        <v>531</v>
      </c>
      <c r="D34" s="725"/>
      <c r="E34" s="725"/>
      <c r="F34" s="725"/>
      <c r="G34" s="725"/>
      <c r="H34" s="725"/>
      <c r="I34" s="725"/>
      <c r="J34" s="725"/>
      <c r="K34" s="725"/>
      <c r="L34" s="725"/>
      <c r="M34" s="725"/>
      <c r="N34" s="725"/>
      <c r="O34" s="725"/>
      <c r="P34" s="725"/>
      <c r="Q34" s="725"/>
      <c r="R34" s="725"/>
      <c r="S34" s="725"/>
      <c r="T34" s="725"/>
      <c r="U34" s="725"/>
      <c r="V34" s="725"/>
      <c r="W34" s="725"/>
      <c r="X34" s="725"/>
      <c r="Y34" s="725"/>
      <c r="Z34" s="725"/>
      <c r="AA34" s="725"/>
      <c r="AB34" s="725"/>
      <c r="AC34" s="726"/>
    </row>
    <row r="35" spans="1:63" ht="25.15" customHeight="1" x14ac:dyDescent="0.25">
      <c r="A35" s="713" t="s">
        <v>519</v>
      </c>
      <c r="B35" s="702" t="s">
        <v>111</v>
      </c>
      <c r="C35" s="702" t="s">
        <v>520</v>
      </c>
      <c r="D35" s="708" t="s">
        <v>532</v>
      </c>
      <c r="E35" s="554" t="s">
        <v>386</v>
      </c>
      <c r="F35" s="554">
        <v>0.4</v>
      </c>
      <c r="G35" s="554">
        <v>0.4</v>
      </c>
      <c r="H35" s="554">
        <v>0.4</v>
      </c>
      <c r="I35" s="554">
        <v>0.4</v>
      </c>
      <c r="J35" s="554">
        <v>0.4</v>
      </c>
      <c r="K35" s="554">
        <v>0.4</v>
      </c>
      <c r="L35" s="554">
        <v>0.4</v>
      </c>
      <c r="M35" s="554">
        <v>0.5</v>
      </c>
      <c r="N35" s="554">
        <v>0.6</v>
      </c>
      <c r="O35" s="554">
        <v>0.8</v>
      </c>
      <c r="P35" s="554">
        <v>0.8</v>
      </c>
      <c r="Q35" s="554">
        <v>0.8</v>
      </c>
      <c r="R35" s="554">
        <v>0.8</v>
      </c>
      <c r="S35" s="554">
        <v>0.8</v>
      </c>
      <c r="T35" s="554">
        <v>0.8</v>
      </c>
      <c r="U35" s="554">
        <v>0.8</v>
      </c>
      <c r="V35" s="554">
        <v>0.8</v>
      </c>
      <c r="W35" s="554">
        <v>0.6</v>
      </c>
      <c r="X35" s="554">
        <v>0.5</v>
      </c>
      <c r="Y35" s="554">
        <v>0.5</v>
      </c>
      <c r="Z35" s="554">
        <v>0.4</v>
      </c>
      <c r="AA35" s="554">
        <v>0.4</v>
      </c>
      <c r="AB35" s="554">
        <v>0.4</v>
      </c>
      <c r="AC35" s="255">
        <v>0.4</v>
      </c>
      <c r="AD35" s="47"/>
      <c r="AE35" s="47"/>
      <c r="AF35" s="47"/>
      <c r="AG35" s="47"/>
      <c r="AH35" s="47"/>
      <c r="AI35" s="47"/>
      <c r="AJ35" s="47"/>
      <c r="AK35" s="47"/>
    </row>
    <row r="36" spans="1:63" ht="33" customHeight="1" x14ac:dyDescent="0.25">
      <c r="A36" s="714"/>
      <c r="B36" s="703"/>
      <c r="C36" s="703"/>
      <c r="D36" s="709"/>
      <c r="E36" s="555" t="s">
        <v>387</v>
      </c>
      <c r="F36" s="555">
        <v>0.4</v>
      </c>
      <c r="G36" s="555">
        <v>0.4</v>
      </c>
      <c r="H36" s="555">
        <v>0.4</v>
      </c>
      <c r="I36" s="555">
        <v>0.4</v>
      </c>
      <c r="J36" s="555">
        <v>0.4</v>
      </c>
      <c r="K36" s="555">
        <v>0.4</v>
      </c>
      <c r="L36" s="555">
        <v>0.4</v>
      </c>
      <c r="M36" s="555">
        <v>0.5</v>
      </c>
      <c r="N36" s="555">
        <v>0.6</v>
      </c>
      <c r="O36" s="555">
        <v>0.6</v>
      </c>
      <c r="P36" s="555">
        <v>0.6</v>
      </c>
      <c r="Q36" s="555">
        <v>0.6</v>
      </c>
      <c r="R36" s="555">
        <v>0.6</v>
      </c>
      <c r="S36" s="555">
        <v>0.6</v>
      </c>
      <c r="T36" s="555">
        <v>0.6</v>
      </c>
      <c r="U36" s="555">
        <v>0.6</v>
      </c>
      <c r="V36" s="555">
        <v>0.6</v>
      </c>
      <c r="W36" s="555">
        <v>0.5</v>
      </c>
      <c r="X36" s="555">
        <v>0.5</v>
      </c>
      <c r="Y36" s="555">
        <v>0.4</v>
      </c>
      <c r="Z36" s="555">
        <v>0.4</v>
      </c>
      <c r="AA36" s="555">
        <v>0.4</v>
      </c>
      <c r="AB36" s="555">
        <v>0.4</v>
      </c>
      <c r="AC36" s="256">
        <v>0.4</v>
      </c>
      <c r="AD36" s="47"/>
      <c r="AE36" s="47"/>
      <c r="AF36" s="47"/>
      <c r="AG36" s="47"/>
      <c r="AH36" s="47"/>
      <c r="AI36" s="47"/>
      <c r="AJ36" s="47"/>
      <c r="AK36" s="47"/>
    </row>
    <row r="37" spans="1:63" ht="33" customHeight="1" thickBot="1" x14ac:dyDescent="0.3">
      <c r="A37" s="715"/>
      <c r="B37" s="704"/>
      <c r="C37" s="704"/>
      <c r="D37" s="710"/>
      <c r="E37" s="556" t="s">
        <v>388</v>
      </c>
      <c r="F37" s="556">
        <v>0.4</v>
      </c>
      <c r="G37" s="556">
        <v>0.4</v>
      </c>
      <c r="H37" s="556">
        <v>0.4</v>
      </c>
      <c r="I37" s="556">
        <v>0.4</v>
      </c>
      <c r="J37" s="556">
        <v>0.4</v>
      </c>
      <c r="K37" s="556">
        <v>0.4</v>
      </c>
      <c r="L37" s="556">
        <v>0.4</v>
      </c>
      <c r="M37" s="556">
        <v>0.4</v>
      </c>
      <c r="N37" s="556">
        <v>0.6</v>
      </c>
      <c r="O37" s="556">
        <v>0.6</v>
      </c>
      <c r="P37" s="556">
        <v>0.6</v>
      </c>
      <c r="Q37" s="556">
        <v>0.6</v>
      </c>
      <c r="R37" s="556">
        <v>0.6</v>
      </c>
      <c r="S37" s="556">
        <v>0.6</v>
      </c>
      <c r="T37" s="556">
        <v>0.6</v>
      </c>
      <c r="U37" s="556">
        <v>0.6</v>
      </c>
      <c r="V37" s="556">
        <v>0.4</v>
      </c>
      <c r="W37" s="556">
        <v>0.4</v>
      </c>
      <c r="X37" s="556">
        <v>0.4</v>
      </c>
      <c r="Y37" s="556">
        <v>0.4</v>
      </c>
      <c r="Z37" s="556">
        <v>0.4</v>
      </c>
      <c r="AA37" s="556">
        <v>0.4</v>
      </c>
      <c r="AB37" s="556">
        <v>0.4</v>
      </c>
      <c r="AC37" s="257">
        <v>0.4</v>
      </c>
      <c r="AD37" s="47"/>
      <c r="AE37" s="47"/>
      <c r="AF37" s="47"/>
      <c r="AG37" s="47"/>
      <c r="AH37" s="47"/>
      <c r="AI37" s="47"/>
      <c r="AJ37" s="47"/>
      <c r="AK37" s="47"/>
    </row>
    <row r="38" spans="1:63" ht="38.65" customHeight="1" x14ac:dyDescent="0.25">
      <c r="A38" s="657" t="s">
        <v>519</v>
      </c>
      <c r="B38" s="722" t="str">
        <f>B35</f>
        <v>Health24/7</v>
      </c>
      <c r="C38" s="705" t="s">
        <v>522</v>
      </c>
      <c r="D38" s="708" t="s">
        <v>532</v>
      </c>
      <c r="E38" s="545" t="s">
        <v>386</v>
      </c>
      <c r="F38" s="545">
        <v>0.45</v>
      </c>
      <c r="G38" s="545">
        <v>0.45</v>
      </c>
      <c r="H38" s="545">
        <v>0.45</v>
      </c>
      <c r="I38" s="545">
        <v>0.45</v>
      </c>
      <c r="J38" s="545">
        <v>0.45</v>
      </c>
      <c r="K38" s="545">
        <v>0.45</v>
      </c>
      <c r="L38" s="545">
        <v>0.45</v>
      </c>
      <c r="M38" s="545">
        <v>0.45</v>
      </c>
      <c r="N38" s="545">
        <v>0.81</v>
      </c>
      <c r="O38" s="545">
        <v>0.81</v>
      </c>
      <c r="P38" s="545">
        <v>0.81</v>
      </c>
      <c r="Q38" s="545">
        <v>0.81</v>
      </c>
      <c r="R38" s="545">
        <v>0.81</v>
      </c>
      <c r="S38" s="545">
        <v>0.81</v>
      </c>
      <c r="T38" s="545">
        <v>0.81</v>
      </c>
      <c r="U38" s="545">
        <v>0.81</v>
      </c>
      <c r="V38" s="545">
        <v>0.45</v>
      </c>
      <c r="W38" s="545">
        <v>0.45</v>
      </c>
      <c r="X38" s="545">
        <v>0.45</v>
      </c>
      <c r="Y38" s="545">
        <v>0.45</v>
      </c>
      <c r="Z38" s="545">
        <v>0.45</v>
      </c>
      <c r="AA38" s="545">
        <v>0.45</v>
      </c>
      <c r="AB38" s="545">
        <v>0.45</v>
      </c>
      <c r="AC38" s="258">
        <v>0.45</v>
      </c>
      <c r="AD38" s="47"/>
      <c r="AE38" s="47"/>
      <c r="AF38" s="47"/>
      <c r="AG38" s="47"/>
      <c r="AH38" s="47"/>
      <c r="AI38" s="47"/>
      <c r="AJ38" s="47"/>
      <c r="AK38" s="47"/>
      <c r="AM38" s="59"/>
    </row>
    <row r="39" spans="1:63" ht="38.65" customHeight="1" x14ac:dyDescent="0.25">
      <c r="A39" s="700"/>
      <c r="B39" s="703"/>
      <c r="C39" s="706"/>
      <c r="D39" s="709"/>
      <c r="E39" s="536" t="s">
        <v>387</v>
      </c>
      <c r="F39" s="536">
        <v>0.45</v>
      </c>
      <c r="G39" s="536">
        <v>0.45</v>
      </c>
      <c r="H39" s="536">
        <v>0.45</v>
      </c>
      <c r="I39" s="536">
        <v>0.45</v>
      </c>
      <c r="J39" s="536">
        <v>0.45</v>
      </c>
      <c r="K39" s="536">
        <v>0.45</v>
      </c>
      <c r="L39" s="536">
        <v>0.45</v>
      </c>
      <c r="M39" s="536">
        <v>0.45</v>
      </c>
      <c r="N39" s="536">
        <v>0.72</v>
      </c>
      <c r="O39" s="536">
        <v>0.72</v>
      </c>
      <c r="P39" s="536">
        <v>0.72</v>
      </c>
      <c r="Q39" s="536">
        <v>0.72</v>
      </c>
      <c r="R39" s="536">
        <v>0.72</v>
      </c>
      <c r="S39" s="536">
        <v>0.72</v>
      </c>
      <c r="T39" s="536">
        <v>0.72</v>
      </c>
      <c r="U39" s="536">
        <v>0.72</v>
      </c>
      <c r="V39" s="536">
        <v>0.72</v>
      </c>
      <c r="W39" s="536">
        <v>0.72</v>
      </c>
      <c r="X39" s="536">
        <v>0.45</v>
      </c>
      <c r="Y39" s="536">
        <v>0.45</v>
      </c>
      <c r="Z39" s="536">
        <v>0.45</v>
      </c>
      <c r="AA39" s="536">
        <v>0.45</v>
      </c>
      <c r="AB39" s="536">
        <v>0.45</v>
      </c>
      <c r="AC39" s="259">
        <v>0.45</v>
      </c>
      <c r="AD39" s="47"/>
      <c r="AE39" s="47"/>
      <c r="AF39" s="47"/>
      <c r="AG39" s="47"/>
      <c r="AH39" s="47"/>
      <c r="AI39" s="47"/>
      <c r="AJ39" s="47"/>
      <c r="AK39" s="47"/>
      <c r="AM39" s="59"/>
    </row>
    <row r="40" spans="1:63" ht="38.65" customHeight="1" thickBot="1" x14ac:dyDescent="0.3">
      <c r="A40" s="701"/>
      <c r="B40" s="704"/>
      <c r="C40" s="723"/>
      <c r="D40" s="710"/>
      <c r="E40" s="260" t="s">
        <v>388</v>
      </c>
      <c r="F40" s="260">
        <v>0.45</v>
      </c>
      <c r="G40" s="260">
        <v>0.45</v>
      </c>
      <c r="H40" s="260">
        <v>0.45</v>
      </c>
      <c r="I40" s="260">
        <v>0.45</v>
      </c>
      <c r="J40" s="260">
        <v>0.45</v>
      </c>
      <c r="K40" s="260">
        <v>0.45</v>
      </c>
      <c r="L40" s="260">
        <v>0.45</v>
      </c>
      <c r="M40" s="260">
        <v>0.45</v>
      </c>
      <c r="N40" s="260">
        <v>0.63</v>
      </c>
      <c r="O40" s="260">
        <v>0.63</v>
      </c>
      <c r="P40" s="260">
        <v>0.63</v>
      </c>
      <c r="Q40" s="260">
        <v>0.63</v>
      </c>
      <c r="R40" s="260">
        <v>0.63</v>
      </c>
      <c r="S40" s="260">
        <v>0.63</v>
      </c>
      <c r="T40" s="260">
        <v>0.63</v>
      </c>
      <c r="U40" s="260">
        <v>0.63</v>
      </c>
      <c r="V40" s="260">
        <v>0.45</v>
      </c>
      <c r="W40" s="260">
        <v>0.45</v>
      </c>
      <c r="X40" s="260">
        <v>0.45</v>
      </c>
      <c r="Y40" s="260">
        <v>0.45</v>
      </c>
      <c r="Z40" s="260">
        <v>0.45</v>
      </c>
      <c r="AA40" s="260">
        <v>0.45</v>
      </c>
      <c r="AB40" s="260">
        <v>0.45</v>
      </c>
      <c r="AC40" s="261">
        <v>0.45</v>
      </c>
      <c r="AD40" s="47"/>
      <c r="AE40" s="47"/>
      <c r="AF40" s="47"/>
      <c r="AG40" s="47"/>
      <c r="AH40" s="47"/>
      <c r="AI40" s="47"/>
      <c r="AJ40" s="47"/>
      <c r="AK40" s="47"/>
      <c r="AM40" s="59"/>
    </row>
    <row r="41" spans="1:63" ht="36" customHeight="1" x14ac:dyDescent="0.25">
      <c r="A41" s="699" t="s">
        <v>519</v>
      </c>
      <c r="B41" s="702" t="str">
        <f>B35</f>
        <v>Health24/7</v>
      </c>
      <c r="C41" s="724" t="s">
        <v>523</v>
      </c>
      <c r="D41" s="708" t="s">
        <v>532</v>
      </c>
      <c r="E41" s="262" t="s">
        <v>386</v>
      </c>
      <c r="F41" s="263">
        <v>0.4</v>
      </c>
      <c r="G41" s="263">
        <v>0.4</v>
      </c>
      <c r="H41" s="263">
        <v>0.4</v>
      </c>
      <c r="I41" s="263">
        <v>0.4</v>
      </c>
      <c r="J41" s="263">
        <v>0.4</v>
      </c>
      <c r="K41" s="263">
        <v>0.4</v>
      </c>
      <c r="L41" s="263">
        <v>0.4</v>
      </c>
      <c r="M41" s="263">
        <v>0.7</v>
      </c>
      <c r="N41" s="263">
        <v>0.9</v>
      </c>
      <c r="O41" s="263">
        <v>0.9</v>
      </c>
      <c r="P41" s="263">
        <v>0.9</v>
      </c>
      <c r="Q41" s="263">
        <v>0.9</v>
      </c>
      <c r="R41" s="263">
        <v>0.9</v>
      </c>
      <c r="S41" s="263">
        <v>0.9</v>
      </c>
      <c r="T41" s="263">
        <v>0.9</v>
      </c>
      <c r="U41" s="263">
        <v>0.9</v>
      </c>
      <c r="V41" s="263">
        <v>0.6</v>
      </c>
      <c r="W41" s="263">
        <v>0.6</v>
      </c>
      <c r="X41" s="263">
        <v>0.6</v>
      </c>
      <c r="Y41" s="263">
        <v>0.6</v>
      </c>
      <c r="Z41" s="263">
        <v>0.6</v>
      </c>
      <c r="AA41" s="263">
        <v>0.6</v>
      </c>
      <c r="AB41" s="263">
        <v>0.6</v>
      </c>
      <c r="AC41" s="264">
        <v>0.4</v>
      </c>
      <c r="AD41" s="48"/>
      <c r="AE41" s="47"/>
      <c r="AF41" s="47"/>
      <c r="AG41" s="47"/>
      <c r="AH41" s="47"/>
      <c r="AI41" s="47"/>
      <c r="AJ41" s="47"/>
      <c r="AK41" s="47"/>
      <c r="AM41" s="59"/>
    </row>
    <row r="42" spans="1:63" ht="36" customHeight="1" x14ac:dyDescent="0.25">
      <c r="A42" s="700"/>
      <c r="B42" s="703"/>
      <c r="C42" s="706"/>
      <c r="D42" s="709"/>
      <c r="E42" s="536" t="s">
        <v>387</v>
      </c>
      <c r="F42" s="265">
        <v>0.4</v>
      </c>
      <c r="G42" s="265">
        <v>0.4</v>
      </c>
      <c r="H42" s="265">
        <v>0.4</v>
      </c>
      <c r="I42" s="265">
        <v>0.4</v>
      </c>
      <c r="J42" s="265">
        <v>0.4</v>
      </c>
      <c r="K42" s="265">
        <v>0.4</v>
      </c>
      <c r="L42" s="265">
        <v>0.4</v>
      </c>
      <c r="M42" s="265">
        <v>0.8</v>
      </c>
      <c r="N42" s="265">
        <v>0.65</v>
      </c>
      <c r="O42" s="265">
        <v>0.65</v>
      </c>
      <c r="P42" s="265">
        <v>0.65</v>
      </c>
      <c r="Q42" s="265">
        <v>0.65</v>
      </c>
      <c r="R42" s="265">
        <v>0.65</v>
      </c>
      <c r="S42" s="265">
        <v>0.65</v>
      </c>
      <c r="T42" s="265">
        <v>0.65</v>
      </c>
      <c r="U42" s="265">
        <v>0.65</v>
      </c>
      <c r="V42" s="265">
        <v>0.65</v>
      </c>
      <c r="W42" s="265">
        <v>0.65</v>
      </c>
      <c r="X42" s="265">
        <v>0.4</v>
      </c>
      <c r="Y42" s="265">
        <v>0.4</v>
      </c>
      <c r="Z42" s="265">
        <v>0.4</v>
      </c>
      <c r="AA42" s="265">
        <v>0.4</v>
      </c>
      <c r="AB42" s="265">
        <v>0.4</v>
      </c>
      <c r="AC42" s="266">
        <v>0.4</v>
      </c>
      <c r="AD42" s="48"/>
      <c r="AE42" s="47"/>
      <c r="AF42" s="47"/>
      <c r="AG42" s="47"/>
      <c r="AH42" s="47"/>
      <c r="AI42" s="47"/>
      <c r="AJ42" s="47"/>
      <c r="AK42" s="47"/>
      <c r="AM42" s="59"/>
    </row>
    <row r="43" spans="1:63" ht="36" customHeight="1" thickBot="1" x14ac:dyDescent="0.3">
      <c r="A43" s="701"/>
      <c r="B43" s="704"/>
      <c r="C43" s="707"/>
      <c r="D43" s="710"/>
      <c r="E43" s="260" t="s">
        <v>388</v>
      </c>
      <c r="F43" s="267">
        <v>0.4</v>
      </c>
      <c r="G43" s="267">
        <v>0.4</v>
      </c>
      <c r="H43" s="267">
        <v>0.4</v>
      </c>
      <c r="I43" s="267">
        <v>0.4</v>
      </c>
      <c r="J43" s="267">
        <v>0.4</v>
      </c>
      <c r="K43" s="267">
        <v>0.4</v>
      </c>
      <c r="L43" s="267">
        <v>0.4</v>
      </c>
      <c r="M43" s="267">
        <v>0.4</v>
      </c>
      <c r="N43" s="267">
        <v>0.6</v>
      </c>
      <c r="O43" s="267">
        <v>0.6</v>
      </c>
      <c r="P43" s="267">
        <v>0.6</v>
      </c>
      <c r="Q43" s="267">
        <v>0.6</v>
      </c>
      <c r="R43" s="267">
        <v>0.6</v>
      </c>
      <c r="S43" s="267">
        <v>0.6</v>
      </c>
      <c r="T43" s="267">
        <v>0.6</v>
      </c>
      <c r="U43" s="267">
        <v>0.6</v>
      </c>
      <c r="V43" s="267">
        <v>0.4</v>
      </c>
      <c r="W43" s="267">
        <v>0.4</v>
      </c>
      <c r="X43" s="267">
        <v>0.4</v>
      </c>
      <c r="Y43" s="267">
        <v>0.4</v>
      </c>
      <c r="Z43" s="267">
        <v>0.4</v>
      </c>
      <c r="AA43" s="267">
        <v>0.4</v>
      </c>
      <c r="AB43" s="267">
        <v>0.4</v>
      </c>
      <c r="AC43" s="268">
        <v>0.4</v>
      </c>
      <c r="AD43" s="48"/>
      <c r="AE43" s="47"/>
      <c r="AF43" s="47"/>
      <c r="AG43" s="47"/>
      <c r="AH43" s="47"/>
      <c r="AI43" s="47"/>
      <c r="AJ43" s="47"/>
      <c r="AK43" s="47"/>
      <c r="AM43" s="59"/>
    </row>
    <row r="44" spans="1:63" ht="36" customHeight="1" x14ac:dyDescent="0.25">
      <c r="A44" s="699" t="s">
        <v>519</v>
      </c>
      <c r="B44" s="702" t="str">
        <f>B35</f>
        <v>Health24/7</v>
      </c>
      <c r="C44" s="705" t="s">
        <v>524</v>
      </c>
      <c r="D44" s="708" t="s">
        <v>532</v>
      </c>
      <c r="E44" s="491" t="s">
        <v>386</v>
      </c>
      <c r="F44" s="554">
        <v>0.3</v>
      </c>
      <c r="G44" s="554">
        <v>0.3</v>
      </c>
      <c r="H44" s="554">
        <v>0.3</v>
      </c>
      <c r="I44" s="554">
        <v>0.3</v>
      </c>
      <c r="J44" s="554">
        <v>0.3</v>
      </c>
      <c r="K44" s="554">
        <v>0.3</v>
      </c>
      <c r="L44" s="554">
        <v>0.5</v>
      </c>
      <c r="M44" s="554">
        <v>0.57999999999999996</v>
      </c>
      <c r="N44" s="554">
        <v>0.66</v>
      </c>
      <c r="O44" s="554">
        <v>0.78</v>
      </c>
      <c r="P44" s="554">
        <v>0.82</v>
      </c>
      <c r="Q44" s="554">
        <v>0.71</v>
      </c>
      <c r="R44" s="554">
        <v>0.82</v>
      </c>
      <c r="S44" s="554">
        <v>0.78</v>
      </c>
      <c r="T44" s="554">
        <v>0.74</v>
      </c>
      <c r="U44" s="554">
        <v>0.63</v>
      </c>
      <c r="V44" s="554">
        <v>0.41</v>
      </c>
      <c r="W44" s="554">
        <v>0.35</v>
      </c>
      <c r="X44" s="554">
        <v>0.35</v>
      </c>
      <c r="Y44" s="554">
        <v>0.35</v>
      </c>
      <c r="Z44" s="554">
        <v>0.3</v>
      </c>
      <c r="AA44" s="554">
        <v>0.3</v>
      </c>
      <c r="AB44" s="554">
        <v>0.3</v>
      </c>
      <c r="AC44" s="255">
        <v>0.3</v>
      </c>
      <c r="AD44" s="47"/>
      <c r="AE44" s="47"/>
      <c r="AF44" s="47"/>
      <c r="AG44" s="47"/>
      <c r="AH44" s="47"/>
      <c r="AI44" s="47"/>
      <c r="AJ44" s="47"/>
      <c r="AK44" s="47"/>
      <c r="AM44" s="59"/>
    </row>
    <row r="45" spans="1:63" ht="36" customHeight="1" x14ac:dyDescent="0.25">
      <c r="A45" s="700"/>
      <c r="B45" s="703"/>
      <c r="C45" s="706"/>
      <c r="D45" s="709"/>
      <c r="E45" s="492" t="s">
        <v>387</v>
      </c>
      <c r="F45" s="555">
        <v>0.3</v>
      </c>
      <c r="G45" s="555">
        <v>0.3</v>
      </c>
      <c r="H45" s="555">
        <v>0.3</v>
      </c>
      <c r="I45" s="555">
        <v>0.3</v>
      </c>
      <c r="J45" s="555">
        <v>0.3</v>
      </c>
      <c r="K45" s="555">
        <v>0.3</v>
      </c>
      <c r="L45" s="555">
        <v>0.3</v>
      </c>
      <c r="M45" s="555">
        <v>0.4</v>
      </c>
      <c r="N45" s="555">
        <v>0.5</v>
      </c>
      <c r="O45" s="555">
        <v>0.6</v>
      </c>
      <c r="P45" s="555">
        <v>0.6</v>
      </c>
      <c r="Q45" s="555">
        <v>0.6</v>
      </c>
      <c r="R45" s="555">
        <v>0.6</v>
      </c>
      <c r="S45" s="555">
        <v>0.6</v>
      </c>
      <c r="T45" s="555">
        <v>0.6</v>
      </c>
      <c r="U45" s="555">
        <v>0.6</v>
      </c>
      <c r="V45" s="555">
        <v>0.5</v>
      </c>
      <c r="W45" s="555">
        <v>0.3</v>
      </c>
      <c r="X45" s="555">
        <v>0.3</v>
      </c>
      <c r="Y45" s="555">
        <v>0.3</v>
      </c>
      <c r="Z45" s="555">
        <v>0.3</v>
      </c>
      <c r="AA45" s="555">
        <v>0.3</v>
      </c>
      <c r="AB45" s="555">
        <v>0.3</v>
      </c>
      <c r="AC45" s="256">
        <v>0.3</v>
      </c>
      <c r="AD45" s="47"/>
      <c r="AE45" s="47"/>
      <c r="AF45" s="47"/>
      <c r="AG45" s="47"/>
      <c r="AH45" s="47"/>
      <c r="AI45" s="47"/>
      <c r="AJ45" s="47"/>
      <c r="AK45" s="47"/>
      <c r="AM45" s="59"/>
    </row>
    <row r="46" spans="1:63" ht="36" customHeight="1" thickBot="1" x14ac:dyDescent="0.3">
      <c r="A46" s="701"/>
      <c r="B46" s="704"/>
      <c r="C46" s="707"/>
      <c r="D46" s="710"/>
      <c r="E46" s="493" t="s">
        <v>388</v>
      </c>
      <c r="F46" s="556">
        <v>0.3</v>
      </c>
      <c r="G46" s="556">
        <v>0.3</v>
      </c>
      <c r="H46" s="556">
        <v>0.3</v>
      </c>
      <c r="I46" s="556">
        <v>0.3</v>
      </c>
      <c r="J46" s="556">
        <v>0.3</v>
      </c>
      <c r="K46" s="556">
        <v>0.3</v>
      </c>
      <c r="L46" s="556">
        <v>0.3</v>
      </c>
      <c r="M46" s="556">
        <v>0.4</v>
      </c>
      <c r="N46" s="556">
        <v>0.5</v>
      </c>
      <c r="O46" s="556">
        <v>0.6</v>
      </c>
      <c r="P46" s="556">
        <v>0.6</v>
      </c>
      <c r="Q46" s="556">
        <v>0.6</v>
      </c>
      <c r="R46" s="556">
        <v>0.6</v>
      </c>
      <c r="S46" s="556">
        <v>0.6</v>
      </c>
      <c r="T46" s="556">
        <v>0.6</v>
      </c>
      <c r="U46" s="556">
        <v>0.6</v>
      </c>
      <c r="V46" s="556">
        <v>0.5</v>
      </c>
      <c r="W46" s="556">
        <v>0.3</v>
      </c>
      <c r="X46" s="556">
        <v>0.3</v>
      </c>
      <c r="Y46" s="556">
        <v>0.3</v>
      </c>
      <c r="Z46" s="556">
        <v>0.3</v>
      </c>
      <c r="AA46" s="556">
        <v>0.3</v>
      </c>
      <c r="AB46" s="556">
        <v>0.3</v>
      </c>
      <c r="AC46" s="257">
        <v>0.3</v>
      </c>
      <c r="AD46" s="47"/>
      <c r="AE46" s="47"/>
      <c r="AF46" s="47"/>
      <c r="AG46" s="47"/>
      <c r="AH46" s="47"/>
      <c r="AI46" s="47"/>
      <c r="AJ46" s="47"/>
      <c r="AK46" s="47"/>
      <c r="AM46" s="59"/>
    </row>
    <row r="47" spans="1:63" ht="36" customHeight="1" x14ac:dyDescent="0.25">
      <c r="A47" s="699" t="s">
        <v>519</v>
      </c>
      <c r="B47" s="702" t="str">
        <f>B35</f>
        <v>Health24/7</v>
      </c>
      <c r="C47" s="705" t="s">
        <v>525</v>
      </c>
      <c r="D47" s="708" t="s">
        <v>533</v>
      </c>
      <c r="E47" s="262" t="s">
        <v>386</v>
      </c>
      <c r="F47" s="476">
        <v>0.1</v>
      </c>
      <c r="G47" s="476">
        <v>0.1</v>
      </c>
      <c r="H47" s="476">
        <v>0.1</v>
      </c>
      <c r="I47" s="476">
        <v>0.1</v>
      </c>
      <c r="J47" s="476">
        <v>0.1</v>
      </c>
      <c r="K47" s="476">
        <v>0.1</v>
      </c>
      <c r="L47" s="476">
        <v>0.1</v>
      </c>
      <c r="M47" s="263">
        <v>0.75</v>
      </c>
      <c r="N47" s="263">
        <v>0.9</v>
      </c>
      <c r="O47" s="263">
        <v>0.9</v>
      </c>
      <c r="P47" s="263">
        <v>0.9</v>
      </c>
      <c r="Q47" s="263">
        <v>0.9</v>
      </c>
      <c r="R47" s="263">
        <v>0.9</v>
      </c>
      <c r="S47" s="263">
        <v>0.9</v>
      </c>
      <c r="T47" s="263">
        <v>0.9</v>
      </c>
      <c r="U47" s="263">
        <v>0.9</v>
      </c>
      <c r="V47" s="263">
        <v>0.9</v>
      </c>
      <c r="W47" s="263">
        <v>0.75</v>
      </c>
      <c r="X47" s="263">
        <v>0.2</v>
      </c>
      <c r="Y47" s="263">
        <v>0.1</v>
      </c>
      <c r="Z47" s="476">
        <v>0.1</v>
      </c>
      <c r="AA47" s="476">
        <v>0.1</v>
      </c>
      <c r="AB47" s="476">
        <v>0.1</v>
      </c>
      <c r="AC47" s="477">
        <v>0.1</v>
      </c>
      <c r="AD47" s="48"/>
      <c r="AE47" s="47"/>
      <c r="AF47" s="47"/>
      <c r="AG47" s="47"/>
      <c r="AH47" s="47"/>
      <c r="AI47" s="47"/>
      <c r="AJ47" s="47"/>
      <c r="AK47" s="47"/>
      <c r="AM47" s="59"/>
      <c r="AN47" s="263">
        <v>0.4</v>
      </c>
      <c r="AO47" s="263">
        <v>0.4</v>
      </c>
      <c r="AP47" s="263">
        <v>0.4</v>
      </c>
      <c r="AQ47" s="263">
        <v>0.4</v>
      </c>
      <c r="AR47" s="263">
        <v>0.4</v>
      </c>
      <c r="AS47" s="263">
        <v>0.4</v>
      </c>
      <c r="AT47" s="263">
        <v>0.4</v>
      </c>
      <c r="AU47" s="263">
        <v>0.7</v>
      </c>
      <c r="AV47" s="263">
        <v>0.9</v>
      </c>
      <c r="AW47" s="263">
        <v>0.9</v>
      </c>
      <c r="AX47" s="263">
        <v>0.9</v>
      </c>
      <c r="AY47" s="263">
        <v>0.9</v>
      </c>
      <c r="AZ47" s="263">
        <v>0.9</v>
      </c>
      <c r="BA47" s="263">
        <v>0.9</v>
      </c>
      <c r="BB47" s="263">
        <v>0.9</v>
      </c>
      <c r="BC47" s="263">
        <v>0.9</v>
      </c>
      <c r="BD47" s="263">
        <v>0.6</v>
      </c>
      <c r="BE47" s="263">
        <v>0.6</v>
      </c>
      <c r="BF47" s="263">
        <v>0.6</v>
      </c>
      <c r="BG47" s="263">
        <v>0.6</v>
      </c>
      <c r="BH47" s="263">
        <v>0.6</v>
      </c>
      <c r="BI47" s="263">
        <v>0.6</v>
      </c>
      <c r="BJ47" s="263">
        <v>0.6</v>
      </c>
      <c r="BK47" s="264">
        <v>0.4</v>
      </c>
    </row>
    <row r="48" spans="1:63" ht="36" customHeight="1" x14ac:dyDescent="0.25">
      <c r="A48" s="700"/>
      <c r="B48" s="703"/>
      <c r="C48" s="706"/>
      <c r="D48" s="709"/>
      <c r="E48" s="536" t="s">
        <v>387</v>
      </c>
      <c r="F48" s="478">
        <v>0.1</v>
      </c>
      <c r="G48" s="478">
        <v>0.1</v>
      </c>
      <c r="H48" s="478">
        <v>0.1</v>
      </c>
      <c r="I48" s="478">
        <v>0.1</v>
      </c>
      <c r="J48" s="478">
        <v>0.1</v>
      </c>
      <c r="K48" s="478">
        <v>0.1</v>
      </c>
      <c r="L48" s="478">
        <v>0.1</v>
      </c>
      <c r="M48" s="265">
        <v>0.3</v>
      </c>
      <c r="N48" s="265">
        <v>0.5</v>
      </c>
      <c r="O48" s="265">
        <v>0.5</v>
      </c>
      <c r="P48" s="265">
        <v>0.5</v>
      </c>
      <c r="Q48" s="265">
        <v>0.5</v>
      </c>
      <c r="R48" s="265">
        <v>0.5</v>
      </c>
      <c r="S48" s="265">
        <v>0.5</v>
      </c>
      <c r="T48" s="265">
        <v>0.5</v>
      </c>
      <c r="U48" s="265">
        <v>0.5</v>
      </c>
      <c r="V48" s="265">
        <v>0.5</v>
      </c>
      <c r="W48" s="265">
        <v>0.3</v>
      </c>
      <c r="X48" s="478">
        <v>0.1</v>
      </c>
      <c r="Y48" s="478">
        <v>0.1</v>
      </c>
      <c r="Z48" s="478">
        <v>0.1</v>
      </c>
      <c r="AA48" s="478">
        <v>0.1</v>
      </c>
      <c r="AB48" s="478">
        <v>0.1</v>
      </c>
      <c r="AC48" s="479">
        <v>0.1</v>
      </c>
      <c r="AD48" s="48"/>
      <c r="AE48" s="47"/>
      <c r="AF48" s="47"/>
      <c r="AG48" s="47"/>
      <c r="AH48" s="47"/>
      <c r="AI48" s="47"/>
      <c r="AJ48" s="47"/>
      <c r="AK48" s="47"/>
      <c r="AM48" s="59"/>
      <c r="AN48" s="265">
        <v>0.4</v>
      </c>
      <c r="AO48" s="265">
        <v>0.4</v>
      </c>
      <c r="AP48" s="265">
        <v>0.4</v>
      </c>
      <c r="AQ48" s="265">
        <v>0.4</v>
      </c>
      <c r="AR48" s="265">
        <v>0.4</v>
      </c>
      <c r="AS48" s="265">
        <v>0.4</v>
      </c>
      <c r="AT48" s="265">
        <v>0.4</v>
      </c>
      <c r="AU48" s="265">
        <v>0.8</v>
      </c>
      <c r="AV48" s="265">
        <v>0.65</v>
      </c>
      <c r="AW48" s="265">
        <v>0.65</v>
      </c>
      <c r="AX48" s="265">
        <v>0.65</v>
      </c>
      <c r="AY48" s="265">
        <v>0.65</v>
      </c>
      <c r="AZ48" s="265">
        <v>0.65</v>
      </c>
      <c r="BA48" s="265">
        <v>0.65</v>
      </c>
      <c r="BB48" s="265">
        <v>0.65</v>
      </c>
      <c r="BC48" s="265">
        <v>0.65</v>
      </c>
      <c r="BD48" s="265">
        <v>0.65</v>
      </c>
      <c r="BE48" s="265">
        <v>0.65</v>
      </c>
      <c r="BF48" s="265">
        <v>0.4</v>
      </c>
      <c r="BG48" s="265">
        <v>0.4</v>
      </c>
      <c r="BH48" s="265">
        <v>0.4</v>
      </c>
      <c r="BI48" s="265">
        <v>0.4</v>
      </c>
      <c r="BJ48" s="265">
        <v>0.4</v>
      </c>
      <c r="BK48" s="266">
        <v>0.4</v>
      </c>
    </row>
    <row r="49" spans="1:63" ht="36" customHeight="1" thickBot="1" x14ac:dyDescent="0.3">
      <c r="A49" s="701"/>
      <c r="B49" s="704"/>
      <c r="C49" s="707"/>
      <c r="D49" s="710"/>
      <c r="E49" s="260" t="s">
        <v>388</v>
      </c>
      <c r="F49" s="480">
        <v>0.1</v>
      </c>
      <c r="G49" s="480">
        <v>0.1</v>
      </c>
      <c r="H49" s="480">
        <v>0.1</v>
      </c>
      <c r="I49" s="480">
        <v>0.1</v>
      </c>
      <c r="J49" s="480">
        <v>0.1</v>
      </c>
      <c r="K49" s="480">
        <v>0.1</v>
      </c>
      <c r="L49" s="480">
        <v>0.1</v>
      </c>
      <c r="M49" s="480">
        <v>0.3</v>
      </c>
      <c r="N49" s="480">
        <v>0.5</v>
      </c>
      <c r="O49" s="480">
        <v>0.5</v>
      </c>
      <c r="P49" s="480">
        <v>0.5</v>
      </c>
      <c r="Q49" s="480">
        <v>0.5</v>
      </c>
      <c r="R49" s="480">
        <v>0.5</v>
      </c>
      <c r="S49" s="480">
        <v>0.5</v>
      </c>
      <c r="T49" s="480">
        <v>0.5</v>
      </c>
      <c r="U49" s="480">
        <v>0.5</v>
      </c>
      <c r="V49" s="480">
        <v>0.5</v>
      </c>
      <c r="W49" s="480">
        <v>0.3</v>
      </c>
      <c r="X49" s="480">
        <v>0.1</v>
      </c>
      <c r="Y49" s="480">
        <v>0.1</v>
      </c>
      <c r="Z49" s="480">
        <v>0.1</v>
      </c>
      <c r="AA49" s="480">
        <v>0.1</v>
      </c>
      <c r="AB49" s="480">
        <v>0.1</v>
      </c>
      <c r="AC49" s="481">
        <v>0.1</v>
      </c>
      <c r="AD49" s="48"/>
      <c r="AE49" s="47"/>
      <c r="AF49" s="47"/>
      <c r="AG49" s="47"/>
      <c r="AH49" s="47"/>
      <c r="AI49" s="47"/>
      <c r="AJ49" s="47"/>
      <c r="AK49" s="47"/>
      <c r="AM49" s="59"/>
      <c r="AN49" s="267">
        <v>0.4</v>
      </c>
      <c r="AO49" s="267">
        <v>0.4</v>
      </c>
      <c r="AP49" s="267">
        <v>0.4</v>
      </c>
      <c r="AQ49" s="267">
        <v>0.4</v>
      </c>
      <c r="AR49" s="267">
        <v>0.4</v>
      </c>
      <c r="AS49" s="267">
        <v>0.4</v>
      </c>
      <c r="AT49" s="267">
        <v>0.4</v>
      </c>
      <c r="AU49" s="267">
        <v>0.4</v>
      </c>
      <c r="AV49" s="267">
        <v>0.6</v>
      </c>
      <c r="AW49" s="267">
        <v>0.6</v>
      </c>
      <c r="AX49" s="267">
        <v>0.6</v>
      </c>
      <c r="AY49" s="267">
        <v>0.6</v>
      </c>
      <c r="AZ49" s="267">
        <v>0.6</v>
      </c>
      <c r="BA49" s="267">
        <v>0.6</v>
      </c>
      <c r="BB49" s="267">
        <v>0.6</v>
      </c>
      <c r="BC49" s="267">
        <v>0.6</v>
      </c>
      <c r="BD49" s="267">
        <v>0.4</v>
      </c>
      <c r="BE49" s="267">
        <v>0.4</v>
      </c>
      <c r="BF49" s="267">
        <v>0.4</v>
      </c>
      <c r="BG49" s="267">
        <v>0.4</v>
      </c>
      <c r="BH49" s="267">
        <v>0.4</v>
      </c>
      <c r="BI49" s="267">
        <v>0.4</v>
      </c>
      <c r="BJ49" s="267">
        <v>0.4</v>
      </c>
      <c r="BK49" s="268">
        <v>0.4</v>
      </c>
    </row>
    <row r="50" spans="1:63" ht="36" customHeight="1" x14ac:dyDescent="0.25">
      <c r="A50" s="699" t="s">
        <v>519</v>
      </c>
      <c r="B50" s="702" t="str">
        <f>B38</f>
        <v>Health24/7</v>
      </c>
      <c r="C50" s="705" t="s">
        <v>241</v>
      </c>
      <c r="D50" s="708" t="s">
        <v>534</v>
      </c>
      <c r="E50" s="262" t="s">
        <v>386</v>
      </c>
      <c r="F50" s="482">
        <v>0.25</v>
      </c>
      <c r="G50" s="483">
        <v>0.25</v>
      </c>
      <c r="H50" s="483">
        <v>0.25</v>
      </c>
      <c r="I50" s="483">
        <v>0.25</v>
      </c>
      <c r="J50" s="483">
        <v>0.25</v>
      </c>
      <c r="K50" s="483">
        <v>0.25</v>
      </c>
      <c r="L50" s="483">
        <v>0.25</v>
      </c>
      <c r="M50" s="483">
        <v>0.25</v>
      </c>
      <c r="N50" s="483">
        <v>0.25</v>
      </c>
      <c r="O50" s="483">
        <v>0.25</v>
      </c>
      <c r="P50" s="483">
        <v>0.25</v>
      </c>
      <c r="Q50" s="483">
        <v>0.25</v>
      </c>
      <c r="R50" s="483">
        <v>0.25</v>
      </c>
      <c r="S50" s="483">
        <v>0.25</v>
      </c>
      <c r="T50" s="483">
        <v>0.25</v>
      </c>
      <c r="U50" s="483">
        <v>0.25</v>
      </c>
      <c r="V50" s="483">
        <v>0.25</v>
      </c>
      <c r="W50" s="483">
        <v>0.25</v>
      </c>
      <c r="X50" s="483">
        <v>0.25</v>
      </c>
      <c r="Y50" s="483">
        <v>0.25</v>
      </c>
      <c r="Z50" s="483">
        <v>0.25</v>
      </c>
      <c r="AA50" s="483">
        <v>0.25</v>
      </c>
      <c r="AB50" s="483">
        <v>0.25</v>
      </c>
      <c r="AC50" s="484">
        <v>0.25</v>
      </c>
      <c r="AD50" s="48"/>
      <c r="AE50" s="47"/>
      <c r="AF50" s="47"/>
      <c r="AG50" s="47"/>
      <c r="AH50" s="47"/>
      <c r="AI50" s="47"/>
      <c r="AJ50" s="47"/>
      <c r="AK50" s="47"/>
      <c r="AM50" s="59"/>
    </row>
    <row r="51" spans="1:63" ht="36" customHeight="1" x14ac:dyDescent="0.25">
      <c r="A51" s="700"/>
      <c r="B51" s="703"/>
      <c r="C51" s="706"/>
      <c r="D51" s="709"/>
      <c r="E51" s="536" t="s">
        <v>387</v>
      </c>
      <c r="F51" s="485">
        <v>0.25</v>
      </c>
      <c r="G51" s="486">
        <v>0.25</v>
      </c>
      <c r="H51" s="486">
        <v>0.25</v>
      </c>
      <c r="I51" s="486">
        <v>0.25</v>
      </c>
      <c r="J51" s="486">
        <v>0.25</v>
      </c>
      <c r="K51" s="486">
        <v>0.25</v>
      </c>
      <c r="L51" s="486">
        <v>0.25</v>
      </c>
      <c r="M51" s="486">
        <v>0.25</v>
      </c>
      <c r="N51" s="486">
        <v>0.25</v>
      </c>
      <c r="O51" s="486">
        <v>0.25</v>
      </c>
      <c r="P51" s="486">
        <v>0.25</v>
      </c>
      <c r="Q51" s="486">
        <v>0.25</v>
      </c>
      <c r="R51" s="486">
        <v>0.25</v>
      </c>
      <c r="S51" s="486">
        <v>0.25</v>
      </c>
      <c r="T51" s="486">
        <v>0.25</v>
      </c>
      <c r="U51" s="486">
        <v>0.25</v>
      </c>
      <c r="V51" s="486">
        <v>0.25</v>
      </c>
      <c r="W51" s="486">
        <v>0.25</v>
      </c>
      <c r="X51" s="486">
        <v>0.25</v>
      </c>
      <c r="Y51" s="486">
        <v>0.25</v>
      </c>
      <c r="Z51" s="486">
        <v>0.25</v>
      </c>
      <c r="AA51" s="486">
        <v>0.25</v>
      </c>
      <c r="AB51" s="486">
        <v>0.25</v>
      </c>
      <c r="AC51" s="487">
        <v>0.25</v>
      </c>
      <c r="AD51" s="48"/>
      <c r="AE51" s="47"/>
      <c r="AF51" s="47"/>
      <c r="AG51" s="47"/>
      <c r="AH51" s="47"/>
      <c r="AI51" s="47"/>
      <c r="AJ51" s="47"/>
      <c r="AK51" s="47"/>
      <c r="AM51" s="59"/>
    </row>
    <row r="52" spans="1:63" ht="36" customHeight="1" thickBot="1" x14ac:dyDescent="0.3">
      <c r="A52" s="701"/>
      <c r="B52" s="704"/>
      <c r="C52" s="707"/>
      <c r="D52" s="710"/>
      <c r="E52" s="260" t="s">
        <v>388</v>
      </c>
      <c r="F52" s="488">
        <v>0.25</v>
      </c>
      <c r="G52" s="489">
        <v>0.25</v>
      </c>
      <c r="H52" s="489">
        <v>0.25</v>
      </c>
      <c r="I52" s="489">
        <v>0.25</v>
      </c>
      <c r="J52" s="489">
        <v>0.25</v>
      </c>
      <c r="K52" s="489">
        <v>0.25</v>
      </c>
      <c r="L52" s="489">
        <v>0.25</v>
      </c>
      <c r="M52" s="489">
        <v>0.25</v>
      </c>
      <c r="N52" s="489">
        <v>0.25</v>
      </c>
      <c r="O52" s="489">
        <v>0.25</v>
      </c>
      <c r="P52" s="489">
        <v>0.25</v>
      </c>
      <c r="Q52" s="489">
        <v>0.25</v>
      </c>
      <c r="R52" s="489">
        <v>0.25</v>
      </c>
      <c r="S52" s="489">
        <v>0.25</v>
      </c>
      <c r="T52" s="489">
        <v>0.25</v>
      </c>
      <c r="U52" s="489">
        <v>0.25</v>
      </c>
      <c r="V52" s="489">
        <v>0.25</v>
      </c>
      <c r="W52" s="489">
        <v>0.25</v>
      </c>
      <c r="X52" s="489">
        <v>0.25</v>
      </c>
      <c r="Y52" s="489">
        <v>0.25</v>
      </c>
      <c r="Z52" s="489">
        <v>0.25</v>
      </c>
      <c r="AA52" s="489">
        <v>0.25</v>
      </c>
      <c r="AB52" s="489">
        <v>0.25</v>
      </c>
      <c r="AC52" s="490">
        <v>0.25</v>
      </c>
      <c r="AD52" s="48"/>
      <c r="AE52" s="47"/>
      <c r="AF52" s="47"/>
      <c r="AG52" s="47"/>
      <c r="AH52" s="47"/>
      <c r="AI52" s="47"/>
      <c r="AJ52" s="47"/>
      <c r="AK52" s="47"/>
      <c r="AM52" s="59"/>
    </row>
    <row r="53" spans="1:63" ht="31.15" customHeight="1" x14ac:dyDescent="0.25">
      <c r="A53" s="713" t="s">
        <v>519</v>
      </c>
      <c r="B53" s="702" t="str">
        <f>B35</f>
        <v>Health24/7</v>
      </c>
      <c r="C53" s="699" t="s">
        <v>528</v>
      </c>
      <c r="D53" s="708" t="s">
        <v>532</v>
      </c>
      <c r="E53" s="366" t="s">
        <v>386</v>
      </c>
      <c r="F53" s="271">
        <v>1</v>
      </c>
      <c r="G53" s="271">
        <v>1</v>
      </c>
      <c r="H53" s="271">
        <v>1</v>
      </c>
      <c r="I53" s="271">
        <v>1</v>
      </c>
      <c r="J53" s="271">
        <v>1</v>
      </c>
      <c r="K53" s="271">
        <v>1</v>
      </c>
      <c r="L53" s="271">
        <v>1</v>
      </c>
      <c r="M53" s="271">
        <v>1</v>
      </c>
      <c r="N53" s="271">
        <v>1</v>
      </c>
      <c r="O53" s="271">
        <v>1</v>
      </c>
      <c r="P53" s="271">
        <v>1</v>
      </c>
      <c r="Q53" s="271">
        <v>1</v>
      </c>
      <c r="R53" s="271">
        <v>1</v>
      </c>
      <c r="S53" s="271">
        <v>1</v>
      </c>
      <c r="T53" s="271">
        <v>1</v>
      </c>
      <c r="U53" s="271">
        <v>1</v>
      </c>
      <c r="V53" s="271">
        <v>1</v>
      </c>
      <c r="W53" s="271">
        <v>1</v>
      </c>
      <c r="X53" s="271">
        <v>1</v>
      </c>
      <c r="Y53" s="271">
        <v>1</v>
      </c>
      <c r="Z53" s="271">
        <v>1</v>
      </c>
      <c r="AA53" s="271">
        <v>1</v>
      </c>
      <c r="AB53" s="271">
        <v>1</v>
      </c>
      <c r="AC53" s="272">
        <v>1</v>
      </c>
    </row>
    <row r="54" spans="1:63" ht="30" customHeight="1" x14ac:dyDescent="0.25">
      <c r="A54" s="714"/>
      <c r="B54" s="703"/>
      <c r="C54" s="700"/>
      <c r="D54" s="709"/>
      <c r="E54" s="367" t="s">
        <v>387</v>
      </c>
      <c r="F54" s="273">
        <v>1</v>
      </c>
      <c r="G54" s="273">
        <v>1</v>
      </c>
      <c r="H54" s="273">
        <v>1</v>
      </c>
      <c r="I54" s="273">
        <v>1</v>
      </c>
      <c r="J54" s="273">
        <v>1</v>
      </c>
      <c r="K54" s="273">
        <v>1</v>
      </c>
      <c r="L54" s="273">
        <v>1</v>
      </c>
      <c r="M54" s="273">
        <v>1</v>
      </c>
      <c r="N54" s="273">
        <v>1</v>
      </c>
      <c r="O54" s="273">
        <v>1</v>
      </c>
      <c r="P54" s="273">
        <v>1</v>
      </c>
      <c r="Q54" s="273">
        <v>1</v>
      </c>
      <c r="R54" s="273">
        <v>1</v>
      </c>
      <c r="S54" s="273">
        <v>1</v>
      </c>
      <c r="T54" s="273">
        <v>1</v>
      </c>
      <c r="U54" s="273">
        <v>1</v>
      </c>
      <c r="V54" s="273">
        <v>1</v>
      </c>
      <c r="W54" s="273">
        <v>1</v>
      </c>
      <c r="X54" s="273">
        <v>1</v>
      </c>
      <c r="Y54" s="273">
        <v>1</v>
      </c>
      <c r="Z54" s="273">
        <v>1</v>
      </c>
      <c r="AA54" s="273">
        <v>1</v>
      </c>
      <c r="AB54" s="273">
        <v>1</v>
      </c>
      <c r="AC54" s="274">
        <v>1</v>
      </c>
    </row>
    <row r="55" spans="1:63" ht="33" customHeight="1" thickBot="1" x14ac:dyDescent="0.3">
      <c r="A55" s="715"/>
      <c r="B55" s="704"/>
      <c r="C55" s="701"/>
      <c r="D55" s="710"/>
      <c r="E55" s="368" t="s">
        <v>388</v>
      </c>
      <c r="F55" s="338">
        <v>1</v>
      </c>
      <c r="G55" s="338">
        <v>1</v>
      </c>
      <c r="H55" s="338">
        <v>1</v>
      </c>
      <c r="I55" s="338">
        <v>1</v>
      </c>
      <c r="J55" s="338">
        <v>1</v>
      </c>
      <c r="K55" s="338">
        <v>1</v>
      </c>
      <c r="L55" s="338">
        <v>1</v>
      </c>
      <c r="M55" s="338">
        <v>1</v>
      </c>
      <c r="N55" s="338">
        <v>1</v>
      </c>
      <c r="O55" s="338">
        <v>1</v>
      </c>
      <c r="P55" s="338">
        <v>1</v>
      </c>
      <c r="Q55" s="338">
        <v>1</v>
      </c>
      <c r="R55" s="338">
        <v>1</v>
      </c>
      <c r="S55" s="338">
        <v>1</v>
      </c>
      <c r="T55" s="338">
        <v>1</v>
      </c>
      <c r="U55" s="338">
        <v>1</v>
      </c>
      <c r="V55" s="338">
        <v>1</v>
      </c>
      <c r="W55" s="338">
        <v>1</v>
      </c>
      <c r="X55" s="338">
        <v>1</v>
      </c>
      <c r="Y55" s="338">
        <v>1</v>
      </c>
      <c r="Z55" s="338">
        <v>1</v>
      </c>
      <c r="AA55" s="338">
        <v>1</v>
      </c>
      <c r="AB55" s="338">
        <v>1</v>
      </c>
      <c r="AC55" s="339">
        <v>1</v>
      </c>
    </row>
    <row r="56" spans="1:63" ht="22.9" customHeight="1" x14ac:dyDescent="0.25">
      <c r="A56" s="713" t="s">
        <v>519</v>
      </c>
      <c r="B56" s="702" t="str">
        <f>B35</f>
        <v>Health24/7</v>
      </c>
      <c r="C56" s="716" t="s">
        <v>529</v>
      </c>
      <c r="D56" s="719"/>
      <c r="E56" s="332" t="s">
        <v>386</v>
      </c>
      <c r="F56" s="560">
        <f>IF(F53=1,Thermostat!$B$3,Thermostat!$B$4)</f>
        <v>70</v>
      </c>
      <c r="G56" s="560">
        <f>IF(G53=1,Thermostat!$B$3,Thermostat!$B$4)</f>
        <v>70</v>
      </c>
      <c r="H56" s="560">
        <f>IF(H53=1,Thermostat!$B$3,Thermostat!$B$4)</f>
        <v>70</v>
      </c>
      <c r="I56" s="560">
        <f>IF(I53=1,Thermostat!$B$3,Thermostat!$B$4)</f>
        <v>70</v>
      </c>
      <c r="J56" s="560">
        <f>IF(J53=1,Thermostat!$B$3,Thermostat!$B$4)</f>
        <v>70</v>
      </c>
      <c r="K56" s="560">
        <f>IF(K53=1,Thermostat!$B$3,Thermostat!$B$4)</f>
        <v>70</v>
      </c>
      <c r="L56" s="560">
        <f>IF(L53=1,Thermostat!$B$3,Thermostat!$B$4)</f>
        <v>70</v>
      </c>
      <c r="M56" s="560">
        <f>IF(M53=1,Thermostat!$B$3,Thermostat!$B$4)</f>
        <v>70</v>
      </c>
      <c r="N56" s="560">
        <f>IF(N53=1,Thermostat!$B$3,Thermostat!$B$4)</f>
        <v>70</v>
      </c>
      <c r="O56" s="560">
        <f>IF(O53=1,Thermostat!$B$3,Thermostat!$B$4)</f>
        <v>70</v>
      </c>
      <c r="P56" s="560">
        <f>IF(P53=1,Thermostat!$B$3,Thermostat!$B$4)</f>
        <v>70</v>
      </c>
      <c r="Q56" s="560">
        <f>IF(Q53=1,Thermostat!$B$3,Thermostat!$B$4)</f>
        <v>70</v>
      </c>
      <c r="R56" s="560">
        <f>IF(R53=1,Thermostat!$B$3,Thermostat!$B$4)</f>
        <v>70</v>
      </c>
      <c r="S56" s="560">
        <f>IF(S53=1,Thermostat!$B$3,Thermostat!$B$4)</f>
        <v>70</v>
      </c>
      <c r="T56" s="560">
        <f>IF(T53=1,Thermostat!$B$3,Thermostat!$B$4)</f>
        <v>70</v>
      </c>
      <c r="U56" s="560">
        <f>IF(U53=1,Thermostat!$B$3,Thermostat!$B$4)</f>
        <v>70</v>
      </c>
      <c r="V56" s="560">
        <f>IF(V53=1,Thermostat!$B$3,Thermostat!$B$4)</f>
        <v>70</v>
      </c>
      <c r="W56" s="560">
        <f>IF(W53=1,Thermostat!$B$3,Thermostat!$B$4)</f>
        <v>70</v>
      </c>
      <c r="X56" s="560">
        <f>IF(X53=1,Thermostat!$B$3,Thermostat!$B$4)</f>
        <v>70</v>
      </c>
      <c r="Y56" s="560">
        <f>IF(Y53=1,Thermostat!$B$3,Thermostat!$B$4)</f>
        <v>70</v>
      </c>
      <c r="Z56" s="560">
        <f>IF(Z53=1,Thermostat!$B$3,Thermostat!$B$4)</f>
        <v>70</v>
      </c>
      <c r="AA56" s="560">
        <f>IF(AA53=1,Thermostat!$B$3,Thermostat!$B$4)</f>
        <v>70</v>
      </c>
      <c r="AB56" s="560">
        <f>IF(AB53=1,Thermostat!$B$3,Thermostat!$B$4)</f>
        <v>70</v>
      </c>
      <c r="AC56" s="333">
        <f>IF(AC53=1,Thermostat!$B$3,Thermostat!$B$4)</f>
        <v>70</v>
      </c>
    </row>
    <row r="57" spans="1:63" ht="22.9" customHeight="1" x14ac:dyDescent="0.25">
      <c r="A57" s="714"/>
      <c r="B57" s="703"/>
      <c r="C57" s="717"/>
      <c r="D57" s="720"/>
      <c r="E57" s="334" t="s">
        <v>387</v>
      </c>
      <c r="F57" s="561">
        <f>IF(F54=1,Thermostat!$B$3,Thermostat!$B$4)</f>
        <v>70</v>
      </c>
      <c r="G57" s="561">
        <f>IF(G54=1,Thermostat!$B$3,Thermostat!$B$4)</f>
        <v>70</v>
      </c>
      <c r="H57" s="561">
        <f>IF(H54=1,Thermostat!$B$3,Thermostat!$B$4)</f>
        <v>70</v>
      </c>
      <c r="I57" s="561">
        <f>IF(I54=1,Thermostat!$B$3,Thermostat!$B$4)</f>
        <v>70</v>
      </c>
      <c r="J57" s="561">
        <f>IF(J54=1,Thermostat!$B$3,Thermostat!$B$4)</f>
        <v>70</v>
      </c>
      <c r="K57" s="561">
        <f>IF(K54=1,Thermostat!$B$3,Thermostat!$B$4)</f>
        <v>70</v>
      </c>
      <c r="L57" s="561">
        <f>IF(L54=1,Thermostat!$B$3,Thermostat!$B$4)</f>
        <v>70</v>
      </c>
      <c r="M57" s="561">
        <f>IF(M54=1,Thermostat!$B$3,Thermostat!$B$4)</f>
        <v>70</v>
      </c>
      <c r="N57" s="561">
        <f>IF(N54=1,Thermostat!$B$3,Thermostat!$B$4)</f>
        <v>70</v>
      </c>
      <c r="O57" s="561">
        <f>IF(O54=1,Thermostat!$B$3,Thermostat!$B$4)</f>
        <v>70</v>
      </c>
      <c r="P57" s="561">
        <f>IF(P54=1,Thermostat!$B$3,Thermostat!$B$4)</f>
        <v>70</v>
      </c>
      <c r="Q57" s="561">
        <f>IF(Q54=1,Thermostat!$B$3,Thermostat!$B$4)</f>
        <v>70</v>
      </c>
      <c r="R57" s="561">
        <f>IF(R54=1,Thermostat!$B$3,Thermostat!$B$4)</f>
        <v>70</v>
      </c>
      <c r="S57" s="561">
        <f>IF(S54=1,Thermostat!$B$3,Thermostat!$B$4)</f>
        <v>70</v>
      </c>
      <c r="T57" s="561">
        <f>IF(T54=1,Thermostat!$B$3,Thermostat!$B$4)</f>
        <v>70</v>
      </c>
      <c r="U57" s="561">
        <f>IF(U54=1,Thermostat!$B$3,Thermostat!$B$4)</f>
        <v>70</v>
      </c>
      <c r="V57" s="561">
        <f>IF(V54=1,Thermostat!$B$3,Thermostat!$B$4)</f>
        <v>70</v>
      </c>
      <c r="W57" s="561">
        <f>IF(W54=1,Thermostat!$B$3,Thermostat!$B$4)</f>
        <v>70</v>
      </c>
      <c r="X57" s="561">
        <f>IF(X54=1,Thermostat!$B$3,Thermostat!$B$4)</f>
        <v>70</v>
      </c>
      <c r="Y57" s="561">
        <f>IF(Y54=1,Thermostat!$B$3,Thermostat!$B$4)</f>
        <v>70</v>
      </c>
      <c r="Z57" s="561">
        <f>IF(Z54=1,Thermostat!$B$3,Thermostat!$B$4)</f>
        <v>70</v>
      </c>
      <c r="AA57" s="561">
        <f>IF(AA54=1,Thermostat!$B$3,Thermostat!$B$4)</f>
        <v>70</v>
      </c>
      <c r="AB57" s="561">
        <f>IF(AB54=1,Thermostat!$B$3,Thermostat!$B$4)</f>
        <v>70</v>
      </c>
      <c r="AC57" s="335">
        <f>IF(AC54=1,Thermostat!$B$3,Thermostat!$B$4)</f>
        <v>70</v>
      </c>
    </row>
    <row r="58" spans="1:63" ht="22.9" customHeight="1" thickBot="1" x14ac:dyDescent="0.3">
      <c r="A58" s="715"/>
      <c r="B58" s="704"/>
      <c r="C58" s="718"/>
      <c r="D58" s="721"/>
      <c r="E58" s="336" t="s">
        <v>388</v>
      </c>
      <c r="F58" s="562">
        <f>IF(F55=1,Thermostat!$B$3,Thermostat!$B$4)</f>
        <v>70</v>
      </c>
      <c r="G58" s="562">
        <f>IF(G55=1,Thermostat!$B$3,Thermostat!$B$4)</f>
        <v>70</v>
      </c>
      <c r="H58" s="562">
        <f>IF(H55=1,Thermostat!$B$3,Thermostat!$B$4)</f>
        <v>70</v>
      </c>
      <c r="I58" s="562">
        <f>IF(I55=1,Thermostat!$B$3,Thermostat!$B$4)</f>
        <v>70</v>
      </c>
      <c r="J58" s="562">
        <f>IF(J55=1,Thermostat!$B$3,Thermostat!$B$4)</f>
        <v>70</v>
      </c>
      <c r="K58" s="562">
        <f>IF(K55=1,Thermostat!$B$3,Thermostat!$B$4)</f>
        <v>70</v>
      </c>
      <c r="L58" s="562">
        <f>IF(L55=1,Thermostat!$B$3,Thermostat!$B$4)</f>
        <v>70</v>
      </c>
      <c r="M58" s="562">
        <f>IF(M55=1,Thermostat!$B$3,Thermostat!$B$4)</f>
        <v>70</v>
      </c>
      <c r="N58" s="562">
        <f>IF(N55=1,Thermostat!$B$3,Thermostat!$B$4)</f>
        <v>70</v>
      </c>
      <c r="O58" s="562">
        <f>IF(O55=1,Thermostat!$B$3,Thermostat!$B$4)</f>
        <v>70</v>
      </c>
      <c r="P58" s="562">
        <f>IF(P55=1,Thermostat!$B$3,Thermostat!$B$4)</f>
        <v>70</v>
      </c>
      <c r="Q58" s="562">
        <f>IF(Q55=1,Thermostat!$B$3,Thermostat!$B$4)</f>
        <v>70</v>
      </c>
      <c r="R58" s="562">
        <f>IF(R55=1,Thermostat!$B$3,Thermostat!$B$4)</f>
        <v>70</v>
      </c>
      <c r="S58" s="562">
        <f>IF(S55=1,Thermostat!$B$3,Thermostat!$B$4)</f>
        <v>70</v>
      </c>
      <c r="T58" s="562">
        <f>IF(T55=1,Thermostat!$B$3,Thermostat!$B$4)</f>
        <v>70</v>
      </c>
      <c r="U58" s="562">
        <f>IF(U55=1,Thermostat!$B$3,Thermostat!$B$4)</f>
        <v>70</v>
      </c>
      <c r="V58" s="562">
        <f>IF(V55=1,Thermostat!$B$3,Thermostat!$B$4)</f>
        <v>70</v>
      </c>
      <c r="W58" s="562">
        <f>IF(W55=1,Thermostat!$B$3,Thermostat!$B$4)</f>
        <v>70</v>
      </c>
      <c r="X58" s="562">
        <f>IF(X55=1,Thermostat!$B$3,Thermostat!$B$4)</f>
        <v>70</v>
      </c>
      <c r="Y58" s="562">
        <f>IF(Y55=1,Thermostat!$B$3,Thermostat!$B$4)</f>
        <v>70</v>
      </c>
      <c r="Z58" s="562">
        <f>IF(Z55=1,Thermostat!$B$3,Thermostat!$B$4)</f>
        <v>70</v>
      </c>
      <c r="AA58" s="562">
        <f>IF(AA55=1,Thermostat!$B$3,Thermostat!$B$4)</f>
        <v>70</v>
      </c>
      <c r="AB58" s="562">
        <f>IF(AB55=1,Thermostat!$B$3,Thermostat!$B$4)</f>
        <v>70</v>
      </c>
      <c r="AC58" s="337">
        <f>IF(AC55=1,Thermostat!$B$3,Thermostat!$B$4)</f>
        <v>70</v>
      </c>
    </row>
    <row r="59" spans="1:63" ht="22.9" customHeight="1" x14ac:dyDescent="0.25">
      <c r="A59" s="713" t="s">
        <v>519</v>
      </c>
      <c r="B59" s="702" t="str">
        <f>B35</f>
        <v>Health24/7</v>
      </c>
      <c r="C59" s="716" t="s">
        <v>530</v>
      </c>
      <c r="D59" s="719"/>
      <c r="E59" s="332" t="s">
        <v>386</v>
      </c>
      <c r="F59" s="560">
        <f>IF(F53=1,Thermostat!$B$5,Thermostat!$B$6)</f>
        <v>75</v>
      </c>
      <c r="G59" s="560">
        <f>IF(G53=1,Thermostat!$B$5,Thermostat!$B$6)</f>
        <v>75</v>
      </c>
      <c r="H59" s="560">
        <f>IF(H53=1,Thermostat!$B$5,Thermostat!$B$6)</f>
        <v>75</v>
      </c>
      <c r="I59" s="560">
        <f>IF(I53=1,Thermostat!$B$5,Thermostat!$B$6)</f>
        <v>75</v>
      </c>
      <c r="J59" s="560">
        <f>IF(J53=1,Thermostat!$B$5,Thermostat!$B$6)</f>
        <v>75</v>
      </c>
      <c r="K59" s="560">
        <f>IF(K53=1,Thermostat!$B$5,Thermostat!$B$6)</f>
        <v>75</v>
      </c>
      <c r="L59" s="560">
        <f>IF(L53=1,Thermostat!$B$5,Thermostat!$B$6)</f>
        <v>75</v>
      </c>
      <c r="M59" s="560">
        <f>IF(M53=1,Thermostat!$B$5,Thermostat!$B$6)</f>
        <v>75</v>
      </c>
      <c r="N59" s="560">
        <f>IF(N53=1,Thermostat!$B$5,Thermostat!$B$6)</f>
        <v>75</v>
      </c>
      <c r="O59" s="560">
        <f>IF(O53=1,Thermostat!$B$5,Thermostat!$B$6)</f>
        <v>75</v>
      </c>
      <c r="P59" s="560">
        <f>IF(P53=1,Thermostat!$B$5,Thermostat!$B$6)</f>
        <v>75</v>
      </c>
      <c r="Q59" s="560">
        <f>IF(Q53=1,Thermostat!$B$5,Thermostat!$B$6)</f>
        <v>75</v>
      </c>
      <c r="R59" s="560">
        <f>IF(R53=1,Thermostat!$B$5,Thermostat!$B$6)</f>
        <v>75</v>
      </c>
      <c r="S59" s="560">
        <f>IF(S53=1,Thermostat!$B$5,Thermostat!$B$6)</f>
        <v>75</v>
      </c>
      <c r="T59" s="560">
        <f>IF(T53=1,Thermostat!$B$5,Thermostat!$B$6)</f>
        <v>75</v>
      </c>
      <c r="U59" s="560">
        <f>IF(U53=1,Thermostat!$B$5,Thermostat!$B$6)</f>
        <v>75</v>
      </c>
      <c r="V59" s="560">
        <f>IF(V53=1,Thermostat!$B$5,Thermostat!$B$6)</f>
        <v>75</v>
      </c>
      <c r="W59" s="560">
        <f>IF(W53=1,Thermostat!$B$5,Thermostat!$B$6)</f>
        <v>75</v>
      </c>
      <c r="X59" s="560">
        <f>IF(X53=1,Thermostat!$B$5,Thermostat!$B$6)</f>
        <v>75</v>
      </c>
      <c r="Y59" s="560">
        <f>IF(Y53=1,Thermostat!$B$5,Thermostat!$B$6)</f>
        <v>75</v>
      </c>
      <c r="Z59" s="560">
        <f>IF(Z53=1,Thermostat!$B$5,Thermostat!$B$6)</f>
        <v>75</v>
      </c>
      <c r="AA59" s="560">
        <f>IF(AA53=1,Thermostat!$B$5,Thermostat!$B$6)</f>
        <v>75</v>
      </c>
      <c r="AB59" s="560">
        <f>IF(AB53=1,Thermostat!$B$5,Thermostat!$B$6)</f>
        <v>75</v>
      </c>
      <c r="AC59" s="333">
        <f>IF(AC53=1,Thermostat!$B$5,Thermostat!$B$6)</f>
        <v>75</v>
      </c>
    </row>
    <row r="60" spans="1:63" ht="22.9" customHeight="1" x14ac:dyDescent="0.25">
      <c r="A60" s="714"/>
      <c r="B60" s="703"/>
      <c r="C60" s="717"/>
      <c r="D60" s="720"/>
      <c r="E60" s="334" t="s">
        <v>387</v>
      </c>
      <c r="F60" s="561">
        <f>IF(F54=1,Thermostat!$B$5,Thermostat!$B$6)</f>
        <v>75</v>
      </c>
      <c r="G60" s="561">
        <f>IF(G54=1,Thermostat!$B$5,Thermostat!$B$6)</f>
        <v>75</v>
      </c>
      <c r="H60" s="561">
        <f>IF(H54=1,Thermostat!$B$5,Thermostat!$B$6)</f>
        <v>75</v>
      </c>
      <c r="I60" s="561">
        <f>IF(I54=1,Thermostat!$B$5,Thermostat!$B$6)</f>
        <v>75</v>
      </c>
      <c r="J60" s="561">
        <f>IF(J54=1,Thermostat!$B$5,Thermostat!$B$6)</f>
        <v>75</v>
      </c>
      <c r="K60" s="561">
        <f>IF(K54=1,Thermostat!$B$5,Thermostat!$B$6)</f>
        <v>75</v>
      </c>
      <c r="L60" s="561">
        <f>IF(L54=1,Thermostat!$B$5,Thermostat!$B$6)</f>
        <v>75</v>
      </c>
      <c r="M60" s="561">
        <f>IF(M54=1,Thermostat!$B$5,Thermostat!$B$6)</f>
        <v>75</v>
      </c>
      <c r="N60" s="561">
        <f>IF(N54=1,Thermostat!$B$5,Thermostat!$B$6)</f>
        <v>75</v>
      </c>
      <c r="O60" s="561">
        <f>IF(O54=1,Thermostat!$B$5,Thermostat!$B$6)</f>
        <v>75</v>
      </c>
      <c r="P60" s="561">
        <f>IF(P54=1,Thermostat!$B$5,Thermostat!$B$6)</f>
        <v>75</v>
      </c>
      <c r="Q60" s="561">
        <f>IF(Q54=1,Thermostat!$B$5,Thermostat!$B$6)</f>
        <v>75</v>
      </c>
      <c r="R60" s="561">
        <f>IF(R54=1,Thermostat!$B$5,Thermostat!$B$6)</f>
        <v>75</v>
      </c>
      <c r="S60" s="561">
        <f>IF(S54=1,Thermostat!$B$5,Thermostat!$B$6)</f>
        <v>75</v>
      </c>
      <c r="T60" s="561">
        <f>IF(T54=1,Thermostat!$B$5,Thermostat!$B$6)</f>
        <v>75</v>
      </c>
      <c r="U60" s="561">
        <f>IF(U54=1,Thermostat!$B$5,Thermostat!$B$6)</f>
        <v>75</v>
      </c>
      <c r="V60" s="561">
        <f>IF(V54=1,Thermostat!$B$5,Thermostat!$B$6)</f>
        <v>75</v>
      </c>
      <c r="W60" s="561">
        <f>IF(W54=1,Thermostat!$B$5,Thermostat!$B$6)</f>
        <v>75</v>
      </c>
      <c r="X60" s="561">
        <f>IF(X54=1,Thermostat!$B$5,Thermostat!$B$6)</f>
        <v>75</v>
      </c>
      <c r="Y60" s="561">
        <f>IF(Y54=1,Thermostat!$B$5,Thermostat!$B$6)</f>
        <v>75</v>
      </c>
      <c r="Z60" s="561">
        <f>IF(Z54=1,Thermostat!$B$5,Thermostat!$B$6)</f>
        <v>75</v>
      </c>
      <c r="AA60" s="561">
        <f>IF(AA54=1,Thermostat!$B$5,Thermostat!$B$6)</f>
        <v>75</v>
      </c>
      <c r="AB60" s="561">
        <f>IF(AB54=1,Thermostat!$B$5,Thermostat!$B$6)</f>
        <v>75</v>
      </c>
      <c r="AC60" s="335">
        <f>IF(AC54=1,Thermostat!$B$5,Thermostat!$B$6)</f>
        <v>75</v>
      </c>
    </row>
    <row r="61" spans="1:63" ht="22.9" customHeight="1" thickBot="1" x14ac:dyDescent="0.3">
      <c r="A61" s="715"/>
      <c r="B61" s="704"/>
      <c r="C61" s="718"/>
      <c r="D61" s="721"/>
      <c r="E61" s="336" t="s">
        <v>388</v>
      </c>
      <c r="F61" s="562">
        <f>IF(F55=1,Thermostat!$B$5,Thermostat!$B$6)</f>
        <v>75</v>
      </c>
      <c r="G61" s="562">
        <f>IF(G55=1,Thermostat!$B$5,Thermostat!$B$6)</f>
        <v>75</v>
      </c>
      <c r="H61" s="562">
        <f>IF(H55=1,Thermostat!$B$5,Thermostat!$B$6)</f>
        <v>75</v>
      </c>
      <c r="I61" s="562">
        <f>IF(I55=1,Thermostat!$B$5,Thermostat!$B$6)</f>
        <v>75</v>
      </c>
      <c r="J61" s="562">
        <f>IF(J55=1,Thermostat!$B$5,Thermostat!$B$6)</f>
        <v>75</v>
      </c>
      <c r="K61" s="562">
        <f>IF(K55=1,Thermostat!$B$5,Thermostat!$B$6)</f>
        <v>75</v>
      </c>
      <c r="L61" s="562">
        <f>IF(L55=1,Thermostat!$B$5,Thermostat!$B$6)</f>
        <v>75</v>
      </c>
      <c r="M61" s="562">
        <f>IF(M55=1,Thermostat!$B$5,Thermostat!$B$6)</f>
        <v>75</v>
      </c>
      <c r="N61" s="562">
        <f>IF(N55=1,Thermostat!$B$5,Thermostat!$B$6)</f>
        <v>75</v>
      </c>
      <c r="O61" s="562">
        <f>IF(O55=1,Thermostat!$B$5,Thermostat!$B$6)</f>
        <v>75</v>
      </c>
      <c r="P61" s="562">
        <f>IF(P55=1,Thermostat!$B$5,Thermostat!$B$6)</f>
        <v>75</v>
      </c>
      <c r="Q61" s="562">
        <f>IF(Q55=1,Thermostat!$B$5,Thermostat!$B$6)</f>
        <v>75</v>
      </c>
      <c r="R61" s="562">
        <f>IF(R55=1,Thermostat!$B$5,Thermostat!$B$6)</f>
        <v>75</v>
      </c>
      <c r="S61" s="562">
        <f>IF(S55=1,Thermostat!$B$5,Thermostat!$B$6)</f>
        <v>75</v>
      </c>
      <c r="T61" s="562">
        <f>IF(T55=1,Thermostat!$B$5,Thermostat!$B$6)</f>
        <v>75</v>
      </c>
      <c r="U61" s="562">
        <f>IF(U55=1,Thermostat!$B$5,Thermostat!$B$6)</f>
        <v>75</v>
      </c>
      <c r="V61" s="562">
        <f>IF(V55=1,Thermostat!$B$5,Thermostat!$B$6)</f>
        <v>75</v>
      </c>
      <c r="W61" s="562">
        <f>IF(W55=1,Thermostat!$B$5,Thermostat!$B$6)</f>
        <v>75</v>
      </c>
      <c r="X61" s="562">
        <f>IF(X55=1,Thermostat!$B$5,Thermostat!$B$6)</f>
        <v>75</v>
      </c>
      <c r="Y61" s="562">
        <f>IF(Y55=1,Thermostat!$B$5,Thermostat!$B$6)</f>
        <v>75</v>
      </c>
      <c r="Z61" s="562">
        <f>IF(Z55=1,Thermostat!$B$5,Thermostat!$B$6)</f>
        <v>75</v>
      </c>
      <c r="AA61" s="562">
        <f>IF(AA55=1,Thermostat!$B$5,Thermostat!$B$6)</f>
        <v>75</v>
      </c>
      <c r="AB61" s="562">
        <f>IF(AB55=1,Thermostat!$B$5,Thermostat!$B$6)</f>
        <v>75</v>
      </c>
      <c r="AC61" s="337">
        <f>IF(AC55=1,Thermostat!$B$5,Thermostat!$B$6)</f>
        <v>75</v>
      </c>
    </row>
    <row r="62" spans="1:63" ht="25.15" customHeight="1" thickBot="1" x14ac:dyDescent="0.3">
      <c r="A62" s="725" t="s">
        <v>535</v>
      </c>
      <c r="B62" s="725"/>
      <c r="C62" s="725" t="s">
        <v>531</v>
      </c>
      <c r="D62" s="725"/>
      <c r="E62" s="725"/>
      <c r="F62" s="725"/>
      <c r="G62" s="725"/>
      <c r="H62" s="725"/>
      <c r="I62" s="725"/>
      <c r="J62" s="725"/>
      <c r="K62" s="725"/>
      <c r="L62" s="725"/>
      <c r="M62" s="725"/>
      <c r="N62" s="725"/>
      <c r="O62" s="725"/>
      <c r="P62" s="725"/>
      <c r="Q62" s="725"/>
      <c r="R62" s="725"/>
      <c r="S62" s="725"/>
      <c r="T62" s="725"/>
      <c r="U62" s="725"/>
      <c r="V62" s="725"/>
      <c r="W62" s="725"/>
      <c r="X62" s="725"/>
      <c r="Y62" s="725"/>
      <c r="Z62" s="725"/>
      <c r="AA62" s="725"/>
      <c r="AB62" s="725"/>
      <c r="AC62" s="726"/>
    </row>
    <row r="63" spans="1:63" ht="25.15" customHeight="1" x14ac:dyDescent="0.25">
      <c r="A63" s="713" t="s">
        <v>519</v>
      </c>
      <c r="B63" s="702" t="s">
        <v>157</v>
      </c>
      <c r="C63" s="702" t="s">
        <v>520</v>
      </c>
      <c r="D63" s="708" t="s">
        <v>532</v>
      </c>
      <c r="E63" s="554" t="s">
        <v>386</v>
      </c>
      <c r="F63" s="554">
        <v>0.4</v>
      </c>
      <c r="G63" s="554">
        <v>0.4</v>
      </c>
      <c r="H63" s="554">
        <v>0.4</v>
      </c>
      <c r="I63" s="554">
        <v>0.4</v>
      </c>
      <c r="J63" s="554">
        <v>0.4</v>
      </c>
      <c r="K63" s="554">
        <v>0.4</v>
      </c>
      <c r="L63" s="554">
        <v>0.4</v>
      </c>
      <c r="M63" s="554">
        <v>0.5</v>
      </c>
      <c r="N63" s="554">
        <v>0.6</v>
      </c>
      <c r="O63" s="554">
        <v>0.8</v>
      </c>
      <c r="P63" s="554">
        <v>0.8</v>
      </c>
      <c r="Q63" s="554">
        <v>0.8</v>
      </c>
      <c r="R63" s="554">
        <v>0.8</v>
      </c>
      <c r="S63" s="554">
        <v>0.8</v>
      </c>
      <c r="T63" s="554">
        <v>0.8</v>
      </c>
      <c r="U63" s="554">
        <v>0.8</v>
      </c>
      <c r="V63" s="554">
        <v>0.8</v>
      </c>
      <c r="W63" s="554">
        <v>0.6</v>
      </c>
      <c r="X63" s="554">
        <v>0.5</v>
      </c>
      <c r="Y63" s="554">
        <v>0.5</v>
      </c>
      <c r="Z63" s="554">
        <v>0.4</v>
      </c>
      <c r="AA63" s="554">
        <v>0.4</v>
      </c>
      <c r="AB63" s="554">
        <v>0.4</v>
      </c>
      <c r="AC63" s="255">
        <v>0.4</v>
      </c>
      <c r="AD63" s="47"/>
      <c r="AE63" s="47"/>
      <c r="AF63" s="47"/>
      <c r="AG63" s="47"/>
      <c r="AH63" s="47"/>
      <c r="AI63" s="47"/>
      <c r="AJ63" s="47"/>
      <c r="AK63" s="47"/>
    </row>
    <row r="64" spans="1:63" ht="33" customHeight="1" x14ac:dyDescent="0.25">
      <c r="A64" s="714"/>
      <c r="B64" s="703"/>
      <c r="C64" s="703"/>
      <c r="D64" s="709"/>
      <c r="E64" s="555" t="s">
        <v>387</v>
      </c>
      <c r="F64" s="555">
        <v>0.4</v>
      </c>
      <c r="G64" s="555">
        <v>0.4</v>
      </c>
      <c r="H64" s="555">
        <v>0.4</v>
      </c>
      <c r="I64" s="555">
        <v>0.4</v>
      </c>
      <c r="J64" s="555">
        <v>0.4</v>
      </c>
      <c r="K64" s="555">
        <v>0.4</v>
      </c>
      <c r="L64" s="555">
        <v>0.4</v>
      </c>
      <c r="M64" s="555">
        <v>0.5</v>
      </c>
      <c r="N64" s="555">
        <v>0.6</v>
      </c>
      <c r="O64" s="555">
        <v>0.6</v>
      </c>
      <c r="P64" s="555">
        <v>0.6</v>
      </c>
      <c r="Q64" s="555">
        <v>0.6</v>
      </c>
      <c r="R64" s="555">
        <v>0.6</v>
      </c>
      <c r="S64" s="555">
        <v>0.6</v>
      </c>
      <c r="T64" s="555">
        <v>0.6</v>
      </c>
      <c r="U64" s="555">
        <v>0.6</v>
      </c>
      <c r="V64" s="555">
        <v>0.6</v>
      </c>
      <c r="W64" s="555">
        <v>0.5</v>
      </c>
      <c r="X64" s="555">
        <v>0.5</v>
      </c>
      <c r="Y64" s="555">
        <v>0.4</v>
      </c>
      <c r="Z64" s="555">
        <v>0.4</v>
      </c>
      <c r="AA64" s="555">
        <v>0.4</v>
      </c>
      <c r="AB64" s="555">
        <v>0.4</v>
      </c>
      <c r="AC64" s="256">
        <v>0.4</v>
      </c>
      <c r="AD64" s="47"/>
      <c r="AE64" s="47"/>
      <c r="AF64" s="47"/>
      <c r="AG64" s="47"/>
      <c r="AH64" s="47"/>
      <c r="AI64" s="47"/>
      <c r="AJ64" s="47"/>
      <c r="AK64" s="47"/>
    </row>
    <row r="65" spans="1:63" ht="33" customHeight="1" thickBot="1" x14ac:dyDescent="0.3">
      <c r="A65" s="715"/>
      <c r="B65" s="704"/>
      <c r="C65" s="704"/>
      <c r="D65" s="710"/>
      <c r="E65" s="556" t="s">
        <v>388</v>
      </c>
      <c r="F65" s="556">
        <v>0.4</v>
      </c>
      <c r="G65" s="556">
        <v>0.4</v>
      </c>
      <c r="H65" s="556">
        <v>0.4</v>
      </c>
      <c r="I65" s="556">
        <v>0.4</v>
      </c>
      <c r="J65" s="556">
        <v>0.4</v>
      </c>
      <c r="K65" s="556">
        <v>0.4</v>
      </c>
      <c r="L65" s="556">
        <v>0.4</v>
      </c>
      <c r="M65" s="556">
        <v>0.4</v>
      </c>
      <c r="N65" s="556">
        <v>0.6</v>
      </c>
      <c r="O65" s="556">
        <v>0.6</v>
      </c>
      <c r="P65" s="556">
        <v>0.6</v>
      </c>
      <c r="Q65" s="556">
        <v>0.6</v>
      </c>
      <c r="R65" s="556">
        <v>0.6</v>
      </c>
      <c r="S65" s="556">
        <v>0.6</v>
      </c>
      <c r="T65" s="556">
        <v>0.6</v>
      </c>
      <c r="U65" s="556">
        <v>0.6</v>
      </c>
      <c r="V65" s="556">
        <v>0.4</v>
      </c>
      <c r="W65" s="556">
        <v>0.4</v>
      </c>
      <c r="X65" s="556">
        <v>0.4</v>
      </c>
      <c r="Y65" s="556">
        <v>0.4</v>
      </c>
      <c r="Z65" s="556">
        <v>0.4</v>
      </c>
      <c r="AA65" s="556">
        <v>0.4</v>
      </c>
      <c r="AB65" s="556">
        <v>0.4</v>
      </c>
      <c r="AC65" s="257">
        <v>0.4</v>
      </c>
      <c r="AD65" s="47"/>
      <c r="AE65" s="47"/>
      <c r="AF65" s="47"/>
      <c r="AG65" s="47"/>
      <c r="AH65" s="47"/>
      <c r="AI65" s="47"/>
      <c r="AJ65" s="47"/>
      <c r="AK65" s="47"/>
    </row>
    <row r="66" spans="1:63" ht="38.65" customHeight="1" x14ac:dyDescent="0.25">
      <c r="A66" s="657" t="s">
        <v>519</v>
      </c>
      <c r="B66" s="722" t="str">
        <f>B63</f>
        <v>Patient24/7</v>
      </c>
      <c r="C66" s="705" t="s">
        <v>522</v>
      </c>
      <c r="D66" s="708" t="s">
        <v>536</v>
      </c>
      <c r="E66" s="545" t="s">
        <v>386</v>
      </c>
      <c r="F66" s="495">
        <v>0.05</v>
      </c>
      <c r="G66" s="495">
        <v>0.05</v>
      </c>
      <c r="H66" s="495">
        <v>0.05</v>
      </c>
      <c r="I66" s="495">
        <v>0.05</v>
      </c>
      <c r="J66" s="495">
        <v>0.05</v>
      </c>
      <c r="K66" s="495">
        <v>0.05</v>
      </c>
      <c r="L66" s="545">
        <v>0.45</v>
      </c>
      <c r="M66" s="545">
        <v>0.45</v>
      </c>
      <c r="N66" s="545">
        <v>0.81</v>
      </c>
      <c r="O66" s="545">
        <v>0.81</v>
      </c>
      <c r="P66" s="545">
        <v>0.81</v>
      </c>
      <c r="Q66" s="545">
        <v>0.81</v>
      </c>
      <c r="R66" s="545">
        <v>0.81</v>
      </c>
      <c r="S66" s="545">
        <v>0.81</v>
      </c>
      <c r="T66" s="545">
        <v>0.81</v>
      </c>
      <c r="U66" s="545">
        <v>0.81</v>
      </c>
      <c r="V66" s="545">
        <v>0.45</v>
      </c>
      <c r="W66" s="545">
        <v>0.45</v>
      </c>
      <c r="X66" s="545">
        <v>0.45</v>
      </c>
      <c r="Y66" s="545">
        <v>0.45</v>
      </c>
      <c r="Z66" s="545">
        <v>0.45</v>
      </c>
      <c r="AA66" s="495">
        <v>0.3</v>
      </c>
      <c r="AB66" s="495">
        <v>0.05</v>
      </c>
      <c r="AC66" s="496">
        <v>0.05</v>
      </c>
      <c r="AD66" s="47"/>
      <c r="AE66" s="47"/>
      <c r="AF66" s="47"/>
      <c r="AG66" s="47"/>
      <c r="AH66" s="47"/>
      <c r="AI66" s="47"/>
      <c r="AJ66" s="47"/>
      <c r="AK66" s="47"/>
      <c r="AM66" s="494" t="s">
        <v>386</v>
      </c>
      <c r="AN66" s="82">
        <v>0.45</v>
      </c>
      <c r="AO66" s="82">
        <v>0.45</v>
      </c>
      <c r="AP66" s="82">
        <v>0.45</v>
      </c>
      <c r="AQ66" s="82">
        <v>0.45</v>
      </c>
      <c r="AR66" s="82">
        <v>0.45</v>
      </c>
      <c r="AS66" s="82">
        <v>0.45</v>
      </c>
      <c r="AT66" s="82">
        <v>0.45</v>
      </c>
      <c r="AU66" s="82">
        <v>0.45</v>
      </c>
      <c r="AV66" s="82">
        <v>0.81</v>
      </c>
      <c r="AW66" s="82">
        <v>0.81</v>
      </c>
      <c r="AX66" s="82">
        <v>0.81</v>
      </c>
      <c r="AY66" s="82">
        <v>0.81</v>
      </c>
      <c r="AZ66" s="82">
        <v>0.81</v>
      </c>
      <c r="BA66" s="82">
        <v>0.81</v>
      </c>
      <c r="BB66" s="82">
        <v>0.81</v>
      </c>
      <c r="BC66" s="82">
        <v>0.81</v>
      </c>
      <c r="BD66" s="82">
        <v>0.45</v>
      </c>
      <c r="BE66" s="82">
        <v>0.45</v>
      </c>
      <c r="BF66" s="82">
        <v>0.45</v>
      </c>
      <c r="BG66" s="82">
        <v>0.45</v>
      </c>
      <c r="BH66" s="82">
        <v>0.45</v>
      </c>
      <c r="BI66" s="82">
        <v>0.45</v>
      </c>
      <c r="BJ66" s="82">
        <v>0.45</v>
      </c>
      <c r="BK66" s="82">
        <v>0.45</v>
      </c>
    </row>
    <row r="67" spans="1:63" ht="38.65" customHeight="1" x14ac:dyDescent="0.25">
      <c r="A67" s="700"/>
      <c r="B67" s="703"/>
      <c r="C67" s="706"/>
      <c r="D67" s="709"/>
      <c r="E67" s="536" t="s">
        <v>387</v>
      </c>
      <c r="F67" s="495">
        <v>0.05</v>
      </c>
      <c r="G67" s="495">
        <v>0.05</v>
      </c>
      <c r="H67" s="495">
        <v>0.05</v>
      </c>
      <c r="I67" s="495">
        <v>0.05</v>
      </c>
      <c r="J67" s="495">
        <v>0.05</v>
      </c>
      <c r="K67" s="495">
        <v>0.05</v>
      </c>
      <c r="L67" s="536">
        <v>0.45</v>
      </c>
      <c r="M67" s="536">
        <v>0.45</v>
      </c>
      <c r="N67" s="536">
        <v>0.72</v>
      </c>
      <c r="O67" s="536">
        <v>0.72</v>
      </c>
      <c r="P67" s="536">
        <v>0.72</v>
      </c>
      <c r="Q67" s="536">
        <v>0.72</v>
      </c>
      <c r="R67" s="536">
        <v>0.72</v>
      </c>
      <c r="S67" s="536">
        <v>0.72</v>
      </c>
      <c r="T67" s="536">
        <v>0.72</v>
      </c>
      <c r="U67" s="536">
        <v>0.72</v>
      </c>
      <c r="V67" s="536">
        <v>0.72</v>
      </c>
      <c r="W67" s="536">
        <v>0.72</v>
      </c>
      <c r="X67" s="536">
        <v>0.45</v>
      </c>
      <c r="Y67" s="536">
        <v>0.45</v>
      </c>
      <c r="Z67" s="536">
        <v>0.45</v>
      </c>
      <c r="AA67" s="497">
        <v>0.3</v>
      </c>
      <c r="AB67" s="497">
        <v>0.05</v>
      </c>
      <c r="AC67" s="498">
        <v>0.05</v>
      </c>
      <c r="AD67" s="47"/>
      <c r="AE67" s="47"/>
      <c r="AF67" s="47"/>
      <c r="AG67" s="47"/>
      <c r="AH67" s="47"/>
      <c r="AI67" s="47"/>
      <c r="AJ67" s="47"/>
      <c r="AK67" s="47"/>
      <c r="AM67" s="494" t="s">
        <v>387</v>
      </c>
      <c r="AN67" s="82">
        <v>0.45</v>
      </c>
      <c r="AO67" s="82">
        <v>0.45</v>
      </c>
      <c r="AP67" s="82">
        <v>0.45</v>
      </c>
      <c r="AQ67" s="82">
        <v>0.45</v>
      </c>
      <c r="AR67" s="82">
        <v>0.45</v>
      </c>
      <c r="AS67" s="82">
        <v>0.45</v>
      </c>
      <c r="AT67" s="82">
        <v>0.45</v>
      </c>
      <c r="AU67" s="82">
        <v>0.45</v>
      </c>
      <c r="AV67" s="82">
        <v>0.72</v>
      </c>
      <c r="AW67" s="82">
        <v>0.72</v>
      </c>
      <c r="AX67" s="82">
        <v>0.72</v>
      </c>
      <c r="AY67" s="82">
        <v>0.72</v>
      </c>
      <c r="AZ67" s="82">
        <v>0.72</v>
      </c>
      <c r="BA67" s="82">
        <v>0.72</v>
      </c>
      <c r="BB67" s="82">
        <v>0.72</v>
      </c>
      <c r="BC67" s="82">
        <v>0.72</v>
      </c>
      <c r="BD67" s="82">
        <v>0.72</v>
      </c>
      <c r="BE67" s="82">
        <v>0.72</v>
      </c>
      <c r="BF67" s="82">
        <v>0.45</v>
      </c>
      <c r="BG67" s="82">
        <v>0.45</v>
      </c>
      <c r="BH67" s="82">
        <v>0.45</v>
      </c>
      <c r="BI67" s="82">
        <v>0.45</v>
      </c>
      <c r="BJ67" s="82">
        <v>0.45</v>
      </c>
      <c r="BK67" s="82">
        <v>0.45</v>
      </c>
    </row>
    <row r="68" spans="1:63" ht="38.65" customHeight="1" thickBot="1" x14ac:dyDescent="0.3">
      <c r="A68" s="701"/>
      <c r="B68" s="704"/>
      <c r="C68" s="723"/>
      <c r="D68" s="710"/>
      <c r="E68" s="260" t="s">
        <v>388</v>
      </c>
      <c r="F68" s="495">
        <v>0.05</v>
      </c>
      <c r="G68" s="495">
        <v>0.05</v>
      </c>
      <c r="H68" s="495">
        <v>0.05</v>
      </c>
      <c r="I68" s="495">
        <v>0.05</v>
      </c>
      <c r="J68" s="495">
        <v>0.05</v>
      </c>
      <c r="K68" s="495">
        <v>0.05</v>
      </c>
      <c r="L68" s="260">
        <v>0.45</v>
      </c>
      <c r="M68" s="260">
        <v>0.45</v>
      </c>
      <c r="N68" s="260">
        <v>0.63</v>
      </c>
      <c r="O68" s="260">
        <v>0.63</v>
      </c>
      <c r="P68" s="260">
        <v>0.63</v>
      </c>
      <c r="Q68" s="260">
        <v>0.63</v>
      </c>
      <c r="R68" s="260">
        <v>0.63</v>
      </c>
      <c r="S68" s="260">
        <v>0.63</v>
      </c>
      <c r="T68" s="260">
        <v>0.63</v>
      </c>
      <c r="U68" s="260">
        <v>0.63</v>
      </c>
      <c r="V68" s="260">
        <v>0.45</v>
      </c>
      <c r="W68" s="260">
        <v>0.45</v>
      </c>
      <c r="X68" s="260">
        <v>0.45</v>
      </c>
      <c r="Y68" s="260">
        <v>0.45</v>
      </c>
      <c r="Z68" s="260">
        <v>0.45</v>
      </c>
      <c r="AA68" s="499">
        <v>0.3</v>
      </c>
      <c r="AB68" s="499">
        <v>0.05</v>
      </c>
      <c r="AC68" s="500">
        <v>0.05</v>
      </c>
      <c r="AD68" s="47"/>
      <c r="AE68" s="47"/>
      <c r="AF68" s="47"/>
      <c r="AG68" s="47"/>
      <c r="AH68" s="47"/>
      <c r="AI68" s="47"/>
      <c r="AJ68" s="47"/>
      <c r="AK68" s="47"/>
      <c r="AM68" s="494" t="s">
        <v>537</v>
      </c>
      <c r="AN68" s="82">
        <v>0.45</v>
      </c>
      <c r="AO68" s="82">
        <v>0.45</v>
      </c>
      <c r="AP68" s="82">
        <v>0.45</v>
      </c>
      <c r="AQ68" s="82">
        <v>0.45</v>
      </c>
      <c r="AR68" s="82">
        <v>0.45</v>
      </c>
      <c r="AS68" s="82">
        <v>0.45</v>
      </c>
      <c r="AT68" s="82">
        <v>0.45</v>
      </c>
      <c r="AU68" s="82">
        <v>0.45</v>
      </c>
      <c r="AV68" s="82">
        <v>0.63</v>
      </c>
      <c r="AW68" s="82">
        <v>0.63</v>
      </c>
      <c r="AX68" s="82">
        <v>0.63</v>
      </c>
      <c r="AY68" s="82">
        <v>0.63</v>
      </c>
      <c r="AZ68" s="82">
        <v>0.63</v>
      </c>
      <c r="BA68" s="82">
        <v>0.63</v>
      </c>
      <c r="BB68" s="82">
        <v>0.63</v>
      </c>
      <c r="BC68" s="82">
        <v>0.63</v>
      </c>
      <c r="BD68" s="82">
        <v>0.45</v>
      </c>
      <c r="BE68" s="82">
        <v>0.45</v>
      </c>
      <c r="BF68" s="82">
        <v>0.45</v>
      </c>
      <c r="BG68" s="82">
        <v>0.45</v>
      </c>
      <c r="BH68" s="82">
        <v>0.45</v>
      </c>
      <c r="BI68" s="82">
        <v>0.45</v>
      </c>
      <c r="BJ68" s="82">
        <v>0.45</v>
      </c>
      <c r="BK68" s="82">
        <v>0.45</v>
      </c>
    </row>
    <row r="69" spans="1:63" ht="36" customHeight="1" x14ac:dyDescent="0.25">
      <c r="A69" s="699" t="s">
        <v>519</v>
      </c>
      <c r="B69" s="702" t="str">
        <f>B63</f>
        <v>Patient24/7</v>
      </c>
      <c r="C69" s="724" t="s">
        <v>523</v>
      </c>
      <c r="D69" s="708" t="s">
        <v>532</v>
      </c>
      <c r="E69" s="262" t="s">
        <v>386</v>
      </c>
      <c r="F69" s="263">
        <v>0.4</v>
      </c>
      <c r="G69" s="263">
        <v>0.4</v>
      </c>
      <c r="H69" s="263">
        <v>0.4</v>
      </c>
      <c r="I69" s="263">
        <v>0.4</v>
      </c>
      <c r="J69" s="263">
        <v>0.4</v>
      </c>
      <c r="K69" s="263">
        <v>0.4</v>
      </c>
      <c r="L69" s="263">
        <v>0.4</v>
      </c>
      <c r="M69" s="263">
        <v>0.7</v>
      </c>
      <c r="N69" s="263">
        <v>0.9</v>
      </c>
      <c r="O69" s="263">
        <v>0.9</v>
      </c>
      <c r="P69" s="263">
        <v>0.9</v>
      </c>
      <c r="Q69" s="263">
        <v>0.9</v>
      </c>
      <c r="R69" s="263">
        <v>0.9</v>
      </c>
      <c r="S69" s="263">
        <v>0.9</v>
      </c>
      <c r="T69" s="263">
        <v>0.9</v>
      </c>
      <c r="U69" s="263">
        <v>0.9</v>
      </c>
      <c r="V69" s="263">
        <v>0.6</v>
      </c>
      <c r="W69" s="263">
        <v>0.6</v>
      </c>
      <c r="X69" s="263">
        <v>0.6</v>
      </c>
      <c r="Y69" s="263">
        <v>0.6</v>
      </c>
      <c r="Z69" s="263">
        <v>0.6</v>
      </c>
      <c r="AA69" s="263">
        <v>0.6</v>
      </c>
      <c r="AB69" s="263">
        <v>0.6</v>
      </c>
      <c r="AC69" s="264">
        <v>0.4</v>
      </c>
      <c r="AD69" s="48"/>
      <c r="AE69" s="47"/>
      <c r="AF69" s="47"/>
      <c r="AG69" s="47"/>
      <c r="AH69" s="47"/>
      <c r="AI69" s="47"/>
      <c r="AJ69" s="47"/>
      <c r="AK69" s="47"/>
      <c r="AM69" s="59"/>
    </row>
    <row r="70" spans="1:63" ht="36" customHeight="1" x14ac:dyDescent="0.25">
      <c r="A70" s="700"/>
      <c r="B70" s="703"/>
      <c r="C70" s="706"/>
      <c r="D70" s="709"/>
      <c r="E70" s="536" t="s">
        <v>387</v>
      </c>
      <c r="F70" s="265">
        <v>0.4</v>
      </c>
      <c r="G70" s="265">
        <v>0.4</v>
      </c>
      <c r="H70" s="265">
        <v>0.4</v>
      </c>
      <c r="I70" s="265">
        <v>0.4</v>
      </c>
      <c r="J70" s="265">
        <v>0.4</v>
      </c>
      <c r="K70" s="265">
        <v>0.4</v>
      </c>
      <c r="L70" s="265">
        <v>0.4</v>
      </c>
      <c r="M70" s="265">
        <v>0.8</v>
      </c>
      <c r="N70" s="265">
        <v>0.65</v>
      </c>
      <c r="O70" s="265">
        <v>0.65</v>
      </c>
      <c r="P70" s="265">
        <v>0.65</v>
      </c>
      <c r="Q70" s="265">
        <v>0.65</v>
      </c>
      <c r="R70" s="265">
        <v>0.65</v>
      </c>
      <c r="S70" s="265">
        <v>0.65</v>
      </c>
      <c r="T70" s="265">
        <v>0.65</v>
      </c>
      <c r="U70" s="265">
        <v>0.65</v>
      </c>
      <c r="V70" s="265">
        <v>0.65</v>
      </c>
      <c r="W70" s="265">
        <v>0.65</v>
      </c>
      <c r="X70" s="265">
        <v>0.4</v>
      </c>
      <c r="Y70" s="265">
        <v>0.4</v>
      </c>
      <c r="Z70" s="265">
        <v>0.4</v>
      </c>
      <c r="AA70" s="265">
        <v>0.4</v>
      </c>
      <c r="AB70" s="265">
        <v>0.4</v>
      </c>
      <c r="AC70" s="266">
        <v>0.4</v>
      </c>
      <c r="AD70" s="48"/>
      <c r="AE70" s="47"/>
      <c r="AF70" s="47"/>
      <c r="AG70" s="47"/>
      <c r="AH70" s="47"/>
      <c r="AI70" s="47"/>
      <c r="AJ70" s="47"/>
      <c r="AK70" s="47"/>
      <c r="AM70" s="59"/>
    </row>
    <row r="71" spans="1:63" ht="36" customHeight="1" thickBot="1" x14ac:dyDescent="0.3">
      <c r="A71" s="701"/>
      <c r="B71" s="704"/>
      <c r="C71" s="707"/>
      <c r="D71" s="710"/>
      <c r="E71" s="260" t="s">
        <v>388</v>
      </c>
      <c r="F71" s="267">
        <v>0.4</v>
      </c>
      <c r="G71" s="267">
        <v>0.4</v>
      </c>
      <c r="H71" s="267">
        <v>0.4</v>
      </c>
      <c r="I71" s="267">
        <v>0.4</v>
      </c>
      <c r="J71" s="267">
        <v>0.4</v>
      </c>
      <c r="K71" s="267">
        <v>0.4</v>
      </c>
      <c r="L71" s="267">
        <v>0.4</v>
      </c>
      <c r="M71" s="267">
        <v>0.4</v>
      </c>
      <c r="N71" s="267">
        <v>0.6</v>
      </c>
      <c r="O71" s="267">
        <v>0.6</v>
      </c>
      <c r="P71" s="267">
        <v>0.6</v>
      </c>
      <c r="Q71" s="267">
        <v>0.6</v>
      </c>
      <c r="R71" s="267">
        <v>0.6</v>
      </c>
      <c r="S71" s="267">
        <v>0.6</v>
      </c>
      <c r="T71" s="267">
        <v>0.6</v>
      </c>
      <c r="U71" s="267">
        <v>0.6</v>
      </c>
      <c r="V71" s="267">
        <v>0.4</v>
      </c>
      <c r="W71" s="267">
        <v>0.4</v>
      </c>
      <c r="X71" s="267">
        <v>0.4</v>
      </c>
      <c r="Y71" s="267">
        <v>0.4</v>
      </c>
      <c r="Z71" s="267">
        <v>0.4</v>
      </c>
      <c r="AA71" s="267">
        <v>0.4</v>
      </c>
      <c r="AB71" s="267">
        <v>0.4</v>
      </c>
      <c r="AC71" s="268">
        <v>0.4</v>
      </c>
      <c r="AD71" s="48"/>
      <c r="AE71" s="47"/>
      <c r="AF71" s="47"/>
      <c r="AG71" s="47"/>
      <c r="AH71" s="47"/>
      <c r="AI71" s="47"/>
      <c r="AJ71" s="47"/>
      <c r="AK71" s="47"/>
      <c r="AM71" s="59"/>
    </row>
    <row r="72" spans="1:63" ht="36" customHeight="1" x14ac:dyDescent="0.25">
      <c r="A72" s="699" t="s">
        <v>519</v>
      </c>
      <c r="B72" s="702" t="str">
        <f>B63</f>
        <v>Patient24/7</v>
      </c>
      <c r="C72" s="705" t="s">
        <v>524</v>
      </c>
      <c r="D72" s="708" t="s">
        <v>532</v>
      </c>
      <c r="E72" s="491" t="s">
        <v>386</v>
      </c>
      <c r="F72" s="554">
        <v>0.3</v>
      </c>
      <c r="G72" s="554">
        <v>0.3</v>
      </c>
      <c r="H72" s="554">
        <v>0.3</v>
      </c>
      <c r="I72" s="554">
        <v>0.3</v>
      </c>
      <c r="J72" s="554">
        <v>0.3</v>
      </c>
      <c r="K72" s="554">
        <v>0.3</v>
      </c>
      <c r="L72" s="554">
        <v>0.5</v>
      </c>
      <c r="M72" s="554">
        <v>0.57999999999999996</v>
      </c>
      <c r="N72" s="554">
        <v>0.66</v>
      </c>
      <c r="O72" s="554">
        <v>0.78</v>
      </c>
      <c r="P72" s="554">
        <v>0.82</v>
      </c>
      <c r="Q72" s="554">
        <v>0.71</v>
      </c>
      <c r="R72" s="554">
        <v>0.82</v>
      </c>
      <c r="S72" s="554">
        <v>0.78</v>
      </c>
      <c r="T72" s="554">
        <v>0.74</v>
      </c>
      <c r="U72" s="554">
        <v>0.63</v>
      </c>
      <c r="V72" s="554">
        <v>0.41</v>
      </c>
      <c r="W72" s="554">
        <v>0.35</v>
      </c>
      <c r="X72" s="554">
        <v>0.35</v>
      </c>
      <c r="Y72" s="554">
        <v>0.35</v>
      </c>
      <c r="Z72" s="554">
        <v>0.3</v>
      </c>
      <c r="AA72" s="554">
        <v>0.3</v>
      </c>
      <c r="AB72" s="554">
        <v>0.3</v>
      </c>
      <c r="AC72" s="255">
        <v>0.3</v>
      </c>
      <c r="AD72" s="47"/>
      <c r="AE72" s="47"/>
      <c r="AF72" s="47"/>
      <c r="AG72" s="47"/>
      <c r="AH72" s="47"/>
      <c r="AI72" s="47"/>
      <c r="AJ72" s="47"/>
      <c r="AK72" s="47"/>
      <c r="AM72" s="59"/>
    </row>
    <row r="73" spans="1:63" ht="36" customHeight="1" x14ac:dyDescent="0.25">
      <c r="A73" s="700"/>
      <c r="B73" s="703"/>
      <c r="C73" s="706"/>
      <c r="D73" s="709"/>
      <c r="E73" s="492" t="s">
        <v>387</v>
      </c>
      <c r="F73" s="555">
        <v>0.3</v>
      </c>
      <c r="G73" s="555">
        <v>0.3</v>
      </c>
      <c r="H73" s="555">
        <v>0.3</v>
      </c>
      <c r="I73" s="555">
        <v>0.3</v>
      </c>
      <c r="J73" s="555">
        <v>0.3</v>
      </c>
      <c r="K73" s="555">
        <v>0.3</v>
      </c>
      <c r="L73" s="555">
        <v>0.3</v>
      </c>
      <c r="M73" s="555">
        <v>0.4</v>
      </c>
      <c r="N73" s="555">
        <v>0.5</v>
      </c>
      <c r="O73" s="555">
        <v>0.6</v>
      </c>
      <c r="P73" s="555">
        <v>0.6</v>
      </c>
      <c r="Q73" s="555">
        <v>0.6</v>
      </c>
      <c r="R73" s="555">
        <v>0.6</v>
      </c>
      <c r="S73" s="555">
        <v>0.6</v>
      </c>
      <c r="T73" s="555">
        <v>0.6</v>
      </c>
      <c r="U73" s="555">
        <v>0.6</v>
      </c>
      <c r="V73" s="555">
        <v>0.5</v>
      </c>
      <c r="W73" s="555">
        <v>0.3</v>
      </c>
      <c r="X73" s="555">
        <v>0.3</v>
      </c>
      <c r="Y73" s="555">
        <v>0.3</v>
      </c>
      <c r="Z73" s="555">
        <v>0.3</v>
      </c>
      <c r="AA73" s="555">
        <v>0.3</v>
      </c>
      <c r="AB73" s="555">
        <v>0.3</v>
      </c>
      <c r="AC73" s="256">
        <v>0.3</v>
      </c>
      <c r="AD73" s="47"/>
      <c r="AE73" s="47"/>
      <c r="AF73" s="47"/>
      <c r="AG73" s="47"/>
      <c r="AH73" s="47"/>
      <c r="AI73" s="47"/>
      <c r="AJ73" s="47"/>
      <c r="AK73" s="47"/>
      <c r="AM73" s="59"/>
    </row>
    <row r="74" spans="1:63" ht="36" customHeight="1" thickBot="1" x14ac:dyDescent="0.3">
      <c r="A74" s="701"/>
      <c r="B74" s="704"/>
      <c r="C74" s="707"/>
      <c r="D74" s="710"/>
      <c r="E74" s="493" t="s">
        <v>388</v>
      </c>
      <c r="F74" s="556">
        <v>0.3</v>
      </c>
      <c r="G74" s="556">
        <v>0.3</v>
      </c>
      <c r="H74" s="556">
        <v>0.3</v>
      </c>
      <c r="I74" s="556">
        <v>0.3</v>
      </c>
      <c r="J74" s="556">
        <v>0.3</v>
      </c>
      <c r="K74" s="556">
        <v>0.3</v>
      </c>
      <c r="L74" s="556">
        <v>0.3</v>
      </c>
      <c r="M74" s="556">
        <v>0.4</v>
      </c>
      <c r="N74" s="556">
        <v>0.5</v>
      </c>
      <c r="O74" s="556">
        <v>0.6</v>
      </c>
      <c r="P74" s="556">
        <v>0.6</v>
      </c>
      <c r="Q74" s="556">
        <v>0.6</v>
      </c>
      <c r="R74" s="556">
        <v>0.6</v>
      </c>
      <c r="S74" s="556">
        <v>0.6</v>
      </c>
      <c r="T74" s="556">
        <v>0.6</v>
      </c>
      <c r="U74" s="556">
        <v>0.6</v>
      </c>
      <c r="V74" s="556">
        <v>0.5</v>
      </c>
      <c r="W74" s="556">
        <v>0.3</v>
      </c>
      <c r="X74" s="556">
        <v>0.3</v>
      </c>
      <c r="Y74" s="556">
        <v>0.3</v>
      </c>
      <c r="Z74" s="556">
        <v>0.3</v>
      </c>
      <c r="AA74" s="556">
        <v>0.3</v>
      </c>
      <c r="AB74" s="556">
        <v>0.3</v>
      </c>
      <c r="AC74" s="257">
        <v>0.3</v>
      </c>
      <c r="AD74" s="47"/>
      <c r="AE74" s="47"/>
      <c r="AF74" s="47"/>
      <c r="AG74" s="47"/>
      <c r="AH74" s="47"/>
      <c r="AI74" s="47"/>
      <c r="AJ74" s="47"/>
      <c r="AK74" s="47"/>
      <c r="AM74" s="59"/>
    </row>
    <row r="75" spans="1:63" ht="36" customHeight="1" x14ac:dyDescent="0.25">
      <c r="A75" s="699" t="s">
        <v>519</v>
      </c>
      <c r="B75" s="702" t="str">
        <f>B66</f>
        <v>Patient24/7</v>
      </c>
      <c r="C75" s="705" t="s">
        <v>241</v>
      </c>
      <c r="D75" s="708" t="s">
        <v>534</v>
      </c>
      <c r="E75" s="262" t="s">
        <v>386</v>
      </c>
      <c r="F75" s="482">
        <v>0.25</v>
      </c>
      <c r="G75" s="483">
        <v>0.25</v>
      </c>
      <c r="H75" s="483">
        <v>0.25</v>
      </c>
      <c r="I75" s="483">
        <v>0.25</v>
      </c>
      <c r="J75" s="483">
        <v>0.25</v>
      </c>
      <c r="K75" s="483">
        <v>0.25</v>
      </c>
      <c r="L75" s="483">
        <v>0.25</v>
      </c>
      <c r="M75" s="483">
        <v>0.25</v>
      </c>
      <c r="N75" s="483">
        <v>0.25</v>
      </c>
      <c r="O75" s="483">
        <v>0.25</v>
      </c>
      <c r="P75" s="483">
        <v>0.25</v>
      </c>
      <c r="Q75" s="483">
        <v>0.25</v>
      </c>
      <c r="R75" s="483">
        <v>0.25</v>
      </c>
      <c r="S75" s="483">
        <v>0.25</v>
      </c>
      <c r="T75" s="483">
        <v>0.25</v>
      </c>
      <c r="U75" s="483">
        <v>0.25</v>
      </c>
      <c r="V75" s="483">
        <v>0.25</v>
      </c>
      <c r="W75" s="483">
        <v>0.25</v>
      </c>
      <c r="X75" s="483">
        <v>0.25</v>
      </c>
      <c r="Y75" s="483">
        <v>0.25</v>
      </c>
      <c r="Z75" s="483">
        <v>0.25</v>
      </c>
      <c r="AA75" s="483">
        <v>0.25</v>
      </c>
      <c r="AB75" s="483">
        <v>0.25</v>
      </c>
      <c r="AC75" s="484">
        <v>0.25</v>
      </c>
      <c r="AD75" s="48"/>
      <c r="AE75" s="47"/>
      <c r="AF75" s="47"/>
      <c r="AG75" s="47"/>
      <c r="AH75" s="47"/>
      <c r="AI75" s="47"/>
      <c r="AJ75" s="47"/>
      <c r="AK75" s="47"/>
      <c r="AM75" s="59"/>
    </row>
    <row r="76" spans="1:63" ht="36" customHeight="1" x14ac:dyDescent="0.25">
      <c r="A76" s="700"/>
      <c r="B76" s="703"/>
      <c r="C76" s="706"/>
      <c r="D76" s="709"/>
      <c r="E76" s="536" t="s">
        <v>387</v>
      </c>
      <c r="F76" s="485">
        <v>0.25</v>
      </c>
      <c r="G76" s="486">
        <v>0.25</v>
      </c>
      <c r="H76" s="486">
        <v>0.25</v>
      </c>
      <c r="I76" s="486">
        <v>0.25</v>
      </c>
      <c r="J76" s="486">
        <v>0.25</v>
      </c>
      <c r="K76" s="486">
        <v>0.25</v>
      </c>
      <c r="L76" s="486">
        <v>0.25</v>
      </c>
      <c r="M76" s="486">
        <v>0.25</v>
      </c>
      <c r="N76" s="486">
        <v>0.25</v>
      </c>
      <c r="O76" s="486">
        <v>0.25</v>
      </c>
      <c r="P76" s="486">
        <v>0.25</v>
      </c>
      <c r="Q76" s="486">
        <v>0.25</v>
      </c>
      <c r="R76" s="486">
        <v>0.25</v>
      </c>
      <c r="S76" s="486">
        <v>0.25</v>
      </c>
      <c r="T76" s="486">
        <v>0.25</v>
      </c>
      <c r="U76" s="486">
        <v>0.25</v>
      </c>
      <c r="V76" s="486">
        <v>0.25</v>
      </c>
      <c r="W76" s="486">
        <v>0.25</v>
      </c>
      <c r="X76" s="486">
        <v>0.25</v>
      </c>
      <c r="Y76" s="486">
        <v>0.25</v>
      </c>
      <c r="Z76" s="486">
        <v>0.25</v>
      </c>
      <c r="AA76" s="486">
        <v>0.25</v>
      </c>
      <c r="AB76" s="486">
        <v>0.25</v>
      </c>
      <c r="AC76" s="487">
        <v>0.25</v>
      </c>
      <c r="AD76" s="48"/>
      <c r="AE76" s="47"/>
      <c r="AF76" s="47"/>
      <c r="AG76" s="47"/>
      <c r="AH76" s="47"/>
      <c r="AI76" s="47"/>
      <c r="AJ76" s="47"/>
      <c r="AK76" s="47"/>
      <c r="AM76" s="59"/>
    </row>
    <row r="77" spans="1:63" ht="36" customHeight="1" thickBot="1" x14ac:dyDescent="0.3">
      <c r="A77" s="701"/>
      <c r="B77" s="704"/>
      <c r="C77" s="707"/>
      <c r="D77" s="710"/>
      <c r="E77" s="260" t="s">
        <v>388</v>
      </c>
      <c r="F77" s="488">
        <v>0.25</v>
      </c>
      <c r="G77" s="489">
        <v>0.25</v>
      </c>
      <c r="H77" s="489">
        <v>0.25</v>
      </c>
      <c r="I77" s="489">
        <v>0.25</v>
      </c>
      <c r="J77" s="489">
        <v>0.25</v>
      </c>
      <c r="K77" s="489">
        <v>0.25</v>
      </c>
      <c r="L77" s="489">
        <v>0.25</v>
      </c>
      <c r="M77" s="489">
        <v>0.25</v>
      </c>
      <c r="N77" s="489">
        <v>0.25</v>
      </c>
      <c r="O77" s="489">
        <v>0.25</v>
      </c>
      <c r="P77" s="489">
        <v>0.25</v>
      </c>
      <c r="Q77" s="489">
        <v>0.25</v>
      </c>
      <c r="R77" s="489">
        <v>0.25</v>
      </c>
      <c r="S77" s="489">
        <v>0.25</v>
      </c>
      <c r="T77" s="489">
        <v>0.25</v>
      </c>
      <c r="U77" s="489">
        <v>0.25</v>
      </c>
      <c r="V77" s="489">
        <v>0.25</v>
      </c>
      <c r="W77" s="489">
        <v>0.25</v>
      </c>
      <c r="X77" s="489">
        <v>0.25</v>
      </c>
      <c r="Y77" s="489">
        <v>0.25</v>
      </c>
      <c r="Z77" s="489">
        <v>0.25</v>
      </c>
      <c r="AA77" s="489">
        <v>0.25</v>
      </c>
      <c r="AB77" s="489">
        <v>0.25</v>
      </c>
      <c r="AC77" s="490">
        <v>0.25</v>
      </c>
      <c r="AD77" s="48"/>
      <c r="AE77" s="47"/>
      <c r="AF77" s="47"/>
      <c r="AG77" s="47"/>
      <c r="AH77" s="47"/>
      <c r="AI77" s="47"/>
      <c r="AJ77" s="47"/>
      <c r="AK77" s="47"/>
      <c r="AM77" s="59"/>
    </row>
    <row r="78" spans="1:63" ht="31.15" customHeight="1" x14ac:dyDescent="0.25">
      <c r="A78" s="713" t="s">
        <v>519</v>
      </c>
      <c r="B78" s="702" t="str">
        <f>B63</f>
        <v>Patient24/7</v>
      </c>
      <c r="C78" s="699" t="s">
        <v>528</v>
      </c>
      <c r="D78" s="708" t="s">
        <v>532</v>
      </c>
      <c r="E78" s="366" t="s">
        <v>386</v>
      </c>
      <c r="F78" s="271">
        <v>1</v>
      </c>
      <c r="G78" s="271">
        <v>1</v>
      </c>
      <c r="H78" s="271">
        <v>1</v>
      </c>
      <c r="I78" s="271">
        <v>1</v>
      </c>
      <c r="J78" s="271">
        <v>1</v>
      </c>
      <c r="K78" s="271">
        <v>1</v>
      </c>
      <c r="L78" s="271">
        <v>1</v>
      </c>
      <c r="M78" s="271">
        <v>1</v>
      </c>
      <c r="N78" s="271">
        <v>1</v>
      </c>
      <c r="O78" s="271">
        <v>1</v>
      </c>
      <c r="P78" s="271">
        <v>1</v>
      </c>
      <c r="Q78" s="271">
        <v>1</v>
      </c>
      <c r="R78" s="271">
        <v>1</v>
      </c>
      <c r="S78" s="271">
        <v>1</v>
      </c>
      <c r="T78" s="271">
        <v>1</v>
      </c>
      <c r="U78" s="271">
        <v>1</v>
      </c>
      <c r="V78" s="271">
        <v>1</v>
      </c>
      <c r="W78" s="271">
        <v>1</v>
      </c>
      <c r="X78" s="271">
        <v>1</v>
      </c>
      <c r="Y78" s="271">
        <v>1</v>
      </c>
      <c r="Z78" s="271">
        <v>1</v>
      </c>
      <c r="AA78" s="271">
        <v>1</v>
      </c>
      <c r="AB78" s="271">
        <v>1</v>
      </c>
      <c r="AC78" s="272">
        <v>1</v>
      </c>
    </row>
    <row r="79" spans="1:63" ht="30" customHeight="1" x14ac:dyDescent="0.25">
      <c r="A79" s="714"/>
      <c r="B79" s="703"/>
      <c r="C79" s="700"/>
      <c r="D79" s="709"/>
      <c r="E79" s="367" t="s">
        <v>387</v>
      </c>
      <c r="F79" s="273">
        <v>1</v>
      </c>
      <c r="G79" s="273">
        <v>1</v>
      </c>
      <c r="H79" s="273">
        <v>1</v>
      </c>
      <c r="I79" s="273">
        <v>1</v>
      </c>
      <c r="J79" s="273">
        <v>1</v>
      </c>
      <c r="K79" s="273">
        <v>1</v>
      </c>
      <c r="L79" s="273">
        <v>1</v>
      </c>
      <c r="M79" s="273">
        <v>1</v>
      </c>
      <c r="N79" s="273">
        <v>1</v>
      </c>
      <c r="O79" s="273">
        <v>1</v>
      </c>
      <c r="P79" s="273">
        <v>1</v>
      </c>
      <c r="Q79" s="273">
        <v>1</v>
      </c>
      <c r="R79" s="273">
        <v>1</v>
      </c>
      <c r="S79" s="273">
        <v>1</v>
      </c>
      <c r="T79" s="273">
        <v>1</v>
      </c>
      <c r="U79" s="273">
        <v>1</v>
      </c>
      <c r="V79" s="273">
        <v>1</v>
      </c>
      <c r="W79" s="273">
        <v>1</v>
      </c>
      <c r="X79" s="273">
        <v>1</v>
      </c>
      <c r="Y79" s="273">
        <v>1</v>
      </c>
      <c r="Z79" s="273">
        <v>1</v>
      </c>
      <c r="AA79" s="273">
        <v>1</v>
      </c>
      <c r="AB79" s="273">
        <v>1</v>
      </c>
      <c r="AC79" s="274">
        <v>1</v>
      </c>
    </row>
    <row r="80" spans="1:63" ht="33" customHeight="1" thickBot="1" x14ac:dyDescent="0.3">
      <c r="A80" s="715"/>
      <c r="B80" s="704"/>
      <c r="C80" s="701"/>
      <c r="D80" s="710"/>
      <c r="E80" s="368" t="s">
        <v>388</v>
      </c>
      <c r="F80" s="338">
        <v>1</v>
      </c>
      <c r="G80" s="338">
        <v>1</v>
      </c>
      <c r="H80" s="338">
        <v>1</v>
      </c>
      <c r="I80" s="338">
        <v>1</v>
      </c>
      <c r="J80" s="338">
        <v>1</v>
      </c>
      <c r="K80" s="338">
        <v>1</v>
      </c>
      <c r="L80" s="338">
        <v>1</v>
      </c>
      <c r="M80" s="338">
        <v>1</v>
      </c>
      <c r="N80" s="338">
        <v>1</v>
      </c>
      <c r="O80" s="338">
        <v>1</v>
      </c>
      <c r="P80" s="338">
        <v>1</v>
      </c>
      <c r="Q80" s="338">
        <v>1</v>
      </c>
      <c r="R80" s="338">
        <v>1</v>
      </c>
      <c r="S80" s="338">
        <v>1</v>
      </c>
      <c r="T80" s="338">
        <v>1</v>
      </c>
      <c r="U80" s="338">
        <v>1</v>
      </c>
      <c r="V80" s="338">
        <v>1</v>
      </c>
      <c r="W80" s="338">
        <v>1</v>
      </c>
      <c r="X80" s="338">
        <v>1</v>
      </c>
      <c r="Y80" s="338">
        <v>1</v>
      </c>
      <c r="Z80" s="338">
        <v>1</v>
      </c>
      <c r="AA80" s="338">
        <v>1</v>
      </c>
      <c r="AB80" s="338">
        <v>1</v>
      </c>
      <c r="AC80" s="339">
        <v>1</v>
      </c>
    </row>
    <row r="81" spans="1:63" ht="22.9" customHeight="1" x14ac:dyDescent="0.25">
      <c r="A81" s="713" t="s">
        <v>519</v>
      </c>
      <c r="B81" s="702" t="str">
        <f>B63</f>
        <v>Patient24/7</v>
      </c>
      <c r="C81" s="716" t="s">
        <v>529</v>
      </c>
      <c r="D81" s="719"/>
      <c r="E81" s="332" t="s">
        <v>386</v>
      </c>
      <c r="F81" s="560">
        <f>IF(F78=1,Thermostat!$B$3,Thermostat!$B$4)</f>
        <v>70</v>
      </c>
      <c r="G81" s="560">
        <f>IF(G78=1,Thermostat!$B$3,Thermostat!$B$4)</f>
        <v>70</v>
      </c>
      <c r="H81" s="560">
        <f>IF(H78=1,Thermostat!$B$3,Thermostat!$B$4)</f>
        <v>70</v>
      </c>
      <c r="I81" s="560">
        <f>IF(I78=1,Thermostat!$B$3,Thermostat!$B$4)</f>
        <v>70</v>
      </c>
      <c r="J81" s="560">
        <f>IF(J78=1,Thermostat!$B$3,Thermostat!$B$4)</f>
        <v>70</v>
      </c>
      <c r="K81" s="560">
        <f>IF(K78=1,Thermostat!$B$3,Thermostat!$B$4)</f>
        <v>70</v>
      </c>
      <c r="L81" s="560">
        <f>IF(L78=1,Thermostat!$B$3,Thermostat!$B$4)</f>
        <v>70</v>
      </c>
      <c r="M81" s="560">
        <f>IF(M78=1,Thermostat!$B$3,Thermostat!$B$4)</f>
        <v>70</v>
      </c>
      <c r="N81" s="560">
        <f>IF(N78=1,Thermostat!$B$3,Thermostat!$B$4)</f>
        <v>70</v>
      </c>
      <c r="O81" s="560">
        <f>IF(O78=1,Thermostat!$B$3,Thermostat!$B$4)</f>
        <v>70</v>
      </c>
      <c r="P81" s="560">
        <f>IF(P78=1,Thermostat!$B$3,Thermostat!$B$4)</f>
        <v>70</v>
      </c>
      <c r="Q81" s="560">
        <f>IF(Q78=1,Thermostat!$B$3,Thermostat!$B$4)</f>
        <v>70</v>
      </c>
      <c r="R81" s="560">
        <f>IF(R78=1,Thermostat!$B$3,Thermostat!$B$4)</f>
        <v>70</v>
      </c>
      <c r="S81" s="560">
        <f>IF(S78=1,Thermostat!$B$3,Thermostat!$B$4)</f>
        <v>70</v>
      </c>
      <c r="T81" s="560">
        <f>IF(T78=1,Thermostat!$B$3,Thermostat!$B$4)</f>
        <v>70</v>
      </c>
      <c r="U81" s="560">
        <f>IF(U78=1,Thermostat!$B$3,Thermostat!$B$4)</f>
        <v>70</v>
      </c>
      <c r="V81" s="560">
        <f>IF(V78=1,Thermostat!$B$3,Thermostat!$B$4)</f>
        <v>70</v>
      </c>
      <c r="W81" s="560">
        <f>IF(W78=1,Thermostat!$B$3,Thermostat!$B$4)</f>
        <v>70</v>
      </c>
      <c r="X81" s="560">
        <f>IF(X78=1,Thermostat!$B$3,Thermostat!$B$4)</f>
        <v>70</v>
      </c>
      <c r="Y81" s="560">
        <f>IF(Y78=1,Thermostat!$B$3,Thermostat!$B$4)</f>
        <v>70</v>
      </c>
      <c r="Z81" s="560">
        <f>IF(Z78=1,Thermostat!$B$3,Thermostat!$B$4)</f>
        <v>70</v>
      </c>
      <c r="AA81" s="560">
        <f>IF(AA78=1,Thermostat!$B$3,Thermostat!$B$4)</f>
        <v>70</v>
      </c>
      <c r="AB81" s="560">
        <f>IF(AB78=1,Thermostat!$B$3,Thermostat!$B$4)</f>
        <v>70</v>
      </c>
      <c r="AC81" s="333">
        <f>IF(AC78=1,Thermostat!$B$3,Thermostat!$B$4)</f>
        <v>70</v>
      </c>
    </row>
    <row r="82" spans="1:63" ht="22.9" customHeight="1" x14ac:dyDescent="0.25">
      <c r="A82" s="714"/>
      <c r="B82" s="703"/>
      <c r="C82" s="717"/>
      <c r="D82" s="720"/>
      <c r="E82" s="334" t="s">
        <v>387</v>
      </c>
      <c r="F82" s="561">
        <f>IF(F79=1,Thermostat!$B$3,Thermostat!$B$4)</f>
        <v>70</v>
      </c>
      <c r="G82" s="561">
        <f>IF(G79=1,Thermostat!$B$3,Thermostat!$B$4)</f>
        <v>70</v>
      </c>
      <c r="H82" s="561">
        <f>IF(H79=1,Thermostat!$B$3,Thermostat!$B$4)</f>
        <v>70</v>
      </c>
      <c r="I82" s="561">
        <f>IF(I79=1,Thermostat!$B$3,Thermostat!$B$4)</f>
        <v>70</v>
      </c>
      <c r="J82" s="561">
        <f>IF(J79=1,Thermostat!$B$3,Thermostat!$B$4)</f>
        <v>70</v>
      </c>
      <c r="K82" s="561">
        <f>IF(K79=1,Thermostat!$B$3,Thermostat!$B$4)</f>
        <v>70</v>
      </c>
      <c r="L82" s="561">
        <f>IF(L79=1,Thermostat!$B$3,Thermostat!$B$4)</f>
        <v>70</v>
      </c>
      <c r="M82" s="561">
        <f>IF(M79=1,Thermostat!$B$3,Thermostat!$B$4)</f>
        <v>70</v>
      </c>
      <c r="N82" s="561">
        <f>IF(N79=1,Thermostat!$B$3,Thermostat!$B$4)</f>
        <v>70</v>
      </c>
      <c r="O82" s="561">
        <f>IF(O79=1,Thermostat!$B$3,Thermostat!$B$4)</f>
        <v>70</v>
      </c>
      <c r="P82" s="561">
        <f>IF(P79=1,Thermostat!$B$3,Thermostat!$B$4)</f>
        <v>70</v>
      </c>
      <c r="Q82" s="561">
        <f>IF(Q79=1,Thermostat!$B$3,Thermostat!$B$4)</f>
        <v>70</v>
      </c>
      <c r="R82" s="561">
        <f>IF(R79=1,Thermostat!$B$3,Thermostat!$B$4)</f>
        <v>70</v>
      </c>
      <c r="S82" s="561">
        <f>IF(S79=1,Thermostat!$B$3,Thermostat!$B$4)</f>
        <v>70</v>
      </c>
      <c r="T82" s="561">
        <f>IF(T79=1,Thermostat!$B$3,Thermostat!$B$4)</f>
        <v>70</v>
      </c>
      <c r="U82" s="561">
        <f>IF(U79=1,Thermostat!$B$3,Thermostat!$B$4)</f>
        <v>70</v>
      </c>
      <c r="V82" s="561">
        <f>IF(V79=1,Thermostat!$B$3,Thermostat!$B$4)</f>
        <v>70</v>
      </c>
      <c r="W82" s="561">
        <f>IF(W79=1,Thermostat!$B$3,Thermostat!$B$4)</f>
        <v>70</v>
      </c>
      <c r="X82" s="561">
        <f>IF(X79=1,Thermostat!$B$3,Thermostat!$B$4)</f>
        <v>70</v>
      </c>
      <c r="Y82" s="561">
        <f>IF(Y79=1,Thermostat!$B$3,Thermostat!$B$4)</f>
        <v>70</v>
      </c>
      <c r="Z82" s="561">
        <f>IF(Z79=1,Thermostat!$B$3,Thermostat!$B$4)</f>
        <v>70</v>
      </c>
      <c r="AA82" s="561">
        <f>IF(AA79=1,Thermostat!$B$3,Thermostat!$B$4)</f>
        <v>70</v>
      </c>
      <c r="AB82" s="561">
        <f>IF(AB79=1,Thermostat!$B$3,Thermostat!$B$4)</f>
        <v>70</v>
      </c>
      <c r="AC82" s="335">
        <f>IF(AC79=1,Thermostat!$B$3,Thermostat!$B$4)</f>
        <v>70</v>
      </c>
    </row>
    <row r="83" spans="1:63" ht="22.9" customHeight="1" thickBot="1" x14ac:dyDescent="0.3">
      <c r="A83" s="715"/>
      <c r="B83" s="704"/>
      <c r="C83" s="718"/>
      <c r="D83" s="721"/>
      <c r="E83" s="336" t="s">
        <v>388</v>
      </c>
      <c r="F83" s="562">
        <f>IF(F80=1,Thermostat!$B$3,Thermostat!$B$4)</f>
        <v>70</v>
      </c>
      <c r="G83" s="562">
        <f>IF(G80=1,Thermostat!$B$3,Thermostat!$B$4)</f>
        <v>70</v>
      </c>
      <c r="H83" s="562">
        <f>IF(H80=1,Thermostat!$B$3,Thermostat!$B$4)</f>
        <v>70</v>
      </c>
      <c r="I83" s="562">
        <f>IF(I80=1,Thermostat!$B$3,Thermostat!$B$4)</f>
        <v>70</v>
      </c>
      <c r="J83" s="562">
        <f>IF(J80=1,Thermostat!$B$3,Thermostat!$B$4)</f>
        <v>70</v>
      </c>
      <c r="K83" s="562">
        <f>IF(K80=1,Thermostat!$B$3,Thermostat!$B$4)</f>
        <v>70</v>
      </c>
      <c r="L83" s="562">
        <f>IF(L80=1,Thermostat!$B$3,Thermostat!$B$4)</f>
        <v>70</v>
      </c>
      <c r="M83" s="562">
        <f>IF(M80=1,Thermostat!$B$3,Thermostat!$B$4)</f>
        <v>70</v>
      </c>
      <c r="N83" s="562">
        <f>IF(N80=1,Thermostat!$B$3,Thermostat!$B$4)</f>
        <v>70</v>
      </c>
      <c r="O83" s="562">
        <f>IF(O80=1,Thermostat!$B$3,Thermostat!$B$4)</f>
        <v>70</v>
      </c>
      <c r="P83" s="562">
        <f>IF(P80=1,Thermostat!$B$3,Thermostat!$B$4)</f>
        <v>70</v>
      </c>
      <c r="Q83" s="562">
        <f>IF(Q80=1,Thermostat!$B$3,Thermostat!$B$4)</f>
        <v>70</v>
      </c>
      <c r="R83" s="562">
        <f>IF(R80=1,Thermostat!$B$3,Thermostat!$B$4)</f>
        <v>70</v>
      </c>
      <c r="S83" s="562">
        <f>IF(S80=1,Thermostat!$B$3,Thermostat!$B$4)</f>
        <v>70</v>
      </c>
      <c r="T83" s="562">
        <f>IF(T80=1,Thermostat!$B$3,Thermostat!$B$4)</f>
        <v>70</v>
      </c>
      <c r="U83" s="562">
        <f>IF(U80=1,Thermostat!$B$3,Thermostat!$B$4)</f>
        <v>70</v>
      </c>
      <c r="V83" s="562">
        <f>IF(V80=1,Thermostat!$B$3,Thermostat!$B$4)</f>
        <v>70</v>
      </c>
      <c r="W83" s="562">
        <f>IF(W80=1,Thermostat!$B$3,Thermostat!$B$4)</f>
        <v>70</v>
      </c>
      <c r="X83" s="562">
        <f>IF(X80=1,Thermostat!$B$3,Thermostat!$B$4)</f>
        <v>70</v>
      </c>
      <c r="Y83" s="562">
        <f>IF(Y80=1,Thermostat!$B$3,Thermostat!$B$4)</f>
        <v>70</v>
      </c>
      <c r="Z83" s="562">
        <f>IF(Z80=1,Thermostat!$B$3,Thermostat!$B$4)</f>
        <v>70</v>
      </c>
      <c r="AA83" s="562">
        <f>IF(AA80=1,Thermostat!$B$3,Thermostat!$B$4)</f>
        <v>70</v>
      </c>
      <c r="AB83" s="562">
        <f>IF(AB80=1,Thermostat!$B$3,Thermostat!$B$4)</f>
        <v>70</v>
      </c>
      <c r="AC83" s="337">
        <f>IF(AC80=1,Thermostat!$B$3,Thermostat!$B$4)</f>
        <v>70</v>
      </c>
    </row>
    <row r="84" spans="1:63" ht="22.9" customHeight="1" x14ac:dyDescent="0.25">
      <c r="A84" s="713" t="s">
        <v>519</v>
      </c>
      <c r="B84" s="702" t="str">
        <f>B63</f>
        <v>Patient24/7</v>
      </c>
      <c r="C84" s="716" t="s">
        <v>530</v>
      </c>
      <c r="D84" s="719"/>
      <c r="E84" s="332" t="s">
        <v>386</v>
      </c>
      <c r="F84" s="560">
        <f>IF(F78=1,Thermostat!$B$5,Thermostat!$B$6)</f>
        <v>75</v>
      </c>
      <c r="G84" s="560">
        <f>IF(G78=1,Thermostat!$B$5,Thermostat!$B$6)</f>
        <v>75</v>
      </c>
      <c r="H84" s="560">
        <f>IF(H78=1,Thermostat!$B$5,Thermostat!$B$6)</f>
        <v>75</v>
      </c>
      <c r="I84" s="560">
        <f>IF(I78=1,Thermostat!$B$5,Thermostat!$B$6)</f>
        <v>75</v>
      </c>
      <c r="J84" s="560">
        <f>IF(J78=1,Thermostat!$B$5,Thermostat!$B$6)</f>
        <v>75</v>
      </c>
      <c r="K84" s="560">
        <f>IF(K78=1,Thermostat!$B$5,Thermostat!$B$6)</f>
        <v>75</v>
      </c>
      <c r="L84" s="560">
        <f>IF(L78=1,Thermostat!$B$5,Thermostat!$B$6)</f>
        <v>75</v>
      </c>
      <c r="M84" s="560">
        <f>IF(M78=1,Thermostat!$B$5,Thermostat!$B$6)</f>
        <v>75</v>
      </c>
      <c r="N84" s="560">
        <f>IF(N78=1,Thermostat!$B$5,Thermostat!$B$6)</f>
        <v>75</v>
      </c>
      <c r="O84" s="560">
        <f>IF(O78=1,Thermostat!$B$5,Thermostat!$B$6)</f>
        <v>75</v>
      </c>
      <c r="P84" s="560">
        <f>IF(P78=1,Thermostat!$B$5,Thermostat!$B$6)</f>
        <v>75</v>
      </c>
      <c r="Q84" s="560">
        <f>IF(Q78=1,Thermostat!$B$5,Thermostat!$B$6)</f>
        <v>75</v>
      </c>
      <c r="R84" s="560">
        <f>IF(R78=1,Thermostat!$B$5,Thermostat!$B$6)</f>
        <v>75</v>
      </c>
      <c r="S84" s="560">
        <f>IF(S78=1,Thermostat!$B$5,Thermostat!$B$6)</f>
        <v>75</v>
      </c>
      <c r="T84" s="560">
        <f>IF(T78=1,Thermostat!$B$5,Thermostat!$B$6)</f>
        <v>75</v>
      </c>
      <c r="U84" s="560">
        <f>IF(U78=1,Thermostat!$B$5,Thermostat!$B$6)</f>
        <v>75</v>
      </c>
      <c r="V84" s="560">
        <f>IF(V78=1,Thermostat!$B$5,Thermostat!$B$6)</f>
        <v>75</v>
      </c>
      <c r="W84" s="560">
        <f>IF(W78=1,Thermostat!$B$5,Thermostat!$B$6)</f>
        <v>75</v>
      </c>
      <c r="X84" s="560">
        <f>IF(X78=1,Thermostat!$B$5,Thermostat!$B$6)</f>
        <v>75</v>
      </c>
      <c r="Y84" s="560">
        <f>IF(Y78=1,Thermostat!$B$5,Thermostat!$B$6)</f>
        <v>75</v>
      </c>
      <c r="Z84" s="560">
        <f>IF(Z78=1,Thermostat!$B$5,Thermostat!$B$6)</f>
        <v>75</v>
      </c>
      <c r="AA84" s="560">
        <f>IF(AA78=1,Thermostat!$B$5,Thermostat!$B$6)</f>
        <v>75</v>
      </c>
      <c r="AB84" s="560">
        <f>IF(AB78=1,Thermostat!$B$5,Thermostat!$B$6)</f>
        <v>75</v>
      </c>
      <c r="AC84" s="333">
        <f>IF(AC78=1,Thermostat!$B$5,Thermostat!$B$6)</f>
        <v>75</v>
      </c>
    </row>
    <row r="85" spans="1:63" ht="22.9" customHeight="1" x14ac:dyDescent="0.25">
      <c r="A85" s="714"/>
      <c r="B85" s="703"/>
      <c r="C85" s="717"/>
      <c r="D85" s="720"/>
      <c r="E85" s="334" t="s">
        <v>387</v>
      </c>
      <c r="F85" s="561">
        <f>IF(F79=1,Thermostat!$B$5,Thermostat!$B$6)</f>
        <v>75</v>
      </c>
      <c r="G85" s="561">
        <f>IF(G79=1,Thermostat!$B$5,Thermostat!$B$6)</f>
        <v>75</v>
      </c>
      <c r="H85" s="561">
        <f>IF(H79=1,Thermostat!$B$5,Thermostat!$B$6)</f>
        <v>75</v>
      </c>
      <c r="I85" s="561">
        <f>IF(I79=1,Thermostat!$B$5,Thermostat!$B$6)</f>
        <v>75</v>
      </c>
      <c r="J85" s="561">
        <f>IF(J79=1,Thermostat!$B$5,Thermostat!$B$6)</f>
        <v>75</v>
      </c>
      <c r="K85" s="561">
        <f>IF(K79=1,Thermostat!$B$5,Thermostat!$B$6)</f>
        <v>75</v>
      </c>
      <c r="L85" s="561">
        <f>IF(L79=1,Thermostat!$B$5,Thermostat!$B$6)</f>
        <v>75</v>
      </c>
      <c r="M85" s="561">
        <f>IF(M79=1,Thermostat!$B$5,Thermostat!$B$6)</f>
        <v>75</v>
      </c>
      <c r="N85" s="561">
        <f>IF(N79=1,Thermostat!$B$5,Thermostat!$B$6)</f>
        <v>75</v>
      </c>
      <c r="O85" s="561">
        <f>IF(O79=1,Thermostat!$B$5,Thermostat!$B$6)</f>
        <v>75</v>
      </c>
      <c r="P85" s="561">
        <f>IF(P79=1,Thermostat!$B$5,Thermostat!$B$6)</f>
        <v>75</v>
      </c>
      <c r="Q85" s="561">
        <f>IF(Q79=1,Thermostat!$B$5,Thermostat!$B$6)</f>
        <v>75</v>
      </c>
      <c r="R85" s="561">
        <f>IF(R79=1,Thermostat!$B$5,Thermostat!$B$6)</f>
        <v>75</v>
      </c>
      <c r="S85" s="561">
        <f>IF(S79=1,Thermostat!$B$5,Thermostat!$B$6)</f>
        <v>75</v>
      </c>
      <c r="T85" s="561">
        <f>IF(T79=1,Thermostat!$B$5,Thermostat!$B$6)</f>
        <v>75</v>
      </c>
      <c r="U85" s="561">
        <f>IF(U79=1,Thermostat!$B$5,Thermostat!$B$6)</f>
        <v>75</v>
      </c>
      <c r="V85" s="561">
        <f>IF(V79=1,Thermostat!$B$5,Thermostat!$B$6)</f>
        <v>75</v>
      </c>
      <c r="W85" s="561">
        <f>IF(W79=1,Thermostat!$B$5,Thermostat!$B$6)</f>
        <v>75</v>
      </c>
      <c r="X85" s="561">
        <f>IF(X79=1,Thermostat!$B$5,Thermostat!$B$6)</f>
        <v>75</v>
      </c>
      <c r="Y85" s="561">
        <f>IF(Y79=1,Thermostat!$B$5,Thermostat!$B$6)</f>
        <v>75</v>
      </c>
      <c r="Z85" s="561">
        <f>IF(Z79=1,Thermostat!$B$5,Thermostat!$B$6)</f>
        <v>75</v>
      </c>
      <c r="AA85" s="561">
        <f>IF(AA79=1,Thermostat!$B$5,Thermostat!$B$6)</f>
        <v>75</v>
      </c>
      <c r="AB85" s="561">
        <f>IF(AB79=1,Thermostat!$B$5,Thermostat!$B$6)</f>
        <v>75</v>
      </c>
      <c r="AC85" s="335">
        <f>IF(AC79=1,Thermostat!$B$5,Thermostat!$B$6)</f>
        <v>75</v>
      </c>
    </row>
    <row r="86" spans="1:63" ht="22.9" customHeight="1" thickBot="1" x14ac:dyDescent="0.3">
      <c r="A86" s="715"/>
      <c r="B86" s="704"/>
      <c r="C86" s="718"/>
      <c r="D86" s="721"/>
      <c r="E86" s="336" t="s">
        <v>388</v>
      </c>
      <c r="F86" s="562">
        <f>IF(F80=1,Thermostat!$B$5,Thermostat!$B$6)</f>
        <v>75</v>
      </c>
      <c r="G86" s="562">
        <f>IF(G80=1,Thermostat!$B$5,Thermostat!$B$6)</f>
        <v>75</v>
      </c>
      <c r="H86" s="562">
        <f>IF(H80=1,Thermostat!$B$5,Thermostat!$B$6)</f>
        <v>75</v>
      </c>
      <c r="I86" s="562">
        <f>IF(I80=1,Thermostat!$B$5,Thermostat!$B$6)</f>
        <v>75</v>
      </c>
      <c r="J86" s="562">
        <f>IF(J80=1,Thermostat!$B$5,Thermostat!$B$6)</f>
        <v>75</v>
      </c>
      <c r="K86" s="562">
        <f>IF(K80=1,Thermostat!$B$5,Thermostat!$B$6)</f>
        <v>75</v>
      </c>
      <c r="L86" s="562">
        <f>IF(L80=1,Thermostat!$B$5,Thermostat!$B$6)</f>
        <v>75</v>
      </c>
      <c r="M86" s="562">
        <f>IF(M80=1,Thermostat!$B$5,Thermostat!$B$6)</f>
        <v>75</v>
      </c>
      <c r="N86" s="562">
        <f>IF(N80=1,Thermostat!$B$5,Thermostat!$B$6)</f>
        <v>75</v>
      </c>
      <c r="O86" s="562">
        <f>IF(O80=1,Thermostat!$B$5,Thermostat!$B$6)</f>
        <v>75</v>
      </c>
      <c r="P86" s="562">
        <f>IF(P80=1,Thermostat!$B$5,Thermostat!$B$6)</f>
        <v>75</v>
      </c>
      <c r="Q86" s="562">
        <f>IF(Q80=1,Thermostat!$B$5,Thermostat!$B$6)</f>
        <v>75</v>
      </c>
      <c r="R86" s="562">
        <f>IF(R80=1,Thermostat!$B$5,Thermostat!$B$6)</f>
        <v>75</v>
      </c>
      <c r="S86" s="562">
        <f>IF(S80=1,Thermostat!$B$5,Thermostat!$B$6)</f>
        <v>75</v>
      </c>
      <c r="T86" s="562">
        <f>IF(T80=1,Thermostat!$B$5,Thermostat!$B$6)</f>
        <v>75</v>
      </c>
      <c r="U86" s="562">
        <f>IF(U80=1,Thermostat!$B$5,Thermostat!$B$6)</f>
        <v>75</v>
      </c>
      <c r="V86" s="562">
        <f>IF(V80=1,Thermostat!$B$5,Thermostat!$B$6)</f>
        <v>75</v>
      </c>
      <c r="W86" s="562">
        <f>IF(W80=1,Thermostat!$B$5,Thermostat!$B$6)</f>
        <v>75</v>
      </c>
      <c r="X86" s="562">
        <f>IF(X80=1,Thermostat!$B$5,Thermostat!$B$6)</f>
        <v>75</v>
      </c>
      <c r="Y86" s="562">
        <f>IF(Y80=1,Thermostat!$B$5,Thermostat!$B$6)</f>
        <v>75</v>
      </c>
      <c r="Z86" s="562">
        <f>IF(Z80=1,Thermostat!$B$5,Thermostat!$B$6)</f>
        <v>75</v>
      </c>
      <c r="AA86" s="562">
        <f>IF(AA80=1,Thermostat!$B$5,Thermostat!$B$6)</f>
        <v>75</v>
      </c>
      <c r="AB86" s="562">
        <f>IF(AB80=1,Thermostat!$B$5,Thermostat!$B$6)</f>
        <v>75</v>
      </c>
      <c r="AC86" s="337">
        <f>IF(AC80=1,Thermostat!$B$5,Thermostat!$B$6)</f>
        <v>75</v>
      </c>
    </row>
    <row r="87" spans="1:63" ht="25.15" customHeight="1" thickBot="1" x14ac:dyDescent="0.3">
      <c r="A87" s="725" t="s">
        <v>538</v>
      </c>
      <c r="B87" s="725"/>
      <c r="C87" s="725" t="s">
        <v>531</v>
      </c>
      <c r="D87" s="725"/>
      <c r="E87" s="725"/>
      <c r="F87" s="725"/>
      <c r="G87" s="725"/>
      <c r="H87" s="725"/>
      <c r="I87" s="725"/>
      <c r="J87" s="725"/>
      <c r="K87" s="725"/>
      <c r="L87" s="725"/>
      <c r="M87" s="725"/>
      <c r="N87" s="725"/>
      <c r="O87" s="725"/>
      <c r="P87" s="725"/>
      <c r="Q87" s="725"/>
      <c r="R87" s="725"/>
      <c r="S87" s="725"/>
      <c r="T87" s="725"/>
      <c r="U87" s="725"/>
      <c r="V87" s="725"/>
      <c r="W87" s="725"/>
      <c r="X87" s="725"/>
      <c r="Y87" s="725"/>
      <c r="Z87" s="725"/>
      <c r="AA87" s="725"/>
      <c r="AB87" s="725"/>
      <c r="AC87" s="726"/>
    </row>
    <row r="88" spans="1:63" ht="25.15" customHeight="1" x14ac:dyDescent="0.25">
      <c r="A88" s="713" t="s">
        <v>519</v>
      </c>
      <c r="B88" s="702" t="s">
        <v>538</v>
      </c>
      <c r="C88" s="702" t="s">
        <v>520</v>
      </c>
      <c r="D88" s="708"/>
      <c r="E88" s="554" t="s">
        <v>386</v>
      </c>
      <c r="F88" s="554">
        <v>0</v>
      </c>
      <c r="G88" s="554">
        <v>0</v>
      </c>
      <c r="H88" s="554">
        <v>0</v>
      </c>
      <c r="I88" s="554">
        <v>0</v>
      </c>
      <c r="J88" s="554">
        <v>0</v>
      </c>
      <c r="K88" s="554">
        <v>0</v>
      </c>
      <c r="L88" s="554">
        <v>0</v>
      </c>
      <c r="M88" s="554">
        <v>0</v>
      </c>
      <c r="N88" s="554">
        <v>0</v>
      </c>
      <c r="O88" s="554">
        <v>0</v>
      </c>
      <c r="P88" s="554">
        <v>0</v>
      </c>
      <c r="Q88" s="554">
        <v>0</v>
      </c>
      <c r="R88" s="554">
        <v>0</v>
      </c>
      <c r="S88" s="554">
        <v>0</v>
      </c>
      <c r="T88" s="554">
        <v>0</v>
      </c>
      <c r="U88" s="554">
        <v>0</v>
      </c>
      <c r="V88" s="554">
        <v>0</v>
      </c>
      <c r="W88" s="554">
        <v>0</v>
      </c>
      <c r="X88" s="554">
        <v>0</v>
      </c>
      <c r="Y88" s="554">
        <v>0</v>
      </c>
      <c r="Z88" s="554">
        <v>0</v>
      </c>
      <c r="AA88" s="554">
        <v>0</v>
      </c>
      <c r="AB88" s="554">
        <v>0</v>
      </c>
      <c r="AC88" s="255">
        <v>0</v>
      </c>
      <c r="AD88" s="47"/>
      <c r="AE88" s="47"/>
      <c r="AF88" s="47"/>
      <c r="AG88" s="47"/>
      <c r="AH88" s="47"/>
      <c r="AI88" s="47"/>
      <c r="AJ88" s="47"/>
      <c r="AK88" s="47"/>
    </row>
    <row r="89" spans="1:63" ht="33" customHeight="1" x14ac:dyDescent="0.25">
      <c r="A89" s="714"/>
      <c r="B89" s="703"/>
      <c r="C89" s="703"/>
      <c r="D89" s="709"/>
      <c r="E89" s="555" t="s">
        <v>387</v>
      </c>
      <c r="F89" s="555">
        <v>0</v>
      </c>
      <c r="G89" s="555">
        <v>0</v>
      </c>
      <c r="H89" s="555">
        <v>0</v>
      </c>
      <c r="I89" s="555">
        <v>0</v>
      </c>
      <c r="J89" s="555">
        <v>0</v>
      </c>
      <c r="K89" s="555">
        <v>0</v>
      </c>
      <c r="L89" s="555">
        <v>0</v>
      </c>
      <c r="M89" s="555">
        <v>0</v>
      </c>
      <c r="N89" s="555">
        <v>0</v>
      </c>
      <c r="O89" s="555">
        <v>0</v>
      </c>
      <c r="P89" s="555">
        <v>0</v>
      </c>
      <c r="Q89" s="555">
        <v>0</v>
      </c>
      <c r="R89" s="555">
        <v>0</v>
      </c>
      <c r="S89" s="555">
        <v>0</v>
      </c>
      <c r="T89" s="555">
        <v>0</v>
      </c>
      <c r="U89" s="555">
        <v>0</v>
      </c>
      <c r="V89" s="555">
        <v>0</v>
      </c>
      <c r="W89" s="555">
        <v>0</v>
      </c>
      <c r="X89" s="555">
        <v>0</v>
      </c>
      <c r="Y89" s="555">
        <v>0</v>
      </c>
      <c r="Z89" s="555">
        <v>0</v>
      </c>
      <c r="AA89" s="555">
        <v>0</v>
      </c>
      <c r="AB89" s="555">
        <v>0</v>
      </c>
      <c r="AC89" s="256">
        <v>0</v>
      </c>
      <c r="AD89" s="47"/>
      <c r="AE89" s="47"/>
      <c r="AF89" s="47"/>
      <c r="AG89" s="47"/>
      <c r="AH89" s="47"/>
      <c r="AI89" s="47"/>
      <c r="AJ89" s="47"/>
      <c r="AK89" s="47"/>
    </row>
    <row r="90" spans="1:63" ht="33" customHeight="1" thickBot="1" x14ac:dyDescent="0.3">
      <c r="A90" s="715"/>
      <c r="B90" s="704"/>
      <c r="C90" s="704"/>
      <c r="D90" s="710"/>
      <c r="E90" s="556" t="s">
        <v>388</v>
      </c>
      <c r="F90" s="556">
        <v>0</v>
      </c>
      <c r="G90" s="556">
        <v>0</v>
      </c>
      <c r="H90" s="556">
        <v>0</v>
      </c>
      <c r="I90" s="556">
        <v>0</v>
      </c>
      <c r="J90" s="556">
        <v>0</v>
      </c>
      <c r="K90" s="556">
        <v>0</v>
      </c>
      <c r="L90" s="556">
        <v>0</v>
      </c>
      <c r="M90" s="556">
        <v>0</v>
      </c>
      <c r="N90" s="556">
        <v>0</v>
      </c>
      <c r="O90" s="556">
        <v>0</v>
      </c>
      <c r="P90" s="556">
        <v>0</v>
      </c>
      <c r="Q90" s="556">
        <v>0</v>
      </c>
      <c r="R90" s="556">
        <v>0</v>
      </c>
      <c r="S90" s="556">
        <v>0</v>
      </c>
      <c r="T90" s="556">
        <v>0</v>
      </c>
      <c r="U90" s="556">
        <v>0</v>
      </c>
      <c r="V90" s="556">
        <v>0</v>
      </c>
      <c r="W90" s="556">
        <v>0</v>
      </c>
      <c r="X90" s="556">
        <v>0</v>
      </c>
      <c r="Y90" s="556">
        <v>0</v>
      </c>
      <c r="Z90" s="556">
        <v>0</v>
      </c>
      <c r="AA90" s="556">
        <v>0</v>
      </c>
      <c r="AB90" s="556">
        <v>0</v>
      </c>
      <c r="AC90" s="257">
        <v>0</v>
      </c>
      <c r="AD90" s="47"/>
      <c r="AE90" s="47"/>
      <c r="AF90" s="47"/>
      <c r="AG90" s="47"/>
      <c r="AH90" s="47"/>
      <c r="AI90" s="47"/>
      <c r="AJ90" s="47"/>
      <c r="AK90" s="47"/>
    </row>
    <row r="91" spans="1:63" ht="38.65" customHeight="1" x14ac:dyDescent="0.25">
      <c r="A91" s="657" t="s">
        <v>519</v>
      </c>
      <c r="B91" s="722" t="str">
        <f>B88</f>
        <v>Unoccupied</v>
      </c>
      <c r="C91" s="705" t="s">
        <v>522</v>
      </c>
      <c r="D91" s="708"/>
      <c r="E91" s="545" t="s">
        <v>386</v>
      </c>
      <c r="F91" s="495">
        <v>0</v>
      </c>
      <c r="G91" s="495">
        <v>0</v>
      </c>
      <c r="H91" s="495">
        <v>0</v>
      </c>
      <c r="I91" s="495">
        <v>0</v>
      </c>
      <c r="J91" s="495">
        <v>0</v>
      </c>
      <c r="K91" s="495">
        <v>0</v>
      </c>
      <c r="L91" s="545">
        <v>0</v>
      </c>
      <c r="M91" s="545">
        <v>0</v>
      </c>
      <c r="N91" s="545">
        <v>0</v>
      </c>
      <c r="O91" s="545">
        <v>0</v>
      </c>
      <c r="P91" s="545">
        <v>0</v>
      </c>
      <c r="Q91" s="545">
        <v>0</v>
      </c>
      <c r="R91" s="545">
        <v>0</v>
      </c>
      <c r="S91" s="545">
        <v>0</v>
      </c>
      <c r="T91" s="545">
        <v>0</v>
      </c>
      <c r="U91" s="545">
        <v>0</v>
      </c>
      <c r="V91" s="545">
        <v>0</v>
      </c>
      <c r="W91" s="545">
        <v>0</v>
      </c>
      <c r="X91" s="545">
        <v>0</v>
      </c>
      <c r="Y91" s="545">
        <v>0</v>
      </c>
      <c r="Z91" s="545">
        <v>0</v>
      </c>
      <c r="AA91" s="495">
        <v>0</v>
      </c>
      <c r="AB91" s="495">
        <v>0</v>
      </c>
      <c r="AC91" s="496">
        <v>0</v>
      </c>
      <c r="AD91" s="47"/>
      <c r="AE91" s="47"/>
      <c r="AF91" s="47"/>
      <c r="AG91" s="47"/>
      <c r="AH91" s="47"/>
      <c r="AI91" s="47"/>
      <c r="AJ91" s="47"/>
      <c r="AK91" s="47"/>
      <c r="AM91" s="494" t="s">
        <v>386</v>
      </c>
      <c r="AN91" s="82">
        <v>0.45</v>
      </c>
      <c r="AO91" s="82">
        <v>0.45</v>
      </c>
      <c r="AP91" s="82">
        <v>0.45</v>
      </c>
      <c r="AQ91" s="82">
        <v>0.45</v>
      </c>
      <c r="AR91" s="82">
        <v>0.45</v>
      </c>
      <c r="AS91" s="82">
        <v>0.45</v>
      </c>
      <c r="AT91" s="82">
        <v>0.45</v>
      </c>
      <c r="AU91" s="82">
        <v>0.45</v>
      </c>
      <c r="AV91" s="82">
        <v>0.81</v>
      </c>
      <c r="AW91" s="82">
        <v>0.81</v>
      </c>
      <c r="AX91" s="82">
        <v>0.81</v>
      </c>
      <c r="AY91" s="82">
        <v>0.81</v>
      </c>
      <c r="AZ91" s="82">
        <v>0.81</v>
      </c>
      <c r="BA91" s="82">
        <v>0.81</v>
      </c>
      <c r="BB91" s="82">
        <v>0.81</v>
      </c>
      <c r="BC91" s="82">
        <v>0.81</v>
      </c>
      <c r="BD91" s="82">
        <v>0.45</v>
      </c>
      <c r="BE91" s="82">
        <v>0.45</v>
      </c>
      <c r="BF91" s="82">
        <v>0.45</v>
      </c>
      <c r="BG91" s="82">
        <v>0.45</v>
      </c>
      <c r="BH91" s="82">
        <v>0.45</v>
      </c>
      <c r="BI91" s="82">
        <v>0.45</v>
      </c>
      <c r="BJ91" s="82">
        <v>0.45</v>
      </c>
      <c r="BK91" s="82">
        <v>0.45</v>
      </c>
    </row>
    <row r="92" spans="1:63" ht="38.65" customHeight="1" x14ac:dyDescent="0.25">
      <c r="A92" s="700"/>
      <c r="B92" s="703"/>
      <c r="C92" s="706"/>
      <c r="D92" s="709"/>
      <c r="E92" s="536" t="s">
        <v>387</v>
      </c>
      <c r="F92" s="495">
        <v>0</v>
      </c>
      <c r="G92" s="495">
        <v>0</v>
      </c>
      <c r="H92" s="495">
        <v>0</v>
      </c>
      <c r="I92" s="495">
        <v>0</v>
      </c>
      <c r="J92" s="495">
        <v>0</v>
      </c>
      <c r="K92" s="495">
        <v>0</v>
      </c>
      <c r="L92" s="536">
        <v>0</v>
      </c>
      <c r="M92" s="536">
        <v>0</v>
      </c>
      <c r="N92" s="536">
        <v>0</v>
      </c>
      <c r="O92" s="536">
        <v>0</v>
      </c>
      <c r="P92" s="536">
        <v>0</v>
      </c>
      <c r="Q92" s="536">
        <v>0</v>
      </c>
      <c r="R92" s="536">
        <v>0</v>
      </c>
      <c r="S92" s="536">
        <v>0</v>
      </c>
      <c r="T92" s="536">
        <v>0</v>
      </c>
      <c r="U92" s="536">
        <v>0</v>
      </c>
      <c r="V92" s="536">
        <v>0</v>
      </c>
      <c r="W92" s="536">
        <v>0</v>
      </c>
      <c r="X92" s="536">
        <v>0</v>
      </c>
      <c r="Y92" s="536">
        <v>0</v>
      </c>
      <c r="Z92" s="536">
        <v>0</v>
      </c>
      <c r="AA92" s="497">
        <v>0</v>
      </c>
      <c r="AB92" s="497">
        <v>0</v>
      </c>
      <c r="AC92" s="498">
        <v>0</v>
      </c>
      <c r="AD92" s="47"/>
      <c r="AE92" s="47"/>
      <c r="AF92" s="47"/>
      <c r="AG92" s="47"/>
      <c r="AH92" s="47"/>
      <c r="AI92" s="47"/>
      <c r="AJ92" s="47"/>
      <c r="AK92" s="47"/>
      <c r="AM92" s="494" t="s">
        <v>387</v>
      </c>
      <c r="AN92" s="82">
        <v>0.45</v>
      </c>
      <c r="AO92" s="82">
        <v>0.45</v>
      </c>
      <c r="AP92" s="82">
        <v>0.45</v>
      </c>
      <c r="AQ92" s="82">
        <v>0.45</v>
      </c>
      <c r="AR92" s="82">
        <v>0.45</v>
      </c>
      <c r="AS92" s="82">
        <v>0.45</v>
      </c>
      <c r="AT92" s="82">
        <v>0.45</v>
      </c>
      <c r="AU92" s="82">
        <v>0.45</v>
      </c>
      <c r="AV92" s="82">
        <v>0.72</v>
      </c>
      <c r="AW92" s="82">
        <v>0.72</v>
      </c>
      <c r="AX92" s="82">
        <v>0.72</v>
      </c>
      <c r="AY92" s="82">
        <v>0.72</v>
      </c>
      <c r="AZ92" s="82">
        <v>0.72</v>
      </c>
      <c r="BA92" s="82">
        <v>0.72</v>
      </c>
      <c r="BB92" s="82">
        <v>0.72</v>
      </c>
      <c r="BC92" s="82">
        <v>0.72</v>
      </c>
      <c r="BD92" s="82">
        <v>0.72</v>
      </c>
      <c r="BE92" s="82">
        <v>0.72</v>
      </c>
      <c r="BF92" s="82">
        <v>0.45</v>
      </c>
      <c r="BG92" s="82">
        <v>0.45</v>
      </c>
      <c r="BH92" s="82">
        <v>0.45</v>
      </c>
      <c r="BI92" s="82">
        <v>0.45</v>
      </c>
      <c r="BJ92" s="82">
        <v>0.45</v>
      </c>
      <c r="BK92" s="82">
        <v>0.45</v>
      </c>
    </row>
    <row r="93" spans="1:63" ht="38.65" customHeight="1" thickBot="1" x14ac:dyDescent="0.3">
      <c r="A93" s="701"/>
      <c r="B93" s="704"/>
      <c r="C93" s="723"/>
      <c r="D93" s="710"/>
      <c r="E93" s="260" t="s">
        <v>388</v>
      </c>
      <c r="F93" s="495">
        <v>0</v>
      </c>
      <c r="G93" s="495">
        <v>0</v>
      </c>
      <c r="H93" s="495">
        <v>0</v>
      </c>
      <c r="I93" s="495">
        <v>0</v>
      </c>
      <c r="J93" s="495">
        <v>0</v>
      </c>
      <c r="K93" s="495">
        <v>0</v>
      </c>
      <c r="L93" s="260">
        <v>0</v>
      </c>
      <c r="M93" s="260">
        <v>0</v>
      </c>
      <c r="N93" s="260">
        <v>0</v>
      </c>
      <c r="O93" s="260">
        <v>0</v>
      </c>
      <c r="P93" s="260">
        <v>0</v>
      </c>
      <c r="Q93" s="260">
        <v>0</v>
      </c>
      <c r="R93" s="260">
        <v>0</v>
      </c>
      <c r="S93" s="260">
        <v>0</v>
      </c>
      <c r="T93" s="260">
        <v>0</v>
      </c>
      <c r="U93" s="260">
        <v>0</v>
      </c>
      <c r="V93" s="260">
        <v>0</v>
      </c>
      <c r="W93" s="260">
        <v>0</v>
      </c>
      <c r="X93" s="260">
        <v>0</v>
      </c>
      <c r="Y93" s="260">
        <v>0</v>
      </c>
      <c r="Z93" s="260">
        <v>0</v>
      </c>
      <c r="AA93" s="499">
        <v>0</v>
      </c>
      <c r="AB93" s="499">
        <v>0</v>
      </c>
      <c r="AC93" s="500">
        <v>0</v>
      </c>
      <c r="AD93" s="47"/>
      <c r="AE93" s="47"/>
      <c r="AF93" s="47"/>
      <c r="AG93" s="47"/>
      <c r="AH93" s="47"/>
      <c r="AI93" s="47"/>
      <c r="AJ93" s="47"/>
      <c r="AK93" s="47"/>
      <c r="AM93" s="494" t="s">
        <v>537</v>
      </c>
      <c r="AN93" s="82">
        <v>0.45</v>
      </c>
      <c r="AO93" s="82">
        <v>0.45</v>
      </c>
      <c r="AP93" s="82">
        <v>0.45</v>
      </c>
      <c r="AQ93" s="82">
        <v>0.45</v>
      </c>
      <c r="AR93" s="82">
        <v>0.45</v>
      </c>
      <c r="AS93" s="82">
        <v>0.45</v>
      </c>
      <c r="AT93" s="82">
        <v>0.45</v>
      </c>
      <c r="AU93" s="82">
        <v>0.45</v>
      </c>
      <c r="AV93" s="82">
        <v>0.63</v>
      </c>
      <c r="AW93" s="82">
        <v>0.63</v>
      </c>
      <c r="AX93" s="82">
        <v>0.63</v>
      </c>
      <c r="AY93" s="82">
        <v>0.63</v>
      </c>
      <c r="AZ93" s="82">
        <v>0.63</v>
      </c>
      <c r="BA93" s="82">
        <v>0.63</v>
      </c>
      <c r="BB93" s="82">
        <v>0.63</v>
      </c>
      <c r="BC93" s="82">
        <v>0.63</v>
      </c>
      <c r="BD93" s="82">
        <v>0.45</v>
      </c>
      <c r="BE93" s="82">
        <v>0.45</v>
      </c>
      <c r="BF93" s="82">
        <v>0.45</v>
      </c>
      <c r="BG93" s="82">
        <v>0.45</v>
      </c>
      <c r="BH93" s="82">
        <v>0.45</v>
      </c>
      <c r="BI93" s="82">
        <v>0.45</v>
      </c>
      <c r="BJ93" s="82">
        <v>0.45</v>
      </c>
      <c r="BK93" s="82">
        <v>0.45</v>
      </c>
    </row>
    <row r="94" spans="1:63" ht="36" customHeight="1" x14ac:dyDescent="0.25">
      <c r="A94" s="699" t="s">
        <v>519</v>
      </c>
      <c r="B94" s="702" t="str">
        <f>B88</f>
        <v>Unoccupied</v>
      </c>
      <c r="C94" s="724" t="s">
        <v>523</v>
      </c>
      <c r="D94" s="708"/>
      <c r="E94" s="262" t="s">
        <v>386</v>
      </c>
      <c r="F94" s="263">
        <v>0.2</v>
      </c>
      <c r="G94" s="263">
        <v>0.2</v>
      </c>
      <c r="H94" s="263">
        <v>0.2</v>
      </c>
      <c r="I94" s="263">
        <v>0.2</v>
      </c>
      <c r="J94" s="263">
        <v>0.2</v>
      </c>
      <c r="K94" s="263">
        <v>0.2</v>
      </c>
      <c r="L94" s="263">
        <v>0.2</v>
      </c>
      <c r="M94" s="263">
        <v>0.2</v>
      </c>
      <c r="N94" s="263">
        <v>0.2</v>
      </c>
      <c r="O94" s="263">
        <v>0.2</v>
      </c>
      <c r="P94" s="263">
        <v>0.2</v>
      </c>
      <c r="Q94" s="263">
        <v>0.2</v>
      </c>
      <c r="R94" s="263">
        <v>0.2</v>
      </c>
      <c r="S94" s="263">
        <v>0.2</v>
      </c>
      <c r="T94" s="263">
        <v>0.2</v>
      </c>
      <c r="U94" s="263">
        <v>0.2</v>
      </c>
      <c r="V94" s="263">
        <v>0.2</v>
      </c>
      <c r="W94" s="263">
        <v>0.2</v>
      </c>
      <c r="X94" s="263">
        <v>0.2</v>
      </c>
      <c r="Y94" s="263">
        <v>0.2</v>
      </c>
      <c r="Z94" s="263">
        <v>0.2</v>
      </c>
      <c r="AA94" s="263">
        <v>0.2</v>
      </c>
      <c r="AB94" s="263">
        <v>0.2</v>
      </c>
      <c r="AC94" s="264">
        <v>0.2</v>
      </c>
      <c r="AD94" s="48"/>
      <c r="AE94" s="47"/>
      <c r="AF94" s="47"/>
      <c r="AG94" s="47"/>
      <c r="AH94" s="47"/>
      <c r="AI94" s="47"/>
      <c r="AJ94" s="47"/>
      <c r="AK94" s="47"/>
      <c r="AM94" s="59"/>
    </row>
    <row r="95" spans="1:63" ht="36" customHeight="1" x14ac:dyDescent="0.25">
      <c r="A95" s="700"/>
      <c r="B95" s="703"/>
      <c r="C95" s="706"/>
      <c r="D95" s="709"/>
      <c r="E95" s="536" t="s">
        <v>387</v>
      </c>
      <c r="F95" s="265">
        <v>0.2</v>
      </c>
      <c r="G95" s="265">
        <v>0.2</v>
      </c>
      <c r="H95" s="265">
        <v>0.2</v>
      </c>
      <c r="I95" s="265">
        <v>0.2</v>
      </c>
      <c r="J95" s="265">
        <v>0.2</v>
      </c>
      <c r="K95" s="265">
        <v>0.2</v>
      </c>
      <c r="L95" s="265">
        <v>0.2</v>
      </c>
      <c r="M95" s="265">
        <v>0.2</v>
      </c>
      <c r="N95" s="265">
        <v>0.2</v>
      </c>
      <c r="O95" s="265">
        <v>0.2</v>
      </c>
      <c r="P95" s="265">
        <v>0.2</v>
      </c>
      <c r="Q95" s="265">
        <v>0.2</v>
      </c>
      <c r="R95" s="265">
        <v>0.2</v>
      </c>
      <c r="S95" s="265">
        <v>0.2</v>
      </c>
      <c r="T95" s="265">
        <v>0.2</v>
      </c>
      <c r="U95" s="265">
        <v>0.2</v>
      </c>
      <c r="V95" s="265">
        <v>0.2</v>
      </c>
      <c r="W95" s="265">
        <v>0.2</v>
      </c>
      <c r="X95" s="265">
        <v>0.2</v>
      </c>
      <c r="Y95" s="265">
        <v>0.2</v>
      </c>
      <c r="Z95" s="265">
        <v>0.2</v>
      </c>
      <c r="AA95" s="265">
        <v>0.2</v>
      </c>
      <c r="AB95" s="265">
        <v>0.2</v>
      </c>
      <c r="AC95" s="266">
        <v>0.2</v>
      </c>
      <c r="AD95" s="48"/>
      <c r="AE95" s="47"/>
      <c r="AF95" s="47"/>
      <c r="AG95" s="47"/>
      <c r="AH95" s="47"/>
      <c r="AI95" s="47"/>
      <c r="AJ95" s="47"/>
      <c r="AK95" s="47"/>
      <c r="AM95" s="59"/>
    </row>
    <row r="96" spans="1:63" ht="36" customHeight="1" thickBot="1" x14ac:dyDescent="0.3">
      <c r="A96" s="701"/>
      <c r="B96" s="704"/>
      <c r="C96" s="707"/>
      <c r="D96" s="710"/>
      <c r="E96" s="260" t="s">
        <v>388</v>
      </c>
      <c r="F96" s="267">
        <v>0.2</v>
      </c>
      <c r="G96" s="267">
        <v>0.2</v>
      </c>
      <c r="H96" s="267">
        <v>0.2</v>
      </c>
      <c r="I96" s="267">
        <v>0.2</v>
      </c>
      <c r="J96" s="267">
        <v>0.2</v>
      </c>
      <c r="K96" s="267">
        <v>0.2</v>
      </c>
      <c r="L96" s="267">
        <v>0.2</v>
      </c>
      <c r="M96" s="267">
        <v>0.2</v>
      </c>
      <c r="N96" s="267">
        <v>0.2</v>
      </c>
      <c r="O96" s="267">
        <v>0.2</v>
      </c>
      <c r="P96" s="267">
        <v>0.2</v>
      </c>
      <c r="Q96" s="267">
        <v>0.2</v>
      </c>
      <c r="R96" s="267">
        <v>0.2</v>
      </c>
      <c r="S96" s="267">
        <v>0.2</v>
      </c>
      <c r="T96" s="267">
        <v>0.2</v>
      </c>
      <c r="U96" s="267">
        <v>0.2</v>
      </c>
      <c r="V96" s="267">
        <v>0.2</v>
      </c>
      <c r="W96" s="267">
        <v>0.2</v>
      </c>
      <c r="X96" s="267">
        <v>0.2</v>
      </c>
      <c r="Y96" s="267">
        <v>0.2</v>
      </c>
      <c r="Z96" s="267">
        <v>0.2</v>
      </c>
      <c r="AA96" s="267">
        <v>0.2</v>
      </c>
      <c r="AB96" s="267">
        <v>0.2</v>
      </c>
      <c r="AC96" s="268">
        <v>0.2</v>
      </c>
      <c r="AD96" s="48"/>
      <c r="AE96" s="47"/>
      <c r="AF96" s="47"/>
      <c r="AG96" s="47"/>
      <c r="AH96" s="47"/>
      <c r="AI96" s="47"/>
      <c r="AJ96" s="47"/>
      <c r="AK96" s="47"/>
      <c r="AM96" s="59"/>
    </row>
    <row r="97" spans="1:39" ht="36" customHeight="1" x14ac:dyDescent="0.25">
      <c r="A97" s="699" t="s">
        <v>519</v>
      </c>
      <c r="B97" s="702" t="str">
        <f>B88</f>
        <v>Unoccupied</v>
      </c>
      <c r="C97" s="705" t="s">
        <v>524</v>
      </c>
      <c r="D97" s="708"/>
      <c r="E97" s="491" t="s">
        <v>386</v>
      </c>
      <c r="F97" s="554">
        <v>0</v>
      </c>
      <c r="G97" s="554">
        <v>0</v>
      </c>
      <c r="H97" s="554">
        <v>0</v>
      </c>
      <c r="I97" s="554">
        <v>0</v>
      </c>
      <c r="J97" s="554">
        <v>0</v>
      </c>
      <c r="K97" s="554">
        <v>0</v>
      </c>
      <c r="L97" s="554">
        <v>0</v>
      </c>
      <c r="M97" s="554">
        <v>0</v>
      </c>
      <c r="N97" s="554">
        <v>0</v>
      </c>
      <c r="O97" s="554">
        <v>0</v>
      </c>
      <c r="P97" s="554">
        <v>0</v>
      </c>
      <c r="Q97" s="554">
        <v>0</v>
      </c>
      <c r="R97" s="554">
        <v>0</v>
      </c>
      <c r="S97" s="554">
        <v>0</v>
      </c>
      <c r="T97" s="554">
        <v>0</v>
      </c>
      <c r="U97" s="554">
        <v>0</v>
      </c>
      <c r="V97" s="554">
        <v>0</v>
      </c>
      <c r="W97" s="554">
        <v>0</v>
      </c>
      <c r="X97" s="554">
        <v>0</v>
      </c>
      <c r="Y97" s="554">
        <v>0</v>
      </c>
      <c r="Z97" s="554">
        <v>0</v>
      </c>
      <c r="AA97" s="554">
        <v>0</v>
      </c>
      <c r="AB97" s="554">
        <v>0</v>
      </c>
      <c r="AC97" s="255">
        <v>0</v>
      </c>
      <c r="AD97" s="47"/>
      <c r="AE97" s="47"/>
      <c r="AF97" s="47"/>
      <c r="AG97" s="47"/>
      <c r="AH97" s="47"/>
      <c r="AI97" s="47"/>
      <c r="AJ97" s="47"/>
      <c r="AK97" s="47"/>
      <c r="AM97" s="59"/>
    </row>
    <row r="98" spans="1:39" ht="36" customHeight="1" x14ac:dyDescent="0.25">
      <c r="A98" s="700"/>
      <c r="B98" s="703"/>
      <c r="C98" s="706"/>
      <c r="D98" s="709"/>
      <c r="E98" s="492" t="s">
        <v>387</v>
      </c>
      <c r="F98" s="555">
        <v>0</v>
      </c>
      <c r="G98" s="555">
        <v>0</v>
      </c>
      <c r="H98" s="555">
        <v>0</v>
      </c>
      <c r="I98" s="555">
        <v>0</v>
      </c>
      <c r="J98" s="555">
        <v>0</v>
      </c>
      <c r="K98" s="555">
        <v>0</v>
      </c>
      <c r="L98" s="555">
        <v>0</v>
      </c>
      <c r="M98" s="555">
        <v>0</v>
      </c>
      <c r="N98" s="555">
        <v>0</v>
      </c>
      <c r="O98" s="555">
        <v>0</v>
      </c>
      <c r="P98" s="555">
        <v>0</v>
      </c>
      <c r="Q98" s="555">
        <v>0</v>
      </c>
      <c r="R98" s="555">
        <v>0</v>
      </c>
      <c r="S98" s="555">
        <v>0</v>
      </c>
      <c r="T98" s="555">
        <v>0</v>
      </c>
      <c r="U98" s="555">
        <v>0</v>
      </c>
      <c r="V98" s="555">
        <v>0</v>
      </c>
      <c r="W98" s="555">
        <v>0</v>
      </c>
      <c r="X98" s="555">
        <v>0</v>
      </c>
      <c r="Y98" s="555">
        <v>0</v>
      </c>
      <c r="Z98" s="555">
        <v>0</v>
      </c>
      <c r="AA98" s="555">
        <v>0</v>
      </c>
      <c r="AB98" s="555">
        <v>0</v>
      </c>
      <c r="AC98" s="256">
        <v>0</v>
      </c>
      <c r="AD98" s="47"/>
      <c r="AE98" s="47"/>
      <c r="AF98" s="47"/>
      <c r="AG98" s="47"/>
      <c r="AH98" s="47"/>
      <c r="AI98" s="47"/>
      <c r="AJ98" s="47"/>
      <c r="AK98" s="47"/>
      <c r="AM98" s="59"/>
    </row>
    <row r="99" spans="1:39" ht="36" customHeight="1" thickBot="1" x14ac:dyDescent="0.3">
      <c r="A99" s="701"/>
      <c r="B99" s="704"/>
      <c r="C99" s="707"/>
      <c r="D99" s="710"/>
      <c r="E99" s="493" t="s">
        <v>388</v>
      </c>
      <c r="F99" s="556">
        <v>0</v>
      </c>
      <c r="G99" s="556">
        <v>0</v>
      </c>
      <c r="H99" s="556">
        <v>0</v>
      </c>
      <c r="I99" s="556">
        <v>0</v>
      </c>
      <c r="J99" s="556">
        <v>0</v>
      </c>
      <c r="K99" s="556">
        <v>0</v>
      </c>
      <c r="L99" s="556">
        <v>0</v>
      </c>
      <c r="M99" s="556">
        <v>0</v>
      </c>
      <c r="N99" s="556">
        <v>0</v>
      </c>
      <c r="O99" s="556">
        <v>0</v>
      </c>
      <c r="P99" s="556">
        <v>0</v>
      </c>
      <c r="Q99" s="556">
        <v>0</v>
      </c>
      <c r="R99" s="556">
        <v>0</v>
      </c>
      <c r="S99" s="556">
        <v>0</v>
      </c>
      <c r="T99" s="556">
        <v>0</v>
      </c>
      <c r="U99" s="556">
        <v>0</v>
      </c>
      <c r="V99" s="556">
        <v>0</v>
      </c>
      <c r="W99" s="556">
        <v>0</v>
      </c>
      <c r="X99" s="556">
        <v>0</v>
      </c>
      <c r="Y99" s="556">
        <v>0</v>
      </c>
      <c r="Z99" s="556">
        <v>0</v>
      </c>
      <c r="AA99" s="556">
        <v>0</v>
      </c>
      <c r="AB99" s="556">
        <v>0</v>
      </c>
      <c r="AC99" s="257">
        <v>0</v>
      </c>
      <c r="AD99" s="47"/>
      <c r="AE99" s="47"/>
      <c r="AF99" s="47"/>
      <c r="AG99" s="47"/>
      <c r="AH99" s="47"/>
      <c r="AI99" s="47"/>
      <c r="AJ99" s="47"/>
      <c r="AK99" s="47"/>
      <c r="AM99" s="59"/>
    </row>
    <row r="100" spans="1:39" ht="36" customHeight="1" x14ac:dyDescent="0.25">
      <c r="A100" s="699" t="s">
        <v>519</v>
      </c>
      <c r="B100" s="702" t="str">
        <f>B91</f>
        <v>Unoccupied</v>
      </c>
      <c r="C100" s="705" t="s">
        <v>241</v>
      </c>
      <c r="D100" s="708" t="s">
        <v>534</v>
      </c>
      <c r="E100" s="262" t="s">
        <v>386</v>
      </c>
      <c r="F100" s="482">
        <v>0.25</v>
      </c>
      <c r="G100" s="483">
        <v>0.25</v>
      </c>
      <c r="H100" s="483">
        <v>0.25</v>
      </c>
      <c r="I100" s="483">
        <v>0.25</v>
      </c>
      <c r="J100" s="483">
        <v>0.25</v>
      </c>
      <c r="K100" s="483">
        <v>0.25</v>
      </c>
      <c r="L100" s="483">
        <v>0.25</v>
      </c>
      <c r="M100" s="483">
        <v>0.25</v>
      </c>
      <c r="N100" s="483">
        <v>0.25</v>
      </c>
      <c r="O100" s="483">
        <v>0.25</v>
      </c>
      <c r="P100" s="483">
        <v>0.25</v>
      </c>
      <c r="Q100" s="483">
        <v>0.25</v>
      </c>
      <c r="R100" s="483">
        <v>0.25</v>
      </c>
      <c r="S100" s="483">
        <v>0.25</v>
      </c>
      <c r="T100" s="483">
        <v>0.25</v>
      </c>
      <c r="U100" s="483">
        <v>0.25</v>
      </c>
      <c r="V100" s="483">
        <v>0.25</v>
      </c>
      <c r="W100" s="483">
        <v>0.25</v>
      </c>
      <c r="X100" s="483">
        <v>0.25</v>
      </c>
      <c r="Y100" s="483">
        <v>0.25</v>
      </c>
      <c r="Z100" s="483">
        <v>0.25</v>
      </c>
      <c r="AA100" s="483">
        <v>0.25</v>
      </c>
      <c r="AB100" s="483">
        <v>0.25</v>
      </c>
      <c r="AC100" s="484">
        <v>0.25</v>
      </c>
      <c r="AD100" s="48"/>
      <c r="AE100" s="47"/>
      <c r="AF100" s="47"/>
      <c r="AG100" s="47"/>
      <c r="AH100" s="47"/>
      <c r="AI100" s="47"/>
      <c r="AJ100" s="47"/>
      <c r="AK100" s="47"/>
      <c r="AM100" s="59"/>
    </row>
    <row r="101" spans="1:39" ht="36" customHeight="1" x14ac:dyDescent="0.25">
      <c r="A101" s="700"/>
      <c r="B101" s="703"/>
      <c r="C101" s="706"/>
      <c r="D101" s="709"/>
      <c r="E101" s="536" t="s">
        <v>387</v>
      </c>
      <c r="F101" s="485">
        <v>0.25</v>
      </c>
      <c r="G101" s="486">
        <v>0.25</v>
      </c>
      <c r="H101" s="486">
        <v>0.25</v>
      </c>
      <c r="I101" s="486">
        <v>0.25</v>
      </c>
      <c r="J101" s="486">
        <v>0.25</v>
      </c>
      <c r="K101" s="486">
        <v>0.25</v>
      </c>
      <c r="L101" s="486">
        <v>0.25</v>
      </c>
      <c r="M101" s="486">
        <v>0.25</v>
      </c>
      <c r="N101" s="486">
        <v>0.25</v>
      </c>
      <c r="O101" s="486">
        <v>0.25</v>
      </c>
      <c r="P101" s="486">
        <v>0.25</v>
      </c>
      <c r="Q101" s="486">
        <v>0.25</v>
      </c>
      <c r="R101" s="486">
        <v>0.25</v>
      </c>
      <c r="S101" s="486">
        <v>0.25</v>
      </c>
      <c r="T101" s="486">
        <v>0.25</v>
      </c>
      <c r="U101" s="486">
        <v>0.25</v>
      </c>
      <c r="V101" s="486">
        <v>0.25</v>
      </c>
      <c r="W101" s="486">
        <v>0.25</v>
      </c>
      <c r="X101" s="486">
        <v>0.25</v>
      </c>
      <c r="Y101" s="486">
        <v>0.25</v>
      </c>
      <c r="Z101" s="486">
        <v>0.25</v>
      </c>
      <c r="AA101" s="486">
        <v>0.25</v>
      </c>
      <c r="AB101" s="486">
        <v>0.25</v>
      </c>
      <c r="AC101" s="487">
        <v>0.25</v>
      </c>
      <c r="AD101" s="48"/>
      <c r="AE101" s="47"/>
      <c r="AF101" s="47"/>
      <c r="AG101" s="47"/>
      <c r="AH101" s="47"/>
      <c r="AI101" s="47"/>
      <c r="AJ101" s="47"/>
      <c r="AK101" s="47"/>
      <c r="AM101" s="59"/>
    </row>
    <row r="102" spans="1:39" ht="36" customHeight="1" thickBot="1" x14ac:dyDescent="0.3">
      <c r="A102" s="701"/>
      <c r="B102" s="704"/>
      <c r="C102" s="707"/>
      <c r="D102" s="710"/>
      <c r="E102" s="260" t="s">
        <v>388</v>
      </c>
      <c r="F102" s="488">
        <v>0.25</v>
      </c>
      <c r="G102" s="489">
        <v>0.25</v>
      </c>
      <c r="H102" s="489">
        <v>0.25</v>
      </c>
      <c r="I102" s="489">
        <v>0.25</v>
      </c>
      <c r="J102" s="489">
        <v>0.25</v>
      </c>
      <c r="K102" s="489">
        <v>0.25</v>
      </c>
      <c r="L102" s="489">
        <v>0.25</v>
      </c>
      <c r="M102" s="489">
        <v>0.25</v>
      </c>
      <c r="N102" s="489">
        <v>0.25</v>
      </c>
      <c r="O102" s="489">
        <v>0.25</v>
      </c>
      <c r="P102" s="489">
        <v>0.25</v>
      </c>
      <c r="Q102" s="489">
        <v>0.25</v>
      </c>
      <c r="R102" s="489">
        <v>0.25</v>
      </c>
      <c r="S102" s="489">
        <v>0.25</v>
      </c>
      <c r="T102" s="489">
        <v>0.25</v>
      </c>
      <c r="U102" s="489">
        <v>0.25</v>
      </c>
      <c r="V102" s="489">
        <v>0.25</v>
      </c>
      <c r="W102" s="489">
        <v>0.25</v>
      </c>
      <c r="X102" s="489">
        <v>0.25</v>
      </c>
      <c r="Y102" s="489">
        <v>0.25</v>
      </c>
      <c r="Z102" s="489">
        <v>0.25</v>
      </c>
      <c r="AA102" s="489">
        <v>0.25</v>
      </c>
      <c r="AB102" s="489">
        <v>0.25</v>
      </c>
      <c r="AC102" s="490">
        <v>0.25</v>
      </c>
      <c r="AD102" s="48"/>
      <c r="AE102" s="47"/>
      <c r="AF102" s="47"/>
      <c r="AG102" s="47"/>
      <c r="AH102" s="47"/>
      <c r="AI102" s="47"/>
      <c r="AJ102" s="47"/>
      <c r="AK102" s="47"/>
      <c r="AM102" s="59"/>
    </row>
    <row r="103" spans="1:39" ht="31.15" customHeight="1" x14ac:dyDescent="0.25">
      <c r="A103" s="713" t="s">
        <v>519</v>
      </c>
      <c r="B103" s="702" t="str">
        <f>B88</f>
        <v>Unoccupied</v>
      </c>
      <c r="C103" s="699" t="s">
        <v>528</v>
      </c>
      <c r="D103" s="708"/>
      <c r="E103" s="366" t="s">
        <v>386</v>
      </c>
      <c r="F103" s="271">
        <v>1</v>
      </c>
      <c r="G103" s="271">
        <v>1</v>
      </c>
      <c r="H103" s="271">
        <v>1</v>
      </c>
      <c r="I103" s="271">
        <v>1</v>
      </c>
      <c r="J103" s="271">
        <v>1</v>
      </c>
      <c r="K103" s="271">
        <v>1</v>
      </c>
      <c r="L103" s="271">
        <v>1</v>
      </c>
      <c r="M103" s="271">
        <v>1</v>
      </c>
      <c r="N103" s="271">
        <v>1</v>
      </c>
      <c r="O103" s="271">
        <v>1</v>
      </c>
      <c r="P103" s="271">
        <v>1</v>
      </c>
      <c r="Q103" s="271">
        <v>1</v>
      </c>
      <c r="R103" s="271">
        <v>1</v>
      </c>
      <c r="S103" s="271">
        <v>1</v>
      </c>
      <c r="T103" s="271">
        <v>1</v>
      </c>
      <c r="U103" s="271">
        <v>1</v>
      </c>
      <c r="V103" s="271">
        <v>1</v>
      </c>
      <c r="W103" s="271">
        <v>1</v>
      </c>
      <c r="X103" s="271">
        <v>1</v>
      </c>
      <c r="Y103" s="271">
        <v>1</v>
      </c>
      <c r="Z103" s="271">
        <v>1</v>
      </c>
      <c r="AA103" s="271">
        <v>1</v>
      </c>
      <c r="AB103" s="271">
        <v>1</v>
      </c>
      <c r="AC103" s="272">
        <v>1</v>
      </c>
    </row>
    <row r="104" spans="1:39" ht="30" customHeight="1" x14ac:dyDescent="0.25">
      <c r="A104" s="714"/>
      <c r="B104" s="703"/>
      <c r="C104" s="700"/>
      <c r="D104" s="709"/>
      <c r="E104" s="367" t="s">
        <v>387</v>
      </c>
      <c r="F104" s="273">
        <v>1</v>
      </c>
      <c r="G104" s="273">
        <v>1</v>
      </c>
      <c r="H104" s="273">
        <v>1</v>
      </c>
      <c r="I104" s="273">
        <v>1</v>
      </c>
      <c r="J104" s="273">
        <v>1</v>
      </c>
      <c r="K104" s="273">
        <v>1</v>
      </c>
      <c r="L104" s="273">
        <v>1</v>
      </c>
      <c r="M104" s="273">
        <v>1</v>
      </c>
      <c r="N104" s="273">
        <v>1</v>
      </c>
      <c r="O104" s="273">
        <v>1</v>
      </c>
      <c r="P104" s="273">
        <v>1</v>
      </c>
      <c r="Q104" s="273">
        <v>1</v>
      </c>
      <c r="R104" s="273">
        <v>1</v>
      </c>
      <c r="S104" s="273">
        <v>1</v>
      </c>
      <c r="T104" s="273">
        <v>1</v>
      </c>
      <c r="U104" s="273">
        <v>1</v>
      </c>
      <c r="V104" s="273">
        <v>1</v>
      </c>
      <c r="W104" s="273">
        <v>1</v>
      </c>
      <c r="X104" s="273">
        <v>1</v>
      </c>
      <c r="Y104" s="273">
        <v>1</v>
      </c>
      <c r="Z104" s="273">
        <v>1</v>
      </c>
      <c r="AA104" s="273">
        <v>1</v>
      </c>
      <c r="AB104" s="273">
        <v>1</v>
      </c>
      <c r="AC104" s="274">
        <v>1</v>
      </c>
    </row>
    <row r="105" spans="1:39" ht="33" customHeight="1" thickBot="1" x14ac:dyDescent="0.3">
      <c r="A105" s="715"/>
      <c r="B105" s="704"/>
      <c r="C105" s="701"/>
      <c r="D105" s="710"/>
      <c r="E105" s="368" t="s">
        <v>388</v>
      </c>
      <c r="F105" s="338">
        <v>1</v>
      </c>
      <c r="G105" s="338">
        <v>1</v>
      </c>
      <c r="H105" s="338">
        <v>1</v>
      </c>
      <c r="I105" s="338">
        <v>1</v>
      </c>
      <c r="J105" s="338">
        <v>1</v>
      </c>
      <c r="K105" s="338">
        <v>1</v>
      </c>
      <c r="L105" s="338">
        <v>1</v>
      </c>
      <c r="M105" s="338">
        <v>1</v>
      </c>
      <c r="N105" s="338">
        <v>1</v>
      </c>
      <c r="O105" s="338">
        <v>1</v>
      </c>
      <c r="P105" s="338">
        <v>1</v>
      </c>
      <c r="Q105" s="338">
        <v>1</v>
      </c>
      <c r="R105" s="338">
        <v>1</v>
      </c>
      <c r="S105" s="338">
        <v>1</v>
      </c>
      <c r="T105" s="338">
        <v>1</v>
      </c>
      <c r="U105" s="338">
        <v>1</v>
      </c>
      <c r="V105" s="338">
        <v>1</v>
      </c>
      <c r="W105" s="338">
        <v>1</v>
      </c>
      <c r="X105" s="338">
        <v>1</v>
      </c>
      <c r="Y105" s="338">
        <v>1</v>
      </c>
      <c r="Z105" s="338">
        <v>1</v>
      </c>
      <c r="AA105" s="338">
        <v>1</v>
      </c>
      <c r="AB105" s="338">
        <v>1</v>
      </c>
      <c r="AC105" s="339">
        <v>1</v>
      </c>
    </row>
    <row r="106" spans="1:39" ht="22.9" customHeight="1" x14ac:dyDescent="0.25">
      <c r="A106" s="713" t="s">
        <v>519</v>
      </c>
      <c r="B106" s="702" t="str">
        <f>B88</f>
        <v>Unoccupied</v>
      </c>
      <c r="C106" s="716" t="s">
        <v>529</v>
      </c>
      <c r="D106" s="719"/>
      <c r="E106" s="332" t="s">
        <v>386</v>
      </c>
      <c r="F106" s="560">
        <f>IF(F103=1,Thermostat!$B$11,Thermostat!$B$12)</f>
        <v>66</v>
      </c>
      <c r="G106" s="560">
        <f>IF(G103=1,Thermostat!$B$11,Thermostat!$B$12)</f>
        <v>66</v>
      </c>
      <c r="H106" s="560">
        <f>IF(H103=1,Thermostat!$B$11,Thermostat!$B$12)</f>
        <v>66</v>
      </c>
      <c r="I106" s="560">
        <f>IF(I103=1,Thermostat!$B$11,Thermostat!$B$12)</f>
        <v>66</v>
      </c>
      <c r="J106" s="560">
        <f>IF(J103=1,Thermostat!$B$11,Thermostat!$B$12)</f>
        <v>66</v>
      </c>
      <c r="K106" s="560">
        <f>IF(K103=1,Thermostat!$B$11,Thermostat!$B$12)</f>
        <v>66</v>
      </c>
      <c r="L106" s="560">
        <f>IF(L103=1,Thermostat!$B$11,Thermostat!$B$12)</f>
        <v>66</v>
      </c>
      <c r="M106" s="560">
        <f>IF(M103=1,Thermostat!$B$11,Thermostat!$B$12)</f>
        <v>66</v>
      </c>
      <c r="N106" s="560">
        <f>IF(N103=1,Thermostat!$B$11,Thermostat!$B$12)</f>
        <v>66</v>
      </c>
      <c r="O106" s="560">
        <f>IF(O103=1,Thermostat!$B$11,Thermostat!$B$12)</f>
        <v>66</v>
      </c>
      <c r="P106" s="560">
        <f>IF(P103=1,Thermostat!$B$11,Thermostat!$B$12)</f>
        <v>66</v>
      </c>
      <c r="Q106" s="560">
        <f>IF(Q103=1,Thermostat!$B$11,Thermostat!$B$12)</f>
        <v>66</v>
      </c>
      <c r="R106" s="560">
        <f>IF(R103=1,Thermostat!$B$11,Thermostat!$B$12)</f>
        <v>66</v>
      </c>
      <c r="S106" s="560">
        <f>IF(S103=1,Thermostat!$B$11,Thermostat!$B$12)</f>
        <v>66</v>
      </c>
      <c r="T106" s="560">
        <f>IF(T103=1,Thermostat!$B$11,Thermostat!$B$12)</f>
        <v>66</v>
      </c>
      <c r="U106" s="560">
        <f>IF(U103=1,Thermostat!$B$11,Thermostat!$B$12)</f>
        <v>66</v>
      </c>
      <c r="V106" s="560">
        <f>IF(V103=1,Thermostat!$B$11,Thermostat!$B$12)</f>
        <v>66</v>
      </c>
      <c r="W106" s="560">
        <f>IF(W103=1,Thermostat!$B$11,Thermostat!$B$12)</f>
        <v>66</v>
      </c>
      <c r="X106" s="560">
        <f>IF(X103=1,Thermostat!$B$11,Thermostat!$B$12)</f>
        <v>66</v>
      </c>
      <c r="Y106" s="560">
        <f>IF(Y103=1,Thermostat!$B$11,Thermostat!$B$12)</f>
        <v>66</v>
      </c>
      <c r="Z106" s="560">
        <f>IF(Z103=1,Thermostat!$B$11,Thermostat!$B$12)</f>
        <v>66</v>
      </c>
      <c r="AA106" s="560">
        <f>IF(AA103=1,Thermostat!$B$11,Thermostat!$B$12)</f>
        <v>66</v>
      </c>
      <c r="AB106" s="560">
        <f>IF(AB103=1,Thermostat!$B$11,Thermostat!$B$12)</f>
        <v>66</v>
      </c>
      <c r="AC106" s="333">
        <f>IF(AC103=1,Thermostat!$B$11,Thermostat!$B$12)</f>
        <v>66</v>
      </c>
    </row>
    <row r="107" spans="1:39" ht="22.9" customHeight="1" x14ac:dyDescent="0.25">
      <c r="A107" s="714"/>
      <c r="B107" s="703"/>
      <c r="C107" s="717"/>
      <c r="D107" s="720"/>
      <c r="E107" s="334" t="s">
        <v>387</v>
      </c>
      <c r="F107" s="561">
        <f>IF(F104=1,Thermostat!$B$11,Thermostat!$B$12)</f>
        <v>66</v>
      </c>
      <c r="G107" s="561">
        <f>IF(G104=1,Thermostat!$B$11,Thermostat!$B$12)</f>
        <v>66</v>
      </c>
      <c r="H107" s="561">
        <f>IF(H104=1,Thermostat!$B$11,Thermostat!$B$12)</f>
        <v>66</v>
      </c>
      <c r="I107" s="561">
        <f>IF(I104=1,Thermostat!$B$11,Thermostat!$B$12)</f>
        <v>66</v>
      </c>
      <c r="J107" s="561">
        <f>IF(J104=1,Thermostat!$B$11,Thermostat!$B$12)</f>
        <v>66</v>
      </c>
      <c r="K107" s="561">
        <f>IF(K104=1,Thermostat!$B$11,Thermostat!$B$12)</f>
        <v>66</v>
      </c>
      <c r="L107" s="561">
        <f>IF(L104=1,Thermostat!$B$11,Thermostat!$B$12)</f>
        <v>66</v>
      </c>
      <c r="M107" s="561">
        <f>IF(M104=1,Thermostat!$B$11,Thermostat!$B$12)</f>
        <v>66</v>
      </c>
      <c r="N107" s="561">
        <f>IF(N104=1,Thermostat!$B$11,Thermostat!$B$12)</f>
        <v>66</v>
      </c>
      <c r="O107" s="561">
        <f>IF(O104=1,Thermostat!$B$11,Thermostat!$B$12)</f>
        <v>66</v>
      </c>
      <c r="P107" s="561">
        <f>IF(P104=1,Thermostat!$B$11,Thermostat!$B$12)</f>
        <v>66</v>
      </c>
      <c r="Q107" s="561">
        <f>IF(Q104=1,Thermostat!$B$11,Thermostat!$B$12)</f>
        <v>66</v>
      </c>
      <c r="R107" s="561">
        <f>IF(R104=1,Thermostat!$B$11,Thermostat!$B$12)</f>
        <v>66</v>
      </c>
      <c r="S107" s="561">
        <f>IF(S104=1,Thermostat!$B$11,Thermostat!$B$12)</f>
        <v>66</v>
      </c>
      <c r="T107" s="561">
        <f>IF(T104=1,Thermostat!$B$11,Thermostat!$B$12)</f>
        <v>66</v>
      </c>
      <c r="U107" s="561">
        <f>IF(U104=1,Thermostat!$B$11,Thermostat!$B$12)</f>
        <v>66</v>
      </c>
      <c r="V107" s="561">
        <f>IF(V104=1,Thermostat!$B$11,Thermostat!$B$12)</f>
        <v>66</v>
      </c>
      <c r="W107" s="561">
        <f>IF(W104=1,Thermostat!$B$11,Thermostat!$B$12)</f>
        <v>66</v>
      </c>
      <c r="X107" s="561">
        <f>IF(X104=1,Thermostat!$B$11,Thermostat!$B$12)</f>
        <v>66</v>
      </c>
      <c r="Y107" s="561">
        <f>IF(Y104=1,Thermostat!$B$11,Thermostat!$B$12)</f>
        <v>66</v>
      </c>
      <c r="Z107" s="561">
        <f>IF(Z104=1,Thermostat!$B$11,Thermostat!$B$12)</f>
        <v>66</v>
      </c>
      <c r="AA107" s="561">
        <f>IF(AA104=1,Thermostat!$B$11,Thermostat!$B$12)</f>
        <v>66</v>
      </c>
      <c r="AB107" s="561">
        <f>IF(AB104=1,Thermostat!$B$11,Thermostat!$B$12)</f>
        <v>66</v>
      </c>
      <c r="AC107" s="335">
        <f>IF(AC104=1,Thermostat!$B$11,Thermostat!$B$12)</f>
        <v>66</v>
      </c>
    </row>
    <row r="108" spans="1:39" ht="22.9" customHeight="1" thickBot="1" x14ac:dyDescent="0.3">
      <c r="A108" s="715"/>
      <c r="B108" s="704"/>
      <c r="C108" s="718"/>
      <c r="D108" s="721"/>
      <c r="E108" s="336" t="s">
        <v>388</v>
      </c>
      <c r="F108" s="562">
        <f>IF(F105=1,Thermostat!$B$11,Thermostat!$B$12)</f>
        <v>66</v>
      </c>
      <c r="G108" s="562">
        <f>IF(G105=1,Thermostat!$B$11,Thermostat!$B$12)</f>
        <v>66</v>
      </c>
      <c r="H108" s="562">
        <f>IF(H105=1,Thermostat!$B$11,Thermostat!$B$12)</f>
        <v>66</v>
      </c>
      <c r="I108" s="562">
        <f>IF(I105=1,Thermostat!$B$11,Thermostat!$B$12)</f>
        <v>66</v>
      </c>
      <c r="J108" s="562">
        <f>IF(J105=1,Thermostat!$B$11,Thermostat!$B$12)</f>
        <v>66</v>
      </c>
      <c r="K108" s="562">
        <f>IF(K105=1,Thermostat!$B$11,Thermostat!$B$12)</f>
        <v>66</v>
      </c>
      <c r="L108" s="562">
        <f>IF(L105=1,Thermostat!$B$11,Thermostat!$B$12)</f>
        <v>66</v>
      </c>
      <c r="M108" s="562">
        <f>IF(M105=1,Thermostat!$B$11,Thermostat!$B$12)</f>
        <v>66</v>
      </c>
      <c r="N108" s="562">
        <f>IF(N105=1,Thermostat!$B$11,Thermostat!$B$12)</f>
        <v>66</v>
      </c>
      <c r="O108" s="562">
        <f>IF(O105=1,Thermostat!$B$11,Thermostat!$B$12)</f>
        <v>66</v>
      </c>
      <c r="P108" s="562">
        <f>IF(P105=1,Thermostat!$B$11,Thermostat!$B$12)</f>
        <v>66</v>
      </c>
      <c r="Q108" s="562">
        <f>IF(Q105=1,Thermostat!$B$11,Thermostat!$B$12)</f>
        <v>66</v>
      </c>
      <c r="R108" s="562">
        <f>IF(R105=1,Thermostat!$B$11,Thermostat!$B$12)</f>
        <v>66</v>
      </c>
      <c r="S108" s="562">
        <f>IF(S105=1,Thermostat!$B$11,Thermostat!$B$12)</f>
        <v>66</v>
      </c>
      <c r="T108" s="562">
        <f>IF(T105=1,Thermostat!$B$11,Thermostat!$B$12)</f>
        <v>66</v>
      </c>
      <c r="U108" s="562">
        <f>IF(U105=1,Thermostat!$B$11,Thermostat!$B$12)</f>
        <v>66</v>
      </c>
      <c r="V108" s="562">
        <f>IF(V105=1,Thermostat!$B$11,Thermostat!$B$12)</f>
        <v>66</v>
      </c>
      <c r="W108" s="562">
        <f>IF(W105=1,Thermostat!$B$11,Thermostat!$B$12)</f>
        <v>66</v>
      </c>
      <c r="X108" s="562">
        <f>IF(X105=1,Thermostat!$B$11,Thermostat!$B$12)</f>
        <v>66</v>
      </c>
      <c r="Y108" s="562">
        <f>IF(Y105=1,Thermostat!$B$11,Thermostat!$B$12)</f>
        <v>66</v>
      </c>
      <c r="Z108" s="562">
        <f>IF(Z105=1,Thermostat!$B$11,Thermostat!$B$12)</f>
        <v>66</v>
      </c>
      <c r="AA108" s="562">
        <f>IF(AA105=1,Thermostat!$B$11,Thermostat!$B$12)</f>
        <v>66</v>
      </c>
      <c r="AB108" s="562">
        <f>IF(AB105=1,Thermostat!$B$11,Thermostat!$B$12)</f>
        <v>66</v>
      </c>
      <c r="AC108" s="337">
        <f>IF(AC105=1,Thermostat!$B$11,Thermostat!$B$12)</f>
        <v>66</v>
      </c>
    </row>
    <row r="109" spans="1:39" ht="22.9" customHeight="1" x14ac:dyDescent="0.25">
      <c r="A109" s="713" t="s">
        <v>519</v>
      </c>
      <c r="B109" s="702" t="str">
        <f>B88</f>
        <v>Unoccupied</v>
      </c>
      <c r="C109" s="716" t="s">
        <v>530</v>
      </c>
      <c r="D109" s="719"/>
      <c r="E109" s="332" t="s">
        <v>386</v>
      </c>
      <c r="F109" s="560">
        <f>IF(F103=1,Thermostat!$B$13,Thermostat!$B$14)</f>
        <v>79</v>
      </c>
      <c r="G109" s="560">
        <f>IF(G103=1,Thermostat!$B$13,Thermostat!$B$14)</f>
        <v>79</v>
      </c>
      <c r="H109" s="560">
        <f>IF(H103=1,Thermostat!$B$13,Thermostat!$B$14)</f>
        <v>79</v>
      </c>
      <c r="I109" s="560">
        <f>IF(I103=1,Thermostat!$B$13,Thermostat!$B$14)</f>
        <v>79</v>
      </c>
      <c r="J109" s="560">
        <f>IF(J103=1,Thermostat!$B$13,Thermostat!$B$14)</f>
        <v>79</v>
      </c>
      <c r="K109" s="560">
        <f>IF(K103=1,Thermostat!$B$13,Thermostat!$B$14)</f>
        <v>79</v>
      </c>
      <c r="L109" s="560">
        <f>IF(L103=1,Thermostat!$B$13,Thermostat!$B$14)</f>
        <v>79</v>
      </c>
      <c r="M109" s="560">
        <f>IF(M103=1,Thermostat!$B$13,Thermostat!$B$14)</f>
        <v>79</v>
      </c>
      <c r="N109" s="560">
        <f>IF(N103=1,Thermostat!$B$13,Thermostat!$B$14)</f>
        <v>79</v>
      </c>
      <c r="O109" s="560">
        <f>IF(O103=1,Thermostat!$B$13,Thermostat!$B$14)</f>
        <v>79</v>
      </c>
      <c r="P109" s="560">
        <f>IF(P103=1,Thermostat!$B$13,Thermostat!$B$14)</f>
        <v>79</v>
      </c>
      <c r="Q109" s="560">
        <f>IF(Q103=1,Thermostat!$B$13,Thermostat!$B$14)</f>
        <v>79</v>
      </c>
      <c r="R109" s="560">
        <f>IF(R103=1,Thermostat!$B$13,Thermostat!$B$14)</f>
        <v>79</v>
      </c>
      <c r="S109" s="560">
        <f>IF(S103=1,Thermostat!$B$13,Thermostat!$B$14)</f>
        <v>79</v>
      </c>
      <c r="T109" s="560">
        <f>IF(T103=1,Thermostat!$B$13,Thermostat!$B$14)</f>
        <v>79</v>
      </c>
      <c r="U109" s="560">
        <f>IF(U103=1,Thermostat!$B$13,Thermostat!$B$14)</f>
        <v>79</v>
      </c>
      <c r="V109" s="560">
        <f>IF(V103=1,Thermostat!$B$13,Thermostat!$B$14)</f>
        <v>79</v>
      </c>
      <c r="W109" s="560">
        <f>IF(W103=1,Thermostat!$B$13,Thermostat!$B$14)</f>
        <v>79</v>
      </c>
      <c r="X109" s="560">
        <f>IF(X103=1,Thermostat!$B$13,Thermostat!$B$14)</f>
        <v>79</v>
      </c>
      <c r="Y109" s="560">
        <f>IF(Y103=1,Thermostat!$B$13,Thermostat!$B$14)</f>
        <v>79</v>
      </c>
      <c r="Z109" s="560">
        <f>IF(Z103=1,Thermostat!$B$13,Thermostat!$B$14)</f>
        <v>79</v>
      </c>
      <c r="AA109" s="560">
        <f>IF(AA103=1,Thermostat!$B$13,Thermostat!$B$14)</f>
        <v>79</v>
      </c>
      <c r="AB109" s="560">
        <f>IF(AB103=1,Thermostat!$B$13,Thermostat!$B$14)</f>
        <v>79</v>
      </c>
      <c r="AC109" s="333">
        <f>IF(AC103=1,Thermostat!$B$13,Thermostat!$B$14)</f>
        <v>79</v>
      </c>
    </row>
    <row r="110" spans="1:39" ht="22.9" customHeight="1" x14ac:dyDescent="0.25">
      <c r="A110" s="714"/>
      <c r="B110" s="703"/>
      <c r="C110" s="717"/>
      <c r="D110" s="720"/>
      <c r="E110" s="334" t="s">
        <v>387</v>
      </c>
      <c r="F110" s="561">
        <f>IF(F104=1,Thermostat!$B$13,Thermostat!$B$14)</f>
        <v>79</v>
      </c>
      <c r="G110" s="561">
        <f>IF(G104=1,Thermostat!$B$13,Thermostat!$B$14)</f>
        <v>79</v>
      </c>
      <c r="H110" s="561">
        <f>IF(H104=1,Thermostat!$B$13,Thermostat!$B$14)</f>
        <v>79</v>
      </c>
      <c r="I110" s="561">
        <f>IF(I104=1,Thermostat!$B$13,Thermostat!$B$14)</f>
        <v>79</v>
      </c>
      <c r="J110" s="561">
        <f>IF(J104=1,Thermostat!$B$13,Thermostat!$B$14)</f>
        <v>79</v>
      </c>
      <c r="K110" s="561">
        <f>IF(K104=1,Thermostat!$B$13,Thermostat!$B$14)</f>
        <v>79</v>
      </c>
      <c r="L110" s="561">
        <f>IF(L104=1,Thermostat!$B$13,Thermostat!$B$14)</f>
        <v>79</v>
      </c>
      <c r="M110" s="561">
        <f>IF(M104=1,Thermostat!$B$13,Thermostat!$B$14)</f>
        <v>79</v>
      </c>
      <c r="N110" s="561">
        <f>IF(N104=1,Thermostat!$B$13,Thermostat!$B$14)</f>
        <v>79</v>
      </c>
      <c r="O110" s="561">
        <f>IF(O104=1,Thermostat!$B$13,Thermostat!$B$14)</f>
        <v>79</v>
      </c>
      <c r="P110" s="561">
        <f>IF(P104=1,Thermostat!$B$13,Thermostat!$B$14)</f>
        <v>79</v>
      </c>
      <c r="Q110" s="561">
        <f>IF(Q104=1,Thermostat!$B$13,Thermostat!$B$14)</f>
        <v>79</v>
      </c>
      <c r="R110" s="561">
        <f>IF(R104=1,Thermostat!$B$13,Thermostat!$B$14)</f>
        <v>79</v>
      </c>
      <c r="S110" s="561">
        <f>IF(S104=1,Thermostat!$B$13,Thermostat!$B$14)</f>
        <v>79</v>
      </c>
      <c r="T110" s="561">
        <f>IF(T104=1,Thermostat!$B$13,Thermostat!$B$14)</f>
        <v>79</v>
      </c>
      <c r="U110" s="561">
        <f>IF(U104=1,Thermostat!$B$13,Thermostat!$B$14)</f>
        <v>79</v>
      </c>
      <c r="V110" s="561">
        <f>IF(V104=1,Thermostat!$B$13,Thermostat!$B$14)</f>
        <v>79</v>
      </c>
      <c r="W110" s="561">
        <f>IF(W104=1,Thermostat!$B$13,Thermostat!$B$14)</f>
        <v>79</v>
      </c>
      <c r="X110" s="561">
        <f>IF(X104=1,Thermostat!$B$13,Thermostat!$B$14)</f>
        <v>79</v>
      </c>
      <c r="Y110" s="561">
        <f>IF(Y104=1,Thermostat!$B$13,Thermostat!$B$14)</f>
        <v>79</v>
      </c>
      <c r="Z110" s="561">
        <f>IF(Z104=1,Thermostat!$B$13,Thermostat!$B$14)</f>
        <v>79</v>
      </c>
      <c r="AA110" s="561">
        <f>IF(AA104=1,Thermostat!$B$13,Thermostat!$B$14)</f>
        <v>79</v>
      </c>
      <c r="AB110" s="561">
        <f>IF(AB104=1,Thermostat!$B$13,Thermostat!$B$14)</f>
        <v>79</v>
      </c>
      <c r="AC110" s="335">
        <f>IF(AC104=1,Thermostat!$B$13,Thermostat!$B$14)</f>
        <v>79</v>
      </c>
    </row>
    <row r="111" spans="1:39" ht="22.9" customHeight="1" thickBot="1" x14ac:dyDescent="0.3">
      <c r="A111" s="715"/>
      <c r="B111" s="704"/>
      <c r="C111" s="718"/>
      <c r="D111" s="721"/>
      <c r="E111" s="336" t="s">
        <v>388</v>
      </c>
      <c r="F111" s="562">
        <f>IF(F105=1,Thermostat!$B$13,Thermostat!$B$14)</f>
        <v>79</v>
      </c>
      <c r="G111" s="562">
        <f>IF(G105=1,Thermostat!$B$13,Thermostat!$B$14)</f>
        <v>79</v>
      </c>
      <c r="H111" s="562">
        <f>IF(H105=1,Thermostat!$B$13,Thermostat!$B$14)</f>
        <v>79</v>
      </c>
      <c r="I111" s="562">
        <f>IF(I105=1,Thermostat!$B$13,Thermostat!$B$14)</f>
        <v>79</v>
      </c>
      <c r="J111" s="562">
        <f>IF(J105=1,Thermostat!$B$13,Thermostat!$B$14)</f>
        <v>79</v>
      </c>
      <c r="K111" s="562">
        <f>IF(K105=1,Thermostat!$B$13,Thermostat!$B$14)</f>
        <v>79</v>
      </c>
      <c r="L111" s="562">
        <f>IF(L105=1,Thermostat!$B$13,Thermostat!$B$14)</f>
        <v>79</v>
      </c>
      <c r="M111" s="562">
        <f>IF(M105=1,Thermostat!$B$13,Thermostat!$B$14)</f>
        <v>79</v>
      </c>
      <c r="N111" s="562">
        <f>IF(N105=1,Thermostat!$B$13,Thermostat!$B$14)</f>
        <v>79</v>
      </c>
      <c r="O111" s="562">
        <f>IF(O105=1,Thermostat!$B$13,Thermostat!$B$14)</f>
        <v>79</v>
      </c>
      <c r="P111" s="562">
        <f>IF(P105=1,Thermostat!$B$13,Thermostat!$B$14)</f>
        <v>79</v>
      </c>
      <c r="Q111" s="562">
        <f>IF(Q105=1,Thermostat!$B$13,Thermostat!$B$14)</f>
        <v>79</v>
      </c>
      <c r="R111" s="562">
        <f>IF(R105=1,Thermostat!$B$13,Thermostat!$B$14)</f>
        <v>79</v>
      </c>
      <c r="S111" s="562">
        <f>IF(S105=1,Thermostat!$B$13,Thermostat!$B$14)</f>
        <v>79</v>
      </c>
      <c r="T111" s="562">
        <f>IF(T105=1,Thermostat!$B$13,Thermostat!$B$14)</f>
        <v>79</v>
      </c>
      <c r="U111" s="562">
        <f>IF(U105=1,Thermostat!$B$13,Thermostat!$B$14)</f>
        <v>79</v>
      </c>
      <c r="V111" s="562">
        <f>IF(V105=1,Thermostat!$B$13,Thermostat!$B$14)</f>
        <v>79</v>
      </c>
      <c r="W111" s="562">
        <f>IF(W105=1,Thermostat!$B$13,Thermostat!$B$14)</f>
        <v>79</v>
      </c>
      <c r="X111" s="562">
        <f>IF(X105=1,Thermostat!$B$13,Thermostat!$B$14)</f>
        <v>79</v>
      </c>
      <c r="Y111" s="562">
        <f>IF(Y105=1,Thermostat!$B$13,Thermostat!$B$14)</f>
        <v>79</v>
      </c>
      <c r="Z111" s="562">
        <f>IF(Z105=1,Thermostat!$B$13,Thermostat!$B$14)</f>
        <v>79</v>
      </c>
      <c r="AA111" s="562">
        <f>IF(AA105=1,Thermostat!$B$13,Thermostat!$B$14)</f>
        <v>79</v>
      </c>
      <c r="AB111" s="562">
        <f>IF(AB105=1,Thermostat!$B$13,Thermostat!$B$14)</f>
        <v>79</v>
      </c>
      <c r="AC111" s="337">
        <f>IF(AC105=1,Thermostat!$B$13,Thermostat!$B$14)</f>
        <v>79</v>
      </c>
    </row>
    <row r="112" spans="1:39" ht="22.9" customHeight="1" thickBot="1" x14ac:dyDescent="0.3">
      <c r="A112" s="711" t="s">
        <v>93</v>
      </c>
      <c r="B112" s="711"/>
      <c r="C112" s="711"/>
      <c r="D112" s="711"/>
      <c r="E112" s="711"/>
      <c r="F112" s="711"/>
      <c r="G112" s="711"/>
      <c r="H112" s="711"/>
      <c r="I112" s="711"/>
      <c r="J112" s="711"/>
      <c r="K112" s="711"/>
      <c r="L112" s="711"/>
      <c r="M112" s="711"/>
      <c r="N112" s="711"/>
      <c r="O112" s="711"/>
      <c r="P112" s="711"/>
      <c r="Q112" s="711"/>
      <c r="R112" s="711"/>
      <c r="S112" s="711"/>
      <c r="T112" s="711"/>
      <c r="U112" s="711"/>
      <c r="V112" s="711"/>
      <c r="W112" s="711"/>
      <c r="X112" s="711"/>
      <c r="Y112" s="711"/>
      <c r="Z112" s="711"/>
      <c r="AA112" s="711"/>
      <c r="AB112" s="711"/>
      <c r="AC112" s="712"/>
    </row>
    <row r="113" spans="1:39" ht="39.6" customHeight="1" x14ac:dyDescent="0.25">
      <c r="A113" s="794" t="s">
        <v>93</v>
      </c>
      <c r="B113" s="769" t="s">
        <v>93</v>
      </c>
      <c r="C113" s="793" t="s">
        <v>520</v>
      </c>
      <c r="D113" s="766" t="s">
        <v>539</v>
      </c>
      <c r="E113" s="332" t="s">
        <v>386</v>
      </c>
      <c r="F113" s="370">
        <v>0</v>
      </c>
      <c r="G113" s="370">
        <v>0</v>
      </c>
      <c r="H113" s="370">
        <v>0</v>
      </c>
      <c r="I113" s="370">
        <v>0</v>
      </c>
      <c r="J113" s="370">
        <v>0</v>
      </c>
      <c r="K113" s="370">
        <v>0</v>
      </c>
      <c r="L113" s="370">
        <v>0.1</v>
      </c>
      <c r="M113" s="370">
        <v>0.2</v>
      </c>
      <c r="N113" s="370">
        <v>0.95</v>
      </c>
      <c r="O113" s="370">
        <v>0.95</v>
      </c>
      <c r="P113" s="370">
        <v>0.95</v>
      </c>
      <c r="Q113" s="370">
        <v>0.95</v>
      </c>
      <c r="R113" s="370">
        <v>0.5</v>
      </c>
      <c r="S113" s="370">
        <v>0.95</v>
      </c>
      <c r="T113" s="370">
        <v>0.95</v>
      </c>
      <c r="U113" s="370">
        <v>0.95</v>
      </c>
      <c r="V113" s="370">
        <v>0.95</v>
      </c>
      <c r="W113" s="370">
        <v>0.3</v>
      </c>
      <c r="X113" s="370">
        <v>0.1</v>
      </c>
      <c r="Y113" s="370">
        <v>0.1</v>
      </c>
      <c r="Z113" s="370">
        <v>0.1</v>
      </c>
      <c r="AA113" s="370">
        <v>0.1</v>
      </c>
      <c r="AB113" s="370">
        <v>0.05</v>
      </c>
      <c r="AC113" s="371">
        <v>0.05</v>
      </c>
      <c r="AD113" s="372"/>
      <c r="AE113" s="372"/>
      <c r="AF113" s="372"/>
      <c r="AG113" s="372"/>
      <c r="AH113" s="372"/>
      <c r="AI113" s="372"/>
      <c r="AJ113" s="372"/>
      <c r="AK113" s="372"/>
    </row>
    <row r="114" spans="1:39" ht="39.6" customHeight="1" x14ac:dyDescent="0.25">
      <c r="A114" s="795"/>
      <c r="B114" s="770"/>
      <c r="C114" s="773"/>
      <c r="D114" s="767"/>
      <c r="E114" s="334" t="s">
        <v>387</v>
      </c>
      <c r="F114" s="373">
        <v>0</v>
      </c>
      <c r="G114" s="373">
        <v>0</v>
      </c>
      <c r="H114" s="373">
        <v>0</v>
      </c>
      <c r="I114" s="373">
        <v>0</v>
      </c>
      <c r="J114" s="373">
        <v>0</v>
      </c>
      <c r="K114" s="373">
        <v>0</v>
      </c>
      <c r="L114" s="374">
        <v>0.05</v>
      </c>
      <c r="M114" s="374">
        <v>0.05</v>
      </c>
      <c r="N114" s="374">
        <v>0.05</v>
      </c>
      <c r="O114" s="374">
        <v>0.05</v>
      </c>
      <c r="P114" s="374">
        <v>0.05</v>
      </c>
      <c r="Q114" s="374">
        <v>0.05</v>
      </c>
      <c r="R114" s="374">
        <v>0.05</v>
      </c>
      <c r="S114" s="374">
        <v>0.05</v>
      </c>
      <c r="T114" s="374">
        <v>0.05</v>
      </c>
      <c r="U114" s="374">
        <v>0.05</v>
      </c>
      <c r="V114" s="374">
        <v>0.05</v>
      </c>
      <c r="W114" s="374">
        <v>0.05</v>
      </c>
      <c r="X114" s="375">
        <v>0</v>
      </c>
      <c r="Y114" s="373">
        <v>0</v>
      </c>
      <c r="Z114" s="373">
        <v>0</v>
      </c>
      <c r="AA114" s="373">
        <v>0</v>
      </c>
      <c r="AB114" s="373">
        <v>0</v>
      </c>
      <c r="AC114" s="376">
        <v>0</v>
      </c>
      <c r="AD114" s="372"/>
      <c r="AE114" s="372"/>
      <c r="AF114" s="372"/>
      <c r="AG114" s="372"/>
      <c r="AH114" s="372"/>
      <c r="AI114" s="372"/>
      <c r="AJ114" s="372"/>
      <c r="AK114" s="372"/>
    </row>
    <row r="115" spans="1:39" ht="39.6" customHeight="1" thickBot="1" x14ac:dyDescent="0.3">
      <c r="A115" s="796"/>
      <c r="B115" s="771"/>
      <c r="C115" s="774"/>
      <c r="D115" s="768"/>
      <c r="E115" s="365" t="s">
        <v>388</v>
      </c>
      <c r="F115" s="377">
        <v>0</v>
      </c>
      <c r="G115" s="377">
        <v>0</v>
      </c>
      <c r="H115" s="377">
        <v>0</v>
      </c>
      <c r="I115" s="377">
        <v>0</v>
      </c>
      <c r="J115" s="377">
        <v>0</v>
      </c>
      <c r="K115" s="377">
        <v>0</v>
      </c>
      <c r="L115" s="377">
        <v>0.05</v>
      </c>
      <c r="M115" s="377">
        <v>0.05</v>
      </c>
      <c r="N115" s="377">
        <v>0.05</v>
      </c>
      <c r="O115" s="377">
        <v>0.05</v>
      </c>
      <c r="P115" s="377">
        <v>0.05</v>
      </c>
      <c r="Q115" s="377">
        <v>0.05</v>
      </c>
      <c r="R115" s="377">
        <v>0.05</v>
      </c>
      <c r="S115" s="377">
        <v>0.05</v>
      </c>
      <c r="T115" s="377">
        <v>0.05</v>
      </c>
      <c r="U115" s="377">
        <v>0.05</v>
      </c>
      <c r="V115" s="377">
        <v>0.05</v>
      </c>
      <c r="W115" s="377">
        <v>0.05</v>
      </c>
      <c r="X115" s="377">
        <v>0</v>
      </c>
      <c r="Y115" s="377">
        <v>0</v>
      </c>
      <c r="Z115" s="377">
        <v>0</v>
      </c>
      <c r="AA115" s="377">
        <v>0</v>
      </c>
      <c r="AB115" s="377">
        <v>0</v>
      </c>
      <c r="AC115" s="378">
        <v>0</v>
      </c>
      <c r="AD115" s="372"/>
      <c r="AE115" s="372"/>
      <c r="AF115" s="372"/>
      <c r="AG115" s="372"/>
      <c r="AH115" s="372"/>
      <c r="AI115" s="372"/>
      <c r="AJ115" s="372"/>
      <c r="AK115" s="372"/>
    </row>
    <row r="116" spans="1:39" s="369" customFormat="1" ht="39.6" customHeight="1" x14ac:dyDescent="0.25">
      <c r="A116" s="794" t="s">
        <v>93</v>
      </c>
      <c r="B116" s="769" t="s">
        <v>93</v>
      </c>
      <c r="C116" s="772" t="s">
        <v>522</v>
      </c>
      <c r="D116" s="766" t="s">
        <v>540</v>
      </c>
      <c r="E116" s="379" t="s">
        <v>386</v>
      </c>
      <c r="F116" s="370">
        <v>0.05</v>
      </c>
      <c r="G116" s="370">
        <v>0.05</v>
      </c>
      <c r="H116" s="370">
        <v>0.05</v>
      </c>
      <c r="I116" s="370">
        <v>0.05</v>
      </c>
      <c r="J116" s="370">
        <v>0.05</v>
      </c>
      <c r="K116" s="529">
        <v>0.1</v>
      </c>
      <c r="L116" s="529">
        <v>0.1</v>
      </c>
      <c r="M116" s="529">
        <v>0.3</v>
      </c>
      <c r="N116" s="529">
        <v>0.65</v>
      </c>
      <c r="O116" s="529">
        <v>0.65</v>
      </c>
      <c r="P116" s="529">
        <v>0.65</v>
      </c>
      <c r="Q116" s="529">
        <v>0.65</v>
      </c>
      <c r="R116" s="529">
        <v>0.65</v>
      </c>
      <c r="S116" s="529">
        <v>0.65</v>
      </c>
      <c r="T116" s="529">
        <v>0.65</v>
      </c>
      <c r="U116" s="529">
        <v>0.65</v>
      </c>
      <c r="V116" s="529">
        <v>0.65</v>
      </c>
      <c r="W116" s="529">
        <v>0.35</v>
      </c>
      <c r="X116" s="529">
        <v>0.3</v>
      </c>
      <c r="Y116" s="529">
        <v>0.3</v>
      </c>
      <c r="Z116" s="370">
        <v>0.2</v>
      </c>
      <c r="AA116" s="370">
        <v>0.2</v>
      </c>
      <c r="AB116" s="370">
        <v>0.1</v>
      </c>
      <c r="AC116" s="371">
        <v>0.05</v>
      </c>
      <c r="AD116" s="380"/>
      <c r="AE116" s="380"/>
      <c r="AF116" s="380"/>
      <c r="AG116" s="380"/>
      <c r="AH116" s="380"/>
      <c r="AI116" s="380"/>
      <c r="AJ116" s="380"/>
      <c r="AK116" s="380"/>
    </row>
    <row r="117" spans="1:39" ht="39.6" customHeight="1" x14ac:dyDescent="0.25">
      <c r="A117" s="795"/>
      <c r="B117" s="770"/>
      <c r="C117" s="773"/>
      <c r="D117" s="767"/>
      <c r="E117" s="341" t="s">
        <v>387</v>
      </c>
      <c r="F117" s="373">
        <v>0.05</v>
      </c>
      <c r="G117" s="373">
        <v>0.05</v>
      </c>
      <c r="H117" s="373">
        <v>0.05</v>
      </c>
      <c r="I117" s="373">
        <v>0.05</v>
      </c>
      <c r="J117" s="373">
        <v>0.05</v>
      </c>
      <c r="K117" s="375">
        <v>0.05</v>
      </c>
      <c r="L117" s="375">
        <v>0.05</v>
      </c>
      <c r="M117" s="375">
        <v>0.05</v>
      </c>
      <c r="N117" s="375">
        <v>0.05</v>
      </c>
      <c r="O117" s="375">
        <v>0.05</v>
      </c>
      <c r="P117" s="375">
        <v>0.05</v>
      </c>
      <c r="Q117" s="375">
        <v>0.05</v>
      </c>
      <c r="R117" s="375">
        <v>0.05</v>
      </c>
      <c r="S117" s="375">
        <v>0.05</v>
      </c>
      <c r="T117" s="375">
        <v>0.05</v>
      </c>
      <c r="U117" s="375">
        <v>0.05</v>
      </c>
      <c r="V117" s="375">
        <v>0.05</v>
      </c>
      <c r="W117" s="373">
        <v>0.05</v>
      </c>
      <c r="X117" s="373">
        <v>0.05</v>
      </c>
      <c r="Y117" s="373">
        <v>0.05</v>
      </c>
      <c r="Z117" s="373">
        <v>0.05</v>
      </c>
      <c r="AA117" s="373">
        <v>0.05</v>
      </c>
      <c r="AB117" s="373">
        <v>0.05</v>
      </c>
      <c r="AC117" s="376">
        <v>0.05</v>
      </c>
      <c r="AD117" s="372"/>
      <c r="AE117" s="372"/>
      <c r="AF117" s="372"/>
      <c r="AG117" s="372"/>
      <c r="AH117" s="372"/>
      <c r="AI117" s="372"/>
      <c r="AJ117" s="372"/>
      <c r="AK117" s="372"/>
    </row>
    <row r="118" spans="1:39" ht="39.6" customHeight="1" thickBot="1" x14ac:dyDescent="0.3">
      <c r="A118" s="796"/>
      <c r="B118" s="771"/>
      <c r="C118" s="774"/>
      <c r="D118" s="775"/>
      <c r="E118" s="344" t="s">
        <v>388</v>
      </c>
      <c r="F118" s="381">
        <v>0.05</v>
      </c>
      <c r="G118" s="381">
        <v>0.05</v>
      </c>
      <c r="H118" s="381">
        <v>0.05</v>
      </c>
      <c r="I118" s="381">
        <v>0.05</v>
      </c>
      <c r="J118" s="381">
        <v>0.05</v>
      </c>
      <c r="K118" s="381">
        <v>0.05</v>
      </c>
      <c r="L118" s="381">
        <v>0.05</v>
      </c>
      <c r="M118" s="381">
        <v>0.05</v>
      </c>
      <c r="N118" s="381">
        <v>0.05</v>
      </c>
      <c r="O118" s="381">
        <v>0.05</v>
      </c>
      <c r="P118" s="381">
        <v>0.05</v>
      </c>
      <c r="Q118" s="381">
        <v>0.05</v>
      </c>
      <c r="R118" s="381">
        <v>0.05</v>
      </c>
      <c r="S118" s="381">
        <v>0.05</v>
      </c>
      <c r="T118" s="381">
        <v>0.05</v>
      </c>
      <c r="U118" s="381">
        <v>0.05</v>
      </c>
      <c r="V118" s="381">
        <v>0.05</v>
      </c>
      <c r="W118" s="381">
        <v>0.05</v>
      </c>
      <c r="X118" s="381">
        <v>0.05</v>
      </c>
      <c r="Y118" s="381">
        <v>0.05</v>
      </c>
      <c r="Z118" s="381">
        <v>0.05</v>
      </c>
      <c r="AA118" s="381">
        <v>0.05</v>
      </c>
      <c r="AB118" s="381">
        <v>0.05</v>
      </c>
      <c r="AC118" s="382">
        <v>0.05</v>
      </c>
      <c r="AD118" s="372"/>
      <c r="AE118" s="372"/>
      <c r="AF118" s="372"/>
      <c r="AG118" s="372"/>
      <c r="AH118" s="372"/>
      <c r="AI118" s="372"/>
      <c r="AJ118" s="372"/>
      <c r="AK118" s="372"/>
    </row>
    <row r="119" spans="1:39" ht="39.6" customHeight="1" x14ac:dyDescent="0.25">
      <c r="A119" s="784" t="s">
        <v>93</v>
      </c>
      <c r="B119" s="769" t="s">
        <v>93</v>
      </c>
      <c r="C119" s="797" t="s">
        <v>523</v>
      </c>
      <c r="D119" s="781" t="s">
        <v>541</v>
      </c>
      <c r="E119" s="379" t="s">
        <v>386</v>
      </c>
      <c r="F119" s="383">
        <v>0.45</v>
      </c>
      <c r="G119" s="383">
        <v>0.45</v>
      </c>
      <c r="H119" s="383">
        <v>0.45</v>
      </c>
      <c r="I119" s="383">
        <v>0.45</v>
      </c>
      <c r="J119" s="383">
        <v>0.45</v>
      </c>
      <c r="K119" s="383">
        <v>0.45</v>
      </c>
      <c r="L119" s="383">
        <v>0.45</v>
      </c>
      <c r="M119" s="383">
        <v>0.74</v>
      </c>
      <c r="N119" s="383">
        <v>0.87</v>
      </c>
      <c r="O119" s="383">
        <v>0.9</v>
      </c>
      <c r="P119" s="383">
        <v>0.9</v>
      </c>
      <c r="Q119" s="383">
        <v>0.9</v>
      </c>
      <c r="R119" s="383">
        <v>0.9</v>
      </c>
      <c r="S119" s="383">
        <v>0.9</v>
      </c>
      <c r="T119" s="383">
        <v>0.9</v>
      </c>
      <c r="U119" s="383">
        <v>0.9</v>
      </c>
      <c r="V119" s="383">
        <v>0.9</v>
      </c>
      <c r="W119" s="383">
        <v>0.7</v>
      </c>
      <c r="X119" s="383">
        <v>0.5</v>
      </c>
      <c r="Y119" s="383">
        <v>0.5</v>
      </c>
      <c r="Z119" s="383">
        <v>0.5</v>
      </c>
      <c r="AA119" s="383">
        <v>0.45</v>
      </c>
      <c r="AB119" s="383">
        <v>0.45</v>
      </c>
      <c r="AC119" s="384">
        <v>0.45</v>
      </c>
      <c r="AD119" s="372"/>
      <c r="AE119" s="372"/>
      <c r="AF119" s="372"/>
      <c r="AG119" s="372"/>
      <c r="AH119" s="372"/>
      <c r="AI119" s="372"/>
      <c r="AJ119" s="372"/>
      <c r="AK119" s="372"/>
    </row>
    <row r="120" spans="1:39" ht="39.6" customHeight="1" x14ac:dyDescent="0.25">
      <c r="A120" s="785"/>
      <c r="B120" s="770"/>
      <c r="C120" s="778"/>
      <c r="D120" s="782"/>
      <c r="E120" s="341" t="s">
        <v>387</v>
      </c>
      <c r="F120" s="385">
        <v>0.43</v>
      </c>
      <c r="G120" s="385">
        <v>0.43</v>
      </c>
      <c r="H120" s="385">
        <v>0.43</v>
      </c>
      <c r="I120" s="385">
        <v>0.43</v>
      </c>
      <c r="J120" s="385">
        <v>0.43</v>
      </c>
      <c r="K120" s="385">
        <v>0.43</v>
      </c>
      <c r="L120" s="385">
        <v>0.43</v>
      </c>
      <c r="M120" s="385">
        <v>0.43</v>
      </c>
      <c r="N120" s="385">
        <v>0.43</v>
      </c>
      <c r="O120" s="385">
        <v>0.43</v>
      </c>
      <c r="P120" s="385">
        <v>0.43</v>
      </c>
      <c r="Q120" s="385">
        <v>0.43</v>
      </c>
      <c r="R120" s="385">
        <v>0.43</v>
      </c>
      <c r="S120" s="385">
        <v>0.43</v>
      </c>
      <c r="T120" s="385">
        <v>0.43</v>
      </c>
      <c r="U120" s="385">
        <v>0.43</v>
      </c>
      <c r="V120" s="385">
        <v>0.43</v>
      </c>
      <c r="W120" s="385">
        <v>0.43</v>
      </c>
      <c r="X120" s="385">
        <v>0.43</v>
      </c>
      <c r="Y120" s="385">
        <v>0.43</v>
      </c>
      <c r="Z120" s="385">
        <v>0.43</v>
      </c>
      <c r="AA120" s="385">
        <v>0.43</v>
      </c>
      <c r="AB120" s="385">
        <v>0.43</v>
      </c>
      <c r="AC120" s="386">
        <v>0.43</v>
      </c>
      <c r="AD120" s="372"/>
      <c r="AE120" s="372"/>
      <c r="AF120" s="372"/>
      <c r="AG120" s="372"/>
      <c r="AH120" s="372"/>
      <c r="AI120" s="372"/>
      <c r="AJ120" s="372"/>
      <c r="AK120" s="372"/>
    </row>
    <row r="121" spans="1:39" ht="39.6" customHeight="1" thickBot="1" x14ac:dyDescent="0.3">
      <c r="A121" s="786"/>
      <c r="B121" s="776"/>
      <c r="C121" s="779"/>
      <c r="D121" s="783"/>
      <c r="E121" s="387" t="s">
        <v>388</v>
      </c>
      <c r="F121" s="388">
        <v>0.43</v>
      </c>
      <c r="G121" s="388">
        <v>0.43</v>
      </c>
      <c r="H121" s="388">
        <v>0.43</v>
      </c>
      <c r="I121" s="388">
        <v>0.43</v>
      </c>
      <c r="J121" s="388">
        <v>0.43</v>
      </c>
      <c r="K121" s="388">
        <v>0.43</v>
      </c>
      <c r="L121" s="388">
        <v>0.43</v>
      </c>
      <c r="M121" s="388">
        <v>0.43</v>
      </c>
      <c r="N121" s="388">
        <v>0.43</v>
      </c>
      <c r="O121" s="388">
        <v>0.43</v>
      </c>
      <c r="P121" s="388">
        <v>0.43</v>
      </c>
      <c r="Q121" s="388">
        <v>0.43</v>
      </c>
      <c r="R121" s="388">
        <v>0.43</v>
      </c>
      <c r="S121" s="388">
        <v>0.43</v>
      </c>
      <c r="T121" s="388">
        <v>0.43</v>
      </c>
      <c r="U121" s="388">
        <v>0.43</v>
      </c>
      <c r="V121" s="388">
        <v>0.43</v>
      </c>
      <c r="W121" s="388">
        <v>0.43</v>
      </c>
      <c r="X121" s="388">
        <v>0.43</v>
      </c>
      <c r="Y121" s="388">
        <v>0.43</v>
      </c>
      <c r="Z121" s="388">
        <v>0.43</v>
      </c>
      <c r="AA121" s="388">
        <v>0.43</v>
      </c>
      <c r="AB121" s="388">
        <v>0.43</v>
      </c>
      <c r="AC121" s="389">
        <v>0.43</v>
      </c>
      <c r="AD121" s="372"/>
      <c r="AE121" s="372"/>
      <c r="AF121" s="372"/>
      <c r="AG121" s="372"/>
      <c r="AH121" s="372"/>
      <c r="AI121" s="372"/>
      <c r="AJ121" s="372"/>
      <c r="AK121" s="372"/>
    </row>
    <row r="122" spans="1:39" ht="39.6" customHeight="1" x14ac:dyDescent="0.25">
      <c r="A122" s="784" t="s">
        <v>93</v>
      </c>
      <c r="B122" s="769" t="s">
        <v>93</v>
      </c>
      <c r="C122" s="777" t="s">
        <v>528</v>
      </c>
      <c r="D122" s="766" t="s">
        <v>542</v>
      </c>
      <c r="E122" s="340" t="s">
        <v>386</v>
      </c>
      <c r="F122" s="390">
        <v>0</v>
      </c>
      <c r="G122" s="390">
        <v>0</v>
      </c>
      <c r="H122" s="390">
        <v>0</v>
      </c>
      <c r="I122" s="390">
        <v>0</v>
      </c>
      <c r="J122" s="390">
        <v>0</v>
      </c>
      <c r="K122" s="390">
        <v>1</v>
      </c>
      <c r="L122" s="390">
        <v>1</v>
      </c>
      <c r="M122" s="390">
        <v>1</v>
      </c>
      <c r="N122" s="390">
        <v>1</v>
      </c>
      <c r="O122" s="390">
        <v>1</v>
      </c>
      <c r="P122" s="390">
        <v>1</v>
      </c>
      <c r="Q122" s="390">
        <v>1</v>
      </c>
      <c r="R122" s="390">
        <v>1</v>
      </c>
      <c r="S122" s="390">
        <v>1</v>
      </c>
      <c r="T122" s="390">
        <v>1</v>
      </c>
      <c r="U122" s="390">
        <v>1</v>
      </c>
      <c r="V122" s="390">
        <v>1</v>
      </c>
      <c r="W122" s="390">
        <v>1</v>
      </c>
      <c r="X122" s="390">
        <v>1</v>
      </c>
      <c r="Y122" s="390">
        <v>1</v>
      </c>
      <c r="Z122" s="390">
        <v>1</v>
      </c>
      <c r="AA122" s="390">
        <v>1</v>
      </c>
      <c r="AB122" s="390">
        <v>1</v>
      </c>
      <c r="AC122" s="391">
        <v>1</v>
      </c>
      <c r="AD122" s="372"/>
      <c r="AE122" s="372"/>
      <c r="AF122" s="372"/>
      <c r="AG122" s="372"/>
      <c r="AH122" s="372"/>
      <c r="AI122" s="372"/>
      <c r="AJ122" s="372"/>
      <c r="AK122" s="372"/>
    </row>
    <row r="123" spans="1:39" ht="39.6" customHeight="1" x14ac:dyDescent="0.25">
      <c r="A123" s="785"/>
      <c r="B123" s="770"/>
      <c r="C123" s="778"/>
      <c r="D123" s="767"/>
      <c r="E123" s="341" t="s">
        <v>387</v>
      </c>
      <c r="F123" s="373">
        <v>0</v>
      </c>
      <c r="G123" s="373">
        <v>0</v>
      </c>
      <c r="H123" s="373">
        <v>0</v>
      </c>
      <c r="I123" s="373">
        <v>0</v>
      </c>
      <c r="J123" s="373">
        <v>0</v>
      </c>
      <c r="K123" s="375">
        <v>0</v>
      </c>
      <c r="L123" s="375">
        <v>0</v>
      </c>
      <c r="M123" s="375">
        <v>0</v>
      </c>
      <c r="N123" s="375">
        <v>0</v>
      </c>
      <c r="O123" s="375">
        <v>0</v>
      </c>
      <c r="P123" s="375">
        <v>0</v>
      </c>
      <c r="Q123" s="375">
        <v>0</v>
      </c>
      <c r="R123" s="375">
        <v>0</v>
      </c>
      <c r="S123" s="375">
        <v>0</v>
      </c>
      <c r="T123" s="375">
        <v>0</v>
      </c>
      <c r="U123" s="375">
        <v>0</v>
      </c>
      <c r="V123" s="375">
        <v>0</v>
      </c>
      <c r="W123" s="375">
        <v>0</v>
      </c>
      <c r="X123" s="375">
        <v>0</v>
      </c>
      <c r="Y123" s="373">
        <v>0</v>
      </c>
      <c r="Z123" s="373">
        <v>0</v>
      </c>
      <c r="AA123" s="373">
        <v>0</v>
      </c>
      <c r="AB123" s="373">
        <v>0</v>
      </c>
      <c r="AC123" s="376">
        <v>0</v>
      </c>
      <c r="AD123" s="372"/>
      <c r="AE123" s="372"/>
      <c r="AF123" s="372"/>
      <c r="AG123" s="372"/>
      <c r="AH123" s="372"/>
      <c r="AI123" s="372"/>
      <c r="AJ123" s="372"/>
      <c r="AK123" s="372"/>
    </row>
    <row r="124" spans="1:39" ht="39.6" customHeight="1" thickBot="1" x14ac:dyDescent="0.3">
      <c r="A124" s="786"/>
      <c r="B124" s="776"/>
      <c r="C124" s="779"/>
      <c r="D124" s="768"/>
      <c r="E124" s="387" t="s">
        <v>388</v>
      </c>
      <c r="F124" s="381">
        <v>0</v>
      </c>
      <c r="G124" s="381">
        <v>0</v>
      </c>
      <c r="H124" s="381">
        <v>0</v>
      </c>
      <c r="I124" s="381">
        <v>0</v>
      </c>
      <c r="J124" s="381">
        <v>0</v>
      </c>
      <c r="K124" s="381">
        <v>0</v>
      </c>
      <c r="L124" s="381">
        <v>0</v>
      </c>
      <c r="M124" s="381">
        <v>0</v>
      </c>
      <c r="N124" s="381">
        <v>0</v>
      </c>
      <c r="O124" s="381">
        <v>0</v>
      </c>
      <c r="P124" s="381">
        <v>0</v>
      </c>
      <c r="Q124" s="381">
        <v>0</v>
      </c>
      <c r="R124" s="381">
        <v>0</v>
      </c>
      <c r="S124" s="381">
        <v>0</v>
      </c>
      <c r="T124" s="381">
        <v>0</v>
      </c>
      <c r="U124" s="381">
        <v>0</v>
      </c>
      <c r="V124" s="381">
        <v>0</v>
      </c>
      <c r="W124" s="381">
        <v>0</v>
      </c>
      <c r="X124" s="381">
        <v>0</v>
      </c>
      <c r="Y124" s="381">
        <v>0</v>
      </c>
      <c r="Z124" s="381">
        <v>0</v>
      </c>
      <c r="AA124" s="381">
        <v>0</v>
      </c>
      <c r="AB124" s="381">
        <v>0</v>
      </c>
      <c r="AC124" s="382">
        <v>0</v>
      </c>
      <c r="AD124" s="372"/>
      <c r="AE124" s="372"/>
      <c r="AF124" s="372"/>
      <c r="AG124" s="372"/>
      <c r="AH124" s="372"/>
      <c r="AI124" s="372"/>
      <c r="AJ124" s="372"/>
      <c r="AK124" s="372"/>
    </row>
    <row r="125" spans="1:39" ht="39.6" customHeight="1" x14ac:dyDescent="0.25">
      <c r="A125" s="784" t="s">
        <v>93</v>
      </c>
      <c r="B125" s="769" t="s">
        <v>93</v>
      </c>
      <c r="C125" s="777" t="s">
        <v>524</v>
      </c>
      <c r="D125" s="708" t="s">
        <v>540</v>
      </c>
      <c r="E125" s="340" t="s">
        <v>386</v>
      </c>
      <c r="F125" s="392">
        <v>0.05</v>
      </c>
      <c r="G125" s="392">
        <v>0.05</v>
      </c>
      <c r="H125" s="392">
        <v>0.05</v>
      </c>
      <c r="I125" s="392">
        <v>0.05</v>
      </c>
      <c r="J125" s="392">
        <v>0.05</v>
      </c>
      <c r="K125" s="392">
        <v>0.08</v>
      </c>
      <c r="L125" s="392">
        <v>7.0000000000000007E-2</v>
      </c>
      <c r="M125" s="392">
        <v>0.19</v>
      </c>
      <c r="N125" s="392">
        <v>0.35</v>
      </c>
      <c r="O125" s="392">
        <v>0.38</v>
      </c>
      <c r="P125" s="392">
        <v>0.39</v>
      </c>
      <c r="Q125" s="392">
        <v>0.47</v>
      </c>
      <c r="R125" s="392">
        <v>0.56999999999999995</v>
      </c>
      <c r="S125" s="392">
        <v>0.54</v>
      </c>
      <c r="T125" s="392">
        <v>0.34</v>
      </c>
      <c r="U125" s="392">
        <v>0.33</v>
      </c>
      <c r="V125" s="392">
        <v>0.44</v>
      </c>
      <c r="W125" s="392">
        <v>0.26</v>
      </c>
      <c r="X125" s="392">
        <v>0.21</v>
      </c>
      <c r="Y125" s="392">
        <v>0.15</v>
      </c>
      <c r="Z125" s="392">
        <v>0.17</v>
      </c>
      <c r="AA125" s="392">
        <v>0.08</v>
      </c>
      <c r="AB125" s="392">
        <v>0.05</v>
      </c>
      <c r="AC125" s="393">
        <v>0.05</v>
      </c>
      <c r="AD125" s="372"/>
      <c r="AE125" s="372"/>
      <c r="AF125" s="372"/>
      <c r="AG125" s="372"/>
      <c r="AH125" s="372"/>
      <c r="AI125" s="372"/>
      <c r="AJ125" s="372"/>
      <c r="AK125" s="372"/>
    </row>
    <row r="126" spans="1:39" ht="39.6" customHeight="1" x14ac:dyDescent="0.25">
      <c r="A126" s="785"/>
      <c r="B126" s="770"/>
      <c r="C126" s="778"/>
      <c r="D126" s="709"/>
      <c r="E126" s="341" t="s">
        <v>387</v>
      </c>
      <c r="F126" s="394">
        <v>0.05</v>
      </c>
      <c r="G126" s="394">
        <v>0.05</v>
      </c>
      <c r="H126" s="394">
        <v>0.05</v>
      </c>
      <c r="I126" s="394">
        <v>0.05</v>
      </c>
      <c r="J126" s="394">
        <v>0.05</v>
      </c>
      <c r="K126" s="394">
        <v>0.08</v>
      </c>
      <c r="L126" s="394">
        <v>7.0000000000000007E-2</v>
      </c>
      <c r="M126" s="394">
        <v>0.11</v>
      </c>
      <c r="N126" s="394">
        <v>0.15</v>
      </c>
      <c r="O126" s="394">
        <v>0.21</v>
      </c>
      <c r="P126" s="394">
        <v>0.19</v>
      </c>
      <c r="Q126" s="394">
        <v>0.23</v>
      </c>
      <c r="R126" s="394">
        <v>0.2</v>
      </c>
      <c r="S126" s="394">
        <v>0.19</v>
      </c>
      <c r="T126" s="394">
        <v>0.15</v>
      </c>
      <c r="U126" s="394">
        <v>0.12</v>
      </c>
      <c r="V126" s="394">
        <v>0.14000000000000001</v>
      </c>
      <c r="W126" s="394">
        <v>7.0000000000000007E-2</v>
      </c>
      <c r="X126" s="394">
        <v>7.0000000000000007E-2</v>
      </c>
      <c r="Y126" s="394">
        <v>7.0000000000000007E-2</v>
      </c>
      <c r="Z126" s="394">
        <v>7.0000000000000007E-2</v>
      </c>
      <c r="AA126" s="394">
        <v>0.09</v>
      </c>
      <c r="AB126" s="394">
        <v>0.05</v>
      </c>
      <c r="AC126" s="395">
        <v>0.05</v>
      </c>
      <c r="AD126" s="372"/>
      <c r="AE126" s="372"/>
      <c r="AF126" s="372"/>
      <c r="AG126" s="372"/>
      <c r="AH126" s="372"/>
      <c r="AI126" s="372"/>
      <c r="AJ126" s="372"/>
      <c r="AK126" s="372"/>
    </row>
    <row r="127" spans="1:39" ht="39.6" customHeight="1" thickBot="1" x14ac:dyDescent="0.3">
      <c r="A127" s="786"/>
      <c r="B127" s="776"/>
      <c r="C127" s="779"/>
      <c r="D127" s="780"/>
      <c r="E127" s="387" t="s">
        <v>388</v>
      </c>
      <c r="F127" s="396">
        <v>0.04</v>
      </c>
      <c r="G127" s="396">
        <v>0.04</v>
      </c>
      <c r="H127" s="396">
        <v>0.04</v>
      </c>
      <c r="I127" s="396">
        <v>0.04</v>
      </c>
      <c r="J127" s="396">
        <v>0.04</v>
      </c>
      <c r="K127" s="396">
        <v>7.0000000000000007E-2</v>
      </c>
      <c r="L127" s="396">
        <v>0.04</v>
      </c>
      <c r="M127" s="396">
        <v>0.04</v>
      </c>
      <c r="N127" s="396">
        <v>0.04</v>
      </c>
      <c r="O127" s="396">
        <v>0.04</v>
      </c>
      <c r="P127" s="396">
        <v>0.04</v>
      </c>
      <c r="Q127" s="396">
        <v>0.06</v>
      </c>
      <c r="R127" s="396">
        <v>0.06</v>
      </c>
      <c r="S127" s="396">
        <v>0.09</v>
      </c>
      <c r="T127" s="396">
        <v>0.06</v>
      </c>
      <c r="U127" s="396">
        <v>0.04</v>
      </c>
      <c r="V127" s="396">
        <v>0.04</v>
      </c>
      <c r="W127" s="396">
        <v>0.04</v>
      </c>
      <c r="X127" s="396">
        <v>0.04</v>
      </c>
      <c r="Y127" s="396">
        <v>0.04</v>
      </c>
      <c r="Z127" s="396">
        <v>0.04</v>
      </c>
      <c r="AA127" s="396">
        <v>7.0000000000000007E-2</v>
      </c>
      <c r="AB127" s="396">
        <v>0.04</v>
      </c>
      <c r="AC127" s="397">
        <v>0.04</v>
      </c>
      <c r="AD127" s="372"/>
      <c r="AE127" s="372"/>
      <c r="AF127" s="372"/>
      <c r="AG127" s="372"/>
      <c r="AH127" s="372"/>
      <c r="AI127" s="372"/>
      <c r="AJ127" s="372"/>
      <c r="AK127" s="372"/>
    </row>
    <row r="128" spans="1:39" ht="36" customHeight="1" x14ac:dyDescent="0.25">
      <c r="A128" s="784" t="s">
        <v>93</v>
      </c>
      <c r="B128" s="769" t="s">
        <v>93</v>
      </c>
      <c r="C128" s="797" t="s">
        <v>241</v>
      </c>
      <c r="D128" s="708" t="s">
        <v>542</v>
      </c>
      <c r="E128" s="379" t="s">
        <v>386</v>
      </c>
      <c r="F128" s="390">
        <v>1</v>
      </c>
      <c r="G128" s="390">
        <v>1</v>
      </c>
      <c r="H128" s="390">
        <v>1</v>
      </c>
      <c r="I128" s="390">
        <v>1</v>
      </c>
      <c r="J128" s="390">
        <v>1</v>
      </c>
      <c r="K128" s="390">
        <v>0.25</v>
      </c>
      <c r="L128" s="390">
        <v>0.25</v>
      </c>
      <c r="M128" s="390">
        <v>0.25</v>
      </c>
      <c r="N128" s="390">
        <v>0.25</v>
      </c>
      <c r="O128" s="390">
        <v>0.25</v>
      </c>
      <c r="P128" s="390">
        <v>0.25</v>
      </c>
      <c r="Q128" s="390">
        <v>0.25</v>
      </c>
      <c r="R128" s="390">
        <v>0.25</v>
      </c>
      <c r="S128" s="390">
        <v>0.25</v>
      </c>
      <c r="T128" s="390">
        <v>0.25</v>
      </c>
      <c r="U128" s="390">
        <v>0.25</v>
      </c>
      <c r="V128" s="390">
        <v>0.25</v>
      </c>
      <c r="W128" s="390">
        <v>0.25</v>
      </c>
      <c r="X128" s="390">
        <v>0.25</v>
      </c>
      <c r="Y128" s="390">
        <v>0.25</v>
      </c>
      <c r="Z128" s="390">
        <v>0.25</v>
      </c>
      <c r="AA128" s="390">
        <v>0.25</v>
      </c>
      <c r="AB128" s="390">
        <v>0.25</v>
      </c>
      <c r="AC128" s="391">
        <v>0.25</v>
      </c>
      <c r="AD128" s="48"/>
      <c r="AE128" s="47"/>
      <c r="AF128" s="47"/>
      <c r="AG128" s="47"/>
      <c r="AH128" s="47"/>
      <c r="AI128" s="47"/>
      <c r="AJ128" s="47"/>
      <c r="AK128" s="47"/>
      <c r="AM128" s="59"/>
    </row>
    <row r="129" spans="1:39" ht="36" customHeight="1" x14ac:dyDescent="0.25">
      <c r="A129" s="785"/>
      <c r="B129" s="770"/>
      <c r="C129" s="778"/>
      <c r="D129" s="709"/>
      <c r="E129" s="341" t="s">
        <v>387</v>
      </c>
      <c r="F129" s="373">
        <v>1</v>
      </c>
      <c r="G129" s="373">
        <v>1</v>
      </c>
      <c r="H129" s="373">
        <v>1</v>
      </c>
      <c r="I129" s="373">
        <v>1</v>
      </c>
      <c r="J129" s="373">
        <v>1</v>
      </c>
      <c r="K129" s="375">
        <v>1</v>
      </c>
      <c r="L129" s="375">
        <v>1</v>
      </c>
      <c r="M129" s="375">
        <v>1</v>
      </c>
      <c r="N129" s="375">
        <v>1</v>
      </c>
      <c r="O129" s="375">
        <v>1</v>
      </c>
      <c r="P129" s="375">
        <v>1</v>
      </c>
      <c r="Q129" s="375">
        <v>1</v>
      </c>
      <c r="R129" s="375">
        <v>1</v>
      </c>
      <c r="S129" s="375">
        <v>1</v>
      </c>
      <c r="T129" s="375">
        <v>1</v>
      </c>
      <c r="U129" s="375">
        <v>1</v>
      </c>
      <c r="V129" s="375">
        <v>1</v>
      </c>
      <c r="W129" s="375">
        <v>1</v>
      </c>
      <c r="X129" s="375">
        <v>1</v>
      </c>
      <c r="Y129" s="373">
        <v>1</v>
      </c>
      <c r="Z129" s="373">
        <v>1</v>
      </c>
      <c r="AA129" s="373">
        <v>1</v>
      </c>
      <c r="AB129" s="373">
        <v>1</v>
      </c>
      <c r="AC129" s="376">
        <v>1</v>
      </c>
      <c r="AD129" s="48"/>
      <c r="AE129" s="47"/>
      <c r="AF129" s="47"/>
      <c r="AG129" s="47"/>
      <c r="AH129" s="47"/>
      <c r="AI129" s="47"/>
      <c r="AJ129" s="47"/>
      <c r="AK129" s="47"/>
      <c r="AM129" s="59"/>
    </row>
    <row r="130" spans="1:39" ht="36" customHeight="1" thickBot="1" x14ac:dyDescent="0.3">
      <c r="A130" s="786"/>
      <c r="B130" s="776"/>
      <c r="C130" s="798"/>
      <c r="D130" s="780"/>
      <c r="E130" s="344" t="s">
        <v>388</v>
      </c>
      <c r="F130" s="377">
        <v>1</v>
      </c>
      <c r="G130" s="377">
        <v>1</v>
      </c>
      <c r="H130" s="377">
        <v>1</v>
      </c>
      <c r="I130" s="377">
        <v>1</v>
      </c>
      <c r="J130" s="377">
        <v>1</v>
      </c>
      <c r="K130" s="377">
        <v>1</v>
      </c>
      <c r="L130" s="377">
        <v>1</v>
      </c>
      <c r="M130" s="377">
        <v>1</v>
      </c>
      <c r="N130" s="377">
        <v>1</v>
      </c>
      <c r="O130" s="377">
        <v>1</v>
      </c>
      <c r="P130" s="377">
        <v>1</v>
      </c>
      <c r="Q130" s="377">
        <v>1</v>
      </c>
      <c r="R130" s="377">
        <v>1</v>
      </c>
      <c r="S130" s="377">
        <v>1</v>
      </c>
      <c r="T130" s="377">
        <v>1</v>
      </c>
      <c r="U130" s="377">
        <v>1</v>
      </c>
      <c r="V130" s="377">
        <v>1</v>
      </c>
      <c r="W130" s="377">
        <v>1</v>
      </c>
      <c r="X130" s="377">
        <v>1</v>
      </c>
      <c r="Y130" s="377">
        <v>1</v>
      </c>
      <c r="Z130" s="377">
        <v>1</v>
      </c>
      <c r="AA130" s="377">
        <v>1</v>
      </c>
      <c r="AB130" s="377">
        <v>1</v>
      </c>
      <c r="AC130" s="378">
        <v>1</v>
      </c>
      <c r="AD130" s="48"/>
      <c r="AE130" s="47"/>
      <c r="AF130" s="47"/>
      <c r="AG130" s="47"/>
      <c r="AH130" s="47"/>
      <c r="AI130" s="47"/>
      <c r="AJ130" s="47"/>
      <c r="AK130" s="47"/>
      <c r="AM130" s="59"/>
    </row>
    <row r="131" spans="1:39" ht="36" customHeight="1" x14ac:dyDescent="0.25">
      <c r="A131" s="784" t="s">
        <v>93</v>
      </c>
      <c r="B131" s="769" t="s">
        <v>93</v>
      </c>
      <c r="C131" s="820" t="s">
        <v>529</v>
      </c>
      <c r="D131" s="823" t="s">
        <v>543</v>
      </c>
      <c r="E131" s="398" t="s">
        <v>386</v>
      </c>
      <c r="F131" s="348">
        <f>IF((F122=1),Thermostat!$B$3,Thermostat!$B$4)</f>
        <v>70</v>
      </c>
      <c r="G131" s="348">
        <f>IF((G122=1),Thermostat!$B$3,Thermostat!$B$4)</f>
        <v>70</v>
      </c>
      <c r="H131" s="348">
        <f>IF((H122=1),Thermostat!$B$3,Thermostat!$B$4)</f>
        <v>70</v>
      </c>
      <c r="I131" s="348">
        <f>IF((I122=1),Thermostat!$B$3,Thermostat!$B$4)</f>
        <v>70</v>
      </c>
      <c r="J131" s="348">
        <f>IF((J122=1),Thermostat!$B$3,Thermostat!$B$4)</f>
        <v>70</v>
      </c>
      <c r="K131" s="348">
        <f>IF((K122=1),Thermostat!$B$3,Thermostat!$B$4)</f>
        <v>70</v>
      </c>
      <c r="L131" s="348">
        <f>IF((L122=1),Thermostat!$B$3,Thermostat!$B$4)</f>
        <v>70</v>
      </c>
      <c r="M131" s="348">
        <f>IF((M122=1),Thermostat!$B$3,Thermostat!$B$4)</f>
        <v>70</v>
      </c>
      <c r="N131" s="348">
        <f>IF((N122=1),Thermostat!$B$3,Thermostat!$B$4)</f>
        <v>70</v>
      </c>
      <c r="O131" s="348">
        <f>IF((O122=1),Thermostat!$B$3,Thermostat!$B$4)</f>
        <v>70</v>
      </c>
      <c r="P131" s="348">
        <f>IF((P122=1),Thermostat!$B$3,Thermostat!$B$4)</f>
        <v>70</v>
      </c>
      <c r="Q131" s="348">
        <f>IF((Q122=1),Thermostat!$B$3,Thermostat!$B$4)</f>
        <v>70</v>
      </c>
      <c r="R131" s="348">
        <f>IF((R122=1),Thermostat!$B$3,Thermostat!$B$4)</f>
        <v>70</v>
      </c>
      <c r="S131" s="348">
        <f>IF((S122=1),Thermostat!$B$3,Thermostat!$B$4)</f>
        <v>70</v>
      </c>
      <c r="T131" s="348">
        <f>IF((T122=1),Thermostat!$B$3,Thermostat!$B$4)</f>
        <v>70</v>
      </c>
      <c r="U131" s="348">
        <f>IF((U122=1),Thermostat!$B$3,Thermostat!$B$4)</f>
        <v>70</v>
      </c>
      <c r="V131" s="348">
        <f>IF((V122=1),Thermostat!$B$3,Thermostat!$B$4)</f>
        <v>70</v>
      </c>
      <c r="W131" s="348">
        <f>IF((W122=1),Thermostat!$B$3,Thermostat!$B$4)</f>
        <v>70</v>
      </c>
      <c r="X131" s="348">
        <f>IF((X122=1),Thermostat!$B$3,Thermostat!$B$4)</f>
        <v>70</v>
      </c>
      <c r="Y131" s="348">
        <f>IF((Y122=1),Thermostat!$B$3,Thermostat!$B$4)</f>
        <v>70</v>
      </c>
      <c r="Z131" s="348">
        <f>IF((Z122=1),Thermostat!$B$3,Thermostat!$B$4)</f>
        <v>70</v>
      </c>
      <c r="AA131" s="348">
        <f>IF((AA122=1),Thermostat!$B$3,Thermostat!$B$4)</f>
        <v>70</v>
      </c>
      <c r="AB131" s="348">
        <f>IF((AB122=1),Thermostat!$B$3,Thermostat!$B$4)</f>
        <v>70</v>
      </c>
      <c r="AC131" s="349">
        <f>IF((AC122=1),Thermostat!$B$3,Thermostat!$B$4)</f>
        <v>70</v>
      </c>
      <c r="AD131" s="48"/>
      <c r="AE131" s="47"/>
      <c r="AF131" s="47"/>
      <c r="AG131" s="47"/>
      <c r="AH131" s="47"/>
      <c r="AI131" s="47"/>
      <c r="AJ131" s="47"/>
      <c r="AK131" s="47"/>
      <c r="AM131" s="59"/>
    </row>
    <row r="132" spans="1:39" ht="36" customHeight="1" x14ac:dyDescent="0.25">
      <c r="A132" s="785"/>
      <c r="B132" s="770"/>
      <c r="C132" s="821"/>
      <c r="D132" s="824"/>
      <c r="E132" s="399" t="s">
        <v>387</v>
      </c>
      <c r="F132" s="346">
        <f>IF((F123=1),Thermostat!$B$3,Thermostat!$B$4)</f>
        <v>70</v>
      </c>
      <c r="G132" s="346">
        <f>IF((G123=1),Thermostat!$B$3,Thermostat!$B$4)</f>
        <v>70</v>
      </c>
      <c r="H132" s="346">
        <f>IF((H123=1),Thermostat!$B$3,Thermostat!$B$4)</f>
        <v>70</v>
      </c>
      <c r="I132" s="346">
        <f>IF((I123=1),Thermostat!$B$3,Thermostat!$B$4)</f>
        <v>70</v>
      </c>
      <c r="J132" s="346">
        <f>IF((J123=1),Thermostat!$B$3,Thermostat!$B$4)</f>
        <v>70</v>
      </c>
      <c r="K132" s="346">
        <f>IF((K123=1),Thermostat!$B$3,Thermostat!$B$4)</f>
        <v>70</v>
      </c>
      <c r="L132" s="346">
        <f>IF((L123=1),Thermostat!$B$3,Thermostat!$B$4)</f>
        <v>70</v>
      </c>
      <c r="M132" s="346">
        <f>IF((M123=1),Thermostat!$B$3,Thermostat!$B$4)</f>
        <v>70</v>
      </c>
      <c r="N132" s="346">
        <f>IF((N123=1),Thermostat!$B$3,Thermostat!$B$4)</f>
        <v>70</v>
      </c>
      <c r="O132" s="346">
        <f>IF((O123=1),Thermostat!$B$3,Thermostat!$B$4)</f>
        <v>70</v>
      </c>
      <c r="P132" s="346">
        <f>IF((P123=1),Thermostat!$B$3,Thermostat!$B$4)</f>
        <v>70</v>
      </c>
      <c r="Q132" s="346">
        <f>IF((Q123=1),Thermostat!$B$3,Thermostat!$B$4)</f>
        <v>70</v>
      </c>
      <c r="R132" s="346">
        <f>IF((R123=1),Thermostat!$B$3,Thermostat!$B$4)</f>
        <v>70</v>
      </c>
      <c r="S132" s="346">
        <f>IF((S123=1),Thermostat!$B$3,Thermostat!$B$4)</f>
        <v>70</v>
      </c>
      <c r="T132" s="346">
        <f>IF((T123=1),Thermostat!$B$3,Thermostat!$B$4)</f>
        <v>70</v>
      </c>
      <c r="U132" s="346">
        <f>IF((U123=1),Thermostat!$B$3,Thermostat!$B$4)</f>
        <v>70</v>
      </c>
      <c r="V132" s="346">
        <f>IF((V123=1),Thermostat!$B$3,Thermostat!$B$4)</f>
        <v>70</v>
      </c>
      <c r="W132" s="346">
        <f>IF((W123=1),Thermostat!$B$3,Thermostat!$B$4)</f>
        <v>70</v>
      </c>
      <c r="X132" s="346">
        <f>IF((X123=1),Thermostat!$B$3,Thermostat!$B$4)</f>
        <v>70</v>
      </c>
      <c r="Y132" s="346">
        <f>IF((Y123=1),Thermostat!$B$3,Thermostat!$B$4)</f>
        <v>70</v>
      </c>
      <c r="Z132" s="346">
        <f>IF((Z123=1),Thermostat!$B$3,Thermostat!$B$4)</f>
        <v>70</v>
      </c>
      <c r="AA132" s="346">
        <f>IF((AA123=1),Thermostat!$B$3,Thermostat!$B$4)</f>
        <v>70</v>
      </c>
      <c r="AB132" s="346">
        <f>IF((AB123=1),Thermostat!$B$3,Thermostat!$B$4)</f>
        <v>70</v>
      </c>
      <c r="AC132" s="350">
        <f>IF((AC123=1),Thermostat!$B$3,Thermostat!$B$4)</f>
        <v>70</v>
      </c>
      <c r="AD132" s="48"/>
      <c r="AE132" s="47"/>
      <c r="AF132" s="47"/>
      <c r="AG132" s="47"/>
      <c r="AH132" s="47"/>
      <c r="AI132" s="47"/>
      <c r="AJ132" s="47"/>
      <c r="AK132" s="47"/>
      <c r="AM132" s="59"/>
    </row>
    <row r="133" spans="1:39" ht="36" customHeight="1" thickBot="1" x14ac:dyDescent="0.3">
      <c r="A133" s="819"/>
      <c r="B133" s="776"/>
      <c r="C133" s="822"/>
      <c r="D133" s="825"/>
      <c r="E133" s="400" t="s">
        <v>388</v>
      </c>
      <c r="F133" s="351">
        <f>IF((F124=1),Thermostat!$B$3,Thermostat!$B$4)</f>
        <v>70</v>
      </c>
      <c r="G133" s="351">
        <f>IF((G124=1),Thermostat!$B$3,Thermostat!$B$4)</f>
        <v>70</v>
      </c>
      <c r="H133" s="351">
        <f>IF((H124=1),Thermostat!$B$3,Thermostat!$B$4)</f>
        <v>70</v>
      </c>
      <c r="I133" s="351">
        <f>IF((I124=1),Thermostat!$B$3,Thermostat!$B$4)</f>
        <v>70</v>
      </c>
      <c r="J133" s="351">
        <f>IF((J124=1),Thermostat!$B$3,Thermostat!$B$4)</f>
        <v>70</v>
      </c>
      <c r="K133" s="351">
        <f>IF((K124=1),Thermostat!$B$3,Thermostat!$B$4)</f>
        <v>70</v>
      </c>
      <c r="L133" s="351">
        <f>IF((L124=1),Thermostat!$B$3,Thermostat!$B$4)</f>
        <v>70</v>
      </c>
      <c r="M133" s="351">
        <f>IF((M124=1),Thermostat!$B$3,Thermostat!$B$4)</f>
        <v>70</v>
      </c>
      <c r="N133" s="351">
        <f>IF((N124=1),Thermostat!$B$3,Thermostat!$B$4)</f>
        <v>70</v>
      </c>
      <c r="O133" s="351">
        <f>IF((O124=1),Thermostat!$B$3,Thermostat!$B$4)</f>
        <v>70</v>
      </c>
      <c r="P133" s="351">
        <f>IF((P124=1),Thermostat!$B$3,Thermostat!$B$4)</f>
        <v>70</v>
      </c>
      <c r="Q133" s="351">
        <f>IF((Q124=1),Thermostat!$B$3,Thermostat!$B$4)</f>
        <v>70</v>
      </c>
      <c r="R133" s="351">
        <f>IF((R124=1),Thermostat!$B$3,Thermostat!$B$4)</f>
        <v>70</v>
      </c>
      <c r="S133" s="351">
        <f>IF((S124=1),Thermostat!$B$3,Thermostat!$B$4)</f>
        <v>70</v>
      </c>
      <c r="T133" s="351">
        <f>IF((T124=1),Thermostat!$B$3,Thermostat!$B$4)</f>
        <v>70</v>
      </c>
      <c r="U133" s="351">
        <f>IF((U124=1),Thermostat!$B$3,Thermostat!$B$4)</f>
        <v>70</v>
      </c>
      <c r="V133" s="351">
        <f>IF((V124=1),Thermostat!$B$3,Thermostat!$B$4)</f>
        <v>70</v>
      </c>
      <c r="W133" s="351">
        <f>IF((W124=1),Thermostat!$B$3,Thermostat!$B$4)</f>
        <v>70</v>
      </c>
      <c r="X133" s="351">
        <f>IF((X124=1),Thermostat!$B$3,Thermostat!$B$4)</f>
        <v>70</v>
      </c>
      <c r="Y133" s="351">
        <f>IF((Y124=1),Thermostat!$B$3,Thermostat!$B$4)</f>
        <v>70</v>
      </c>
      <c r="Z133" s="351">
        <f>IF((Z124=1),Thermostat!$B$3,Thermostat!$B$4)</f>
        <v>70</v>
      </c>
      <c r="AA133" s="351">
        <f>IF((AA124=1),Thermostat!$B$3,Thermostat!$B$4)</f>
        <v>70</v>
      </c>
      <c r="AB133" s="351">
        <f>IF((AB124=1),Thermostat!$B$3,Thermostat!$B$4)</f>
        <v>70</v>
      </c>
      <c r="AC133" s="352">
        <f>IF((AC124=1),Thermostat!$B$3,Thermostat!$B$4)</f>
        <v>70</v>
      </c>
      <c r="AD133" s="48"/>
      <c r="AE133" s="47"/>
      <c r="AF133" s="47"/>
      <c r="AG133" s="47"/>
      <c r="AH133" s="47"/>
      <c r="AI133" s="47"/>
      <c r="AJ133" s="47"/>
      <c r="AK133" s="47"/>
      <c r="AM133" s="59"/>
    </row>
    <row r="134" spans="1:39" ht="36" customHeight="1" x14ac:dyDescent="0.25">
      <c r="A134" s="826" t="s">
        <v>93</v>
      </c>
      <c r="B134" s="769" t="s">
        <v>93</v>
      </c>
      <c r="C134" s="827" t="s">
        <v>530</v>
      </c>
      <c r="D134" s="828" t="s">
        <v>543</v>
      </c>
      <c r="E134" s="401" t="s">
        <v>386</v>
      </c>
      <c r="F134" s="347">
        <f>IF((F122=1),Thermostat!$B$5,Thermostat!$B$6)</f>
        <v>75</v>
      </c>
      <c r="G134" s="347">
        <f>IF((G122=1),Thermostat!$B$5,Thermostat!$B$6)</f>
        <v>75</v>
      </c>
      <c r="H134" s="347">
        <f>IF((H122=1),Thermostat!$B$5,Thermostat!$B$6)</f>
        <v>75</v>
      </c>
      <c r="I134" s="347">
        <f>IF((I122=1),Thermostat!$B$5,Thermostat!$B$6)</f>
        <v>75</v>
      </c>
      <c r="J134" s="347">
        <f>IF((J122=1),Thermostat!$B$5,Thermostat!$B$6)</f>
        <v>75</v>
      </c>
      <c r="K134" s="347">
        <f>IF((K122=1),Thermostat!$B$5,Thermostat!$B$6)</f>
        <v>75</v>
      </c>
      <c r="L134" s="347">
        <f>IF((L122=1),Thermostat!$B$5,Thermostat!$B$6)</f>
        <v>75</v>
      </c>
      <c r="M134" s="347">
        <f>IF((M122=1),Thermostat!$B$5,Thermostat!$B$6)</f>
        <v>75</v>
      </c>
      <c r="N134" s="347">
        <f>IF((N122=1),Thermostat!$B$5,Thermostat!$B$6)</f>
        <v>75</v>
      </c>
      <c r="O134" s="347">
        <f>IF((O122=1),Thermostat!$B$5,Thermostat!$B$6)</f>
        <v>75</v>
      </c>
      <c r="P134" s="347">
        <f>IF((P122=1),Thermostat!$B$5,Thermostat!$B$6)</f>
        <v>75</v>
      </c>
      <c r="Q134" s="347">
        <f>IF((Q122=1),Thermostat!$B$5,Thermostat!$B$6)</f>
        <v>75</v>
      </c>
      <c r="R134" s="347">
        <f>IF((R122=1),Thermostat!$B$5,Thermostat!$B$6)</f>
        <v>75</v>
      </c>
      <c r="S134" s="347">
        <f>IF((S122=1),Thermostat!$B$5,Thermostat!$B$6)</f>
        <v>75</v>
      </c>
      <c r="T134" s="347">
        <f>IF((T122=1),Thermostat!$B$5,Thermostat!$B$6)</f>
        <v>75</v>
      </c>
      <c r="U134" s="347">
        <f>IF((U122=1),Thermostat!$B$5,Thermostat!$B$6)</f>
        <v>75</v>
      </c>
      <c r="V134" s="347">
        <f>IF((V122=1),Thermostat!$B$5,Thermostat!$B$6)</f>
        <v>75</v>
      </c>
      <c r="W134" s="347">
        <f>IF((W122=1),Thermostat!$B$5,Thermostat!$B$6)</f>
        <v>75</v>
      </c>
      <c r="X134" s="347">
        <f>IF((X122=1),Thermostat!$B$5,Thermostat!$B$6)</f>
        <v>75</v>
      </c>
      <c r="Y134" s="347">
        <f>IF((Y122=1),Thermostat!$B$5,Thermostat!$B$6)</f>
        <v>75</v>
      </c>
      <c r="Z134" s="347">
        <f>IF((Z122=1),Thermostat!$B$5,Thermostat!$B$6)</f>
        <v>75</v>
      </c>
      <c r="AA134" s="347">
        <f>IF((AA122=1),Thermostat!$B$5,Thermostat!$B$6)</f>
        <v>75</v>
      </c>
      <c r="AB134" s="347">
        <f>IF((AB122=1),Thermostat!$B$5,Thermostat!$B$6)</f>
        <v>75</v>
      </c>
      <c r="AC134" s="362">
        <f>IF((AC122=1),Thermostat!$B$5,Thermostat!$B$6)</f>
        <v>75</v>
      </c>
      <c r="AD134" s="48"/>
      <c r="AE134" s="47"/>
      <c r="AF134" s="47"/>
      <c r="AG134" s="47"/>
      <c r="AH134" s="47"/>
      <c r="AI134" s="47"/>
      <c r="AJ134" s="47"/>
      <c r="AK134" s="47"/>
      <c r="AM134" s="59"/>
    </row>
    <row r="135" spans="1:39" ht="36" customHeight="1" x14ac:dyDescent="0.25">
      <c r="A135" s="785"/>
      <c r="B135" s="770"/>
      <c r="C135" s="821"/>
      <c r="D135" s="824"/>
      <c r="E135" s="399" t="s">
        <v>387</v>
      </c>
      <c r="F135" s="346">
        <f>IF((F123=1),Thermostat!$B$5,Thermostat!$B$6)</f>
        <v>75</v>
      </c>
      <c r="G135" s="346">
        <f>IF((G123=1),Thermostat!$B$5,Thermostat!$B$6)</f>
        <v>75</v>
      </c>
      <c r="H135" s="346">
        <f>IF((H123=1),Thermostat!$B$5,Thermostat!$B$6)</f>
        <v>75</v>
      </c>
      <c r="I135" s="346">
        <f>IF((I123=1),Thermostat!$B$5,Thermostat!$B$6)</f>
        <v>75</v>
      </c>
      <c r="J135" s="346">
        <f>IF((J123=1),Thermostat!$B$5,Thermostat!$B$6)</f>
        <v>75</v>
      </c>
      <c r="K135" s="346">
        <f>IF((K123=1),Thermostat!$B$5,Thermostat!$B$6)</f>
        <v>75</v>
      </c>
      <c r="L135" s="346">
        <f>IF((L123=1),Thermostat!$B$5,Thermostat!$B$6)</f>
        <v>75</v>
      </c>
      <c r="M135" s="346">
        <f>IF((M123=1),Thermostat!$B$5,Thermostat!$B$6)</f>
        <v>75</v>
      </c>
      <c r="N135" s="346">
        <f>IF((N123=1),Thermostat!$B$5,Thermostat!$B$6)</f>
        <v>75</v>
      </c>
      <c r="O135" s="346">
        <f>IF((O123=1),Thermostat!$B$5,Thermostat!$B$6)</f>
        <v>75</v>
      </c>
      <c r="P135" s="346">
        <f>IF((P123=1),Thermostat!$B$5,Thermostat!$B$6)</f>
        <v>75</v>
      </c>
      <c r="Q135" s="346">
        <f>IF((Q123=1),Thermostat!$B$5,Thermostat!$B$6)</f>
        <v>75</v>
      </c>
      <c r="R135" s="346">
        <f>IF((R123=1),Thermostat!$B$5,Thermostat!$B$6)</f>
        <v>75</v>
      </c>
      <c r="S135" s="346">
        <f>IF((S123=1),Thermostat!$B$5,Thermostat!$B$6)</f>
        <v>75</v>
      </c>
      <c r="T135" s="346">
        <f>IF((T123=1),Thermostat!$B$5,Thermostat!$B$6)</f>
        <v>75</v>
      </c>
      <c r="U135" s="346">
        <f>IF((U123=1),Thermostat!$B$5,Thermostat!$B$6)</f>
        <v>75</v>
      </c>
      <c r="V135" s="346">
        <f>IF((V123=1),Thermostat!$B$5,Thermostat!$B$6)</f>
        <v>75</v>
      </c>
      <c r="W135" s="346">
        <f>IF((W123=1),Thermostat!$B$5,Thermostat!$B$6)</f>
        <v>75</v>
      </c>
      <c r="X135" s="346">
        <f>IF((X123=1),Thermostat!$B$5,Thermostat!$B$6)</f>
        <v>75</v>
      </c>
      <c r="Y135" s="346">
        <f>IF((Y123=1),Thermostat!$B$5,Thermostat!$B$6)</f>
        <v>75</v>
      </c>
      <c r="Z135" s="346">
        <f>IF((Z123=1),Thermostat!$B$5,Thermostat!$B$6)</f>
        <v>75</v>
      </c>
      <c r="AA135" s="346">
        <f>IF((AA123=1),Thermostat!$B$5,Thermostat!$B$6)</f>
        <v>75</v>
      </c>
      <c r="AB135" s="346">
        <f>IF((AB123=1),Thermostat!$B$5,Thermostat!$B$6)</f>
        <v>75</v>
      </c>
      <c r="AC135" s="350">
        <f>IF((AC123=1),Thermostat!$B$5,Thermostat!$B$6)</f>
        <v>75</v>
      </c>
      <c r="AD135" s="48"/>
      <c r="AE135" s="47"/>
      <c r="AF135" s="47"/>
      <c r="AG135" s="47"/>
      <c r="AH135" s="47"/>
      <c r="AI135" s="47"/>
      <c r="AJ135" s="47"/>
      <c r="AK135" s="47"/>
      <c r="AM135" s="59"/>
    </row>
    <row r="136" spans="1:39" ht="36" customHeight="1" thickBot="1" x14ac:dyDescent="0.3">
      <c r="A136" s="819"/>
      <c r="B136" s="776"/>
      <c r="C136" s="822"/>
      <c r="D136" s="825"/>
      <c r="E136" s="400" t="s">
        <v>388</v>
      </c>
      <c r="F136" s="351">
        <f>IF((F124=1),Thermostat!$B$5,Thermostat!$B$6)</f>
        <v>75</v>
      </c>
      <c r="G136" s="351">
        <f>IF((G124=1),Thermostat!$B$5,Thermostat!$B$6)</f>
        <v>75</v>
      </c>
      <c r="H136" s="351">
        <f>IF((H124=1),Thermostat!$B$5,Thermostat!$B$6)</f>
        <v>75</v>
      </c>
      <c r="I136" s="351">
        <f>IF((I124=1),Thermostat!$B$5,Thermostat!$B$6)</f>
        <v>75</v>
      </c>
      <c r="J136" s="351">
        <f>IF((J124=1),Thermostat!$B$5,Thermostat!$B$6)</f>
        <v>75</v>
      </c>
      <c r="K136" s="351">
        <f>IF((K124=1),Thermostat!$B$5,Thermostat!$B$6)</f>
        <v>75</v>
      </c>
      <c r="L136" s="351">
        <f>IF((L124=1),Thermostat!$B$5,Thermostat!$B$6)</f>
        <v>75</v>
      </c>
      <c r="M136" s="351">
        <f>IF((M124=1),Thermostat!$B$5,Thermostat!$B$6)</f>
        <v>75</v>
      </c>
      <c r="N136" s="351">
        <f>IF((N124=1),Thermostat!$B$5,Thermostat!$B$6)</f>
        <v>75</v>
      </c>
      <c r="O136" s="351">
        <f>IF((O124=1),Thermostat!$B$5,Thermostat!$B$6)</f>
        <v>75</v>
      </c>
      <c r="P136" s="351">
        <f>IF((P124=1),Thermostat!$B$5,Thermostat!$B$6)</f>
        <v>75</v>
      </c>
      <c r="Q136" s="351">
        <f>IF((Q124=1),Thermostat!$B$5,Thermostat!$B$6)</f>
        <v>75</v>
      </c>
      <c r="R136" s="351">
        <f>IF((R124=1),Thermostat!$B$5,Thermostat!$B$6)</f>
        <v>75</v>
      </c>
      <c r="S136" s="351">
        <f>IF((S124=1),Thermostat!$B$5,Thermostat!$B$6)</f>
        <v>75</v>
      </c>
      <c r="T136" s="351">
        <f>IF((T124=1),Thermostat!$B$5,Thermostat!$B$6)</f>
        <v>75</v>
      </c>
      <c r="U136" s="351">
        <f>IF((U124=1),Thermostat!$B$5,Thermostat!$B$6)</f>
        <v>75</v>
      </c>
      <c r="V136" s="351">
        <f>IF((V124=1),Thermostat!$B$5,Thermostat!$B$6)</f>
        <v>75</v>
      </c>
      <c r="W136" s="351">
        <f>IF((W124=1),Thermostat!$B$5,Thermostat!$B$6)</f>
        <v>75</v>
      </c>
      <c r="X136" s="351">
        <f>IF((X124=1),Thermostat!$B$5,Thermostat!$B$6)</f>
        <v>75</v>
      </c>
      <c r="Y136" s="351">
        <f>IF((Y124=1),Thermostat!$B$5,Thermostat!$B$6)</f>
        <v>75</v>
      </c>
      <c r="Z136" s="351">
        <f>IF((Z124=1),Thermostat!$B$5,Thermostat!$B$6)</f>
        <v>75</v>
      </c>
      <c r="AA136" s="351">
        <f>IF((AA124=1),Thermostat!$B$5,Thermostat!$B$6)</f>
        <v>75</v>
      </c>
      <c r="AB136" s="351">
        <f>IF((AB124=1),Thermostat!$B$5,Thermostat!$B$6)</f>
        <v>75</v>
      </c>
      <c r="AC136" s="352">
        <f>IF((AC124=1),Thermostat!$B$5,Thermostat!$B$6)</f>
        <v>75</v>
      </c>
      <c r="AD136" s="48"/>
      <c r="AE136" s="47"/>
      <c r="AF136" s="47"/>
      <c r="AG136" s="47"/>
      <c r="AH136" s="47"/>
      <c r="AI136" s="47"/>
      <c r="AJ136" s="47"/>
      <c r="AK136" s="47"/>
      <c r="AM136" s="59"/>
    </row>
    <row r="137" spans="1:39" ht="24.6" customHeight="1" thickBot="1" x14ac:dyDescent="0.3">
      <c r="A137" s="809" t="s">
        <v>107</v>
      </c>
      <c r="B137" s="810"/>
      <c r="C137" s="810"/>
      <c r="D137" s="810"/>
      <c r="E137" s="810"/>
      <c r="F137" s="810"/>
      <c r="G137" s="810"/>
      <c r="H137" s="810"/>
      <c r="I137" s="810"/>
      <c r="J137" s="810"/>
      <c r="K137" s="810"/>
      <c r="L137" s="810"/>
      <c r="M137" s="810"/>
      <c r="N137" s="810"/>
      <c r="O137" s="810"/>
      <c r="P137" s="810"/>
      <c r="Q137" s="810"/>
      <c r="R137" s="810"/>
      <c r="S137" s="810"/>
      <c r="T137" s="810"/>
      <c r="U137" s="810"/>
      <c r="V137" s="810"/>
      <c r="W137" s="810"/>
      <c r="X137" s="810"/>
      <c r="Y137" s="810"/>
      <c r="Z137" s="810"/>
      <c r="AA137" s="810"/>
      <c r="AB137" s="810"/>
      <c r="AC137" s="811"/>
      <c r="AD137" s="47"/>
      <c r="AE137" s="47"/>
      <c r="AF137" s="47"/>
      <c r="AG137" s="47"/>
      <c r="AH137" s="47"/>
      <c r="AI137" s="47"/>
      <c r="AJ137" s="47"/>
      <c r="AK137" s="47"/>
    </row>
    <row r="138" spans="1:39" ht="30.6" customHeight="1" x14ac:dyDescent="0.25">
      <c r="A138" s="812" t="s">
        <v>544</v>
      </c>
      <c r="B138" s="813" t="s">
        <v>107</v>
      </c>
      <c r="C138" s="813" t="s">
        <v>520</v>
      </c>
      <c r="D138" s="816" t="s">
        <v>545</v>
      </c>
      <c r="E138" s="402" t="s">
        <v>386</v>
      </c>
      <c r="F138" s="403">
        <v>0.05</v>
      </c>
      <c r="G138" s="403">
        <v>0</v>
      </c>
      <c r="H138" s="403">
        <v>0</v>
      </c>
      <c r="I138" s="403">
        <v>0</v>
      </c>
      <c r="J138" s="403">
        <v>0</v>
      </c>
      <c r="K138" s="403">
        <v>0.05</v>
      </c>
      <c r="L138" s="403">
        <v>0.1</v>
      </c>
      <c r="M138" s="403">
        <v>0.4</v>
      </c>
      <c r="N138" s="403">
        <v>0.4</v>
      </c>
      <c r="O138" s="403">
        <v>0.4</v>
      </c>
      <c r="P138" s="403">
        <v>0.2</v>
      </c>
      <c r="Q138" s="403">
        <v>0.5</v>
      </c>
      <c r="R138" s="403">
        <v>0.8</v>
      </c>
      <c r="S138" s="403">
        <v>0.7</v>
      </c>
      <c r="T138" s="403">
        <v>0.4</v>
      </c>
      <c r="U138" s="403">
        <v>0.2</v>
      </c>
      <c r="V138" s="403">
        <v>0.25</v>
      </c>
      <c r="W138" s="403">
        <v>0.5</v>
      </c>
      <c r="X138" s="403">
        <v>0.8</v>
      </c>
      <c r="Y138" s="403">
        <v>0.8</v>
      </c>
      <c r="Z138" s="403">
        <v>0.8</v>
      </c>
      <c r="AA138" s="403">
        <v>0.5</v>
      </c>
      <c r="AB138" s="403">
        <v>0.35</v>
      </c>
      <c r="AC138" s="404">
        <v>0.2</v>
      </c>
      <c r="AD138" s="47"/>
      <c r="AE138" s="47"/>
      <c r="AF138" s="47"/>
      <c r="AG138" s="47"/>
      <c r="AH138" s="47"/>
      <c r="AI138" s="47"/>
      <c r="AJ138" s="47"/>
      <c r="AK138" s="47"/>
    </row>
    <row r="139" spans="1:39" ht="30.6" customHeight="1" x14ac:dyDescent="0.25">
      <c r="A139" s="728"/>
      <c r="B139" s="814"/>
      <c r="C139" s="814"/>
      <c r="D139" s="817"/>
      <c r="E139" s="405" t="s">
        <v>387</v>
      </c>
      <c r="F139" s="406">
        <v>0.05</v>
      </c>
      <c r="G139" s="406">
        <v>0</v>
      </c>
      <c r="H139" s="406">
        <v>0</v>
      </c>
      <c r="I139" s="406">
        <v>0</v>
      </c>
      <c r="J139" s="406">
        <v>0</v>
      </c>
      <c r="K139" s="406">
        <v>0</v>
      </c>
      <c r="L139" s="406">
        <v>0.05</v>
      </c>
      <c r="M139" s="406">
        <v>0.5</v>
      </c>
      <c r="N139" s="406">
        <v>0.5</v>
      </c>
      <c r="O139" s="406">
        <v>0.4</v>
      </c>
      <c r="P139" s="406">
        <v>0.2</v>
      </c>
      <c r="Q139" s="406">
        <v>0.45</v>
      </c>
      <c r="R139" s="406">
        <v>0.5</v>
      </c>
      <c r="S139" s="406">
        <v>0.5</v>
      </c>
      <c r="T139" s="406">
        <v>0.35</v>
      </c>
      <c r="U139" s="406">
        <v>0.3</v>
      </c>
      <c r="V139" s="406">
        <v>0.3</v>
      </c>
      <c r="W139" s="406">
        <v>0.3</v>
      </c>
      <c r="X139" s="406">
        <v>0.7</v>
      </c>
      <c r="Y139" s="406">
        <v>0.9</v>
      </c>
      <c r="Z139" s="406">
        <v>0.7</v>
      </c>
      <c r="AA139" s="406">
        <v>0.65</v>
      </c>
      <c r="AB139" s="406">
        <v>0.55000000000000004</v>
      </c>
      <c r="AC139" s="407">
        <v>0.35</v>
      </c>
      <c r="AD139" s="47"/>
      <c r="AE139" s="47"/>
      <c r="AF139" s="47"/>
      <c r="AG139" s="47"/>
      <c r="AH139" s="47"/>
      <c r="AI139" s="47"/>
      <c r="AJ139" s="47"/>
      <c r="AK139" s="47"/>
    </row>
    <row r="140" spans="1:39" ht="30.6" customHeight="1" thickBot="1" x14ac:dyDescent="0.3">
      <c r="A140" s="729"/>
      <c r="B140" s="815"/>
      <c r="C140" s="815"/>
      <c r="D140" s="818"/>
      <c r="E140" s="408" t="s">
        <v>388</v>
      </c>
      <c r="F140" s="409">
        <v>0.05</v>
      </c>
      <c r="G140" s="409">
        <v>0</v>
      </c>
      <c r="H140" s="409">
        <v>0</v>
      </c>
      <c r="I140" s="409">
        <v>0</v>
      </c>
      <c r="J140" s="409">
        <v>0</v>
      </c>
      <c r="K140" s="409">
        <v>0</v>
      </c>
      <c r="L140" s="409">
        <v>0.05</v>
      </c>
      <c r="M140" s="409">
        <v>0.5</v>
      </c>
      <c r="N140" s="409">
        <v>0.5</v>
      </c>
      <c r="O140" s="409">
        <v>0.2</v>
      </c>
      <c r="P140" s="409">
        <v>0.2</v>
      </c>
      <c r="Q140" s="409">
        <v>0.3</v>
      </c>
      <c r="R140" s="409">
        <v>0.5</v>
      </c>
      <c r="S140" s="409">
        <v>0.5</v>
      </c>
      <c r="T140" s="409">
        <v>0.3</v>
      </c>
      <c r="U140" s="409">
        <v>0.2</v>
      </c>
      <c r="V140" s="409">
        <v>0.25</v>
      </c>
      <c r="W140" s="409">
        <v>0.35</v>
      </c>
      <c r="X140" s="409">
        <v>0.55000000000000004</v>
      </c>
      <c r="Y140" s="409">
        <v>0.65</v>
      </c>
      <c r="Z140" s="409">
        <v>0.7</v>
      </c>
      <c r="AA140" s="409">
        <v>0.35</v>
      </c>
      <c r="AB140" s="409">
        <v>0.2</v>
      </c>
      <c r="AC140" s="410">
        <v>0.2</v>
      </c>
      <c r="AD140" s="47"/>
      <c r="AE140" s="47"/>
      <c r="AF140" s="47"/>
      <c r="AG140" s="47"/>
      <c r="AH140" s="47"/>
      <c r="AI140" s="47"/>
      <c r="AJ140" s="47"/>
      <c r="AK140" s="47"/>
    </row>
    <row r="141" spans="1:39" ht="30.6" customHeight="1" x14ac:dyDescent="0.25">
      <c r="A141" s="812" t="str">
        <f>A138</f>
        <v>Dining and Café</v>
      </c>
      <c r="B141" s="813" t="s">
        <v>107</v>
      </c>
      <c r="C141" s="836" t="s">
        <v>522</v>
      </c>
      <c r="D141" s="816" t="s">
        <v>546</v>
      </c>
      <c r="E141" s="411" t="s">
        <v>386</v>
      </c>
      <c r="F141" s="412">
        <v>0.15</v>
      </c>
      <c r="G141" s="412">
        <v>0.15</v>
      </c>
      <c r="H141" s="412">
        <v>0.15</v>
      </c>
      <c r="I141" s="412">
        <v>0.15</v>
      </c>
      <c r="J141" s="412">
        <v>0.15</v>
      </c>
      <c r="K141" s="412">
        <v>0.2</v>
      </c>
      <c r="L141" s="413">
        <v>0.3</v>
      </c>
      <c r="M141" s="413">
        <f t="shared" ref="M141:AA143" si="4">M144-5%</f>
        <v>0.66999999999999993</v>
      </c>
      <c r="N141" s="413">
        <f t="shared" si="4"/>
        <v>0.73</v>
      </c>
      <c r="O141" s="413">
        <f t="shared" si="4"/>
        <v>0.75</v>
      </c>
      <c r="P141" s="413">
        <f t="shared" si="4"/>
        <v>0.85</v>
      </c>
      <c r="Q141" s="413">
        <f t="shared" si="4"/>
        <v>0.85</v>
      </c>
      <c r="R141" s="413">
        <f t="shared" si="4"/>
        <v>0.85</v>
      </c>
      <c r="S141" s="413">
        <f t="shared" si="4"/>
        <v>0.83</v>
      </c>
      <c r="T141" s="413">
        <f t="shared" si="4"/>
        <v>0.72</v>
      </c>
      <c r="U141" s="413">
        <f t="shared" si="4"/>
        <v>0.64999999999999991</v>
      </c>
      <c r="V141" s="413">
        <f t="shared" si="4"/>
        <v>0.66999999999999993</v>
      </c>
      <c r="W141" s="413">
        <f t="shared" si="4"/>
        <v>0.75</v>
      </c>
      <c r="X141" s="413">
        <f t="shared" si="4"/>
        <v>0.85</v>
      </c>
      <c r="Y141" s="413">
        <f t="shared" si="4"/>
        <v>0.85</v>
      </c>
      <c r="Z141" s="413">
        <f t="shared" si="4"/>
        <v>0.85</v>
      </c>
      <c r="AA141" s="413">
        <f t="shared" si="4"/>
        <v>0.75</v>
      </c>
      <c r="AB141" s="413">
        <f>AB144-5%</f>
        <v>0.56999999999999995</v>
      </c>
      <c r="AC141" s="414">
        <v>0.3</v>
      </c>
      <c r="AD141" s="47"/>
      <c r="AE141" s="47"/>
      <c r="AF141" s="47"/>
      <c r="AG141" s="47"/>
      <c r="AH141" s="47"/>
      <c r="AI141" s="47"/>
      <c r="AJ141" s="47"/>
      <c r="AK141" s="47"/>
    </row>
    <row r="142" spans="1:39" ht="30.6" customHeight="1" x14ac:dyDescent="0.25">
      <c r="A142" s="728"/>
      <c r="B142" s="814"/>
      <c r="C142" s="837"/>
      <c r="D142" s="817"/>
      <c r="E142" s="415" t="s">
        <v>387</v>
      </c>
      <c r="F142" s="416">
        <f>F145</f>
        <v>0.15</v>
      </c>
      <c r="G142" s="406">
        <v>0.15</v>
      </c>
      <c r="H142" s="406">
        <v>0.15</v>
      </c>
      <c r="I142" s="406">
        <v>0.15</v>
      </c>
      <c r="J142" s="406">
        <v>0.15</v>
      </c>
      <c r="K142" s="416">
        <f>K145</f>
        <v>0.2</v>
      </c>
      <c r="L142" s="406">
        <v>0.3</v>
      </c>
      <c r="M142" s="416">
        <f t="shared" si="4"/>
        <v>0.66999999999999993</v>
      </c>
      <c r="N142" s="416">
        <f t="shared" si="4"/>
        <v>0.73</v>
      </c>
      <c r="O142" s="416">
        <f t="shared" si="4"/>
        <v>0.75</v>
      </c>
      <c r="P142" s="416">
        <f t="shared" si="4"/>
        <v>0.85</v>
      </c>
      <c r="Q142" s="416">
        <f t="shared" si="4"/>
        <v>0.85</v>
      </c>
      <c r="R142" s="416">
        <f t="shared" si="4"/>
        <v>0.85</v>
      </c>
      <c r="S142" s="416">
        <f t="shared" si="4"/>
        <v>0.83</v>
      </c>
      <c r="T142" s="416">
        <f t="shared" si="4"/>
        <v>0.72</v>
      </c>
      <c r="U142" s="416">
        <f t="shared" si="4"/>
        <v>0.64999999999999991</v>
      </c>
      <c r="V142" s="416">
        <f t="shared" si="4"/>
        <v>0.66999999999999993</v>
      </c>
      <c r="W142" s="416">
        <f t="shared" si="4"/>
        <v>0.75</v>
      </c>
      <c r="X142" s="416">
        <f t="shared" si="4"/>
        <v>0.85</v>
      </c>
      <c r="Y142" s="416">
        <f t="shared" si="4"/>
        <v>0.85</v>
      </c>
      <c r="Z142" s="416">
        <f t="shared" si="4"/>
        <v>0.85</v>
      </c>
      <c r="AA142" s="416">
        <f t="shared" si="4"/>
        <v>0.75</v>
      </c>
      <c r="AB142" s="416">
        <f>AB145-5%</f>
        <v>0.56999999999999995</v>
      </c>
      <c r="AC142" s="417">
        <v>0.3</v>
      </c>
      <c r="AD142" s="47"/>
      <c r="AE142" s="47"/>
      <c r="AF142" s="47"/>
      <c r="AG142" s="47"/>
      <c r="AH142" s="47"/>
      <c r="AI142" s="47"/>
      <c r="AJ142" s="47"/>
      <c r="AK142" s="47"/>
    </row>
    <row r="143" spans="1:39" ht="30.6" customHeight="1" thickBot="1" x14ac:dyDescent="0.3">
      <c r="A143" s="729"/>
      <c r="B143" s="815"/>
      <c r="C143" s="838"/>
      <c r="D143" s="818"/>
      <c r="E143" s="418" t="s">
        <v>388</v>
      </c>
      <c r="F143" s="419">
        <v>0.2</v>
      </c>
      <c r="G143" s="419">
        <v>0.15</v>
      </c>
      <c r="H143" s="419">
        <v>0.15</v>
      </c>
      <c r="I143" s="419">
        <v>0.15</v>
      </c>
      <c r="J143" s="419">
        <v>0.15</v>
      </c>
      <c r="K143" s="419">
        <v>0.15</v>
      </c>
      <c r="L143" s="419">
        <v>0.3</v>
      </c>
      <c r="M143" s="420">
        <f t="shared" si="4"/>
        <v>0.66999999999999993</v>
      </c>
      <c r="N143" s="420">
        <f t="shared" si="4"/>
        <v>0.73</v>
      </c>
      <c r="O143" s="420">
        <f t="shared" si="4"/>
        <v>0.75</v>
      </c>
      <c r="P143" s="420">
        <f t="shared" si="4"/>
        <v>0.85</v>
      </c>
      <c r="Q143" s="420">
        <f t="shared" si="4"/>
        <v>0.85</v>
      </c>
      <c r="R143" s="420">
        <f t="shared" si="4"/>
        <v>0.85</v>
      </c>
      <c r="S143" s="420">
        <f t="shared" si="4"/>
        <v>0.83</v>
      </c>
      <c r="T143" s="420">
        <f t="shared" si="4"/>
        <v>0.72</v>
      </c>
      <c r="U143" s="420">
        <f t="shared" si="4"/>
        <v>0.64999999999999991</v>
      </c>
      <c r="V143" s="420">
        <f t="shared" si="4"/>
        <v>0.66999999999999993</v>
      </c>
      <c r="W143" s="420">
        <f t="shared" si="4"/>
        <v>0.75</v>
      </c>
      <c r="X143" s="420">
        <f t="shared" si="4"/>
        <v>0.85</v>
      </c>
      <c r="Y143" s="420">
        <f t="shared" si="4"/>
        <v>0.85</v>
      </c>
      <c r="Z143" s="420">
        <f t="shared" si="4"/>
        <v>0.85</v>
      </c>
      <c r="AA143" s="420">
        <f t="shared" si="4"/>
        <v>0.75</v>
      </c>
      <c r="AB143" s="420">
        <f>AB146-5%</f>
        <v>0.56999999999999995</v>
      </c>
      <c r="AC143" s="421">
        <v>0.3</v>
      </c>
      <c r="AD143" s="47"/>
      <c r="AE143" s="47"/>
      <c r="AF143" s="47"/>
      <c r="AG143" s="47"/>
      <c r="AH143" s="47"/>
      <c r="AI143" s="47"/>
      <c r="AJ143" s="47"/>
      <c r="AK143" s="47"/>
    </row>
    <row r="144" spans="1:39" ht="30.6" customHeight="1" x14ac:dyDescent="0.25">
      <c r="A144" s="727" t="str">
        <f>A138</f>
        <v>Dining and Café</v>
      </c>
      <c r="B144" s="829" t="s">
        <v>107</v>
      </c>
      <c r="C144" s="836" t="s">
        <v>523</v>
      </c>
      <c r="D144" s="842" t="s">
        <v>476</v>
      </c>
      <c r="E144" s="422" t="s">
        <v>386</v>
      </c>
      <c r="F144" s="403">
        <v>0.15</v>
      </c>
      <c r="G144" s="403">
        <v>0.15</v>
      </c>
      <c r="H144" s="403">
        <v>0.15</v>
      </c>
      <c r="I144" s="403">
        <v>0.15</v>
      </c>
      <c r="J144" s="403">
        <v>0.15</v>
      </c>
      <c r="K144" s="403">
        <v>0.2</v>
      </c>
      <c r="L144" s="423">
        <v>0.3</v>
      </c>
      <c r="M144" s="423">
        <v>0.72</v>
      </c>
      <c r="N144" s="423">
        <v>0.78</v>
      </c>
      <c r="O144" s="423">
        <v>0.8</v>
      </c>
      <c r="P144" s="403">
        <v>0.9</v>
      </c>
      <c r="Q144" s="403">
        <v>0.9</v>
      </c>
      <c r="R144" s="403">
        <v>0.9</v>
      </c>
      <c r="S144" s="423">
        <v>0.88</v>
      </c>
      <c r="T144" s="423">
        <v>0.77</v>
      </c>
      <c r="U144" s="423">
        <v>0.7</v>
      </c>
      <c r="V144" s="423">
        <v>0.72</v>
      </c>
      <c r="W144" s="423">
        <v>0.8</v>
      </c>
      <c r="X144" s="403">
        <v>0.9</v>
      </c>
      <c r="Y144" s="403">
        <v>0.9</v>
      </c>
      <c r="Z144" s="403">
        <v>0.9</v>
      </c>
      <c r="AA144" s="423">
        <v>0.8</v>
      </c>
      <c r="AB144" s="423">
        <v>0.62</v>
      </c>
      <c r="AC144" s="404">
        <v>0.3</v>
      </c>
      <c r="AD144" s="47"/>
      <c r="AE144" s="47"/>
      <c r="AF144" s="47"/>
      <c r="AG144" s="47"/>
      <c r="AH144" s="47"/>
      <c r="AI144" s="47"/>
      <c r="AJ144" s="47"/>
      <c r="AK144" s="47"/>
    </row>
    <row r="145" spans="1:37" ht="30.6" customHeight="1" x14ac:dyDescent="0.25">
      <c r="A145" s="728"/>
      <c r="B145" s="814"/>
      <c r="C145" s="837"/>
      <c r="D145" s="842"/>
      <c r="E145" s="424" t="s">
        <v>387</v>
      </c>
      <c r="F145" s="385">
        <v>0.15</v>
      </c>
      <c r="G145" s="406">
        <v>0.15</v>
      </c>
      <c r="H145" s="406">
        <v>0.15</v>
      </c>
      <c r="I145" s="406">
        <v>0.15</v>
      </c>
      <c r="J145" s="406">
        <v>0.15</v>
      </c>
      <c r="K145" s="385">
        <v>0.2</v>
      </c>
      <c r="L145" s="406">
        <v>0.3</v>
      </c>
      <c r="M145" s="385">
        <v>0.72</v>
      </c>
      <c r="N145" s="385">
        <v>0.78</v>
      </c>
      <c r="O145" s="385">
        <v>0.8</v>
      </c>
      <c r="P145" s="385">
        <v>0.9</v>
      </c>
      <c r="Q145" s="385">
        <v>0.9</v>
      </c>
      <c r="R145" s="385">
        <v>0.9</v>
      </c>
      <c r="S145" s="385">
        <v>0.88</v>
      </c>
      <c r="T145" s="385">
        <v>0.77</v>
      </c>
      <c r="U145" s="385">
        <v>0.7</v>
      </c>
      <c r="V145" s="385">
        <v>0.72</v>
      </c>
      <c r="W145" s="385">
        <v>0.8</v>
      </c>
      <c r="X145" s="406">
        <v>0.9</v>
      </c>
      <c r="Y145" s="406">
        <v>0.9</v>
      </c>
      <c r="Z145" s="406">
        <v>0.9</v>
      </c>
      <c r="AA145" s="385">
        <v>0.8</v>
      </c>
      <c r="AB145" s="385">
        <v>0.62</v>
      </c>
      <c r="AC145" s="407">
        <v>0.3</v>
      </c>
      <c r="AD145" s="47"/>
      <c r="AE145" s="47"/>
      <c r="AF145" s="47"/>
      <c r="AG145" s="47"/>
      <c r="AH145" s="47"/>
      <c r="AI145" s="47"/>
      <c r="AJ145" s="47"/>
      <c r="AK145" s="47"/>
    </row>
    <row r="146" spans="1:37" ht="30.6" customHeight="1" x14ac:dyDescent="0.25">
      <c r="A146" s="839"/>
      <c r="B146" s="840"/>
      <c r="C146" s="841"/>
      <c r="D146" s="842"/>
      <c r="E146" s="450" t="s">
        <v>388</v>
      </c>
      <c r="F146" s="513">
        <v>0.2</v>
      </c>
      <c r="G146" s="419">
        <v>0.15</v>
      </c>
      <c r="H146" s="419">
        <v>0.15</v>
      </c>
      <c r="I146" s="419">
        <v>0.15</v>
      </c>
      <c r="J146" s="419">
        <v>0.15</v>
      </c>
      <c r="K146" s="513">
        <v>0.15</v>
      </c>
      <c r="L146" s="419">
        <v>0.3</v>
      </c>
      <c r="M146" s="513">
        <v>0.72</v>
      </c>
      <c r="N146" s="513">
        <v>0.78</v>
      </c>
      <c r="O146" s="513">
        <v>0.8</v>
      </c>
      <c r="P146" s="513">
        <v>0.9</v>
      </c>
      <c r="Q146" s="513">
        <v>0.9</v>
      </c>
      <c r="R146" s="513">
        <v>0.9</v>
      </c>
      <c r="S146" s="513">
        <v>0.88</v>
      </c>
      <c r="T146" s="513">
        <v>0.77</v>
      </c>
      <c r="U146" s="513">
        <v>0.7</v>
      </c>
      <c r="V146" s="513">
        <v>0.72</v>
      </c>
      <c r="W146" s="513">
        <v>0.8</v>
      </c>
      <c r="X146" s="513">
        <v>0.9</v>
      </c>
      <c r="Y146" s="513">
        <v>0.9</v>
      </c>
      <c r="Z146" s="513">
        <v>0.9</v>
      </c>
      <c r="AA146" s="513">
        <v>0.8</v>
      </c>
      <c r="AB146" s="513">
        <v>0.62</v>
      </c>
      <c r="AC146" s="449">
        <v>0.3</v>
      </c>
      <c r="AD146" s="47"/>
      <c r="AE146" s="47"/>
      <c r="AF146" s="47"/>
      <c r="AG146" s="47"/>
      <c r="AH146" s="47"/>
      <c r="AI146" s="47"/>
      <c r="AJ146" s="47"/>
      <c r="AK146" s="47"/>
    </row>
    <row r="147" spans="1:37" ht="30.6" customHeight="1" x14ac:dyDescent="0.25">
      <c r="A147" s="843" t="str">
        <f>A141</f>
        <v>Dining and Café</v>
      </c>
      <c r="B147" s="846" t="str">
        <f>B141</f>
        <v>Restaurant</v>
      </c>
      <c r="C147" s="849" t="s">
        <v>526</v>
      </c>
      <c r="D147" s="851" t="s">
        <v>547</v>
      </c>
      <c r="E147" s="515" t="s">
        <v>386</v>
      </c>
      <c r="F147" s="516">
        <v>0.9</v>
      </c>
      <c r="G147" s="516">
        <v>0.9</v>
      </c>
      <c r="H147" s="516">
        <v>0.9</v>
      </c>
      <c r="I147" s="516">
        <v>0.9</v>
      </c>
      <c r="J147" s="516">
        <v>0.9</v>
      </c>
      <c r="K147" s="516">
        <v>0.9</v>
      </c>
      <c r="L147" s="516">
        <v>0.9</v>
      </c>
      <c r="M147" s="516">
        <v>0.9</v>
      </c>
      <c r="N147" s="516">
        <v>0.9</v>
      </c>
      <c r="O147" s="516">
        <v>0.9</v>
      </c>
      <c r="P147" s="516">
        <v>0.9</v>
      </c>
      <c r="Q147" s="516">
        <v>0.9</v>
      </c>
      <c r="R147" s="516">
        <v>0.9</v>
      </c>
      <c r="S147" s="516">
        <v>0.9</v>
      </c>
      <c r="T147" s="516">
        <v>0.9</v>
      </c>
      <c r="U147" s="516">
        <v>0.9</v>
      </c>
      <c r="V147" s="516">
        <v>0.9</v>
      </c>
      <c r="W147" s="516">
        <v>0.9</v>
      </c>
      <c r="X147" s="516">
        <v>0.9</v>
      </c>
      <c r="Y147" s="516">
        <v>0.9</v>
      </c>
      <c r="Z147" s="516">
        <v>0.9</v>
      </c>
      <c r="AA147" s="516">
        <v>0.9</v>
      </c>
      <c r="AB147" s="516">
        <v>0.9</v>
      </c>
      <c r="AC147" s="517">
        <v>0.9</v>
      </c>
      <c r="AD147" s="47"/>
      <c r="AE147" s="47"/>
      <c r="AF147" s="47"/>
      <c r="AG147" s="47"/>
      <c r="AH147" s="47"/>
      <c r="AI147" s="47"/>
      <c r="AJ147" s="47"/>
      <c r="AK147" s="47"/>
    </row>
    <row r="148" spans="1:37" ht="30.6" customHeight="1" x14ac:dyDescent="0.25">
      <c r="A148" s="844"/>
      <c r="B148" s="847"/>
      <c r="C148" s="778"/>
      <c r="D148" s="852"/>
      <c r="E148" s="518" t="s">
        <v>387</v>
      </c>
      <c r="F148" s="512">
        <v>0.9</v>
      </c>
      <c r="G148" s="512">
        <v>0.9</v>
      </c>
      <c r="H148" s="512">
        <v>0.9</v>
      </c>
      <c r="I148" s="512">
        <v>0.9</v>
      </c>
      <c r="J148" s="512">
        <v>0.9</v>
      </c>
      <c r="K148" s="512">
        <v>0.9</v>
      </c>
      <c r="L148" s="512">
        <v>0.9</v>
      </c>
      <c r="M148" s="512">
        <v>0.9</v>
      </c>
      <c r="N148" s="512">
        <v>0.9</v>
      </c>
      <c r="O148" s="512">
        <v>0.9</v>
      </c>
      <c r="P148" s="512">
        <v>0.9</v>
      </c>
      <c r="Q148" s="512">
        <v>0.9</v>
      </c>
      <c r="R148" s="512">
        <v>0.9</v>
      </c>
      <c r="S148" s="512">
        <v>0.9</v>
      </c>
      <c r="T148" s="512">
        <v>0.9</v>
      </c>
      <c r="U148" s="512">
        <v>0.9</v>
      </c>
      <c r="V148" s="512">
        <v>0.9</v>
      </c>
      <c r="W148" s="512">
        <v>0.9</v>
      </c>
      <c r="X148" s="512">
        <v>0.9</v>
      </c>
      <c r="Y148" s="512">
        <v>0.9</v>
      </c>
      <c r="Z148" s="512">
        <v>0.9</v>
      </c>
      <c r="AA148" s="512">
        <v>0.9</v>
      </c>
      <c r="AB148" s="512">
        <v>0.9</v>
      </c>
      <c r="AC148" s="519">
        <v>0.9</v>
      </c>
      <c r="AD148" s="47"/>
      <c r="AE148" s="47"/>
      <c r="AF148" s="47"/>
      <c r="AG148" s="47"/>
      <c r="AH148" s="47"/>
      <c r="AI148" s="47"/>
      <c r="AJ148" s="47"/>
      <c r="AK148" s="47"/>
    </row>
    <row r="149" spans="1:37" ht="30.6" customHeight="1" x14ac:dyDescent="0.25">
      <c r="A149" s="845"/>
      <c r="B149" s="848"/>
      <c r="C149" s="850"/>
      <c r="D149" s="853"/>
      <c r="E149" s="520" t="s">
        <v>388</v>
      </c>
      <c r="F149" s="521">
        <v>0.9</v>
      </c>
      <c r="G149" s="521">
        <v>0.9</v>
      </c>
      <c r="H149" s="521">
        <v>0.9</v>
      </c>
      <c r="I149" s="521">
        <v>0.9</v>
      </c>
      <c r="J149" s="521">
        <v>0.9</v>
      </c>
      <c r="K149" s="521">
        <v>0.9</v>
      </c>
      <c r="L149" s="521">
        <v>0.9</v>
      </c>
      <c r="M149" s="521">
        <v>0.9</v>
      </c>
      <c r="N149" s="521">
        <v>0.9</v>
      </c>
      <c r="O149" s="521">
        <v>0.9</v>
      </c>
      <c r="P149" s="521">
        <v>0.9</v>
      </c>
      <c r="Q149" s="521">
        <v>0.9</v>
      </c>
      <c r="R149" s="521">
        <v>0.9</v>
      </c>
      <c r="S149" s="521">
        <v>0.9</v>
      </c>
      <c r="T149" s="521">
        <v>0.9</v>
      </c>
      <c r="U149" s="521">
        <v>0.9</v>
      </c>
      <c r="V149" s="521">
        <v>0.9</v>
      </c>
      <c r="W149" s="521">
        <v>0.9</v>
      </c>
      <c r="X149" s="521">
        <v>0.9</v>
      </c>
      <c r="Y149" s="521">
        <v>0.9</v>
      </c>
      <c r="Z149" s="521">
        <v>0.9</v>
      </c>
      <c r="AA149" s="521">
        <v>0.9</v>
      </c>
      <c r="AB149" s="521">
        <v>0.9</v>
      </c>
      <c r="AC149" s="522">
        <v>0.9</v>
      </c>
      <c r="AD149" s="47"/>
      <c r="AE149" s="47"/>
      <c r="AF149" s="47"/>
      <c r="AG149" s="47"/>
      <c r="AH149" s="47"/>
      <c r="AI149" s="47"/>
      <c r="AJ149" s="47"/>
      <c r="AK149" s="47"/>
    </row>
    <row r="150" spans="1:37" ht="30.6" customHeight="1" x14ac:dyDescent="0.25">
      <c r="A150" s="727" t="str">
        <f>A138</f>
        <v>Dining and Café</v>
      </c>
      <c r="B150" s="829" t="s">
        <v>107</v>
      </c>
      <c r="C150" s="830" t="s">
        <v>528</v>
      </c>
      <c r="D150" s="833" t="s">
        <v>548</v>
      </c>
      <c r="E150" s="523" t="s">
        <v>386</v>
      </c>
      <c r="F150" s="412">
        <v>1</v>
      </c>
      <c r="G150" s="413">
        <v>0</v>
      </c>
      <c r="H150" s="413">
        <v>0</v>
      </c>
      <c r="I150" s="412">
        <v>0</v>
      </c>
      <c r="J150" s="413">
        <v>1</v>
      </c>
      <c r="K150" s="413">
        <v>1</v>
      </c>
      <c r="L150" s="412">
        <v>1</v>
      </c>
      <c r="M150" s="412">
        <v>1</v>
      </c>
      <c r="N150" s="412">
        <v>1</v>
      </c>
      <c r="O150" s="412">
        <v>1</v>
      </c>
      <c r="P150" s="412">
        <v>1</v>
      </c>
      <c r="Q150" s="412">
        <v>1</v>
      </c>
      <c r="R150" s="412">
        <v>1</v>
      </c>
      <c r="S150" s="412">
        <v>1</v>
      </c>
      <c r="T150" s="412">
        <v>1</v>
      </c>
      <c r="U150" s="412">
        <v>1</v>
      </c>
      <c r="V150" s="412">
        <v>1</v>
      </c>
      <c r="W150" s="412">
        <v>1</v>
      </c>
      <c r="X150" s="412">
        <v>1</v>
      </c>
      <c r="Y150" s="412">
        <v>1</v>
      </c>
      <c r="Z150" s="412">
        <v>1</v>
      </c>
      <c r="AA150" s="412">
        <v>1</v>
      </c>
      <c r="AB150" s="412">
        <v>1</v>
      </c>
      <c r="AC150" s="514">
        <v>1</v>
      </c>
      <c r="AD150" s="47"/>
      <c r="AE150" s="47"/>
      <c r="AF150" s="47"/>
      <c r="AG150" s="47"/>
      <c r="AH150" s="47"/>
      <c r="AI150" s="47"/>
      <c r="AJ150" s="47"/>
      <c r="AK150" s="47"/>
    </row>
    <row r="151" spans="1:37" ht="30.6" customHeight="1" x14ac:dyDescent="0.25">
      <c r="A151" s="728"/>
      <c r="B151" s="814"/>
      <c r="C151" s="831"/>
      <c r="D151" s="833"/>
      <c r="E151" s="424" t="s">
        <v>387</v>
      </c>
      <c r="F151" s="406">
        <v>1</v>
      </c>
      <c r="G151" s="413">
        <v>0</v>
      </c>
      <c r="H151" s="413">
        <v>0</v>
      </c>
      <c r="I151" s="406">
        <v>0</v>
      </c>
      <c r="J151" s="406">
        <v>0</v>
      </c>
      <c r="K151" s="416">
        <v>1</v>
      </c>
      <c r="L151" s="416">
        <v>1</v>
      </c>
      <c r="M151" s="416">
        <v>1</v>
      </c>
      <c r="N151" s="406">
        <v>1</v>
      </c>
      <c r="O151" s="406">
        <v>1</v>
      </c>
      <c r="P151" s="406">
        <v>1</v>
      </c>
      <c r="Q151" s="406">
        <v>1</v>
      </c>
      <c r="R151" s="406">
        <v>1</v>
      </c>
      <c r="S151" s="406">
        <v>1</v>
      </c>
      <c r="T151" s="406">
        <v>1</v>
      </c>
      <c r="U151" s="406">
        <v>1</v>
      </c>
      <c r="V151" s="406">
        <v>1</v>
      </c>
      <c r="W151" s="406">
        <v>1</v>
      </c>
      <c r="X151" s="406">
        <v>1</v>
      </c>
      <c r="Y151" s="406">
        <v>1</v>
      </c>
      <c r="Z151" s="406">
        <v>1</v>
      </c>
      <c r="AA151" s="406">
        <v>1</v>
      </c>
      <c r="AB151" s="406">
        <v>1</v>
      </c>
      <c r="AC151" s="407">
        <v>1</v>
      </c>
      <c r="AD151" s="47"/>
      <c r="AE151" s="47"/>
      <c r="AF151" s="47"/>
      <c r="AG151" s="47"/>
      <c r="AH151" s="47"/>
      <c r="AI151" s="47"/>
      <c r="AJ151" s="47"/>
      <c r="AK151" s="47"/>
    </row>
    <row r="152" spans="1:37" ht="30.6" customHeight="1" thickBot="1" x14ac:dyDescent="0.3">
      <c r="A152" s="729"/>
      <c r="B152" s="815"/>
      <c r="C152" s="832"/>
      <c r="D152" s="834"/>
      <c r="E152" s="425" t="s">
        <v>388</v>
      </c>
      <c r="F152" s="409">
        <v>1</v>
      </c>
      <c r="G152" s="428">
        <v>0</v>
      </c>
      <c r="H152" s="428">
        <v>0</v>
      </c>
      <c r="I152" s="409">
        <v>0</v>
      </c>
      <c r="J152" s="409">
        <v>0</v>
      </c>
      <c r="K152" s="429">
        <v>1</v>
      </c>
      <c r="L152" s="429">
        <v>1</v>
      </c>
      <c r="M152" s="429">
        <v>1</v>
      </c>
      <c r="N152" s="429">
        <v>1</v>
      </c>
      <c r="O152" s="409">
        <v>1</v>
      </c>
      <c r="P152" s="409">
        <v>1</v>
      </c>
      <c r="Q152" s="409">
        <v>1</v>
      </c>
      <c r="R152" s="409">
        <v>1</v>
      </c>
      <c r="S152" s="409">
        <v>1</v>
      </c>
      <c r="T152" s="409">
        <v>1</v>
      </c>
      <c r="U152" s="409">
        <v>1</v>
      </c>
      <c r="V152" s="409">
        <v>1</v>
      </c>
      <c r="W152" s="409">
        <v>1</v>
      </c>
      <c r="X152" s="409">
        <v>1</v>
      </c>
      <c r="Y152" s="409">
        <v>1</v>
      </c>
      <c r="Z152" s="409">
        <v>1</v>
      </c>
      <c r="AA152" s="409">
        <v>1</v>
      </c>
      <c r="AB152" s="409">
        <v>1</v>
      </c>
      <c r="AC152" s="410">
        <v>1</v>
      </c>
      <c r="AD152" s="47"/>
      <c r="AE152" s="47"/>
      <c r="AF152" s="47"/>
      <c r="AG152" s="47"/>
      <c r="AH152" s="47"/>
      <c r="AI152" s="47"/>
      <c r="AJ152" s="47"/>
      <c r="AK152" s="47"/>
    </row>
    <row r="153" spans="1:37" ht="30.6" customHeight="1" x14ac:dyDescent="0.25">
      <c r="A153" s="812" t="str">
        <f>A138</f>
        <v>Dining and Café</v>
      </c>
      <c r="B153" s="813" t="s">
        <v>107</v>
      </c>
      <c r="C153" s="835" t="s">
        <v>524</v>
      </c>
      <c r="D153" s="816" t="s">
        <v>549</v>
      </c>
      <c r="E153" s="411" t="s">
        <v>386</v>
      </c>
      <c r="F153" s="412">
        <v>0.2</v>
      </c>
      <c r="G153" s="413">
        <v>0</v>
      </c>
      <c r="H153" s="413">
        <v>0</v>
      </c>
      <c r="I153" s="412">
        <v>0</v>
      </c>
      <c r="J153" s="412">
        <v>0</v>
      </c>
      <c r="K153" s="413">
        <v>0.6</v>
      </c>
      <c r="L153" s="413">
        <v>0.6</v>
      </c>
      <c r="M153" s="412">
        <v>0.6</v>
      </c>
      <c r="N153" s="412">
        <v>0.55000000000000004</v>
      </c>
      <c r="O153" s="412">
        <v>0.45</v>
      </c>
      <c r="P153" s="412">
        <v>0.4</v>
      </c>
      <c r="Q153" s="412">
        <v>0.45</v>
      </c>
      <c r="R153" s="412">
        <v>0.4</v>
      </c>
      <c r="S153" s="412">
        <v>0.35</v>
      </c>
      <c r="T153" s="412">
        <v>0.3</v>
      </c>
      <c r="U153" s="412">
        <v>0.3</v>
      </c>
      <c r="V153" s="412">
        <v>0.3</v>
      </c>
      <c r="W153" s="412">
        <v>0.4</v>
      </c>
      <c r="X153" s="412">
        <v>0.55000000000000004</v>
      </c>
      <c r="Y153" s="412">
        <v>0.6</v>
      </c>
      <c r="Z153" s="412">
        <v>0.5</v>
      </c>
      <c r="AA153" s="412">
        <v>0.55000000000000004</v>
      </c>
      <c r="AB153" s="412">
        <v>0.45</v>
      </c>
      <c r="AC153" s="414">
        <v>0.25</v>
      </c>
      <c r="AD153" s="47"/>
      <c r="AE153" s="47"/>
      <c r="AF153" s="47"/>
      <c r="AG153" s="47"/>
      <c r="AH153" s="47"/>
      <c r="AI153" s="47"/>
      <c r="AJ153" s="47"/>
      <c r="AK153" s="47"/>
    </row>
    <row r="154" spans="1:37" ht="30.6" customHeight="1" x14ac:dyDescent="0.25">
      <c r="A154" s="728"/>
      <c r="B154" s="814"/>
      <c r="C154" s="831"/>
      <c r="D154" s="817"/>
      <c r="E154" s="415" t="s">
        <v>387</v>
      </c>
      <c r="F154" s="406">
        <v>0.2</v>
      </c>
      <c r="G154" s="416">
        <v>0</v>
      </c>
      <c r="H154" s="416">
        <v>0</v>
      </c>
      <c r="I154" s="406">
        <v>0</v>
      </c>
      <c r="J154" s="406">
        <v>0</v>
      </c>
      <c r="K154" s="406">
        <v>0</v>
      </c>
      <c r="L154" s="416">
        <v>0.5</v>
      </c>
      <c r="M154" s="416">
        <v>0.5</v>
      </c>
      <c r="N154" s="416">
        <v>0.5</v>
      </c>
      <c r="O154" s="406">
        <v>0.5</v>
      </c>
      <c r="P154" s="406">
        <v>0.45</v>
      </c>
      <c r="Q154" s="406">
        <v>0.5</v>
      </c>
      <c r="R154" s="406">
        <v>0.5</v>
      </c>
      <c r="S154" s="406">
        <v>0.45</v>
      </c>
      <c r="T154" s="406">
        <v>0.4</v>
      </c>
      <c r="U154" s="406">
        <v>0.4</v>
      </c>
      <c r="V154" s="406">
        <v>0.35</v>
      </c>
      <c r="W154" s="406">
        <v>0.4</v>
      </c>
      <c r="X154" s="406">
        <v>0.55000000000000004</v>
      </c>
      <c r="Y154" s="406">
        <v>0.55000000000000004</v>
      </c>
      <c r="Z154" s="406">
        <v>0.5</v>
      </c>
      <c r="AA154" s="406">
        <v>0.55000000000000004</v>
      </c>
      <c r="AB154" s="406">
        <v>0.4</v>
      </c>
      <c r="AC154" s="417">
        <v>0.3</v>
      </c>
      <c r="AD154" s="47"/>
      <c r="AE154" s="47"/>
      <c r="AF154" s="47"/>
      <c r="AG154" s="47"/>
      <c r="AH154" s="47"/>
      <c r="AI154" s="47"/>
      <c r="AJ154" s="47"/>
      <c r="AK154" s="47"/>
    </row>
    <row r="155" spans="1:37" ht="30.6" customHeight="1" thickBot="1" x14ac:dyDescent="0.3">
      <c r="A155" s="729"/>
      <c r="B155" s="815"/>
      <c r="C155" s="832"/>
      <c r="D155" s="818"/>
      <c r="E155" s="418" t="s">
        <v>388</v>
      </c>
      <c r="F155" s="419">
        <v>0.25</v>
      </c>
      <c r="G155" s="420">
        <v>0</v>
      </c>
      <c r="H155" s="420">
        <v>0</v>
      </c>
      <c r="I155" s="419">
        <v>0</v>
      </c>
      <c r="J155" s="419">
        <v>0</v>
      </c>
      <c r="K155" s="419">
        <v>0</v>
      </c>
      <c r="L155" s="420">
        <v>0.5</v>
      </c>
      <c r="M155" s="420">
        <v>0.5</v>
      </c>
      <c r="N155" s="420">
        <v>0.5</v>
      </c>
      <c r="O155" s="420">
        <v>0.5</v>
      </c>
      <c r="P155" s="419">
        <v>0.5</v>
      </c>
      <c r="Q155" s="419">
        <v>0.5</v>
      </c>
      <c r="R155" s="419">
        <v>0.4</v>
      </c>
      <c r="S155" s="419">
        <v>0.4</v>
      </c>
      <c r="T155" s="419">
        <v>0.3</v>
      </c>
      <c r="U155" s="419">
        <v>0.3</v>
      </c>
      <c r="V155" s="419">
        <v>0.3</v>
      </c>
      <c r="W155" s="419">
        <v>0.4</v>
      </c>
      <c r="X155" s="419">
        <v>0.5</v>
      </c>
      <c r="Y155" s="419">
        <v>0.5</v>
      </c>
      <c r="Z155" s="419">
        <v>0.4</v>
      </c>
      <c r="AA155" s="419">
        <v>0.5</v>
      </c>
      <c r="AB155" s="419">
        <v>0.4</v>
      </c>
      <c r="AC155" s="421">
        <v>0.2</v>
      </c>
      <c r="AD155" s="47"/>
      <c r="AE155" s="47"/>
      <c r="AF155" s="47"/>
      <c r="AG155" s="47"/>
      <c r="AH155" s="47"/>
      <c r="AI155" s="47"/>
      <c r="AJ155" s="47"/>
      <c r="AK155" s="47"/>
    </row>
    <row r="156" spans="1:37" ht="30.6" customHeight="1" x14ac:dyDescent="0.25">
      <c r="A156" s="812" t="str">
        <f>A138</f>
        <v>Dining and Café</v>
      </c>
      <c r="B156" s="813" t="s">
        <v>107</v>
      </c>
      <c r="C156" s="835" t="s">
        <v>241</v>
      </c>
      <c r="D156" s="858" t="s">
        <v>550</v>
      </c>
      <c r="E156" s="422" t="s">
        <v>386</v>
      </c>
      <c r="F156" s="427">
        <v>0.25</v>
      </c>
      <c r="G156" s="427">
        <v>0</v>
      </c>
      <c r="H156" s="427">
        <v>0</v>
      </c>
      <c r="I156" s="403">
        <v>1</v>
      </c>
      <c r="J156" s="427">
        <v>0.25</v>
      </c>
      <c r="K156" s="430">
        <v>0.25</v>
      </c>
      <c r="L156" s="431">
        <v>0.25</v>
      </c>
      <c r="M156" s="431">
        <v>0.25</v>
      </c>
      <c r="N156" s="431">
        <v>0.25</v>
      </c>
      <c r="O156" s="403">
        <v>0.25</v>
      </c>
      <c r="P156" s="403">
        <v>0.25</v>
      </c>
      <c r="Q156" s="403">
        <v>0.25</v>
      </c>
      <c r="R156" s="403">
        <v>0.25</v>
      </c>
      <c r="S156" s="403">
        <v>0.25</v>
      </c>
      <c r="T156" s="403">
        <v>0.25</v>
      </c>
      <c r="U156" s="403">
        <v>0.25</v>
      </c>
      <c r="V156" s="427">
        <v>0.25</v>
      </c>
      <c r="W156" s="403">
        <v>0.25</v>
      </c>
      <c r="X156" s="403">
        <v>0.25</v>
      </c>
      <c r="Y156" s="403">
        <v>0.25</v>
      </c>
      <c r="Z156" s="403">
        <v>0.25</v>
      </c>
      <c r="AA156" s="403">
        <v>0.25</v>
      </c>
      <c r="AB156" s="403">
        <v>0.25</v>
      </c>
      <c r="AC156" s="404">
        <v>0.25</v>
      </c>
      <c r="AD156" s="47"/>
      <c r="AE156" s="47"/>
      <c r="AF156" s="47"/>
      <c r="AG156" s="47"/>
      <c r="AH156" s="47"/>
      <c r="AI156" s="47"/>
      <c r="AJ156" s="47"/>
      <c r="AK156" s="47"/>
    </row>
    <row r="157" spans="1:37" ht="30.6" customHeight="1" x14ac:dyDescent="0.25">
      <c r="A157" s="728"/>
      <c r="B157" s="814"/>
      <c r="C157" s="831"/>
      <c r="D157" s="833"/>
      <c r="E157" s="424" t="s">
        <v>387</v>
      </c>
      <c r="F157" s="416">
        <v>0.25</v>
      </c>
      <c r="G157" s="416">
        <v>0</v>
      </c>
      <c r="H157" s="406">
        <v>0</v>
      </c>
      <c r="I157" s="406">
        <v>1</v>
      </c>
      <c r="J157" s="406">
        <v>1</v>
      </c>
      <c r="K157" s="416">
        <v>0.25</v>
      </c>
      <c r="L157" s="416">
        <v>0.25</v>
      </c>
      <c r="M157" s="416">
        <v>0.25</v>
      </c>
      <c r="N157" s="406">
        <v>0.25</v>
      </c>
      <c r="O157" s="406">
        <v>0.25</v>
      </c>
      <c r="P157" s="406">
        <v>0.25</v>
      </c>
      <c r="Q157" s="406">
        <v>0.25</v>
      </c>
      <c r="R157" s="406">
        <v>0.25</v>
      </c>
      <c r="S157" s="406">
        <v>0.25</v>
      </c>
      <c r="T157" s="406">
        <v>0.25</v>
      </c>
      <c r="U157" s="406">
        <v>0.25</v>
      </c>
      <c r="V157" s="406">
        <v>0.25</v>
      </c>
      <c r="W157" s="406">
        <v>0.25</v>
      </c>
      <c r="X157" s="406">
        <v>0.25</v>
      </c>
      <c r="Y157" s="406">
        <v>0.25</v>
      </c>
      <c r="Z157" s="406">
        <v>0.25</v>
      </c>
      <c r="AA157" s="406">
        <v>0.25</v>
      </c>
      <c r="AB157" s="406">
        <v>0.25</v>
      </c>
      <c r="AC157" s="407">
        <v>0.25</v>
      </c>
      <c r="AD157" s="47"/>
      <c r="AE157" s="47"/>
      <c r="AF157" s="47"/>
      <c r="AG157" s="47"/>
      <c r="AH157" s="47"/>
      <c r="AI157" s="47"/>
      <c r="AJ157" s="47"/>
      <c r="AK157" s="47"/>
    </row>
    <row r="158" spans="1:37" ht="30.6" customHeight="1" thickBot="1" x14ac:dyDescent="0.3">
      <c r="A158" s="729"/>
      <c r="B158" s="815"/>
      <c r="C158" s="832"/>
      <c r="D158" s="834"/>
      <c r="E158" s="450" t="s">
        <v>388</v>
      </c>
      <c r="F158" s="420">
        <v>0.25</v>
      </c>
      <c r="G158" s="420">
        <v>0</v>
      </c>
      <c r="H158" s="420">
        <v>0</v>
      </c>
      <c r="I158" s="419">
        <v>1</v>
      </c>
      <c r="J158" s="419">
        <v>1</v>
      </c>
      <c r="K158" s="448">
        <v>0.25</v>
      </c>
      <c r="L158" s="448">
        <v>0.25</v>
      </c>
      <c r="M158" s="448">
        <v>0.25</v>
      </c>
      <c r="N158" s="448">
        <v>0.25</v>
      </c>
      <c r="O158" s="419">
        <v>0.25</v>
      </c>
      <c r="P158" s="419">
        <v>0.25</v>
      </c>
      <c r="Q158" s="419">
        <v>0.25</v>
      </c>
      <c r="R158" s="419">
        <v>0.25</v>
      </c>
      <c r="S158" s="419">
        <v>0.25</v>
      </c>
      <c r="T158" s="419">
        <v>0.25</v>
      </c>
      <c r="U158" s="419">
        <v>0.25</v>
      </c>
      <c r="V158" s="419">
        <v>0.25</v>
      </c>
      <c r="W158" s="419">
        <v>0.25</v>
      </c>
      <c r="X158" s="419">
        <v>0.25</v>
      </c>
      <c r="Y158" s="419">
        <v>0.25</v>
      </c>
      <c r="Z158" s="419">
        <v>0.25</v>
      </c>
      <c r="AA158" s="419">
        <v>0.25</v>
      </c>
      <c r="AB158" s="419">
        <v>0.25</v>
      </c>
      <c r="AC158" s="449">
        <v>0.25</v>
      </c>
      <c r="AD158" s="47"/>
      <c r="AE158" s="47"/>
      <c r="AF158" s="47"/>
      <c r="AG158" s="47"/>
      <c r="AH158" s="47"/>
      <c r="AI158" s="47"/>
      <c r="AJ158" s="47"/>
      <c r="AK158" s="47"/>
    </row>
    <row r="159" spans="1:37" ht="30.6" customHeight="1" x14ac:dyDescent="0.25">
      <c r="A159" s="859" t="str">
        <f>A138</f>
        <v>Dining and Café</v>
      </c>
      <c r="B159" s="862" t="str">
        <f>B153</f>
        <v>Restaurant</v>
      </c>
      <c r="C159" s="777" t="s">
        <v>529</v>
      </c>
      <c r="D159" s="864" t="s">
        <v>547</v>
      </c>
      <c r="E159" s="451" t="s">
        <v>386</v>
      </c>
      <c r="F159" s="348">
        <f>IF(F150=1,Thermostat!$B$3,Thermostat!$B$4)</f>
        <v>70</v>
      </c>
      <c r="G159" s="348">
        <f>IF(G150=1,Thermostat!$B$3,Thermostat!$B$4)</f>
        <v>70</v>
      </c>
      <c r="H159" s="348">
        <f>IF(H150=1,Thermostat!$B$3,Thermostat!$B$4)</f>
        <v>70</v>
      </c>
      <c r="I159" s="348">
        <f>IF(I150=1,Thermostat!$B$3,Thermostat!$B$4)</f>
        <v>70</v>
      </c>
      <c r="J159" s="348">
        <f>IF(J150=1,Thermostat!$B$3,Thermostat!$B$4)</f>
        <v>70</v>
      </c>
      <c r="K159" s="348">
        <f>IF(K150=1,Thermostat!$B$3,Thermostat!$B$4)</f>
        <v>70</v>
      </c>
      <c r="L159" s="348">
        <f>IF(L150=1,Thermostat!$B$3,Thermostat!$B$4)</f>
        <v>70</v>
      </c>
      <c r="M159" s="348">
        <f>IF(M150=1,Thermostat!$B$3,Thermostat!$B$4)</f>
        <v>70</v>
      </c>
      <c r="N159" s="348">
        <f>IF(N150=1,Thermostat!$B$3,Thermostat!$B$4)</f>
        <v>70</v>
      </c>
      <c r="O159" s="348">
        <f>IF(O150=1,Thermostat!$B$3,Thermostat!$B$4)</f>
        <v>70</v>
      </c>
      <c r="P159" s="348">
        <f>IF(P150=1,Thermostat!$B$3,Thermostat!$B$4)</f>
        <v>70</v>
      </c>
      <c r="Q159" s="348">
        <f>IF(Q150=1,Thermostat!$B$3,Thermostat!$B$4)</f>
        <v>70</v>
      </c>
      <c r="R159" s="348">
        <f>IF(R150=1,Thermostat!$B$3,Thermostat!$B$4)</f>
        <v>70</v>
      </c>
      <c r="S159" s="348">
        <f>IF(S150=1,Thermostat!$B$3,Thermostat!$B$4)</f>
        <v>70</v>
      </c>
      <c r="T159" s="348">
        <f>IF(T150=1,Thermostat!$B$3,Thermostat!$B$4)</f>
        <v>70</v>
      </c>
      <c r="U159" s="348">
        <f>IF(U150=1,Thermostat!$B$3,Thermostat!$B$4)</f>
        <v>70</v>
      </c>
      <c r="V159" s="348">
        <f>IF(V150=1,Thermostat!$B$3,Thermostat!$B$4)</f>
        <v>70</v>
      </c>
      <c r="W159" s="348">
        <f>IF(W150=1,Thermostat!$B$3,Thermostat!$B$4)</f>
        <v>70</v>
      </c>
      <c r="X159" s="348">
        <f>IF(X150=1,Thermostat!$B$3,Thermostat!$B$4)</f>
        <v>70</v>
      </c>
      <c r="Y159" s="348">
        <f>IF(Y150=1,Thermostat!$B$3,Thermostat!$B$4)</f>
        <v>70</v>
      </c>
      <c r="Z159" s="348">
        <f>IF(Z150=1,Thermostat!$B$3,Thermostat!$B$4)</f>
        <v>70</v>
      </c>
      <c r="AA159" s="348">
        <f>IF(AA150=1,Thermostat!$B$3,Thermostat!$B$4)</f>
        <v>70</v>
      </c>
      <c r="AB159" s="348">
        <f>IF(AB150=1,Thermostat!$B$3,Thermostat!$B$4)</f>
        <v>70</v>
      </c>
      <c r="AC159" s="349">
        <f>IF(AC150=1,Thermostat!$B$3,Thermostat!$B$4)</f>
        <v>70</v>
      </c>
      <c r="AD159" s="47"/>
      <c r="AE159" s="47"/>
      <c r="AF159" s="47"/>
      <c r="AG159" s="47"/>
      <c r="AH159" s="47"/>
      <c r="AI159" s="47"/>
      <c r="AJ159" s="47"/>
      <c r="AK159" s="47"/>
    </row>
    <row r="160" spans="1:37" ht="30.6" customHeight="1" x14ac:dyDescent="0.25">
      <c r="A160" s="860"/>
      <c r="B160" s="847"/>
      <c r="C160" s="778"/>
      <c r="D160" s="852"/>
      <c r="E160" s="452" t="s">
        <v>387</v>
      </c>
      <c r="F160" s="346">
        <f>IF(F151=1,Thermostat!$B$3,Thermostat!$B$4)</f>
        <v>70</v>
      </c>
      <c r="G160" s="346">
        <f>IF(G151=1,Thermostat!$B$3,Thermostat!$B$4)</f>
        <v>70</v>
      </c>
      <c r="H160" s="346">
        <f>IF(H151=1,Thermostat!$B$3,Thermostat!$B$4)</f>
        <v>70</v>
      </c>
      <c r="I160" s="346">
        <f>IF(I151=1,Thermostat!$B$3,Thermostat!$B$4)</f>
        <v>70</v>
      </c>
      <c r="J160" s="346">
        <f>IF(J151=1,Thermostat!$B$3,Thermostat!$B$4)</f>
        <v>70</v>
      </c>
      <c r="K160" s="346">
        <f>IF(K151=1,Thermostat!$B$3,Thermostat!$B$4)</f>
        <v>70</v>
      </c>
      <c r="L160" s="346">
        <f>IF(L151=1,Thermostat!$B$3,Thermostat!$B$4)</f>
        <v>70</v>
      </c>
      <c r="M160" s="346">
        <f>IF(M151=1,Thermostat!$B$3,Thermostat!$B$4)</f>
        <v>70</v>
      </c>
      <c r="N160" s="346">
        <f>IF(N151=1,Thermostat!$B$3,Thermostat!$B$4)</f>
        <v>70</v>
      </c>
      <c r="O160" s="346">
        <f>IF(O151=1,Thermostat!$B$3,Thermostat!$B$4)</f>
        <v>70</v>
      </c>
      <c r="P160" s="346">
        <f>IF(P151=1,Thermostat!$B$3,Thermostat!$B$4)</f>
        <v>70</v>
      </c>
      <c r="Q160" s="346">
        <f>IF(Q151=1,Thermostat!$B$3,Thermostat!$B$4)</f>
        <v>70</v>
      </c>
      <c r="R160" s="346">
        <f>IF(R151=1,Thermostat!$B$3,Thermostat!$B$4)</f>
        <v>70</v>
      </c>
      <c r="S160" s="346">
        <f>IF(S151=1,Thermostat!$B$3,Thermostat!$B$4)</f>
        <v>70</v>
      </c>
      <c r="T160" s="346">
        <f>IF(T151=1,Thermostat!$B$3,Thermostat!$B$4)</f>
        <v>70</v>
      </c>
      <c r="U160" s="346">
        <f>IF(U151=1,Thermostat!$B$3,Thermostat!$B$4)</f>
        <v>70</v>
      </c>
      <c r="V160" s="346">
        <f>IF(V151=1,Thermostat!$B$3,Thermostat!$B$4)</f>
        <v>70</v>
      </c>
      <c r="W160" s="346">
        <f>IF(W151=1,Thermostat!$B$3,Thermostat!$B$4)</f>
        <v>70</v>
      </c>
      <c r="X160" s="346">
        <f>IF(X151=1,Thermostat!$B$3,Thermostat!$B$4)</f>
        <v>70</v>
      </c>
      <c r="Y160" s="346">
        <f>IF(Y151=1,Thermostat!$B$3,Thermostat!$B$4)</f>
        <v>70</v>
      </c>
      <c r="Z160" s="346">
        <f>IF(Z151=1,Thermostat!$B$3,Thermostat!$B$4)</f>
        <v>70</v>
      </c>
      <c r="AA160" s="346">
        <f>IF(AA151=1,Thermostat!$B$3,Thermostat!$B$4)</f>
        <v>70</v>
      </c>
      <c r="AB160" s="346">
        <f>IF(AB151=1,Thermostat!$B$3,Thermostat!$B$4)</f>
        <v>70</v>
      </c>
      <c r="AC160" s="350">
        <f>IF(AC151=1,Thermostat!$B$3,Thermostat!$B$4)</f>
        <v>70</v>
      </c>
      <c r="AD160" s="47"/>
      <c r="AE160" s="47"/>
      <c r="AF160" s="47"/>
      <c r="AG160" s="47"/>
      <c r="AH160" s="47"/>
      <c r="AI160" s="47"/>
      <c r="AJ160" s="47"/>
      <c r="AK160" s="47"/>
    </row>
    <row r="161" spans="1:37" ht="30.6" customHeight="1" thickBot="1" x14ac:dyDescent="0.3">
      <c r="A161" s="861"/>
      <c r="B161" s="863"/>
      <c r="C161" s="798"/>
      <c r="D161" s="865"/>
      <c r="E161" s="453" t="s">
        <v>388</v>
      </c>
      <c r="F161" s="351">
        <f>IF(F152=1,Thermostat!$B$3,Thermostat!$B$4)</f>
        <v>70</v>
      </c>
      <c r="G161" s="351">
        <f>IF(G152=1,Thermostat!$B$3,Thermostat!$B$4)</f>
        <v>70</v>
      </c>
      <c r="H161" s="351">
        <f>IF(H152=1,Thermostat!$B$3,Thermostat!$B$4)</f>
        <v>70</v>
      </c>
      <c r="I161" s="351">
        <f>IF(I152=1,Thermostat!$B$3,Thermostat!$B$4)</f>
        <v>70</v>
      </c>
      <c r="J161" s="351">
        <f>IF(J152=1,Thermostat!$B$3,Thermostat!$B$4)</f>
        <v>70</v>
      </c>
      <c r="K161" s="351">
        <f>IF(K152=1,Thermostat!$B$3,Thermostat!$B$4)</f>
        <v>70</v>
      </c>
      <c r="L161" s="351">
        <f>IF(L152=1,Thermostat!$B$3,Thermostat!$B$4)</f>
        <v>70</v>
      </c>
      <c r="M161" s="351">
        <f>IF(M152=1,Thermostat!$B$3,Thermostat!$B$4)</f>
        <v>70</v>
      </c>
      <c r="N161" s="351">
        <f>IF(N152=1,Thermostat!$B$3,Thermostat!$B$4)</f>
        <v>70</v>
      </c>
      <c r="O161" s="351">
        <f>IF(O152=1,Thermostat!$B$3,Thermostat!$B$4)</f>
        <v>70</v>
      </c>
      <c r="P161" s="351">
        <f>IF(P152=1,Thermostat!$B$3,Thermostat!$B$4)</f>
        <v>70</v>
      </c>
      <c r="Q161" s="351">
        <f>IF(Q152=1,Thermostat!$B$3,Thermostat!$B$4)</f>
        <v>70</v>
      </c>
      <c r="R161" s="351">
        <f>IF(R152=1,Thermostat!$B$3,Thermostat!$B$4)</f>
        <v>70</v>
      </c>
      <c r="S161" s="351">
        <f>IF(S152=1,Thermostat!$B$3,Thermostat!$B$4)</f>
        <v>70</v>
      </c>
      <c r="T161" s="351">
        <f>IF(T152=1,Thermostat!$B$3,Thermostat!$B$4)</f>
        <v>70</v>
      </c>
      <c r="U161" s="351">
        <f>IF(U152=1,Thermostat!$B$3,Thermostat!$B$4)</f>
        <v>70</v>
      </c>
      <c r="V161" s="351">
        <f>IF(V152=1,Thermostat!$B$3,Thermostat!$B$4)</f>
        <v>70</v>
      </c>
      <c r="W161" s="351">
        <f>IF(W152=1,Thermostat!$B$3,Thermostat!$B$4)</f>
        <v>70</v>
      </c>
      <c r="X161" s="351">
        <f>IF(X152=1,Thermostat!$B$3,Thermostat!$B$4)</f>
        <v>70</v>
      </c>
      <c r="Y161" s="351">
        <f>IF(Y152=1,Thermostat!$B$3,Thermostat!$B$4)</f>
        <v>70</v>
      </c>
      <c r="Z161" s="351">
        <f>IF(Z152=1,Thermostat!$B$3,Thermostat!$B$4)</f>
        <v>70</v>
      </c>
      <c r="AA161" s="351">
        <f>IF(AA152=1,Thermostat!$B$3,Thermostat!$B$4)</f>
        <v>70</v>
      </c>
      <c r="AB161" s="351">
        <f>IF(AB152=1,Thermostat!$B$3,Thermostat!$B$4)</f>
        <v>70</v>
      </c>
      <c r="AC161" s="352">
        <f>IF(AC152=1,Thermostat!$B$3,Thermostat!$B$4)</f>
        <v>70</v>
      </c>
      <c r="AD161" s="47"/>
      <c r="AE161" s="47"/>
      <c r="AF161" s="47"/>
      <c r="AG161" s="47"/>
      <c r="AH161" s="47"/>
      <c r="AI161" s="47"/>
      <c r="AJ161" s="47"/>
      <c r="AK161" s="47"/>
    </row>
    <row r="162" spans="1:37" ht="30.6" customHeight="1" x14ac:dyDescent="0.25">
      <c r="A162" s="784" t="str">
        <f>A138</f>
        <v>Dining and Café</v>
      </c>
      <c r="B162" s="854" t="str">
        <f>B156</f>
        <v>Restaurant</v>
      </c>
      <c r="C162" s="856" t="s">
        <v>530</v>
      </c>
      <c r="D162" s="766" t="s">
        <v>547</v>
      </c>
      <c r="E162" s="451" t="s">
        <v>386</v>
      </c>
      <c r="F162" s="348">
        <f>IF(F150=1,Thermostat!$B$5,Thermostat!$B$6)</f>
        <v>75</v>
      </c>
      <c r="G162" s="348">
        <f>IF(G150=1,Thermostat!$B$5,Thermostat!$B$6)</f>
        <v>75</v>
      </c>
      <c r="H162" s="348">
        <f>IF(H150=1,Thermostat!$B$5,Thermostat!$B$6)</f>
        <v>75</v>
      </c>
      <c r="I162" s="348">
        <f>IF(I150=1,Thermostat!$B$5,Thermostat!$B$6)</f>
        <v>75</v>
      </c>
      <c r="J162" s="348">
        <f>IF(J150=1,Thermostat!$B$5,Thermostat!$B$6)</f>
        <v>75</v>
      </c>
      <c r="K162" s="348">
        <f>IF(K150=1,Thermostat!$B$5,Thermostat!$B$6)</f>
        <v>75</v>
      </c>
      <c r="L162" s="348">
        <f>IF(L150=1,Thermostat!$B$5,Thermostat!$B$6)</f>
        <v>75</v>
      </c>
      <c r="M162" s="348">
        <f>IF(M150=1,Thermostat!$B$5,Thermostat!$B$6)</f>
        <v>75</v>
      </c>
      <c r="N162" s="348">
        <f>IF(N150=1,Thermostat!$B$5,Thermostat!$B$6)</f>
        <v>75</v>
      </c>
      <c r="O162" s="348">
        <f>IF(O150=1,Thermostat!$B$5,Thermostat!$B$6)</f>
        <v>75</v>
      </c>
      <c r="P162" s="348">
        <f>IF(P150=1,Thermostat!$B$5,Thermostat!$B$6)</f>
        <v>75</v>
      </c>
      <c r="Q162" s="348">
        <f>IF(Q150=1,Thermostat!$B$5,Thermostat!$B$6)</f>
        <v>75</v>
      </c>
      <c r="R162" s="348">
        <f>IF(R150=1,Thermostat!$B$5,Thermostat!$B$6)</f>
        <v>75</v>
      </c>
      <c r="S162" s="348">
        <f>IF(S150=1,Thermostat!$B$5,Thermostat!$B$6)</f>
        <v>75</v>
      </c>
      <c r="T162" s="348">
        <f>IF(T150=1,Thermostat!$B$5,Thermostat!$B$6)</f>
        <v>75</v>
      </c>
      <c r="U162" s="348">
        <f>IF(U150=1,Thermostat!$B$5,Thermostat!$B$6)</f>
        <v>75</v>
      </c>
      <c r="V162" s="348">
        <f>IF(V150=1,Thermostat!$B$5,Thermostat!$B$6)</f>
        <v>75</v>
      </c>
      <c r="W162" s="348">
        <f>IF(W150=1,Thermostat!$B$5,Thermostat!$B$6)</f>
        <v>75</v>
      </c>
      <c r="X162" s="348">
        <f>IF(X150=1,Thermostat!$B$5,Thermostat!$B$6)</f>
        <v>75</v>
      </c>
      <c r="Y162" s="348">
        <f>IF(Y150=1,Thermostat!$B$5,Thermostat!$B$6)</f>
        <v>75</v>
      </c>
      <c r="Z162" s="348">
        <f>IF(Z150=1,Thermostat!$B$5,Thermostat!$B$6)</f>
        <v>75</v>
      </c>
      <c r="AA162" s="348">
        <f>IF(AA150=1,Thermostat!$B$5,Thermostat!$B$6)</f>
        <v>75</v>
      </c>
      <c r="AB162" s="348">
        <f>IF(AB150=1,Thermostat!$B$5,Thermostat!$B$6)</f>
        <v>75</v>
      </c>
      <c r="AC162" s="349">
        <f>IF(AC150=1,Thermostat!$B$5,Thermostat!$B$6)</f>
        <v>75</v>
      </c>
      <c r="AD162" s="47"/>
      <c r="AE162" s="47"/>
      <c r="AF162" s="47"/>
      <c r="AG162" s="47"/>
      <c r="AH162" s="47"/>
      <c r="AI162" s="47"/>
      <c r="AJ162" s="47"/>
      <c r="AK162" s="47"/>
    </row>
    <row r="163" spans="1:37" ht="30.6" customHeight="1" x14ac:dyDescent="0.25">
      <c r="A163" s="785"/>
      <c r="B163" s="847"/>
      <c r="C163" s="778"/>
      <c r="D163" s="767"/>
      <c r="E163" s="452" t="s">
        <v>387</v>
      </c>
      <c r="F163" s="346">
        <f>IF(F151=1,Thermostat!$B$5,Thermostat!$B$6)</f>
        <v>75</v>
      </c>
      <c r="G163" s="346">
        <f>IF(G151=1,Thermostat!$B$5,Thermostat!$B$6)</f>
        <v>75</v>
      </c>
      <c r="H163" s="346">
        <f>IF(H151=1,Thermostat!$B$5,Thermostat!$B$6)</f>
        <v>75</v>
      </c>
      <c r="I163" s="346">
        <f>IF(I151=1,Thermostat!$B$5,Thermostat!$B$6)</f>
        <v>75</v>
      </c>
      <c r="J163" s="346">
        <f>IF(J151=1,Thermostat!$B$5,Thermostat!$B$6)</f>
        <v>75</v>
      </c>
      <c r="K163" s="346">
        <f>IF(K151=1,Thermostat!$B$5,Thermostat!$B$6)</f>
        <v>75</v>
      </c>
      <c r="L163" s="346">
        <f>IF(L151=1,Thermostat!$B$5,Thermostat!$B$6)</f>
        <v>75</v>
      </c>
      <c r="M163" s="346">
        <f>IF(M151=1,Thermostat!$B$5,Thermostat!$B$6)</f>
        <v>75</v>
      </c>
      <c r="N163" s="346">
        <f>IF(N151=1,Thermostat!$B$5,Thermostat!$B$6)</f>
        <v>75</v>
      </c>
      <c r="O163" s="346">
        <f>IF(O151=1,Thermostat!$B$5,Thermostat!$B$6)</f>
        <v>75</v>
      </c>
      <c r="P163" s="346">
        <f>IF(P151=1,Thermostat!$B$5,Thermostat!$B$6)</f>
        <v>75</v>
      </c>
      <c r="Q163" s="346">
        <f>IF(Q151=1,Thermostat!$B$5,Thermostat!$B$6)</f>
        <v>75</v>
      </c>
      <c r="R163" s="346">
        <f>IF(R151=1,Thermostat!$B$5,Thermostat!$B$6)</f>
        <v>75</v>
      </c>
      <c r="S163" s="346">
        <f>IF(S151=1,Thermostat!$B$5,Thermostat!$B$6)</f>
        <v>75</v>
      </c>
      <c r="T163" s="346">
        <f>IF(T151=1,Thermostat!$B$5,Thermostat!$B$6)</f>
        <v>75</v>
      </c>
      <c r="U163" s="346">
        <f>IF(U151=1,Thermostat!$B$5,Thermostat!$B$6)</f>
        <v>75</v>
      </c>
      <c r="V163" s="346">
        <f>IF(V151=1,Thermostat!$B$5,Thermostat!$B$6)</f>
        <v>75</v>
      </c>
      <c r="W163" s="346">
        <f>IF(W151=1,Thermostat!$B$5,Thermostat!$B$6)</f>
        <v>75</v>
      </c>
      <c r="X163" s="346">
        <f>IF(X151=1,Thermostat!$B$5,Thermostat!$B$6)</f>
        <v>75</v>
      </c>
      <c r="Y163" s="346">
        <f>IF(Y151=1,Thermostat!$B$5,Thermostat!$B$6)</f>
        <v>75</v>
      </c>
      <c r="Z163" s="346">
        <f>IF(Z151=1,Thermostat!$B$5,Thermostat!$B$6)</f>
        <v>75</v>
      </c>
      <c r="AA163" s="346">
        <f>IF(AA151=1,Thermostat!$B$5,Thermostat!$B$6)</f>
        <v>75</v>
      </c>
      <c r="AB163" s="346">
        <f>IF(AB151=1,Thermostat!$B$5,Thermostat!$B$6)</f>
        <v>75</v>
      </c>
      <c r="AC163" s="350">
        <f>IF(AC151=1,Thermostat!$B$5,Thermostat!$B$6)</f>
        <v>75</v>
      </c>
      <c r="AD163" s="47"/>
      <c r="AE163" s="47"/>
      <c r="AF163" s="47"/>
      <c r="AG163" s="47"/>
      <c r="AH163" s="47"/>
      <c r="AI163" s="47"/>
      <c r="AJ163" s="47"/>
      <c r="AK163" s="47"/>
    </row>
    <row r="164" spans="1:37" ht="30.6" customHeight="1" thickBot="1" x14ac:dyDescent="0.3">
      <c r="A164" s="819"/>
      <c r="B164" s="855"/>
      <c r="C164" s="857"/>
      <c r="D164" s="768"/>
      <c r="E164" s="453" t="s">
        <v>388</v>
      </c>
      <c r="F164" s="351">
        <f>IF(F152=1,Thermostat!$B$5,Thermostat!$B$6)</f>
        <v>75</v>
      </c>
      <c r="G164" s="351">
        <f>IF(G152=1,Thermostat!$B$5,Thermostat!$B$6)</f>
        <v>75</v>
      </c>
      <c r="H164" s="351">
        <f>IF(H152=1,Thermostat!$B$5,Thermostat!$B$6)</f>
        <v>75</v>
      </c>
      <c r="I164" s="351">
        <f>IF(I152=1,Thermostat!$B$5,Thermostat!$B$6)</f>
        <v>75</v>
      </c>
      <c r="J164" s="351">
        <f>IF(J152=1,Thermostat!$B$5,Thermostat!$B$6)</f>
        <v>75</v>
      </c>
      <c r="K164" s="351">
        <f>IF(K152=1,Thermostat!$B$5,Thermostat!$B$6)</f>
        <v>75</v>
      </c>
      <c r="L164" s="351">
        <f>IF(L152=1,Thermostat!$B$5,Thermostat!$B$6)</f>
        <v>75</v>
      </c>
      <c r="M164" s="351">
        <f>IF(M152=1,Thermostat!$B$5,Thermostat!$B$6)</f>
        <v>75</v>
      </c>
      <c r="N164" s="351">
        <f>IF(N152=1,Thermostat!$B$5,Thermostat!$B$6)</f>
        <v>75</v>
      </c>
      <c r="O164" s="351">
        <f>IF(O152=1,Thermostat!$B$5,Thermostat!$B$6)</f>
        <v>75</v>
      </c>
      <c r="P164" s="351">
        <f>IF(P152=1,Thermostat!$B$5,Thermostat!$B$6)</f>
        <v>75</v>
      </c>
      <c r="Q164" s="351">
        <f>IF(Q152=1,Thermostat!$B$5,Thermostat!$B$6)</f>
        <v>75</v>
      </c>
      <c r="R164" s="351">
        <f>IF(R152=1,Thermostat!$B$5,Thermostat!$B$6)</f>
        <v>75</v>
      </c>
      <c r="S164" s="351">
        <f>IF(S152=1,Thermostat!$B$5,Thermostat!$B$6)</f>
        <v>75</v>
      </c>
      <c r="T164" s="351">
        <f>IF(T152=1,Thermostat!$B$5,Thermostat!$B$6)</f>
        <v>75</v>
      </c>
      <c r="U164" s="351">
        <f>IF(U152=1,Thermostat!$B$5,Thermostat!$B$6)</f>
        <v>75</v>
      </c>
      <c r="V164" s="351">
        <f>IF(V152=1,Thermostat!$B$5,Thermostat!$B$6)</f>
        <v>75</v>
      </c>
      <c r="W164" s="351">
        <f>IF(W152=1,Thermostat!$B$5,Thermostat!$B$6)</f>
        <v>75</v>
      </c>
      <c r="X164" s="351">
        <f>IF(X152=1,Thermostat!$B$5,Thermostat!$B$6)</f>
        <v>75</v>
      </c>
      <c r="Y164" s="351">
        <f>IF(Y152=1,Thermostat!$B$5,Thermostat!$B$6)</f>
        <v>75</v>
      </c>
      <c r="Z164" s="351">
        <f>IF(Z152=1,Thermostat!$B$5,Thermostat!$B$6)</f>
        <v>75</v>
      </c>
      <c r="AA164" s="351">
        <f>IF(AA152=1,Thermostat!$B$5,Thermostat!$B$6)</f>
        <v>75</v>
      </c>
      <c r="AB164" s="351">
        <f>IF(AB152=1,Thermostat!$B$5,Thermostat!$B$6)</f>
        <v>75</v>
      </c>
      <c r="AC164" s="352">
        <f>IF(AC152=1,Thermostat!$B$5,Thermostat!$B$6)</f>
        <v>75</v>
      </c>
      <c r="AD164" s="47"/>
      <c r="AE164" s="47"/>
      <c r="AF164" s="47"/>
      <c r="AG164" s="47"/>
      <c r="AH164" s="47"/>
      <c r="AI164" s="47"/>
      <c r="AJ164" s="47"/>
      <c r="AK164" s="47"/>
    </row>
    <row r="165" spans="1:37" ht="30.6" customHeight="1" thickBot="1" x14ac:dyDescent="0.3">
      <c r="A165" s="809" t="s">
        <v>130</v>
      </c>
      <c r="B165" s="810"/>
      <c r="C165" s="810"/>
      <c r="D165" s="810"/>
      <c r="E165" s="810"/>
      <c r="F165" s="810"/>
      <c r="G165" s="810"/>
      <c r="H165" s="810"/>
      <c r="I165" s="810"/>
      <c r="J165" s="810"/>
      <c r="K165" s="810"/>
      <c r="L165" s="810"/>
      <c r="M165" s="810"/>
      <c r="N165" s="810"/>
      <c r="O165" s="810"/>
      <c r="P165" s="810"/>
      <c r="Q165" s="810"/>
      <c r="R165" s="810"/>
      <c r="S165" s="810"/>
      <c r="T165" s="810"/>
      <c r="U165" s="810"/>
      <c r="V165" s="810"/>
      <c r="W165" s="810"/>
      <c r="X165" s="810"/>
      <c r="Y165" s="810"/>
      <c r="Z165" s="810"/>
      <c r="AA165" s="810"/>
      <c r="AB165" s="810"/>
      <c r="AC165" s="811"/>
      <c r="AD165" s="47"/>
      <c r="AE165" s="47"/>
      <c r="AF165" s="47"/>
      <c r="AG165" s="47"/>
      <c r="AH165" s="47"/>
      <c r="AI165" s="47"/>
      <c r="AJ165" s="47"/>
      <c r="AK165" s="47"/>
    </row>
    <row r="166" spans="1:37" ht="30.6" customHeight="1" x14ac:dyDescent="0.25">
      <c r="A166" s="812" t="s">
        <v>130</v>
      </c>
      <c r="B166" s="813" t="s">
        <v>130</v>
      </c>
      <c r="C166" s="813" t="s">
        <v>551</v>
      </c>
      <c r="D166" s="816" t="s">
        <v>545</v>
      </c>
      <c r="E166" s="402" t="s">
        <v>386</v>
      </c>
      <c r="F166" s="403">
        <v>0.05</v>
      </c>
      <c r="G166" s="403">
        <v>0</v>
      </c>
      <c r="H166" s="403">
        <v>0</v>
      </c>
      <c r="I166" s="403">
        <v>0</v>
      </c>
      <c r="J166" s="403">
        <v>0</v>
      </c>
      <c r="K166" s="403">
        <v>0.05</v>
      </c>
      <c r="L166" s="403">
        <v>0.1</v>
      </c>
      <c r="M166" s="403">
        <v>0.4</v>
      </c>
      <c r="N166" s="403">
        <v>0.4</v>
      </c>
      <c r="O166" s="403">
        <v>0.4</v>
      </c>
      <c r="P166" s="403">
        <v>0.2</v>
      </c>
      <c r="Q166" s="403">
        <v>0.5</v>
      </c>
      <c r="R166" s="403">
        <v>0.8</v>
      </c>
      <c r="S166" s="403">
        <v>0.7</v>
      </c>
      <c r="T166" s="403">
        <v>0.4</v>
      </c>
      <c r="U166" s="403">
        <v>0.2</v>
      </c>
      <c r="V166" s="403">
        <v>0.25</v>
      </c>
      <c r="W166" s="403">
        <v>0.5</v>
      </c>
      <c r="X166" s="403">
        <v>0.8</v>
      </c>
      <c r="Y166" s="403">
        <v>0.8</v>
      </c>
      <c r="Z166" s="403">
        <v>0.8</v>
      </c>
      <c r="AA166" s="403">
        <v>0.5</v>
      </c>
      <c r="AB166" s="403">
        <v>0.35</v>
      </c>
      <c r="AC166" s="404">
        <v>0.2</v>
      </c>
      <c r="AD166" s="47"/>
      <c r="AE166" s="47"/>
      <c r="AF166" s="47"/>
      <c r="AG166" s="47"/>
      <c r="AH166" s="47"/>
      <c r="AI166" s="47"/>
      <c r="AJ166" s="47"/>
      <c r="AK166" s="47"/>
    </row>
    <row r="167" spans="1:37" ht="30.6" customHeight="1" x14ac:dyDescent="0.25">
      <c r="A167" s="728"/>
      <c r="B167" s="814"/>
      <c r="C167" s="814"/>
      <c r="D167" s="817"/>
      <c r="E167" s="405" t="s">
        <v>387</v>
      </c>
      <c r="F167" s="406">
        <v>0.05</v>
      </c>
      <c r="G167" s="406">
        <v>0</v>
      </c>
      <c r="H167" s="406">
        <v>0</v>
      </c>
      <c r="I167" s="406">
        <v>0</v>
      </c>
      <c r="J167" s="406">
        <v>0</v>
      </c>
      <c r="K167" s="406">
        <v>0</v>
      </c>
      <c r="L167" s="406">
        <v>0.05</v>
      </c>
      <c r="M167" s="406">
        <v>0.5</v>
      </c>
      <c r="N167" s="406">
        <v>0.5</v>
      </c>
      <c r="O167" s="406">
        <v>0.4</v>
      </c>
      <c r="P167" s="406">
        <v>0.2</v>
      </c>
      <c r="Q167" s="406">
        <v>0.45</v>
      </c>
      <c r="R167" s="406">
        <v>0.5</v>
      </c>
      <c r="S167" s="406">
        <v>0.5</v>
      </c>
      <c r="T167" s="406">
        <v>0.35</v>
      </c>
      <c r="U167" s="406">
        <v>0.3</v>
      </c>
      <c r="V167" s="406">
        <v>0.3</v>
      </c>
      <c r="W167" s="406">
        <v>0.3</v>
      </c>
      <c r="X167" s="406">
        <v>0.7</v>
      </c>
      <c r="Y167" s="406">
        <v>0.9</v>
      </c>
      <c r="Z167" s="406">
        <v>0.7</v>
      </c>
      <c r="AA167" s="406">
        <v>0.65</v>
      </c>
      <c r="AB167" s="406">
        <v>0.55000000000000004</v>
      </c>
      <c r="AC167" s="407">
        <v>0.35</v>
      </c>
      <c r="AD167" s="47"/>
      <c r="AE167" s="47"/>
      <c r="AF167" s="47"/>
      <c r="AG167" s="47"/>
      <c r="AH167" s="47"/>
      <c r="AI167" s="47"/>
      <c r="AJ167" s="47"/>
      <c r="AK167" s="47"/>
    </row>
    <row r="168" spans="1:37" ht="30.6" customHeight="1" thickBot="1" x14ac:dyDescent="0.3">
      <c r="A168" s="729"/>
      <c r="B168" s="815"/>
      <c r="C168" s="815"/>
      <c r="D168" s="818"/>
      <c r="E168" s="408" t="s">
        <v>388</v>
      </c>
      <c r="F168" s="409">
        <v>0.05</v>
      </c>
      <c r="G168" s="409">
        <v>0</v>
      </c>
      <c r="H168" s="409">
        <v>0</v>
      </c>
      <c r="I168" s="409">
        <v>0</v>
      </c>
      <c r="J168" s="409">
        <v>0</v>
      </c>
      <c r="K168" s="409">
        <v>0</v>
      </c>
      <c r="L168" s="409">
        <v>0.05</v>
      </c>
      <c r="M168" s="409">
        <v>0.5</v>
      </c>
      <c r="N168" s="409">
        <v>0.5</v>
      </c>
      <c r="O168" s="409">
        <v>0.2</v>
      </c>
      <c r="P168" s="409">
        <v>0.2</v>
      </c>
      <c r="Q168" s="409">
        <v>0.3</v>
      </c>
      <c r="R168" s="409">
        <v>0.5</v>
      </c>
      <c r="S168" s="409">
        <v>0.5</v>
      </c>
      <c r="T168" s="409">
        <v>0.3</v>
      </c>
      <c r="U168" s="409">
        <v>0.2</v>
      </c>
      <c r="V168" s="409">
        <v>0.25</v>
      </c>
      <c r="W168" s="409">
        <v>0.35</v>
      </c>
      <c r="X168" s="409">
        <v>0.55000000000000004</v>
      </c>
      <c r="Y168" s="409">
        <v>0.65</v>
      </c>
      <c r="Z168" s="409">
        <v>0.7</v>
      </c>
      <c r="AA168" s="409">
        <v>0.35</v>
      </c>
      <c r="AB168" s="409">
        <v>0.2</v>
      </c>
      <c r="AC168" s="410">
        <v>0.2</v>
      </c>
      <c r="AD168" s="47"/>
      <c r="AE168" s="47"/>
      <c r="AF168" s="47"/>
      <c r="AG168" s="47"/>
      <c r="AH168" s="47"/>
      <c r="AI168" s="47"/>
      <c r="AJ168" s="47"/>
      <c r="AK168" s="47"/>
    </row>
    <row r="169" spans="1:37" ht="30.6" customHeight="1" x14ac:dyDescent="0.25">
      <c r="A169" s="812" t="s">
        <v>130</v>
      </c>
      <c r="B169" s="813" t="s">
        <v>130</v>
      </c>
      <c r="C169" s="868" t="s">
        <v>522</v>
      </c>
      <c r="D169" s="816" t="s">
        <v>546</v>
      </c>
      <c r="E169" s="411" t="s">
        <v>386</v>
      </c>
      <c r="F169" s="412">
        <v>0.15</v>
      </c>
      <c r="G169" s="412">
        <v>0.15</v>
      </c>
      <c r="H169" s="412">
        <v>0.15</v>
      </c>
      <c r="I169" s="412">
        <v>0.15</v>
      </c>
      <c r="J169" s="412">
        <v>0.15</v>
      </c>
      <c r="K169" s="412">
        <v>0.2</v>
      </c>
      <c r="L169" s="413">
        <v>0.3</v>
      </c>
      <c r="M169" s="413">
        <f t="shared" ref="M169:AA171" si="5">M172-5%</f>
        <v>0.66999999999999993</v>
      </c>
      <c r="N169" s="413">
        <f t="shared" si="5"/>
        <v>0.73</v>
      </c>
      <c r="O169" s="413">
        <f t="shared" si="5"/>
        <v>0.75</v>
      </c>
      <c r="P169" s="413">
        <f t="shared" si="5"/>
        <v>0.85</v>
      </c>
      <c r="Q169" s="413">
        <f t="shared" si="5"/>
        <v>0.85</v>
      </c>
      <c r="R169" s="413">
        <f t="shared" si="5"/>
        <v>0.85</v>
      </c>
      <c r="S169" s="413">
        <f t="shared" si="5"/>
        <v>0.83</v>
      </c>
      <c r="T169" s="413">
        <f t="shared" si="5"/>
        <v>0.72</v>
      </c>
      <c r="U169" s="413">
        <f t="shared" si="5"/>
        <v>0.64999999999999991</v>
      </c>
      <c r="V169" s="413">
        <f t="shared" si="5"/>
        <v>0.66999999999999993</v>
      </c>
      <c r="W169" s="413">
        <f t="shared" si="5"/>
        <v>0.75</v>
      </c>
      <c r="X169" s="413">
        <f t="shared" si="5"/>
        <v>0.85</v>
      </c>
      <c r="Y169" s="413">
        <f t="shared" si="5"/>
        <v>0.85</v>
      </c>
      <c r="Z169" s="413">
        <f t="shared" si="5"/>
        <v>0.85</v>
      </c>
      <c r="AA169" s="413">
        <f t="shared" si="5"/>
        <v>0.75</v>
      </c>
      <c r="AB169" s="413">
        <f>AB172-5%</f>
        <v>0.56999999999999995</v>
      </c>
      <c r="AC169" s="414">
        <v>0.3</v>
      </c>
      <c r="AD169" s="47"/>
      <c r="AE169" s="47"/>
      <c r="AF169" s="47"/>
      <c r="AG169" s="47"/>
      <c r="AH169" s="47"/>
      <c r="AI169" s="47"/>
      <c r="AJ169" s="47"/>
      <c r="AK169" s="47"/>
    </row>
    <row r="170" spans="1:37" ht="30.6" customHeight="1" x14ac:dyDescent="0.25">
      <c r="A170" s="728"/>
      <c r="B170" s="814"/>
      <c r="C170" s="837"/>
      <c r="D170" s="817"/>
      <c r="E170" s="415" t="s">
        <v>387</v>
      </c>
      <c r="F170" s="416">
        <f>F173</f>
        <v>0.15</v>
      </c>
      <c r="G170" s="406">
        <v>0.15</v>
      </c>
      <c r="H170" s="406">
        <v>0.15</v>
      </c>
      <c r="I170" s="406">
        <v>0.15</v>
      </c>
      <c r="J170" s="406">
        <v>0.15</v>
      </c>
      <c r="K170" s="416">
        <f>K173</f>
        <v>0.2</v>
      </c>
      <c r="L170" s="406">
        <v>0.3</v>
      </c>
      <c r="M170" s="416">
        <f t="shared" si="5"/>
        <v>0.66999999999999993</v>
      </c>
      <c r="N170" s="416">
        <f t="shared" si="5"/>
        <v>0.73</v>
      </c>
      <c r="O170" s="416">
        <f t="shared" si="5"/>
        <v>0.75</v>
      </c>
      <c r="P170" s="416">
        <f t="shared" si="5"/>
        <v>0.85</v>
      </c>
      <c r="Q170" s="416">
        <f t="shared" si="5"/>
        <v>0.85</v>
      </c>
      <c r="R170" s="416">
        <f t="shared" si="5"/>
        <v>0.85</v>
      </c>
      <c r="S170" s="416">
        <f t="shared" si="5"/>
        <v>0.83</v>
      </c>
      <c r="T170" s="416">
        <f t="shared" si="5"/>
        <v>0.72</v>
      </c>
      <c r="U170" s="416">
        <f t="shared" si="5"/>
        <v>0.64999999999999991</v>
      </c>
      <c r="V170" s="416">
        <f t="shared" si="5"/>
        <v>0.66999999999999993</v>
      </c>
      <c r="W170" s="416">
        <f t="shared" si="5"/>
        <v>0.75</v>
      </c>
      <c r="X170" s="416">
        <f t="shared" si="5"/>
        <v>0.85</v>
      </c>
      <c r="Y170" s="416">
        <f t="shared" si="5"/>
        <v>0.85</v>
      </c>
      <c r="Z170" s="416">
        <f t="shared" si="5"/>
        <v>0.85</v>
      </c>
      <c r="AA170" s="416">
        <f t="shared" si="5"/>
        <v>0.75</v>
      </c>
      <c r="AB170" s="416">
        <f>AB173-5%</f>
        <v>0.56999999999999995</v>
      </c>
      <c r="AC170" s="417">
        <v>0.3</v>
      </c>
      <c r="AD170" s="47"/>
      <c r="AE170" s="47"/>
      <c r="AF170" s="47"/>
      <c r="AG170" s="47"/>
      <c r="AH170" s="47"/>
      <c r="AI170" s="47"/>
      <c r="AJ170" s="47"/>
      <c r="AK170" s="47"/>
    </row>
    <row r="171" spans="1:37" ht="30.6" customHeight="1" thickBot="1" x14ac:dyDescent="0.3">
      <c r="A171" s="729"/>
      <c r="B171" s="815"/>
      <c r="C171" s="838"/>
      <c r="D171" s="818"/>
      <c r="E171" s="418" t="s">
        <v>388</v>
      </c>
      <c r="F171" s="419">
        <v>0.2</v>
      </c>
      <c r="G171" s="419">
        <v>0.15</v>
      </c>
      <c r="H171" s="419">
        <v>0.15</v>
      </c>
      <c r="I171" s="419">
        <v>0.15</v>
      </c>
      <c r="J171" s="419">
        <v>0.15</v>
      </c>
      <c r="K171" s="419">
        <v>0.15</v>
      </c>
      <c r="L171" s="419">
        <v>0.3</v>
      </c>
      <c r="M171" s="420">
        <f t="shared" si="5"/>
        <v>0.66999999999999993</v>
      </c>
      <c r="N171" s="420">
        <f t="shared" si="5"/>
        <v>0.73</v>
      </c>
      <c r="O171" s="420">
        <f t="shared" si="5"/>
        <v>0.75</v>
      </c>
      <c r="P171" s="420">
        <f t="shared" si="5"/>
        <v>0.85</v>
      </c>
      <c r="Q171" s="420">
        <f t="shared" si="5"/>
        <v>0.85</v>
      </c>
      <c r="R171" s="420">
        <f t="shared" si="5"/>
        <v>0.85</v>
      </c>
      <c r="S171" s="420">
        <f t="shared" si="5"/>
        <v>0.83</v>
      </c>
      <c r="T171" s="420">
        <f t="shared" si="5"/>
        <v>0.72</v>
      </c>
      <c r="U171" s="420">
        <f t="shared" si="5"/>
        <v>0.64999999999999991</v>
      </c>
      <c r="V171" s="420">
        <f t="shared" si="5"/>
        <v>0.66999999999999993</v>
      </c>
      <c r="W171" s="420">
        <f t="shared" si="5"/>
        <v>0.75</v>
      </c>
      <c r="X171" s="420">
        <f t="shared" si="5"/>
        <v>0.85</v>
      </c>
      <c r="Y171" s="420">
        <f t="shared" si="5"/>
        <v>0.85</v>
      </c>
      <c r="Z171" s="420">
        <f t="shared" si="5"/>
        <v>0.85</v>
      </c>
      <c r="AA171" s="420">
        <f t="shared" si="5"/>
        <v>0.75</v>
      </c>
      <c r="AB171" s="420">
        <f>AB174-5%</f>
        <v>0.56999999999999995</v>
      </c>
      <c r="AC171" s="421">
        <v>0.3</v>
      </c>
      <c r="AD171" s="47"/>
      <c r="AE171" s="47"/>
      <c r="AF171" s="47"/>
      <c r="AG171" s="47"/>
      <c r="AH171" s="47"/>
      <c r="AI171" s="47"/>
      <c r="AJ171" s="47"/>
      <c r="AK171" s="47"/>
    </row>
    <row r="172" spans="1:37" ht="30.6" customHeight="1" x14ac:dyDescent="0.25">
      <c r="A172" s="727" t="s">
        <v>130</v>
      </c>
      <c r="B172" s="829" t="s">
        <v>130</v>
      </c>
      <c r="C172" s="836" t="s">
        <v>552</v>
      </c>
      <c r="D172" s="842" t="s">
        <v>476</v>
      </c>
      <c r="E172" s="422" t="s">
        <v>386</v>
      </c>
      <c r="F172" s="403">
        <v>0.15</v>
      </c>
      <c r="G172" s="403">
        <v>0.15</v>
      </c>
      <c r="H172" s="403">
        <v>0.15</v>
      </c>
      <c r="I172" s="403">
        <v>0.15</v>
      </c>
      <c r="J172" s="403">
        <v>0.15</v>
      </c>
      <c r="K172" s="403">
        <v>0.2</v>
      </c>
      <c r="L172" s="423">
        <v>0.3</v>
      </c>
      <c r="M172" s="423">
        <v>0.72</v>
      </c>
      <c r="N172" s="423">
        <v>0.78</v>
      </c>
      <c r="O172" s="423">
        <v>0.8</v>
      </c>
      <c r="P172" s="403">
        <v>0.9</v>
      </c>
      <c r="Q172" s="403">
        <v>0.9</v>
      </c>
      <c r="R172" s="403">
        <v>0.9</v>
      </c>
      <c r="S172" s="423">
        <v>0.88</v>
      </c>
      <c r="T172" s="423">
        <v>0.77</v>
      </c>
      <c r="U172" s="423">
        <v>0.7</v>
      </c>
      <c r="V172" s="423">
        <v>0.72</v>
      </c>
      <c r="W172" s="423">
        <v>0.8</v>
      </c>
      <c r="X172" s="403">
        <v>0.9</v>
      </c>
      <c r="Y172" s="403">
        <v>0.9</v>
      </c>
      <c r="Z172" s="403">
        <v>0.9</v>
      </c>
      <c r="AA172" s="423">
        <v>0.8</v>
      </c>
      <c r="AB172" s="423">
        <v>0.62</v>
      </c>
      <c r="AC172" s="404">
        <v>0.3</v>
      </c>
      <c r="AD172" s="47"/>
      <c r="AE172" s="47"/>
      <c r="AF172" s="47"/>
      <c r="AG172" s="47"/>
      <c r="AH172" s="47"/>
      <c r="AI172" s="47"/>
      <c r="AJ172" s="47"/>
      <c r="AK172" s="47"/>
    </row>
    <row r="173" spans="1:37" ht="30.6" customHeight="1" x14ac:dyDescent="0.25">
      <c r="A173" s="728"/>
      <c r="B173" s="814"/>
      <c r="C173" s="837"/>
      <c r="D173" s="842"/>
      <c r="E173" s="424" t="s">
        <v>387</v>
      </c>
      <c r="F173" s="385">
        <v>0.15</v>
      </c>
      <c r="G173" s="406">
        <v>0.15</v>
      </c>
      <c r="H173" s="406">
        <v>0.15</v>
      </c>
      <c r="I173" s="406">
        <v>0.15</v>
      </c>
      <c r="J173" s="406">
        <v>0.15</v>
      </c>
      <c r="K173" s="385">
        <v>0.2</v>
      </c>
      <c r="L173" s="406">
        <v>0.3</v>
      </c>
      <c r="M173" s="385">
        <v>0.72</v>
      </c>
      <c r="N173" s="385">
        <v>0.78</v>
      </c>
      <c r="O173" s="385">
        <v>0.8</v>
      </c>
      <c r="P173" s="385">
        <v>0.9</v>
      </c>
      <c r="Q173" s="385">
        <v>0.9</v>
      </c>
      <c r="R173" s="385">
        <v>0.9</v>
      </c>
      <c r="S173" s="385">
        <v>0.88</v>
      </c>
      <c r="T173" s="385">
        <v>0.77</v>
      </c>
      <c r="U173" s="385">
        <v>0.7</v>
      </c>
      <c r="V173" s="385">
        <v>0.72</v>
      </c>
      <c r="W173" s="385">
        <v>0.8</v>
      </c>
      <c r="X173" s="406">
        <v>0.9</v>
      </c>
      <c r="Y173" s="406">
        <v>0.9</v>
      </c>
      <c r="Z173" s="406">
        <v>0.9</v>
      </c>
      <c r="AA173" s="385">
        <v>0.8</v>
      </c>
      <c r="AB173" s="385">
        <v>0.62</v>
      </c>
      <c r="AC173" s="407">
        <v>0.3</v>
      </c>
      <c r="AD173" s="47"/>
      <c r="AE173" s="47"/>
      <c r="AF173" s="47"/>
      <c r="AG173" s="47"/>
      <c r="AH173" s="47"/>
      <c r="AI173" s="47"/>
      <c r="AJ173" s="47"/>
      <c r="AK173" s="47"/>
    </row>
    <row r="174" spans="1:37" ht="30.6" customHeight="1" thickBot="1" x14ac:dyDescent="0.3">
      <c r="A174" s="729"/>
      <c r="B174" s="815"/>
      <c r="C174" s="866"/>
      <c r="D174" s="867"/>
      <c r="E174" s="425" t="s">
        <v>388</v>
      </c>
      <c r="F174" s="426">
        <v>0.2</v>
      </c>
      <c r="G174" s="409">
        <v>0.15</v>
      </c>
      <c r="H174" s="409">
        <v>0.15</v>
      </c>
      <c r="I174" s="409">
        <v>0.15</v>
      </c>
      <c r="J174" s="409">
        <v>0.15</v>
      </c>
      <c r="K174" s="426">
        <v>0.15</v>
      </c>
      <c r="L174" s="409">
        <v>0.3</v>
      </c>
      <c r="M174" s="426">
        <v>0.72</v>
      </c>
      <c r="N174" s="426">
        <v>0.78</v>
      </c>
      <c r="O174" s="426">
        <v>0.8</v>
      </c>
      <c r="P174" s="426">
        <v>0.9</v>
      </c>
      <c r="Q174" s="426">
        <v>0.9</v>
      </c>
      <c r="R174" s="426">
        <v>0.9</v>
      </c>
      <c r="S174" s="426">
        <v>0.88</v>
      </c>
      <c r="T174" s="426">
        <v>0.77</v>
      </c>
      <c r="U174" s="426">
        <v>0.7</v>
      </c>
      <c r="V174" s="426">
        <v>0.72</v>
      </c>
      <c r="W174" s="426">
        <v>0.8</v>
      </c>
      <c r="X174" s="426">
        <v>0.9</v>
      </c>
      <c r="Y174" s="426">
        <v>0.9</v>
      </c>
      <c r="Z174" s="426">
        <v>0.9</v>
      </c>
      <c r="AA174" s="426">
        <v>0.8</v>
      </c>
      <c r="AB174" s="426">
        <v>0.62</v>
      </c>
      <c r="AC174" s="410">
        <v>0.3</v>
      </c>
      <c r="AD174" s="47"/>
      <c r="AE174" s="47"/>
      <c r="AF174" s="47"/>
      <c r="AG174" s="47"/>
      <c r="AH174" s="47"/>
      <c r="AI174" s="47"/>
      <c r="AJ174" s="47"/>
      <c r="AK174" s="47"/>
    </row>
    <row r="175" spans="1:37" ht="30.6" customHeight="1" x14ac:dyDescent="0.25">
      <c r="A175" s="812" t="s">
        <v>130</v>
      </c>
      <c r="B175" s="813" t="s">
        <v>130</v>
      </c>
      <c r="C175" s="830" t="s">
        <v>528</v>
      </c>
      <c r="D175" s="858" t="s">
        <v>553</v>
      </c>
      <c r="E175" s="422" t="s">
        <v>386</v>
      </c>
      <c r="F175" s="403">
        <v>1</v>
      </c>
      <c r="G175" s="427">
        <v>0</v>
      </c>
      <c r="H175" s="427">
        <v>0</v>
      </c>
      <c r="I175" s="403">
        <v>0</v>
      </c>
      <c r="J175" s="427">
        <v>1</v>
      </c>
      <c r="K175" s="427">
        <v>1</v>
      </c>
      <c r="L175" s="403">
        <v>1</v>
      </c>
      <c r="M175" s="403">
        <v>1</v>
      </c>
      <c r="N175" s="403">
        <v>1</v>
      </c>
      <c r="O175" s="403">
        <v>1</v>
      </c>
      <c r="P175" s="403">
        <v>1</v>
      </c>
      <c r="Q175" s="403">
        <v>1</v>
      </c>
      <c r="R175" s="403">
        <v>1</v>
      </c>
      <c r="S175" s="403">
        <v>1</v>
      </c>
      <c r="T175" s="403">
        <v>1</v>
      </c>
      <c r="U175" s="403">
        <v>1</v>
      </c>
      <c r="V175" s="403">
        <v>1</v>
      </c>
      <c r="W175" s="403">
        <v>1</v>
      </c>
      <c r="X175" s="403">
        <v>1</v>
      </c>
      <c r="Y175" s="403">
        <v>1</v>
      </c>
      <c r="Z175" s="403">
        <v>1</v>
      </c>
      <c r="AA175" s="403">
        <v>1</v>
      </c>
      <c r="AB175" s="403">
        <v>1</v>
      </c>
      <c r="AC175" s="404">
        <v>1</v>
      </c>
      <c r="AD175" s="47"/>
      <c r="AE175" s="47"/>
      <c r="AF175" s="47"/>
      <c r="AG175" s="47"/>
      <c r="AH175" s="47"/>
      <c r="AI175" s="47"/>
      <c r="AJ175" s="47"/>
      <c r="AK175" s="47"/>
    </row>
    <row r="176" spans="1:37" ht="30.6" customHeight="1" x14ac:dyDescent="0.25">
      <c r="A176" s="728"/>
      <c r="B176" s="814"/>
      <c r="C176" s="831"/>
      <c r="D176" s="833"/>
      <c r="E176" s="424" t="s">
        <v>387</v>
      </c>
      <c r="F176" s="406">
        <v>1</v>
      </c>
      <c r="G176" s="413">
        <v>0</v>
      </c>
      <c r="H176" s="413">
        <v>0</v>
      </c>
      <c r="I176" s="406">
        <v>0</v>
      </c>
      <c r="J176" s="406">
        <v>0</v>
      </c>
      <c r="K176" s="416">
        <v>1</v>
      </c>
      <c r="L176" s="416">
        <v>1</v>
      </c>
      <c r="M176" s="416">
        <v>1</v>
      </c>
      <c r="N176" s="406">
        <v>1</v>
      </c>
      <c r="O176" s="406">
        <v>1</v>
      </c>
      <c r="P176" s="406">
        <v>1</v>
      </c>
      <c r="Q176" s="406">
        <v>1</v>
      </c>
      <c r="R176" s="406">
        <v>1</v>
      </c>
      <c r="S176" s="406">
        <v>1</v>
      </c>
      <c r="T176" s="406">
        <v>1</v>
      </c>
      <c r="U176" s="406">
        <v>1</v>
      </c>
      <c r="V176" s="406">
        <v>1</v>
      </c>
      <c r="W176" s="406">
        <v>1</v>
      </c>
      <c r="X176" s="406">
        <v>1</v>
      </c>
      <c r="Y176" s="406">
        <v>1</v>
      </c>
      <c r="Z176" s="406">
        <v>1</v>
      </c>
      <c r="AA176" s="406">
        <v>1</v>
      </c>
      <c r="AB176" s="406">
        <v>1</v>
      </c>
      <c r="AC176" s="407">
        <v>1</v>
      </c>
      <c r="AD176" s="47"/>
      <c r="AE176" s="47"/>
      <c r="AF176" s="47"/>
      <c r="AG176" s="47"/>
      <c r="AH176" s="47"/>
      <c r="AI176" s="47"/>
      <c r="AJ176" s="47"/>
      <c r="AK176" s="47"/>
    </row>
    <row r="177" spans="1:37" ht="30.6" customHeight="1" thickBot="1" x14ac:dyDescent="0.3">
      <c r="A177" s="729"/>
      <c r="B177" s="815"/>
      <c r="C177" s="832"/>
      <c r="D177" s="834"/>
      <c r="E177" s="425" t="s">
        <v>388</v>
      </c>
      <c r="F177" s="409">
        <v>1</v>
      </c>
      <c r="G177" s="428">
        <v>0</v>
      </c>
      <c r="H177" s="428">
        <v>0</v>
      </c>
      <c r="I177" s="409">
        <v>0</v>
      </c>
      <c r="J177" s="409">
        <v>0</v>
      </c>
      <c r="K177" s="429">
        <v>1</v>
      </c>
      <c r="L177" s="429">
        <v>1</v>
      </c>
      <c r="M177" s="429">
        <v>1</v>
      </c>
      <c r="N177" s="429">
        <v>1</v>
      </c>
      <c r="O177" s="409">
        <v>1</v>
      </c>
      <c r="P177" s="409">
        <v>1</v>
      </c>
      <c r="Q177" s="409">
        <v>1</v>
      </c>
      <c r="R177" s="409">
        <v>1</v>
      </c>
      <c r="S177" s="409">
        <v>1</v>
      </c>
      <c r="T177" s="409">
        <v>1</v>
      </c>
      <c r="U177" s="409">
        <v>1</v>
      </c>
      <c r="V177" s="409">
        <v>1</v>
      </c>
      <c r="W177" s="409">
        <v>1</v>
      </c>
      <c r="X177" s="409">
        <v>1</v>
      </c>
      <c r="Y177" s="409">
        <v>1</v>
      </c>
      <c r="Z177" s="409">
        <v>1</v>
      </c>
      <c r="AA177" s="409">
        <v>1</v>
      </c>
      <c r="AB177" s="409">
        <v>1</v>
      </c>
      <c r="AC177" s="410">
        <v>1</v>
      </c>
      <c r="AD177" s="47"/>
      <c r="AE177" s="47"/>
      <c r="AF177" s="47"/>
      <c r="AG177" s="47"/>
      <c r="AH177" s="47"/>
      <c r="AI177" s="47"/>
      <c r="AJ177" s="47"/>
      <c r="AK177" s="47"/>
    </row>
    <row r="178" spans="1:37" ht="30.6" customHeight="1" x14ac:dyDescent="0.25">
      <c r="A178" s="812" t="s">
        <v>130</v>
      </c>
      <c r="B178" s="813" t="s">
        <v>130</v>
      </c>
      <c r="C178" s="835" t="s">
        <v>524</v>
      </c>
      <c r="D178" s="816" t="s">
        <v>549</v>
      </c>
      <c r="E178" s="411" t="s">
        <v>386</v>
      </c>
      <c r="F178" s="412">
        <v>0.2</v>
      </c>
      <c r="G178" s="413">
        <v>0</v>
      </c>
      <c r="H178" s="413">
        <v>0</v>
      </c>
      <c r="I178" s="412">
        <v>0</v>
      </c>
      <c r="J178" s="412">
        <v>0</v>
      </c>
      <c r="K178" s="413">
        <v>0.6</v>
      </c>
      <c r="L178" s="413">
        <v>0.6</v>
      </c>
      <c r="M178" s="412">
        <v>0.6</v>
      </c>
      <c r="N178" s="412">
        <v>0.55000000000000004</v>
      </c>
      <c r="O178" s="412">
        <v>0.45</v>
      </c>
      <c r="P178" s="412">
        <v>0.4</v>
      </c>
      <c r="Q178" s="412">
        <v>0.45</v>
      </c>
      <c r="R178" s="412">
        <v>0.4</v>
      </c>
      <c r="S178" s="412">
        <v>0.35</v>
      </c>
      <c r="T178" s="412">
        <v>0.3</v>
      </c>
      <c r="U178" s="412">
        <v>0.3</v>
      </c>
      <c r="V178" s="412">
        <v>0.3</v>
      </c>
      <c r="W178" s="412">
        <v>0.4</v>
      </c>
      <c r="X178" s="412">
        <v>0.55000000000000004</v>
      </c>
      <c r="Y178" s="412">
        <v>0.6</v>
      </c>
      <c r="Z178" s="412">
        <v>0.5</v>
      </c>
      <c r="AA178" s="412">
        <v>0.55000000000000004</v>
      </c>
      <c r="AB178" s="412">
        <v>0.45</v>
      </c>
      <c r="AC178" s="414">
        <v>0.25</v>
      </c>
      <c r="AD178" s="47"/>
      <c r="AE178" s="47"/>
      <c r="AF178" s="47"/>
      <c r="AG178" s="47"/>
      <c r="AH178" s="47"/>
      <c r="AI178" s="47"/>
      <c r="AJ178" s="47"/>
      <c r="AK178" s="47"/>
    </row>
    <row r="179" spans="1:37" ht="30.6" customHeight="1" x14ac:dyDescent="0.25">
      <c r="A179" s="728"/>
      <c r="B179" s="814"/>
      <c r="C179" s="831"/>
      <c r="D179" s="817"/>
      <c r="E179" s="415" t="s">
        <v>387</v>
      </c>
      <c r="F179" s="406">
        <v>0.2</v>
      </c>
      <c r="G179" s="416">
        <v>0</v>
      </c>
      <c r="H179" s="416">
        <v>0</v>
      </c>
      <c r="I179" s="406">
        <v>0</v>
      </c>
      <c r="J179" s="406">
        <v>0</v>
      </c>
      <c r="K179" s="406">
        <v>0</v>
      </c>
      <c r="L179" s="416">
        <v>0.5</v>
      </c>
      <c r="M179" s="416">
        <v>0.5</v>
      </c>
      <c r="N179" s="416">
        <v>0.5</v>
      </c>
      <c r="O179" s="406">
        <v>0.5</v>
      </c>
      <c r="P179" s="406">
        <v>0.45</v>
      </c>
      <c r="Q179" s="406">
        <v>0.5</v>
      </c>
      <c r="R179" s="406">
        <v>0.5</v>
      </c>
      <c r="S179" s="406">
        <v>0.45</v>
      </c>
      <c r="T179" s="406">
        <v>0.4</v>
      </c>
      <c r="U179" s="406">
        <v>0.4</v>
      </c>
      <c r="V179" s="406">
        <v>0.35</v>
      </c>
      <c r="W179" s="406">
        <v>0.4</v>
      </c>
      <c r="X179" s="406">
        <v>0.55000000000000004</v>
      </c>
      <c r="Y179" s="406">
        <v>0.55000000000000004</v>
      </c>
      <c r="Z179" s="406">
        <v>0.5</v>
      </c>
      <c r="AA179" s="406">
        <v>0.55000000000000004</v>
      </c>
      <c r="AB179" s="406">
        <v>0.4</v>
      </c>
      <c r="AC179" s="417">
        <v>0.3</v>
      </c>
      <c r="AD179" s="47"/>
      <c r="AE179" s="47"/>
      <c r="AF179" s="47"/>
      <c r="AG179" s="47"/>
      <c r="AH179" s="47"/>
      <c r="AI179" s="47"/>
      <c r="AJ179" s="47"/>
      <c r="AK179" s="47"/>
    </row>
    <row r="180" spans="1:37" ht="30.6" customHeight="1" thickBot="1" x14ac:dyDescent="0.3">
      <c r="A180" s="729"/>
      <c r="B180" s="815"/>
      <c r="C180" s="871"/>
      <c r="D180" s="818"/>
      <c r="E180" s="418" t="s">
        <v>388</v>
      </c>
      <c r="F180" s="419">
        <v>0.25</v>
      </c>
      <c r="G180" s="420">
        <v>0</v>
      </c>
      <c r="H180" s="420">
        <v>0</v>
      </c>
      <c r="I180" s="419">
        <v>0</v>
      </c>
      <c r="J180" s="419">
        <v>0</v>
      </c>
      <c r="K180" s="419">
        <v>0</v>
      </c>
      <c r="L180" s="420">
        <v>0.5</v>
      </c>
      <c r="M180" s="420">
        <v>0.5</v>
      </c>
      <c r="N180" s="420">
        <v>0.5</v>
      </c>
      <c r="O180" s="420">
        <v>0.5</v>
      </c>
      <c r="P180" s="419">
        <v>0.5</v>
      </c>
      <c r="Q180" s="419">
        <v>0.5</v>
      </c>
      <c r="R180" s="419">
        <v>0.4</v>
      </c>
      <c r="S180" s="419">
        <v>0.4</v>
      </c>
      <c r="T180" s="419">
        <v>0.3</v>
      </c>
      <c r="U180" s="419">
        <v>0.3</v>
      </c>
      <c r="V180" s="419">
        <v>0.3</v>
      </c>
      <c r="W180" s="419">
        <v>0.4</v>
      </c>
      <c r="X180" s="419">
        <v>0.5</v>
      </c>
      <c r="Y180" s="419">
        <v>0.5</v>
      </c>
      <c r="Z180" s="419">
        <v>0.4</v>
      </c>
      <c r="AA180" s="419">
        <v>0.5</v>
      </c>
      <c r="AB180" s="419">
        <v>0.4</v>
      </c>
      <c r="AC180" s="421">
        <v>0.2</v>
      </c>
      <c r="AD180" s="47"/>
      <c r="AE180" s="47"/>
      <c r="AF180" s="47"/>
      <c r="AG180" s="47"/>
      <c r="AH180" s="47"/>
      <c r="AI180" s="47"/>
      <c r="AJ180" s="47"/>
      <c r="AK180" s="47"/>
    </row>
    <row r="181" spans="1:37" ht="30.6" customHeight="1" x14ac:dyDescent="0.25">
      <c r="A181" s="812" t="s">
        <v>130</v>
      </c>
      <c r="B181" s="813" t="s">
        <v>130</v>
      </c>
      <c r="C181" s="835" t="s">
        <v>241</v>
      </c>
      <c r="D181" s="816" t="s">
        <v>550</v>
      </c>
      <c r="E181" s="432" t="s">
        <v>386</v>
      </c>
      <c r="F181" s="427">
        <v>0.25</v>
      </c>
      <c r="G181" s="427">
        <v>0</v>
      </c>
      <c r="H181" s="427">
        <v>0</v>
      </c>
      <c r="I181" s="403">
        <v>1</v>
      </c>
      <c r="J181" s="427">
        <v>0.25</v>
      </c>
      <c r="K181" s="430">
        <v>0.25</v>
      </c>
      <c r="L181" s="431">
        <v>0.25</v>
      </c>
      <c r="M181" s="431">
        <v>0.25</v>
      </c>
      <c r="N181" s="431">
        <v>0.25</v>
      </c>
      <c r="O181" s="403">
        <v>0.25</v>
      </c>
      <c r="P181" s="403">
        <v>0.25</v>
      </c>
      <c r="Q181" s="403">
        <v>0.25</v>
      </c>
      <c r="R181" s="403">
        <v>0.25</v>
      </c>
      <c r="S181" s="403">
        <v>0.25</v>
      </c>
      <c r="T181" s="403">
        <v>0.25</v>
      </c>
      <c r="U181" s="403">
        <v>0.25</v>
      </c>
      <c r="V181" s="427">
        <v>0.25</v>
      </c>
      <c r="W181" s="403">
        <v>0.25</v>
      </c>
      <c r="X181" s="403">
        <v>0.25</v>
      </c>
      <c r="Y181" s="403">
        <v>0.25</v>
      </c>
      <c r="Z181" s="403">
        <v>0.25</v>
      </c>
      <c r="AA181" s="403">
        <v>0.25</v>
      </c>
      <c r="AB181" s="403">
        <v>0.25</v>
      </c>
      <c r="AC181" s="404">
        <v>0.25</v>
      </c>
      <c r="AD181" s="47"/>
      <c r="AE181" s="47"/>
      <c r="AF181" s="47"/>
      <c r="AG181" s="47"/>
      <c r="AH181" s="47"/>
      <c r="AI181" s="47"/>
      <c r="AJ181" s="47"/>
      <c r="AK181" s="47"/>
    </row>
    <row r="182" spans="1:37" ht="30.6" customHeight="1" x14ac:dyDescent="0.25">
      <c r="A182" s="728"/>
      <c r="B182" s="814"/>
      <c r="C182" s="831"/>
      <c r="D182" s="817"/>
      <c r="E182" s="415" t="s">
        <v>387</v>
      </c>
      <c r="F182" s="416">
        <v>0.25</v>
      </c>
      <c r="G182" s="416">
        <v>0</v>
      </c>
      <c r="H182" s="406">
        <v>0</v>
      </c>
      <c r="I182" s="406">
        <v>1</v>
      </c>
      <c r="J182" s="406">
        <v>1</v>
      </c>
      <c r="K182" s="416">
        <v>0.25</v>
      </c>
      <c r="L182" s="416">
        <v>0.25</v>
      </c>
      <c r="M182" s="416">
        <v>0.25</v>
      </c>
      <c r="N182" s="406">
        <v>0.25</v>
      </c>
      <c r="O182" s="406">
        <v>0.25</v>
      </c>
      <c r="P182" s="406">
        <v>0.25</v>
      </c>
      <c r="Q182" s="406">
        <v>0.25</v>
      </c>
      <c r="R182" s="406">
        <v>0.25</v>
      </c>
      <c r="S182" s="406">
        <v>0.25</v>
      </c>
      <c r="T182" s="406">
        <v>0.25</v>
      </c>
      <c r="U182" s="406">
        <v>0.25</v>
      </c>
      <c r="V182" s="406">
        <v>0.25</v>
      </c>
      <c r="W182" s="406">
        <v>0.25</v>
      </c>
      <c r="X182" s="406">
        <v>0.25</v>
      </c>
      <c r="Y182" s="406">
        <v>0.25</v>
      </c>
      <c r="Z182" s="406">
        <v>0.25</v>
      </c>
      <c r="AA182" s="406">
        <v>0.25</v>
      </c>
      <c r="AB182" s="406">
        <v>0.25</v>
      </c>
      <c r="AC182" s="407">
        <v>0.25</v>
      </c>
      <c r="AD182" s="47"/>
      <c r="AE182" s="47"/>
      <c r="AF182" s="47"/>
      <c r="AG182" s="47"/>
      <c r="AH182" s="47"/>
      <c r="AI182" s="47"/>
      <c r="AJ182" s="47"/>
      <c r="AK182" s="47"/>
    </row>
    <row r="183" spans="1:37" ht="30.6" customHeight="1" thickBot="1" x14ac:dyDescent="0.3">
      <c r="A183" s="729"/>
      <c r="B183" s="815"/>
      <c r="C183" s="832"/>
      <c r="D183" s="818"/>
      <c r="E183" s="433" t="s">
        <v>388</v>
      </c>
      <c r="F183" s="429">
        <v>0.25</v>
      </c>
      <c r="G183" s="429">
        <v>0</v>
      </c>
      <c r="H183" s="429">
        <v>0</v>
      </c>
      <c r="I183" s="409">
        <v>1</v>
      </c>
      <c r="J183" s="409">
        <v>1</v>
      </c>
      <c r="K183" s="428">
        <v>0.25</v>
      </c>
      <c r="L183" s="428">
        <v>0.25</v>
      </c>
      <c r="M183" s="428">
        <v>0.25</v>
      </c>
      <c r="N183" s="428">
        <v>0.25</v>
      </c>
      <c r="O183" s="409">
        <v>0.25</v>
      </c>
      <c r="P183" s="409">
        <v>0.25</v>
      </c>
      <c r="Q183" s="409">
        <v>0.25</v>
      </c>
      <c r="R183" s="409">
        <v>0.25</v>
      </c>
      <c r="S183" s="409">
        <v>0.25</v>
      </c>
      <c r="T183" s="409">
        <v>0.25</v>
      </c>
      <c r="U183" s="409">
        <v>0.25</v>
      </c>
      <c r="V183" s="409">
        <v>0.25</v>
      </c>
      <c r="W183" s="409">
        <v>0.25</v>
      </c>
      <c r="X183" s="409">
        <v>0.25</v>
      </c>
      <c r="Y183" s="409">
        <v>0.25</v>
      </c>
      <c r="Z183" s="409">
        <v>0.25</v>
      </c>
      <c r="AA183" s="409">
        <v>0.25</v>
      </c>
      <c r="AB183" s="409">
        <v>0.25</v>
      </c>
      <c r="AC183" s="410">
        <v>0.25</v>
      </c>
      <c r="AD183" s="47"/>
      <c r="AE183" s="47"/>
      <c r="AF183" s="47"/>
      <c r="AG183" s="47"/>
      <c r="AH183" s="47"/>
      <c r="AI183" s="47"/>
      <c r="AJ183" s="47"/>
      <c r="AK183" s="47"/>
    </row>
    <row r="184" spans="1:37" ht="30.6" customHeight="1" x14ac:dyDescent="0.25">
      <c r="A184" s="812" t="s">
        <v>130</v>
      </c>
      <c r="B184" s="813" t="s">
        <v>130</v>
      </c>
      <c r="C184" s="869" t="s">
        <v>554</v>
      </c>
      <c r="D184" s="816" t="s">
        <v>549</v>
      </c>
      <c r="E184" s="332" t="s">
        <v>386</v>
      </c>
      <c r="F184" s="370">
        <v>0</v>
      </c>
      <c r="G184" s="370">
        <v>0</v>
      </c>
      <c r="H184" s="370">
        <v>0</v>
      </c>
      <c r="I184" s="370">
        <v>0</v>
      </c>
      <c r="J184" s="370">
        <v>0</v>
      </c>
      <c r="K184" s="434">
        <v>1</v>
      </c>
      <c r="L184" s="370">
        <v>1</v>
      </c>
      <c r="M184" s="370">
        <v>1</v>
      </c>
      <c r="N184" s="370">
        <v>1</v>
      </c>
      <c r="O184" s="370">
        <v>1</v>
      </c>
      <c r="P184" s="370">
        <v>1</v>
      </c>
      <c r="Q184" s="370">
        <v>1</v>
      </c>
      <c r="R184" s="370">
        <v>1</v>
      </c>
      <c r="S184" s="370">
        <v>1</v>
      </c>
      <c r="T184" s="370">
        <v>1</v>
      </c>
      <c r="U184" s="370">
        <v>1</v>
      </c>
      <c r="V184" s="370">
        <v>1</v>
      </c>
      <c r="W184" s="370">
        <v>1</v>
      </c>
      <c r="X184" s="370">
        <v>1</v>
      </c>
      <c r="Y184" s="370">
        <v>0</v>
      </c>
      <c r="Z184" s="370">
        <v>0</v>
      </c>
      <c r="AA184" s="370">
        <v>0</v>
      </c>
      <c r="AB184" s="370">
        <v>0</v>
      </c>
      <c r="AC184" s="371">
        <v>0</v>
      </c>
      <c r="AD184" s="47"/>
      <c r="AE184" s="47"/>
      <c r="AF184" s="47"/>
      <c r="AG184" s="47"/>
      <c r="AH184" s="47"/>
      <c r="AI184" s="47"/>
      <c r="AJ184" s="47"/>
      <c r="AK184" s="47"/>
    </row>
    <row r="185" spans="1:37" ht="30.6" customHeight="1" x14ac:dyDescent="0.25">
      <c r="A185" s="728"/>
      <c r="B185" s="814"/>
      <c r="C185" s="731"/>
      <c r="D185" s="817"/>
      <c r="E185" s="334" t="s">
        <v>387</v>
      </c>
      <c r="F185" s="373">
        <v>0</v>
      </c>
      <c r="G185" s="373">
        <v>0</v>
      </c>
      <c r="H185" s="373">
        <v>0</v>
      </c>
      <c r="I185" s="373">
        <v>0</v>
      </c>
      <c r="J185" s="373">
        <v>0</v>
      </c>
      <c r="K185" s="373">
        <v>0</v>
      </c>
      <c r="L185" s="435">
        <v>1</v>
      </c>
      <c r="M185" s="435">
        <v>1</v>
      </c>
      <c r="N185" s="373">
        <v>1</v>
      </c>
      <c r="O185" s="373">
        <v>1</v>
      </c>
      <c r="P185" s="373">
        <v>1</v>
      </c>
      <c r="Q185" s="373">
        <v>1</v>
      </c>
      <c r="R185" s="373">
        <v>1</v>
      </c>
      <c r="S185" s="373">
        <v>1</v>
      </c>
      <c r="T185" s="373">
        <v>1</v>
      </c>
      <c r="U185" s="373">
        <v>1</v>
      </c>
      <c r="V185" s="373">
        <v>1</v>
      </c>
      <c r="W185" s="373">
        <v>1</v>
      </c>
      <c r="X185" s="373">
        <v>1</v>
      </c>
      <c r="Y185" s="373">
        <v>0</v>
      </c>
      <c r="Z185" s="373">
        <v>0</v>
      </c>
      <c r="AA185" s="373">
        <v>0</v>
      </c>
      <c r="AB185" s="373">
        <v>0</v>
      </c>
      <c r="AC185" s="376">
        <v>0</v>
      </c>
      <c r="AD185" s="47"/>
      <c r="AE185" s="47"/>
      <c r="AF185" s="47"/>
      <c r="AG185" s="47"/>
      <c r="AH185" s="47"/>
      <c r="AI185" s="47"/>
      <c r="AJ185" s="47"/>
      <c r="AK185" s="47"/>
    </row>
    <row r="186" spans="1:37" ht="30.6" customHeight="1" thickBot="1" x14ac:dyDescent="0.3">
      <c r="A186" s="729"/>
      <c r="B186" s="815"/>
      <c r="C186" s="870"/>
      <c r="D186" s="818"/>
      <c r="E186" s="365" t="s">
        <v>388</v>
      </c>
      <c r="F186" s="377">
        <v>0</v>
      </c>
      <c r="G186" s="377">
        <v>0</v>
      </c>
      <c r="H186" s="377">
        <v>0</v>
      </c>
      <c r="I186" s="377">
        <v>0</v>
      </c>
      <c r="J186" s="377">
        <v>0</v>
      </c>
      <c r="K186" s="377">
        <v>0</v>
      </c>
      <c r="L186" s="436">
        <v>1</v>
      </c>
      <c r="M186" s="436">
        <v>1</v>
      </c>
      <c r="N186" s="436">
        <v>1</v>
      </c>
      <c r="O186" s="377">
        <v>1</v>
      </c>
      <c r="P186" s="377">
        <v>1</v>
      </c>
      <c r="Q186" s="377">
        <v>1</v>
      </c>
      <c r="R186" s="377">
        <v>1</v>
      </c>
      <c r="S186" s="377">
        <v>1</v>
      </c>
      <c r="T186" s="377">
        <v>1</v>
      </c>
      <c r="U186" s="377">
        <v>1</v>
      </c>
      <c r="V186" s="377">
        <v>1</v>
      </c>
      <c r="W186" s="377">
        <v>1</v>
      </c>
      <c r="X186" s="377">
        <v>1</v>
      </c>
      <c r="Y186" s="377">
        <v>0</v>
      </c>
      <c r="Z186" s="377">
        <v>0</v>
      </c>
      <c r="AA186" s="377">
        <v>0</v>
      </c>
      <c r="AB186" s="377">
        <v>0</v>
      </c>
      <c r="AC186" s="378">
        <v>0</v>
      </c>
      <c r="AD186" s="47"/>
      <c r="AE186" s="47"/>
      <c r="AF186" s="47"/>
      <c r="AG186" s="47"/>
      <c r="AH186" s="47"/>
      <c r="AI186" s="47"/>
      <c r="AJ186" s="47"/>
      <c r="AK186" s="47"/>
    </row>
    <row r="187" spans="1:37" ht="30.6" customHeight="1" x14ac:dyDescent="0.25">
      <c r="A187" s="812" t="s">
        <v>130</v>
      </c>
      <c r="B187" s="813" t="s">
        <v>130</v>
      </c>
      <c r="C187" s="835" t="s">
        <v>555</v>
      </c>
      <c r="D187" s="816" t="s">
        <v>556</v>
      </c>
      <c r="E187" s="437" t="s">
        <v>386</v>
      </c>
      <c r="F187" s="438">
        <v>0</v>
      </c>
      <c r="G187" s="438">
        <v>0</v>
      </c>
      <c r="H187" s="438">
        <v>0</v>
      </c>
      <c r="I187" s="438">
        <v>0</v>
      </c>
      <c r="J187" s="438">
        <v>0</v>
      </c>
      <c r="K187" s="439">
        <v>1</v>
      </c>
      <c r="L187" s="438">
        <v>0.5</v>
      </c>
      <c r="M187" s="438">
        <v>1</v>
      </c>
      <c r="N187" s="438">
        <v>0.5</v>
      </c>
      <c r="O187" s="438">
        <v>1</v>
      </c>
      <c r="P187" s="438">
        <v>0.5</v>
      </c>
      <c r="Q187" s="438">
        <v>1</v>
      </c>
      <c r="R187" s="438">
        <v>0.5</v>
      </c>
      <c r="S187" s="438">
        <v>1</v>
      </c>
      <c r="T187" s="438">
        <v>0.5</v>
      </c>
      <c r="U187" s="438">
        <v>1</v>
      </c>
      <c r="V187" s="438">
        <v>0.5</v>
      </c>
      <c r="W187" s="438">
        <v>1</v>
      </c>
      <c r="X187" s="438">
        <v>0.5</v>
      </c>
      <c r="Y187" s="438">
        <v>0</v>
      </c>
      <c r="Z187" s="438">
        <v>0</v>
      </c>
      <c r="AA187" s="438">
        <v>0</v>
      </c>
      <c r="AB187" s="438">
        <v>0</v>
      </c>
      <c r="AC187" s="440">
        <v>0</v>
      </c>
      <c r="AD187" s="47"/>
      <c r="AE187" s="47"/>
      <c r="AF187" s="47"/>
      <c r="AG187" s="47"/>
      <c r="AH187" s="47"/>
      <c r="AI187" s="47"/>
      <c r="AJ187" s="47"/>
      <c r="AK187" s="47"/>
    </row>
    <row r="188" spans="1:37" ht="30.6" customHeight="1" x14ac:dyDescent="0.25">
      <c r="A188" s="728"/>
      <c r="B188" s="814"/>
      <c r="C188" s="831"/>
      <c r="D188" s="817"/>
      <c r="E188" s="415" t="s">
        <v>387</v>
      </c>
      <c r="F188" s="441">
        <v>0</v>
      </c>
      <c r="G188" s="441">
        <v>0</v>
      </c>
      <c r="H188" s="441">
        <v>0</v>
      </c>
      <c r="I188" s="441">
        <v>0</v>
      </c>
      <c r="J188" s="441">
        <v>0</v>
      </c>
      <c r="K188" s="441">
        <v>0</v>
      </c>
      <c r="L188" s="413">
        <v>0.5</v>
      </c>
      <c r="M188" s="416">
        <v>1</v>
      </c>
      <c r="N188" s="416">
        <v>0.5</v>
      </c>
      <c r="O188" s="441">
        <v>1</v>
      </c>
      <c r="P188" s="441">
        <v>0.5</v>
      </c>
      <c r="Q188" s="441">
        <v>1</v>
      </c>
      <c r="R188" s="441">
        <v>0.5</v>
      </c>
      <c r="S188" s="441">
        <v>1</v>
      </c>
      <c r="T188" s="441">
        <v>0.5</v>
      </c>
      <c r="U188" s="441">
        <v>1</v>
      </c>
      <c r="V188" s="441">
        <v>0.5</v>
      </c>
      <c r="W188" s="441">
        <v>1</v>
      </c>
      <c r="X188" s="441">
        <v>0.5</v>
      </c>
      <c r="Y188" s="441">
        <v>0</v>
      </c>
      <c r="Z188" s="441">
        <v>0</v>
      </c>
      <c r="AA188" s="441">
        <v>0</v>
      </c>
      <c r="AB188" s="441">
        <v>0</v>
      </c>
      <c r="AC188" s="442">
        <v>0</v>
      </c>
      <c r="AD188" s="47"/>
      <c r="AE188" s="47"/>
      <c r="AF188" s="47"/>
      <c r="AG188" s="47"/>
      <c r="AH188" s="47"/>
      <c r="AI188" s="47"/>
      <c r="AJ188" s="47"/>
      <c r="AK188" s="47"/>
    </row>
    <row r="189" spans="1:37" ht="30.6" customHeight="1" thickBot="1" x14ac:dyDescent="0.3">
      <c r="A189" s="729"/>
      <c r="B189" s="815"/>
      <c r="C189" s="832"/>
      <c r="D189" s="818"/>
      <c r="E189" s="443" t="s">
        <v>388</v>
      </c>
      <c r="F189" s="444">
        <v>0</v>
      </c>
      <c r="G189" s="444">
        <v>0</v>
      </c>
      <c r="H189" s="444">
        <v>0</v>
      </c>
      <c r="I189" s="444">
        <v>0</v>
      </c>
      <c r="J189" s="444">
        <v>0</v>
      </c>
      <c r="K189" s="444">
        <v>0</v>
      </c>
      <c r="L189" s="445">
        <v>0.5</v>
      </c>
      <c r="M189" s="445">
        <v>1</v>
      </c>
      <c r="N189" s="445">
        <v>0.5</v>
      </c>
      <c r="O189" s="444">
        <v>1</v>
      </c>
      <c r="P189" s="444">
        <v>0.5</v>
      </c>
      <c r="Q189" s="444">
        <v>1</v>
      </c>
      <c r="R189" s="444">
        <v>0.5</v>
      </c>
      <c r="S189" s="444">
        <v>1</v>
      </c>
      <c r="T189" s="444">
        <v>0.5</v>
      </c>
      <c r="U189" s="444">
        <v>1</v>
      </c>
      <c r="V189" s="444">
        <v>0.5</v>
      </c>
      <c r="W189" s="444">
        <v>1</v>
      </c>
      <c r="X189" s="444">
        <v>0.5</v>
      </c>
      <c r="Y189" s="444">
        <v>0</v>
      </c>
      <c r="Z189" s="444">
        <v>0</v>
      </c>
      <c r="AA189" s="444">
        <v>0</v>
      </c>
      <c r="AB189" s="444">
        <v>0</v>
      </c>
      <c r="AC189" s="446">
        <v>0</v>
      </c>
      <c r="AD189" s="47"/>
      <c r="AE189" s="47"/>
      <c r="AF189" s="47"/>
      <c r="AG189" s="47"/>
      <c r="AH189" s="47"/>
      <c r="AI189" s="47"/>
      <c r="AJ189" s="47"/>
      <c r="AK189" s="47"/>
    </row>
    <row r="190" spans="1:37" ht="30.6" customHeight="1" x14ac:dyDescent="0.25">
      <c r="A190" s="812" t="s">
        <v>130</v>
      </c>
      <c r="B190" s="813" t="s">
        <v>130</v>
      </c>
      <c r="C190" s="869" t="s">
        <v>526</v>
      </c>
      <c r="D190" s="816" t="s">
        <v>547</v>
      </c>
      <c r="E190" s="332" t="s">
        <v>386</v>
      </c>
      <c r="F190" s="370">
        <v>0.9</v>
      </c>
      <c r="G190" s="370">
        <v>0.9</v>
      </c>
      <c r="H190" s="370">
        <v>0.9</v>
      </c>
      <c r="I190" s="370">
        <v>0.9</v>
      </c>
      <c r="J190" s="370">
        <v>0.9</v>
      </c>
      <c r="K190" s="370">
        <v>0.9</v>
      </c>
      <c r="L190" s="370">
        <v>0.9</v>
      </c>
      <c r="M190" s="370">
        <v>0.9</v>
      </c>
      <c r="N190" s="370">
        <v>0.9</v>
      </c>
      <c r="O190" s="370">
        <v>0.9</v>
      </c>
      <c r="P190" s="370">
        <v>0.9</v>
      </c>
      <c r="Q190" s="370">
        <v>0.9</v>
      </c>
      <c r="R190" s="370">
        <v>0.9</v>
      </c>
      <c r="S190" s="370">
        <v>0.9</v>
      </c>
      <c r="T190" s="370">
        <v>0.9</v>
      </c>
      <c r="U190" s="370">
        <v>0.9</v>
      </c>
      <c r="V190" s="370">
        <v>0.9</v>
      </c>
      <c r="W190" s="370">
        <v>0.9</v>
      </c>
      <c r="X190" s="370">
        <v>0.9</v>
      </c>
      <c r="Y190" s="370">
        <v>0.9</v>
      </c>
      <c r="Z190" s="370">
        <v>0.9</v>
      </c>
      <c r="AA190" s="370">
        <v>0.9</v>
      </c>
      <c r="AB190" s="370">
        <v>0.9</v>
      </c>
      <c r="AC190" s="371">
        <v>0.9</v>
      </c>
      <c r="AD190" s="47"/>
      <c r="AE190" s="47"/>
      <c r="AF190" s="47"/>
      <c r="AG190" s="47"/>
      <c r="AH190" s="47"/>
      <c r="AI190" s="47"/>
      <c r="AJ190" s="47"/>
      <c r="AK190" s="47"/>
    </row>
    <row r="191" spans="1:37" ht="30.6" customHeight="1" x14ac:dyDescent="0.25">
      <c r="A191" s="728"/>
      <c r="B191" s="814"/>
      <c r="C191" s="731"/>
      <c r="D191" s="817"/>
      <c r="E191" s="334" t="s">
        <v>387</v>
      </c>
      <c r="F191" s="373">
        <v>0.9</v>
      </c>
      <c r="G191" s="373">
        <v>0.9</v>
      </c>
      <c r="H191" s="373">
        <v>0.9</v>
      </c>
      <c r="I191" s="373">
        <v>0.9</v>
      </c>
      <c r="J191" s="373">
        <v>0.9</v>
      </c>
      <c r="K191" s="373">
        <v>0.9</v>
      </c>
      <c r="L191" s="373">
        <v>0.9</v>
      </c>
      <c r="M191" s="373">
        <v>0.9</v>
      </c>
      <c r="N191" s="373">
        <v>0.9</v>
      </c>
      <c r="O191" s="373">
        <v>0.9</v>
      </c>
      <c r="P191" s="373">
        <v>0.9</v>
      </c>
      <c r="Q191" s="373">
        <v>0.9</v>
      </c>
      <c r="R191" s="373">
        <v>0.9</v>
      </c>
      <c r="S191" s="373">
        <v>0.9</v>
      </c>
      <c r="T191" s="373">
        <v>0.9</v>
      </c>
      <c r="U191" s="373">
        <v>0.9</v>
      </c>
      <c r="V191" s="373">
        <v>0.9</v>
      </c>
      <c r="W191" s="373">
        <v>0.9</v>
      </c>
      <c r="X191" s="373">
        <v>0.9</v>
      </c>
      <c r="Y191" s="373">
        <v>0.9</v>
      </c>
      <c r="Z191" s="373">
        <v>0.9</v>
      </c>
      <c r="AA191" s="373">
        <v>0.9</v>
      </c>
      <c r="AB191" s="373">
        <v>0.9</v>
      </c>
      <c r="AC191" s="376">
        <v>0.9</v>
      </c>
      <c r="AD191" s="47"/>
      <c r="AE191" s="47"/>
      <c r="AF191" s="47"/>
      <c r="AG191" s="47"/>
      <c r="AH191" s="47"/>
      <c r="AI191" s="47"/>
      <c r="AJ191" s="47"/>
      <c r="AK191" s="47"/>
    </row>
    <row r="192" spans="1:37" ht="30.6" customHeight="1" thickBot="1" x14ac:dyDescent="0.3">
      <c r="A192" s="729"/>
      <c r="B192" s="815"/>
      <c r="C192" s="732"/>
      <c r="D192" s="818"/>
      <c r="E192" s="336" t="s">
        <v>388</v>
      </c>
      <c r="F192" s="381">
        <v>0.9</v>
      </c>
      <c r="G192" s="381">
        <v>0.9</v>
      </c>
      <c r="H192" s="381">
        <v>0.9</v>
      </c>
      <c r="I192" s="381">
        <v>0.9</v>
      </c>
      <c r="J192" s="381">
        <v>0.9</v>
      </c>
      <c r="K192" s="381">
        <v>0.9</v>
      </c>
      <c r="L192" s="381">
        <v>0.9</v>
      </c>
      <c r="M192" s="381">
        <v>0.9</v>
      </c>
      <c r="N192" s="381">
        <v>0.9</v>
      </c>
      <c r="O192" s="381">
        <v>0.9</v>
      </c>
      <c r="P192" s="381">
        <v>0.9</v>
      </c>
      <c r="Q192" s="381">
        <v>0.9</v>
      </c>
      <c r="R192" s="381">
        <v>0.9</v>
      </c>
      <c r="S192" s="381">
        <v>0.9</v>
      </c>
      <c r="T192" s="381">
        <v>0.9</v>
      </c>
      <c r="U192" s="381">
        <v>0.9</v>
      </c>
      <c r="V192" s="381">
        <v>0.9</v>
      </c>
      <c r="W192" s="381">
        <v>0.9</v>
      </c>
      <c r="X192" s="381">
        <v>0.9</v>
      </c>
      <c r="Y192" s="381">
        <v>0.9</v>
      </c>
      <c r="Z192" s="381">
        <v>0.9</v>
      </c>
      <c r="AA192" s="381">
        <v>0.9</v>
      </c>
      <c r="AB192" s="381">
        <v>0.9</v>
      </c>
      <c r="AC192" s="382">
        <v>0.9</v>
      </c>
      <c r="AD192" s="47"/>
      <c r="AE192" s="47"/>
      <c r="AF192" s="47"/>
      <c r="AG192" s="47"/>
      <c r="AH192" s="47"/>
      <c r="AI192" s="47"/>
      <c r="AJ192" s="47"/>
      <c r="AK192" s="47"/>
    </row>
    <row r="193" spans="1:39" ht="30.6" customHeight="1" x14ac:dyDescent="0.25">
      <c r="A193" s="812" t="s">
        <v>130</v>
      </c>
      <c r="B193" s="813" t="s">
        <v>130</v>
      </c>
      <c r="C193" s="730" t="s">
        <v>525</v>
      </c>
      <c r="D193" s="816" t="s">
        <v>557</v>
      </c>
      <c r="E193" s="364" t="s">
        <v>386</v>
      </c>
      <c r="F193" s="390">
        <v>0.5</v>
      </c>
      <c r="G193" s="390">
        <v>0</v>
      </c>
      <c r="H193" s="390">
        <v>0</v>
      </c>
      <c r="I193" s="390">
        <v>0</v>
      </c>
      <c r="J193" s="390">
        <v>0</v>
      </c>
      <c r="K193" s="390">
        <v>0</v>
      </c>
      <c r="L193" s="447">
        <v>0.5</v>
      </c>
      <c r="M193" s="447">
        <v>0.9</v>
      </c>
      <c r="N193" s="447">
        <v>0.9</v>
      </c>
      <c r="O193" s="447">
        <v>0.9</v>
      </c>
      <c r="P193" s="390">
        <v>0.9</v>
      </c>
      <c r="Q193" s="390">
        <v>0.9</v>
      </c>
      <c r="R193" s="390">
        <v>0.9</v>
      </c>
      <c r="S193" s="390">
        <v>0.9</v>
      </c>
      <c r="T193" s="390">
        <v>0.75</v>
      </c>
      <c r="U193" s="390">
        <v>0.75</v>
      </c>
      <c r="V193" s="390">
        <v>0.75</v>
      </c>
      <c r="W193" s="390">
        <v>0.9</v>
      </c>
      <c r="X193" s="390">
        <v>0.9</v>
      </c>
      <c r="Y193" s="390">
        <v>0.9</v>
      </c>
      <c r="Z193" s="390">
        <v>0.9</v>
      </c>
      <c r="AA193" s="390">
        <v>0.75</v>
      </c>
      <c r="AB193" s="390">
        <v>0.5</v>
      </c>
      <c r="AC193" s="391">
        <v>0.5</v>
      </c>
      <c r="AD193" s="47"/>
      <c r="AE193" s="47"/>
      <c r="AF193" s="47"/>
      <c r="AG193" s="47"/>
      <c r="AH193" s="47"/>
      <c r="AI193" s="47"/>
      <c r="AJ193" s="47"/>
      <c r="AK193" s="47"/>
    </row>
    <row r="194" spans="1:39" ht="30.6" customHeight="1" x14ac:dyDescent="0.25">
      <c r="A194" s="728"/>
      <c r="B194" s="814"/>
      <c r="C194" s="731"/>
      <c r="D194" s="817"/>
      <c r="E194" s="334" t="s">
        <v>387</v>
      </c>
      <c r="F194" s="373">
        <v>0.5</v>
      </c>
      <c r="G194" s="373">
        <v>0</v>
      </c>
      <c r="H194" s="373">
        <v>0</v>
      </c>
      <c r="I194" s="373">
        <v>0</v>
      </c>
      <c r="J194" s="373">
        <v>0</v>
      </c>
      <c r="K194" s="373">
        <v>0</v>
      </c>
      <c r="L194" s="435">
        <v>0.5</v>
      </c>
      <c r="M194" s="435">
        <v>0.9</v>
      </c>
      <c r="N194" s="435">
        <v>0.9</v>
      </c>
      <c r="O194" s="435">
        <v>0.9</v>
      </c>
      <c r="P194" s="373">
        <v>0.9</v>
      </c>
      <c r="Q194" s="373">
        <v>0.9</v>
      </c>
      <c r="R194" s="373">
        <v>0.9</v>
      </c>
      <c r="S194" s="373">
        <v>0.9</v>
      </c>
      <c r="T194" s="373">
        <v>0.75</v>
      </c>
      <c r="U194" s="373">
        <v>0.75</v>
      </c>
      <c r="V194" s="373">
        <v>0.75</v>
      </c>
      <c r="W194" s="373">
        <v>0.9</v>
      </c>
      <c r="X194" s="373">
        <v>0.9</v>
      </c>
      <c r="Y194" s="373">
        <v>0.9</v>
      </c>
      <c r="Z194" s="373">
        <v>0.9</v>
      </c>
      <c r="AA194" s="373">
        <v>0.75</v>
      </c>
      <c r="AB194" s="373">
        <v>0.75</v>
      </c>
      <c r="AC194" s="376">
        <v>0.5</v>
      </c>
      <c r="AD194" s="47"/>
      <c r="AE194" s="47"/>
      <c r="AF194" s="47"/>
      <c r="AG194" s="47"/>
      <c r="AH194" s="47"/>
      <c r="AI194" s="47"/>
      <c r="AJ194" s="47"/>
      <c r="AK194" s="47"/>
    </row>
    <row r="195" spans="1:39" ht="30.6" customHeight="1" thickBot="1" x14ac:dyDescent="0.3">
      <c r="A195" s="729"/>
      <c r="B195" s="815"/>
      <c r="C195" s="732"/>
      <c r="D195" s="818"/>
      <c r="E195" s="365" t="s">
        <v>388</v>
      </c>
      <c r="F195" s="377">
        <v>0.5</v>
      </c>
      <c r="G195" s="377">
        <v>0</v>
      </c>
      <c r="H195" s="377">
        <v>0</v>
      </c>
      <c r="I195" s="377">
        <v>0</v>
      </c>
      <c r="J195" s="377">
        <v>0</v>
      </c>
      <c r="K195" s="377">
        <v>0</v>
      </c>
      <c r="L195" s="436">
        <v>0.5</v>
      </c>
      <c r="M195" s="436">
        <v>0.9</v>
      </c>
      <c r="N195" s="436">
        <v>0.9</v>
      </c>
      <c r="O195" s="436">
        <v>0.9</v>
      </c>
      <c r="P195" s="377">
        <v>0.9</v>
      </c>
      <c r="Q195" s="377">
        <v>0.9</v>
      </c>
      <c r="R195" s="377">
        <v>0.9</v>
      </c>
      <c r="S195" s="377">
        <v>0.9</v>
      </c>
      <c r="T195" s="377">
        <v>0.75</v>
      </c>
      <c r="U195" s="377">
        <v>0.75</v>
      </c>
      <c r="V195" s="377">
        <v>0.75</v>
      </c>
      <c r="W195" s="377">
        <v>0.9</v>
      </c>
      <c r="X195" s="377">
        <v>0.9</v>
      </c>
      <c r="Y195" s="377">
        <v>0.9</v>
      </c>
      <c r="Z195" s="377">
        <v>0.9</v>
      </c>
      <c r="AA195" s="377">
        <v>0.75</v>
      </c>
      <c r="AB195" s="377">
        <v>0.5</v>
      </c>
      <c r="AC195" s="378">
        <v>0.5</v>
      </c>
      <c r="AD195" s="47"/>
      <c r="AE195" s="47"/>
      <c r="AF195" s="47"/>
      <c r="AG195" s="47"/>
      <c r="AH195" s="47"/>
      <c r="AI195" s="47"/>
      <c r="AJ195" s="47"/>
      <c r="AK195" s="47"/>
    </row>
    <row r="196" spans="1:39" ht="30.6" customHeight="1" x14ac:dyDescent="0.25">
      <c r="A196" s="784" t="str">
        <f>A190</f>
        <v>Kitchen</v>
      </c>
      <c r="B196" s="854" t="str">
        <f>B190</f>
        <v>Kitchen</v>
      </c>
      <c r="C196" s="856" t="s">
        <v>529</v>
      </c>
      <c r="D196" s="872" t="s">
        <v>558</v>
      </c>
      <c r="E196" s="454" t="s">
        <v>386</v>
      </c>
      <c r="F196" s="348">
        <f>IF(F187=1,Thermostat!$B$7,Thermostat!$B$8)</f>
        <v>60</v>
      </c>
      <c r="G196" s="348">
        <f>IF(G187=1,Thermostat!$B$7,Thermostat!$B$8)</f>
        <v>60</v>
      </c>
      <c r="H196" s="348">
        <f>IF(H187=1,Thermostat!$B$7,Thermostat!$B$8)</f>
        <v>60</v>
      </c>
      <c r="I196" s="348">
        <f>IF(I187=1,Thermostat!$B$7,Thermostat!$B$8)</f>
        <v>60</v>
      </c>
      <c r="J196" s="348">
        <f>IF(J187=1,Thermostat!$B$7,Thermostat!$B$8)</f>
        <v>60</v>
      </c>
      <c r="K196" s="348">
        <f>IF(K187=1,Thermostat!$B$7,Thermostat!$B$8)</f>
        <v>66</v>
      </c>
      <c r="L196" s="348">
        <f>IF(L187=1,Thermostat!$B$7,Thermostat!$B$8)</f>
        <v>60</v>
      </c>
      <c r="M196" s="348">
        <f>IF(M187=1,Thermostat!$B$7,Thermostat!$B$8)</f>
        <v>66</v>
      </c>
      <c r="N196" s="348">
        <f>IF(N187=1,Thermostat!$B$7,Thermostat!$B$8)</f>
        <v>60</v>
      </c>
      <c r="O196" s="348">
        <f>IF(O187=1,Thermostat!$B$7,Thermostat!$B$8)</f>
        <v>66</v>
      </c>
      <c r="P196" s="348">
        <f>IF(P187=1,Thermostat!$B$7,Thermostat!$B$8)</f>
        <v>60</v>
      </c>
      <c r="Q196" s="348">
        <f>IF(Q187=1,Thermostat!$B$7,Thermostat!$B$8)</f>
        <v>66</v>
      </c>
      <c r="R196" s="348">
        <f>IF(R187=1,Thermostat!$B$7,Thermostat!$B$8)</f>
        <v>60</v>
      </c>
      <c r="S196" s="348">
        <f>IF(S187=1,Thermostat!$B$7,Thermostat!$B$8)</f>
        <v>66</v>
      </c>
      <c r="T196" s="348">
        <f>IF(T187=1,Thermostat!$B$7,Thermostat!$B$8)</f>
        <v>60</v>
      </c>
      <c r="U196" s="348">
        <f>IF(U187=1,Thermostat!$B$7,Thermostat!$B$8)</f>
        <v>66</v>
      </c>
      <c r="V196" s="348">
        <f>IF(V187=1,Thermostat!$B$7,Thermostat!$B$8)</f>
        <v>60</v>
      </c>
      <c r="W196" s="348">
        <f>IF(W187=1,Thermostat!$B$7,Thermostat!$B$8)</f>
        <v>66</v>
      </c>
      <c r="X196" s="348">
        <f>IF(X187=1,Thermostat!$B$7,Thermostat!$B$8)</f>
        <v>60</v>
      </c>
      <c r="Y196" s="348">
        <f>IF(Y187=1,Thermostat!$B$7,Thermostat!$B$8)</f>
        <v>60</v>
      </c>
      <c r="Z196" s="348">
        <f>IF(Z187=1,Thermostat!$B$7,Thermostat!$B$8)</f>
        <v>60</v>
      </c>
      <c r="AA196" s="348">
        <f>IF(AA187=1,Thermostat!$B$7,Thermostat!$B$8)</f>
        <v>60</v>
      </c>
      <c r="AB196" s="348">
        <f>IF(AB187=1,Thermostat!$B$7,Thermostat!$B$8)</f>
        <v>60</v>
      </c>
      <c r="AC196" s="349">
        <f>IF(AC187=1,Thermostat!$B$7,Thermostat!$B$8)</f>
        <v>60</v>
      </c>
      <c r="AD196" s="47"/>
      <c r="AE196" s="47"/>
      <c r="AF196" s="47"/>
      <c r="AG196" s="47"/>
      <c r="AH196" s="47"/>
      <c r="AI196" s="47"/>
      <c r="AJ196" s="47"/>
      <c r="AK196" s="47"/>
    </row>
    <row r="197" spans="1:39" ht="30.6" customHeight="1" x14ac:dyDescent="0.25">
      <c r="A197" s="785"/>
      <c r="B197" s="847"/>
      <c r="C197" s="778"/>
      <c r="D197" s="852"/>
      <c r="E197" s="455" t="s">
        <v>387</v>
      </c>
      <c r="F197" s="346">
        <f>IF(F188=1,Thermostat!$B$7,Thermostat!$B$8)</f>
        <v>60</v>
      </c>
      <c r="G197" s="346">
        <f>IF(G188=1,Thermostat!$B$7,Thermostat!$B$8)</f>
        <v>60</v>
      </c>
      <c r="H197" s="346">
        <f>IF(H188=1,Thermostat!$B$7,Thermostat!$B$8)</f>
        <v>60</v>
      </c>
      <c r="I197" s="346">
        <f>IF(I188=1,Thermostat!$B$7,Thermostat!$B$8)</f>
        <v>60</v>
      </c>
      <c r="J197" s="346">
        <f>IF(J188=1,Thermostat!$B$7,Thermostat!$B$8)</f>
        <v>60</v>
      </c>
      <c r="K197" s="346">
        <f>IF(K188=1,Thermostat!$B$7,Thermostat!$B$8)</f>
        <v>60</v>
      </c>
      <c r="L197" s="346">
        <f>IF(L188=1,Thermostat!$B$7,Thermostat!$B$8)</f>
        <v>60</v>
      </c>
      <c r="M197" s="346">
        <f>IF(M188=1,Thermostat!$B$7,Thermostat!$B$8)</f>
        <v>66</v>
      </c>
      <c r="N197" s="346">
        <f>IF(N188=1,Thermostat!$B$7,Thermostat!$B$8)</f>
        <v>60</v>
      </c>
      <c r="O197" s="346">
        <f>IF(O188=1,Thermostat!$B$7,Thermostat!$B$8)</f>
        <v>66</v>
      </c>
      <c r="P197" s="346">
        <f>IF(P188=1,Thermostat!$B$7,Thermostat!$B$8)</f>
        <v>60</v>
      </c>
      <c r="Q197" s="346">
        <f>IF(Q188=1,Thermostat!$B$7,Thermostat!$B$8)</f>
        <v>66</v>
      </c>
      <c r="R197" s="346">
        <f>IF(R188=1,Thermostat!$B$7,Thermostat!$B$8)</f>
        <v>60</v>
      </c>
      <c r="S197" s="346">
        <f>IF(S188=1,Thermostat!$B$7,Thermostat!$B$8)</f>
        <v>66</v>
      </c>
      <c r="T197" s="346">
        <f>IF(T188=1,Thermostat!$B$7,Thermostat!$B$8)</f>
        <v>60</v>
      </c>
      <c r="U197" s="346">
        <f>IF(U188=1,Thermostat!$B$7,Thermostat!$B$8)</f>
        <v>66</v>
      </c>
      <c r="V197" s="346">
        <f>IF(V188=1,Thermostat!$B$7,Thermostat!$B$8)</f>
        <v>60</v>
      </c>
      <c r="W197" s="346">
        <f>IF(W188=1,Thermostat!$B$7,Thermostat!$B$8)</f>
        <v>66</v>
      </c>
      <c r="X197" s="346">
        <f>IF(X188=1,Thermostat!$B$7,Thermostat!$B$8)</f>
        <v>60</v>
      </c>
      <c r="Y197" s="346">
        <f>IF(Y188=1,Thermostat!$B$7,Thermostat!$B$8)</f>
        <v>60</v>
      </c>
      <c r="Z197" s="346">
        <f>IF(Z188=1,Thermostat!$B$7,Thermostat!$B$8)</f>
        <v>60</v>
      </c>
      <c r="AA197" s="346">
        <f>IF(AA188=1,Thermostat!$B$7,Thermostat!$B$8)</f>
        <v>60</v>
      </c>
      <c r="AB197" s="346">
        <f>IF(AB188=1,Thermostat!$B$7,Thermostat!$B$8)</f>
        <v>60</v>
      </c>
      <c r="AC197" s="350">
        <f>IF(AC188=1,Thermostat!$B$7,Thermostat!$B$8)</f>
        <v>60</v>
      </c>
      <c r="AD197" s="47"/>
      <c r="AE197" s="47"/>
      <c r="AF197" s="47"/>
      <c r="AG197" s="47"/>
      <c r="AH197" s="47"/>
      <c r="AI197" s="47"/>
      <c r="AJ197" s="47"/>
      <c r="AK197" s="47"/>
    </row>
    <row r="198" spans="1:39" ht="30.6" customHeight="1" thickBot="1" x14ac:dyDescent="0.3">
      <c r="A198" s="786"/>
      <c r="B198" s="863"/>
      <c r="C198" s="798"/>
      <c r="D198" s="865"/>
      <c r="E198" s="457" t="s">
        <v>388</v>
      </c>
      <c r="F198" s="353">
        <f>IF(F189=1,Thermostat!$B$7,Thermostat!$B$8)</f>
        <v>60</v>
      </c>
      <c r="G198" s="353">
        <f>IF(G189=1,Thermostat!$B$7,Thermostat!$B$8)</f>
        <v>60</v>
      </c>
      <c r="H198" s="353">
        <f>IF(H189=1,Thermostat!$B$7,Thermostat!$B$8)</f>
        <v>60</v>
      </c>
      <c r="I198" s="353">
        <f>IF(I189=1,Thermostat!$B$7,Thermostat!$B$8)</f>
        <v>60</v>
      </c>
      <c r="J198" s="353">
        <f>IF(J189=1,Thermostat!$B$7,Thermostat!$B$8)</f>
        <v>60</v>
      </c>
      <c r="K198" s="353">
        <f>IF(K189=1,Thermostat!$B$7,Thermostat!$B$8)</f>
        <v>60</v>
      </c>
      <c r="L198" s="353">
        <f>IF(L189=1,Thermostat!$B$7,Thermostat!$B$8)</f>
        <v>60</v>
      </c>
      <c r="M198" s="353">
        <f>IF(M189=1,Thermostat!$B$7,Thermostat!$B$8)</f>
        <v>66</v>
      </c>
      <c r="N198" s="353">
        <f>IF(N189=1,Thermostat!$B$7,Thermostat!$B$8)</f>
        <v>60</v>
      </c>
      <c r="O198" s="353">
        <f>IF(O189=1,Thermostat!$B$7,Thermostat!$B$8)</f>
        <v>66</v>
      </c>
      <c r="P198" s="353">
        <f>IF(P189=1,Thermostat!$B$7,Thermostat!$B$8)</f>
        <v>60</v>
      </c>
      <c r="Q198" s="353">
        <f>IF(Q189=1,Thermostat!$B$7,Thermostat!$B$8)</f>
        <v>66</v>
      </c>
      <c r="R198" s="353">
        <f>IF(R189=1,Thermostat!$B$7,Thermostat!$B$8)</f>
        <v>60</v>
      </c>
      <c r="S198" s="353">
        <f>IF(S189=1,Thermostat!$B$7,Thermostat!$B$8)</f>
        <v>66</v>
      </c>
      <c r="T198" s="353">
        <f>IF(T189=1,Thermostat!$B$7,Thermostat!$B$8)</f>
        <v>60</v>
      </c>
      <c r="U198" s="353">
        <f>IF(U189=1,Thermostat!$B$7,Thermostat!$B$8)</f>
        <v>66</v>
      </c>
      <c r="V198" s="353">
        <f>IF(V189=1,Thermostat!$B$7,Thermostat!$B$8)</f>
        <v>60</v>
      </c>
      <c r="W198" s="353">
        <f>IF(W189=1,Thermostat!$B$7,Thermostat!$B$8)</f>
        <v>66</v>
      </c>
      <c r="X198" s="353">
        <f>IF(X189=1,Thermostat!$B$7,Thermostat!$B$8)</f>
        <v>60</v>
      </c>
      <c r="Y198" s="353">
        <f>IF(Y189=1,Thermostat!$B$7,Thermostat!$B$8)</f>
        <v>60</v>
      </c>
      <c r="Z198" s="353">
        <f>IF(Z189=1,Thermostat!$B$7,Thermostat!$B$8)</f>
        <v>60</v>
      </c>
      <c r="AA198" s="353">
        <f>IF(AA189=1,Thermostat!$B$7,Thermostat!$B$8)</f>
        <v>60</v>
      </c>
      <c r="AB198" s="353">
        <f>IF(AB189=1,Thermostat!$B$7,Thermostat!$B$8)</f>
        <v>60</v>
      </c>
      <c r="AC198" s="363">
        <f>IF(AC189=1,Thermostat!$B$7,Thermostat!$B$8)</f>
        <v>60</v>
      </c>
      <c r="AD198" s="47"/>
      <c r="AE198" s="47"/>
      <c r="AF198" s="47"/>
      <c r="AG198" s="47"/>
      <c r="AH198" s="47"/>
      <c r="AI198" s="47"/>
      <c r="AJ198" s="47"/>
      <c r="AK198" s="47"/>
    </row>
    <row r="199" spans="1:39" ht="30.6" customHeight="1" x14ac:dyDescent="0.25">
      <c r="A199" s="784" t="str">
        <f>A193</f>
        <v>Kitchen</v>
      </c>
      <c r="B199" s="854" t="str">
        <f>B193</f>
        <v>Kitchen</v>
      </c>
      <c r="C199" s="856" t="s">
        <v>530</v>
      </c>
      <c r="D199" s="864" t="s">
        <v>558</v>
      </c>
      <c r="E199" s="454" t="s">
        <v>386</v>
      </c>
      <c r="F199" s="348">
        <f>IF(F187=1,Thermostat!$B$9,Thermostat!$B$10)</f>
        <v>86</v>
      </c>
      <c r="G199" s="348">
        <f>IF(G187=1,Thermostat!$B$9,Thermostat!$B$10)</f>
        <v>86</v>
      </c>
      <c r="H199" s="348">
        <f>IF(H187=1,Thermostat!$B$9,Thermostat!$B$10)</f>
        <v>86</v>
      </c>
      <c r="I199" s="348">
        <f>IF(I187=1,Thermostat!$B$9,Thermostat!$B$10)</f>
        <v>86</v>
      </c>
      <c r="J199" s="348">
        <f>IF(J187=1,Thermostat!$B$9,Thermostat!$B$10)</f>
        <v>86</v>
      </c>
      <c r="K199" s="348">
        <f>IF(K187=1,Thermostat!$B$9,Thermostat!$B$10)</f>
        <v>79</v>
      </c>
      <c r="L199" s="348">
        <f>IF(L187=1,Thermostat!$B$9,Thermostat!$B$10)</f>
        <v>86</v>
      </c>
      <c r="M199" s="348">
        <f>IF(M187=1,Thermostat!$B$9,Thermostat!$B$10)</f>
        <v>79</v>
      </c>
      <c r="N199" s="348">
        <f>IF(N187=1,Thermostat!$B$9,Thermostat!$B$10)</f>
        <v>86</v>
      </c>
      <c r="O199" s="348">
        <f>IF(O187=1,Thermostat!$B$9,Thermostat!$B$10)</f>
        <v>79</v>
      </c>
      <c r="P199" s="348">
        <f>IF(P187=1,Thermostat!$B$9,Thermostat!$B$10)</f>
        <v>86</v>
      </c>
      <c r="Q199" s="348">
        <f>IF(Q187=1,Thermostat!$B$9,Thermostat!$B$10)</f>
        <v>79</v>
      </c>
      <c r="R199" s="348">
        <f>IF(R187=1,Thermostat!$B$9,Thermostat!$B$10)</f>
        <v>86</v>
      </c>
      <c r="S199" s="348">
        <f>IF(S187=1,Thermostat!$B$9,Thermostat!$B$10)</f>
        <v>79</v>
      </c>
      <c r="T199" s="348">
        <f>IF(T187=1,Thermostat!$B$9,Thermostat!$B$10)</f>
        <v>86</v>
      </c>
      <c r="U199" s="348">
        <f>IF(U187=1,Thermostat!$B$9,Thermostat!$B$10)</f>
        <v>79</v>
      </c>
      <c r="V199" s="348">
        <f>IF(V187=1,Thermostat!$B$9,Thermostat!$B$10)</f>
        <v>86</v>
      </c>
      <c r="W199" s="348">
        <f>IF(W187=1,Thermostat!$B$9,Thermostat!$B$10)</f>
        <v>79</v>
      </c>
      <c r="X199" s="348">
        <f>IF(X187=1,Thermostat!$B$9,Thermostat!$B$10)</f>
        <v>86</v>
      </c>
      <c r="Y199" s="348">
        <f>IF(Y187=1,Thermostat!$B$9,Thermostat!$B$10)</f>
        <v>86</v>
      </c>
      <c r="Z199" s="348">
        <f>IF(Z187=1,Thermostat!$B$9,Thermostat!$B$10)</f>
        <v>86</v>
      </c>
      <c r="AA199" s="348">
        <f>IF(AA187=1,Thermostat!$B$9,Thermostat!$B$10)</f>
        <v>86</v>
      </c>
      <c r="AB199" s="348">
        <f>IF(AB187=1,Thermostat!$B$9,Thermostat!$B$10)</f>
        <v>86</v>
      </c>
      <c r="AC199" s="349">
        <f>IF(AC187=1,Thermostat!$B$9,Thermostat!$B$10)</f>
        <v>86</v>
      </c>
      <c r="AD199" s="47"/>
      <c r="AE199" s="47"/>
      <c r="AF199" s="47"/>
      <c r="AG199" s="47"/>
      <c r="AH199" s="47"/>
      <c r="AI199" s="47"/>
      <c r="AJ199" s="47"/>
      <c r="AK199" s="47"/>
    </row>
    <row r="200" spans="1:39" ht="30.6" customHeight="1" x14ac:dyDescent="0.25">
      <c r="A200" s="785"/>
      <c r="B200" s="847"/>
      <c r="C200" s="778"/>
      <c r="D200" s="852"/>
      <c r="E200" s="455" t="s">
        <v>387</v>
      </c>
      <c r="F200" s="346">
        <f>IF(F188=1,Thermostat!$B$9,Thermostat!$B$10)</f>
        <v>86</v>
      </c>
      <c r="G200" s="346">
        <f>IF(G188=1,Thermostat!$B$9,Thermostat!$B$10)</f>
        <v>86</v>
      </c>
      <c r="H200" s="346">
        <f>IF(H188=1,Thermostat!$B$9,Thermostat!$B$10)</f>
        <v>86</v>
      </c>
      <c r="I200" s="346">
        <f>IF(I188=1,Thermostat!$B$9,Thermostat!$B$10)</f>
        <v>86</v>
      </c>
      <c r="J200" s="346">
        <f>IF(J188=1,Thermostat!$B$9,Thermostat!$B$10)</f>
        <v>86</v>
      </c>
      <c r="K200" s="346">
        <f>IF(K188=1,Thermostat!$B$9,Thermostat!$B$10)</f>
        <v>86</v>
      </c>
      <c r="L200" s="346">
        <f>IF(L188=1,Thermostat!$B$9,Thermostat!$B$10)</f>
        <v>86</v>
      </c>
      <c r="M200" s="346">
        <f>IF(M188=1,Thermostat!$B$9,Thermostat!$B$10)</f>
        <v>79</v>
      </c>
      <c r="N200" s="346">
        <f>IF(N188=1,Thermostat!$B$9,Thermostat!$B$10)</f>
        <v>86</v>
      </c>
      <c r="O200" s="346">
        <f>IF(O188=1,Thermostat!$B$9,Thermostat!$B$10)</f>
        <v>79</v>
      </c>
      <c r="P200" s="346">
        <f>IF(P188=1,Thermostat!$B$9,Thermostat!$B$10)</f>
        <v>86</v>
      </c>
      <c r="Q200" s="346">
        <f>IF(Q188=1,Thermostat!$B$9,Thermostat!$B$10)</f>
        <v>79</v>
      </c>
      <c r="R200" s="346">
        <f>IF(R188=1,Thermostat!$B$9,Thermostat!$B$10)</f>
        <v>86</v>
      </c>
      <c r="S200" s="346">
        <f>IF(S188=1,Thermostat!$B$9,Thermostat!$B$10)</f>
        <v>79</v>
      </c>
      <c r="T200" s="346">
        <f>IF(T188=1,Thermostat!$B$9,Thermostat!$B$10)</f>
        <v>86</v>
      </c>
      <c r="U200" s="346">
        <f>IF(U188=1,Thermostat!$B$9,Thermostat!$B$10)</f>
        <v>79</v>
      </c>
      <c r="V200" s="346">
        <f>IF(V188=1,Thermostat!$B$9,Thermostat!$B$10)</f>
        <v>86</v>
      </c>
      <c r="W200" s="346">
        <f>IF(W188=1,Thermostat!$B$9,Thermostat!$B$10)</f>
        <v>79</v>
      </c>
      <c r="X200" s="346">
        <f>IF(X188=1,Thermostat!$B$9,Thermostat!$B$10)</f>
        <v>86</v>
      </c>
      <c r="Y200" s="346">
        <f>IF(Y188=1,Thermostat!$B$9,Thermostat!$B$10)</f>
        <v>86</v>
      </c>
      <c r="Z200" s="346">
        <f>IF(Z188=1,Thermostat!$B$9,Thermostat!$B$10)</f>
        <v>86</v>
      </c>
      <c r="AA200" s="346">
        <f>IF(AA188=1,Thermostat!$B$9,Thermostat!$B$10)</f>
        <v>86</v>
      </c>
      <c r="AB200" s="346">
        <f>IF(AB188=1,Thermostat!$B$9,Thermostat!$B$10)</f>
        <v>86</v>
      </c>
      <c r="AC200" s="350">
        <f>IF(AC188=1,Thermostat!$B$9,Thermostat!$B$10)</f>
        <v>86</v>
      </c>
      <c r="AD200" s="47"/>
      <c r="AE200" s="47"/>
      <c r="AF200" s="47"/>
      <c r="AG200" s="47"/>
      <c r="AH200" s="47"/>
      <c r="AI200" s="47"/>
      <c r="AJ200" s="47"/>
      <c r="AK200" s="47"/>
    </row>
    <row r="201" spans="1:39" ht="30.6" customHeight="1" thickBot="1" x14ac:dyDescent="0.3">
      <c r="A201" s="819"/>
      <c r="B201" s="855"/>
      <c r="C201" s="857"/>
      <c r="D201" s="873"/>
      <c r="E201" s="456" t="s">
        <v>388</v>
      </c>
      <c r="F201" s="351">
        <f>IF(F189=1,Thermostat!$B$9,Thermostat!$B$10)</f>
        <v>86</v>
      </c>
      <c r="G201" s="351">
        <f>IF(G189=1,Thermostat!$B$9,Thermostat!$B$10)</f>
        <v>86</v>
      </c>
      <c r="H201" s="351">
        <f>IF(H189=1,Thermostat!$B$9,Thermostat!$B$10)</f>
        <v>86</v>
      </c>
      <c r="I201" s="351">
        <f>IF(I189=1,Thermostat!$B$9,Thermostat!$B$10)</f>
        <v>86</v>
      </c>
      <c r="J201" s="351">
        <f>IF(J189=1,Thermostat!$B$9,Thermostat!$B$10)</f>
        <v>86</v>
      </c>
      <c r="K201" s="351">
        <f>IF(K189=1,Thermostat!$B$9,Thermostat!$B$10)</f>
        <v>86</v>
      </c>
      <c r="L201" s="351">
        <f>IF(L189=1,Thermostat!$B$9,Thermostat!$B$10)</f>
        <v>86</v>
      </c>
      <c r="M201" s="351">
        <f>IF(M189=1,Thermostat!$B$9,Thermostat!$B$10)</f>
        <v>79</v>
      </c>
      <c r="N201" s="351">
        <f>IF(N189=1,Thermostat!$B$9,Thermostat!$B$10)</f>
        <v>86</v>
      </c>
      <c r="O201" s="351">
        <f>IF(O189=1,Thermostat!$B$9,Thermostat!$B$10)</f>
        <v>79</v>
      </c>
      <c r="P201" s="351">
        <f>IF(P189=1,Thermostat!$B$9,Thermostat!$B$10)</f>
        <v>86</v>
      </c>
      <c r="Q201" s="351">
        <f>IF(Q189=1,Thermostat!$B$9,Thermostat!$B$10)</f>
        <v>79</v>
      </c>
      <c r="R201" s="351">
        <f>IF(R189=1,Thermostat!$B$9,Thermostat!$B$10)</f>
        <v>86</v>
      </c>
      <c r="S201" s="351">
        <f>IF(S189=1,Thermostat!$B$9,Thermostat!$B$10)</f>
        <v>79</v>
      </c>
      <c r="T201" s="351">
        <f>IF(T189=1,Thermostat!$B$9,Thermostat!$B$10)</f>
        <v>86</v>
      </c>
      <c r="U201" s="351">
        <f>IF(U189=1,Thermostat!$B$9,Thermostat!$B$10)</f>
        <v>79</v>
      </c>
      <c r="V201" s="351">
        <f>IF(V189=1,Thermostat!$B$9,Thermostat!$B$10)</f>
        <v>86</v>
      </c>
      <c r="W201" s="351">
        <f>IF(W189=1,Thermostat!$B$9,Thermostat!$B$10)</f>
        <v>79</v>
      </c>
      <c r="X201" s="351">
        <f>IF(X189=1,Thermostat!$B$9,Thermostat!$B$10)</f>
        <v>86</v>
      </c>
      <c r="Y201" s="351">
        <f>IF(Y189=1,Thermostat!$B$9,Thermostat!$B$10)</f>
        <v>86</v>
      </c>
      <c r="Z201" s="351">
        <f>IF(Z189=1,Thermostat!$B$9,Thermostat!$B$10)</f>
        <v>86</v>
      </c>
      <c r="AA201" s="351">
        <f>IF(AA189=1,Thermostat!$B$9,Thermostat!$B$10)</f>
        <v>86</v>
      </c>
      <c r="AB201" s="351">
        <f>IF(AB189=1,Thermostat!$B$9,Thermostat!$B$10)</f>
        <v>86</v>
      </c>
      <c r="AC201" s="352">
        <f>IF(AC189=1,Thermostat!$B$9,Thermostat!$B$10)</f>
        <v>86</v>
      </c>
      <c r="AD201" s="47"/>
      <c r="AE201" s="47"/>
      <c r="AF201" s="47"/>
      <c r="AG201" s="47"/>
      <c r="AH201" s="47"/>
      <c r="AI201" s="47"/>
      <c r="AJ201" s="47"/>
      <c r="AK201" s="47"/>
    </row>
    <row r="202" spans="1:39" ht="19.899999999999999" customHeight="1" thickBot="1" x14ac:dyDescent="0.3">
      <c r="A202" s="725" t="s">
        <v>531</v>
      </c>
      <c r="B202" s="725"/>
      <c r="C202" s="725" t="s">
        <v>531</v>
      </c>
      <c r="D202" s="725"/>
      <c r="E202" s="725"/>
      <c r="F202" s="725"/>
      <c r="G202" s="725"/>
      <c r="H202" s="725"/>
      <c r="I202" s="725"/>
      <c r="J202" s="725"/>
      <c r="K202" s="725"/>
      <c r="L202" s="725"/>
      <c r="M202" s="725"/>
      <c r="N202" s="725"/>
      <c r="O202" s="725"/>
      <c r="P202" s="725"/>
      <c r="Q202" s="725"/>
      <c r="R202" s="725"/>
      <c r="S202" s="725"/>
      <c r="T202" s="725"/>
      <c r="U202" s="725"/>
      <c r="V202" s="725"/>
      <c r="W202" s="725"/>
      <c r="X202" s="725"/>
      <c r="Y202" s="725"/>
      <c r="Z202" s="725"/>
      <c r="AA202" s="725"/>
      <c r="AB202" s="725"/>
      <c r="AC202" s="726"/>
    </row>
    <row r="203" spans="1:39" ht="31.9" customHeight="1" x14ac:dyDescent="0.25">
      <c r="A203" s="713"/>
      <c r="B203" s="699" t="s">
        <v>559</v>
      </c>
      <c r="C203" s="699" t="s">
        <v>484</v>
      </c>
      <c r="D203" s="790" t="s">
        <v>560</v>
      </c>
      <c r="E203" s="466" t="s">
        <v>386</v>
      </c>
      <c r="F203" s="467">
        <v>0.02</v>
      </c>
      <c r="G203" s="467">
        <v>0.02</v>
      </c>
      <c r="H203" s="467">
        <v>0.02</v>
      </c>
      <c r="I203" s="467">
        <v>0.02</v>
      </c>
      <c r="J203" s="467">
        <v>0.02</v>
      </c>
      <c r="K203" s="467">
        <v>0.02</v>
      </c>
      <c r="L203" s="467">
        <v>0.02</v>
      </c>
      <c r="M203" s="460">
        <v>0.02</v>
      </c>
      <c r="N203" s="460">
        <v>0.75</v>
      </c>
      <c r="O203" s="460">
        <v>1</v>
      </c>
      <c r="P203" s="460">
        <v>1</v>
      </c>
      <c r="Q203" s="460">
        <v>1</v>
      </c>
      <c r="R203" s="460">
        <v>0.75</v>
      </c>
      <c r="S203" s="460">
        <v>1</v>
      </c>
      <c r="T203" s="460">
        <v>1</v>
      </c>
      <c r="U203" s="460">
        <v>1</v>
      </c>
      <c r="V203" s="460">
        <v>1</v>
      </c>
      <c r="W203" s="460">
        <v>1</v>
      </c>
      <c r="X203" s="460">
        <v>0.52</v>
      </c>
      <c r="Y203" s="460">
        <v>0.52</v>
      </c>
      <c r="Z203" s="460">
        <v>0.52</v>
      </c>
      <c r="AA203" s="460">
        <v>0.28000000000000003</v>
      </c>
      <c r="AB203" s="467">
        <v>0.02</v>
      </c>
      <c r="AC203" s="468">
        <v>0.02</v>
      </c>
      <c r="AD203" s="47"/>
      <c r="AE203" s="47"/>
      <c r="AF203" s="47"/>
      <c r="AG203" s="47"/>
      <c r="AH203" s="47"/>
      <c r="AI203" s="47"/>
      <c r="AJ203" s="47"/>
      <c r="AK203" s="47"/>
      <c r="AM203" s="59"/>
    </row>
    <row r="204" spans="1:39" ht="31.9" customHeight="1" x14ac:dyDescent="0.25">
      <c r="A204" s="714"/>
      <c r="B204" s="700"/>
      <c r="C204" s="700"/>
      <c r="D204" s="791"/>
      <c r="E204" s="469" t="s">
        <v>387</v>
      </c>
      <c r="F204" s="464">
        <v>0.02</v>
      </c>
      <c r="G204" s="464">
        <v>0.02</v>
      </c>
      <c r="H204" s="464">
        <v>0.02</v>
      </c>
      <c r="I204" s="464">
        <v>0.02</v>
      </c>
      <c r="J204" s="464">
        <v>0.02</v>
      </c>
      <c r="K204" s="464">
        <v>0.02</v>
      </c>
      <c r="L204" s="464">
        <v>0.02</v>
      </c>
      <c r="M204" s="461">
        <v>0.02</v>
      </c>
      <c r="N204" s="461">
        <v>0.46</v>
      </c>
      <c r="O204" s="461">
        <v>0.7</v>
      </c>
      <c r="P204" s="461">
        <v>0.7</v>
      </c>
      <c r="Q204" s="461">
        <v>0.7</v>
      </c>
      <c r="R204" s="461">
        <v>0.51</v>
      </c>
      <c r="S204" s="461">
        <v>0.51</v>
      </c>
      <c r="T204" s="461">
        <v>0.51</v>
      </c>
      <c r="U204" s="461">
        <v>0.51</v>
      </c>
      <c r="V204" s="461">
        <v>0.51</v>
      </c>
      <c r="W204" s="461">
        <v>0.25</v>
      </c>
      <c r="X204" s="461">
        <v>0.02</v>
      </c>
      <c r="Y204" s="464">
        <v>0.02</v>
      </c>
      <c r="Z204" s="464">
        <v>0.02</v>
      </c>
      <c r="AA204" s="464">
        <v>0.02</v>
      </c>
      <c r="AB204" s="464">
        <v>0.02</v>
      </c>
      <c r="AC204" s="470">
        <v>0.02</v>
      </c>
      <c r="AD204" s="47"/>
      <c r="AE204" s="47"/>
      <c r="AF204" s="47"/>
      <c r="AG204" s="47"/>
      <c r="AH204" s="47"/>
      <c r="AI204" s="47"/>
      <c r="AJ204" s="47"/>
      <c r="AK204" s="47"/>
      <c r="AM204" s="59"/>
    </row>
    <row r="205" spans="1:39" ht="31.9" customHeight="1" thickBot="1" x14ac:dyDescent="0.3">
      <c r="A205" s="715"/>
      <c r="B205" s="701"/>
      <c r="C205" s="701"/>
      <c r="D205" s="792"/>
      <c r="E205" s="471" t="s">
        <v>388</v>
      </c>
      <c r="F205" s="472">
        <v>0.02</v>
      </c>
      <c r="G205" s="472">
        <v>0.02</v>
      </c>
      <c r="H205" s="472">
        <v>0.02</v>
      </c>
      <c r="I205" s="472">
        <v>0.02</v>
      </c>
      <c r="J205" s="472">
        <v>0.02</v>
      </c>
      <c r="K205" s="472">
        <v>0.02</v>
      </c>
      <c r="L205" s="472">
        <v>0.02</v>
      </c>
      <c r="M205" s="472">
        <v>0.02</v>
      </c>
      <c r="N205" s="462">
        <v>0.02</v>
      </c>
      <c r="O205" s="462">
        <v>0.02</v>
      </c>
      <c r="P205" s="462">
        <v>0.02</v>
      </c>
      <c r="Q205" s="462">
        <v>0.02</v>
      </c>
      <c r="R205" s="462">
        <v>0.02</v>
      </c>
      <c r="S205" s="462">
        <v>0.02</v>
      </c>
      <c r="T205" s="462">
        <v>0.02</v>
      </c>
      <c r="U205" s="462">
        <v>0.02</v>
      </c>
      <c r="V205" s="472">
        <v>0.02</v>
      </c>
      <c r="W205" s="472">
        <v>0.02</v>
      </c>
      <c r="X205" s="472">
        <v>0.02</v>
      </c>
      <c r="Y205" s="472">
        <v>0.02</v>
      </c>
      <c r="Z205" s="472">
        <v>0.02</v>
      </c>
      <c r="AA205" s="472">
        <v>0.02</v>
      </c>
      <c r="AB205" s="472">
        <v>0.02</v>
      </c>
      <c r="AC205" s="473">
        <v>0.02</v>
      </c>
      <c r="AD205" s="47"/>
      <c r="AE205" s="47"/>
      <c r="AF205" s="47"/>
      <c r="AG205" s="47"/>
      <c r="AH205" s="47"/>
      <c r="AI205" s="47"/>
      <c r="AJ205" s="47"/>
      <c r="AK205" s="47"/>
      <c r="AM205" s="59"/>
    </row>
    <row r="206" spans="1:39" ht="20.45" customHeight="1" x14ac:dyDescent="0.25">
      <c r="A206" s="758"/>
      <c r="B206" s="760" t="s">
        <v>559</v>
      </c>
      <c r="C206" s="762" t="s">
        <v>561</v>
      </c>
      <c r="D206" s="764" t="s">
        <v>562</v>
      </c>
      <c r="E206" s="340" t="s">
        <v>386</v>
      </c>
      <c r="F206" s="463">
        <v>1</v>
      </c>
      <c r="G206" s="463">
        <v>1</v>
      </c>
      <c r="H206" s="463">
        <v>1</v>
      </c>
      <c r="I206" s="463">
        <v>1</v>
      </c>
      <c r="J206" s="463">
        <v>1</v>
      </c>
      <c r="K206" s="463">
        <v>1</v>
      </c>
      <c r="L206" s="463">
        <v>1</v>
      </c>
      <c r="M206" s="463">
        <v>1</v>
      </c>
      <c r="N206" s="463">
        <v>1</v>
      </c>
      <c r="O206" s="463">
        <v>1</v>
      </c>
      <c r="P206" s="463">
        <v>1</v>
      </c>
      <c r="Q206" s="463">
        <v>1</v>
      </c>
      <c r="R206" s="463">
        <v>1</v>
      </c>
      <c r="S206" s="463">
        <v>1</v>
      </c>
      <c r="T206" s="463">
        <v>1</v>
      </c>
      <c r="U206" s="463">
        <v>1</v>
      </c>
      <c r="V206" s="463">
        <v>1</v>
      </c>
      <c r="W206" s="463">
        <v>1</v>
      </c>
      <c r="X206" s="463">
        <v>1</v>
      </c>
      <c r="Y206" s="463">
        <v>1</v>
      </c>
      <c r="Z206" s="463">
        <v>1</v>
      </c>
      <c r="AA206" s="463">
        <v>1</v>
      </c>
      <c r="AB206" s="463">
        <v>1</v>
      </c>
      <c r="AC206" s="465">
        <v>1</v>
      </c>
    </row>
    <row r="207" spans="1:39" ht="20.45" customHeight="1" x14ac:dyDescent="0.25">
      <c r="A207" s="753"/>
      <c r="B207" s="656"/>
      <c r="C207" s="756"/>
      <c r="D207" s="757"/>
      <c r="E207" s="341" t="s">
        <v>387</v>
      </c>
      <c r="F207" s="342">
        <v>1</v>
      </c>
      <c r="G207" s="342">
        <v>1</v>
      </c>
      <c r="H207" s="342">
        <v>1</v>
      </c>
      <c r="I207" s="342">
        <v>1</v>
      </c>
      <c r="J207" s="342">
        <v>1</v>
      </c>
      <c r="K207" s="342">
        <v>1</v>
      </c>
      <c r="L207" s="342">
        <v>1</v>
      </c>
      <c r="M207" s="342">
        <v>1</v>
      </c>
      <c r="N207" s="342">
        <v>1</v>
      </c>
      <c r="O207" s="342">
        <v>1</v>
      </c>
      <c r="P207" s="342">
        <v>1</v>
      </c>
      <c r="Q207" s="342">
        <v>1</v>
      </c>
      <c r="R207" s="342">
        <v>1</v>
      </c>
      <c r="S207" s="342">
        <v>1</v>
      </c>
      <c r="T207" s="342">
        <v>1</v>
      </c>
      <c r="U207" s="342">
        <v>1</v>
      </c>
      <c r="V207" s="342">
        <v>1</v>
      </c>
      <c r="W207" s="342">
        <v>1</v>
      </c>
      <c r="X207" s="342">
        <v>1</v>
      </c>
      <c r="Y207" s="342">
        <v>1</v>
      </c>
      <c r="Z207" s="342">
        <v>1</v>
      </c>
      <c r="AA207" s="342">
        <v>1</v>
      </c>
      <c r="AB207" s="342">
        <v>1</v>
      </c>
      <c r="AC207" s="355">
        <v>1</v>
      </c>
    </row>
    <row r="208" spans="1:39" ht="20.45" customHeight="1" thickBot="1" x14ac:dyDescent="0.3">
      <c r="A208" s="759"/>
      <c r="B208" s="761"/>
      <c r="C208" s="763"/>
      <c r="D208" s="765"/>
      <c r="E208" s="356" t="s">
        <v>388</v>
      </c>
      <c r="F208" s="357">
        <v>1</v>
      </c>
      <c r="G208" s="357">
        <v>1</v>
      </c>
      <c r="H208" s="357">
        <v>1</v>
      </c>
      <c r="I208" s="357">
        <v>1</v>
      </c>
      <c r="J208" s="357">
        <v>1</v>
      </c>
      <c r="K208" s="357">
        <v>1</v>
      </c>
      <c r="L208" s="357">
        <v>1</v>
      </c>
      <c r="M208" s="357">
        <v>1</v>
      </c>
      <c r="N208" s="357">
        <v>1</v>
      </c>
      <c r="O208" s="357">
        <v>1</v>
      </c>
      <c r="P208" s="357">
        <v>1</v>
      </c>
      <c r="Q208" s="357">
        <v>1</v>
      </c>
      <c r="R208" s="357">
        <v>1</v>
      </c>
      <c r="S208" s="357">
        <v>1</v>
      </c>
      <c r="T208" s="357">
        <v>1</v>
      </c>
      <c r="U208" s="357">
        <v>1</v>
      </c>
      <c r="V208" s="357">
        <v>1</v>
      </c>
      <c r="W208" s="357">
        <v>1</v>
      </c>
      <c r="X208" s="357">
        <v>1</v>
      </c>
      <c r="Y208" s="357">
        <v>1</v>
      </c>
      <c r="Z208" s="357">
        <v>1</v>
      </c>
      <c r="AA208" s="357">
        <v>1</v>
      </c>
      <c r="AB208" s="357">
        <v>1</v>
      </c>
      <c r="AC208" s="358">
        <v>1</v>
      </c>
    </row>
    <row r="209" spans="1:29" ht="20.45" customHeight="1" x14ac:dyDescent="0.25">
      <c r="A209" s="752"/>
      <c r="B209" s="754" t="s">
        <v>559</v>
      </c>
      <c r="C209" s="755" t="s">
        <v>563</v>
      </c>
      <c r="D209" s="757" t="s">
        <v>564</v>
      </c>
      <c r="E209" s="340" t="s">
        <v>386</v>
      </c>
      <c r="F209" s="354">
        <v>0</v>
      </c>
      <c r="G209" s="354">
        <v>0</v>
      </c>
      <c r="H209" s="354">
        <v>0</v>
      </c>
      <c r="I209" s="354">
        <v>0</v>
      </c>
      <c r="J209" s="354">
        <v>0</v>
      </c>
      <c r="K209" s="354">
        <v>1</v>
      </c>
      <c r="L209" s="354">
        <v>1</v>
      </c>
      <c r="M209" s="354">
        <v>1</v>
      </c>
      <c r="N209" s="354">
        <v>1</v>
      </c>
      <c r="O209" s="354">
        <v>1</v>
      </c>
      <c r="P209" s="354">
        <v>1</v>
      </c>
      <c r="Q209" s="354">
        <v>1</v>
      </c>
      <c r="R209" s="354">
        <v>1</v>
      </c>
      <c r="S209" s="354">
        <v>1</v>
      </c>
      <c r="T209" s="354">
        <v>1</v>
      </c>
      <c r="U209" s="354">
        <v>1</v>
      </c>
      <c r="V209" s="354">
        <v>1</v>
      </c>
      <c r="W209" s="354">
        <v>1</v>
      </c>
      <c r="X209" s="354">
        <v>1</v>
      </c>
      <c r="Y209" s="354">
        <v>1</v>
      </c>
      <c r="Z209" s="354">
        <v>1</v>
      </c>
      <c r="AA209" s="354">
        <v>1</v>
      </c>
      <c r="AB209" s="354">
        <v>0</v>
      </c>
      <c r="AC209" s="359">
        <v>0</v>
      </c>
    </row>
    <row r="210" spans="1:29" ht="20.45" customHeight="1" x14ac:dyDescent="0.25">
      <c r="A210" s="753"/>
      <c r="B210" s="656"/>
      <c r="C210" s="756"/>
      <c r="D210" s="757"/>
      <c r="E210" s="341" t="s">
        <v>387</v>
      </c>
      <c r="F210" s="343">
        <v>0</v>
      </c>
      <c r="G210" s="343">
        <v>0</v>
      </c>
      <c r="H210" s="343">
        <v>0</v>
      </c>
      <c r="I210" s="343">
        <v>0</v>
      </c>
      <c r="J210" s="343">
        <v>0</v>
      </c>
      <c r="K210" s="343">
        <v>1</v>
      </c>
      <c r="L210" s="343">
        <v>1</v>
      </c>
      <c r="M210" s="343">
        <v>1</v>
      </c>
      <c r="N210" s="343">
        <v>1</v>
      </c>
      <c r="O210" s="343">
        <v>1</v>
      </c>
      <c r="P210" s="343">
        <v>1</v>
      </c>
      <c r="Q210" s="343">
        <v>1</v>
      </c>
      <c r="R210" s="343">
        <v>1</v>
      </c>
      <c r="S210" s="343">
        <v>1</v>
      </c>
      <c r="T210" s="343">
        <v>1</v>
      </c>
      <c r="U210" s="343">
        <v>1</v>
      </c>
      <c r="V210" s="343">
        <v>1</v>
      </c>
      <c r="W210" s="343">
        <v>1</v>
      </c>
      <c r="X210" s="343">
        <v>1</v>
      </c>
      <c r="Y210" s="343">
        <v>1</v>
      </c>
      <c r="Z210" s="343">
        <v>1</v>
      </c>
      <c r="AA210" s="343">
        <v>1</v>
      </c>
      <c r="AB210" s="343">
        <v>1</v>
      </c>
      <c r="AC210" s="360">
        <v>1</v>
      </c>
    </row>
    <row r="211" spans="1:29" ht="20.45" customHeight="1" thickBot="1" x14ac:dyDescent="0.3">
      <c r="A211" s="753"/>
      <c r="B211" s="656"/>
      <c r="C211" s="756"/>
      <c r="D211" s="757"/>
      <c r="E211" s="344" t="s">
        <v>388</v>
      </c>
      <c r="F211" s="345">
        <v>0</v>
      </c>
      <c r="G211" s="345">
        <v>0</v>
      </c>
      <c r="H211" s="345">
        <v>0</v>
      </c>
      <c r="I211" s="345">
        <v>0</v>
      </c>
      <c r="J211" s="345">
        <v>0</v>
      </c>
      <c r="K211" s="345">
        <v>1</v>
      </c>
      <c r="L211" s="345">
        <v>1</v>
      </c>
      <c r="M211" s="345">
        <v>1</v>
      </c>
      <c r="N211" s="345">
        <v>1</v>
      </c>
      <c r="O211" s="345">
        <v>1</v>
      </c>
      <c r="P211" s="345">
        <v>1</v>
      </c>
      <c r="Q211" s="345">
        <v>1</v>
      </c>
      <c r="R211" s="345">
        <v>1</v>
      </c>
      <c r="S211" s="345">
        <v>1</v>
      </c>
      <c r="T211" s="345">
        <v>1</v>
      </c>
      <c r="U211" s="345">
        <v>1</v>
      </c>
      <c r="V211" s="345">
        <v>1</v>
      </c>
      <c r="W211" s="345">
        <v>1</v>
      </c>
      <c r="X211" s="345">
        <v>1</v>
      </c>
      <c r="Y211" s="345">
        <v>1</v>
      </c>
      <c r="Z211" s="345">
        <v>1</v>
      </c>
      <c r="AA211" s="345">
        <v>1</v>
      </c>
      <c r="AB211" s="345">
        <v>1</v>
      </c>
      <c r="AC211" s="361">
        <v>1</v>
      </c>
    </row>
    <row r="212" spans="1:29" ht="28.9" customHeight="1" x14ac:dyDescent="0.25">
      <c r="A212" s="713" t="s">
        <v>565</v>
      </c>
      <c r="B212" s="699" t="s">
        <v>559</v>
      </c>
      <c r="C212" s="739" t="s">
        <v>566</v>
      </c>
      <c r="D212" s="742" t="s">
        <v>567</v>
      </c>
      <c r="E212" s="332" t="s">
        <v>386</v>
      </c>
      <c r="F212" s="348">
        <v>131.9</v>
      </c>
      <c r="G212" s="348">
        <v>131.9</v>
      </c>
      <c r="H212" s="348">
        <v>131.9</v>
      </c>
      <c r="I212" s="348">
        <v>131.9</v>
      </c>
      <c r="J212" s="348">
        <v>131.9</v>
      </c>
      <c r="K212" s="348">
        <v>131.9</v>
      </c>
      <c r="L212" s="348">
        <v>131.9</v>
      </c>
      <c r="M212" s="348">
        <v>131.9</v>
      </c>
      <c r="N212" s="348">
        <v>131.9</v>
      </c>
      <c r="O212" s="348">
        <v>131.9</v>
      </c>
      <c r="P212" s="348">
        <v>131.9</v>
      </c>
      <c r="Q212" s="348">
        <v>131.9</v>
      </c>
      <c r="R212" s="348">
        <v>131.9</v>
      </c>
      <c r="S212" s="348">
        <v>131.9</v>
      </c>
      <c r="T212" s="348">
        <v>131.9</v>
      </c>
      <c r="U212" s="348">
        <v>131.9</v>
      </c>
      <c r="V212" s="348">
        <v>131.9</v>
      </c>
      <c r="W212" s="348">
        <v>131.9</v>
      </c>
      <c r="X212" s="348">
        <v>131.9</v>
      </c>
      <c r="Y212" s="348">
        <v>131.9</v>
      </c>
      <c r="Z212" s="348">
        <v>131.9</v>
      </c>
      <c r="AA212" s="348">
        <v>131.9</v>
      </c>
      <c r="AB212" s="348">
        <v>131.9</v>
      </c>
      <c r="AC212" s="349">
        <v>131.9</v>
      </c>
    </row>
    <row r="213" spans="1:29" ht="28.9" customHeight="1" x14ac:dyDescent="0.25">
      <c r="A213" s="714"/>
      <c r="B213" s="700"/>
      <c r="C213" s="740"/>
      <c r="D213" s="743"/>
      <c r="E213" s="334" t="s">
        <v>387</v>
      </c>
      <c r="F213" s="346">
        <v>131.9</v>
      </c>
      <c r="G213" s="346">
        <v>131.9</v>
      </c>
      <c r="H213" s="346">
        <v>131.9</v>
      </c>
      <c r="I213" s="346">
        <v>131.9</v>
      </c>
      <c r="J213" s="346">
        <v>131.9</v>
      </c>
      <c r="K213" s="346">
        <v>131.9</v>
      </c>
      <c r="L213" s="346">
        <v>131.9</v>
      </c>
      <c r="M213" s="346">
        <v>131.9</v>
      </c>
      <c r="N213" s="346">
        <v>131.9</v>
      </c>
      <c r="O213" s="346">
        <v>131.9</v>
      </c>
      <c r="P213" s="346">
        <v>131.9</v>
      </c>
      <c r="Q213" s="346">
        <v>131.9</v>
      </c>
      <c r="R213" s="346">
        <v>131.9</v>
      </c>
      <c r="S213" s="346">
        <v>131.9</v>
      </c>
      <c r="T213" s="346">
        <v>131.9</v>
      </c>
      <c r="U213" s="346">
        <v>131.9</v>
      </c>
      <c r="V213" s="346">
        <v>131.9</v>
      </c>
      <c r="W213" s="346">
        <v>131.9</v>
      </c>
      <c r="X213" s="346">
        <v>131.9</v>
      </c>
      <c r="Y213" s="346">
        <v>131.9</v>
      </c>
      <c r="Z213" s="346">
        <v>131.9</v>
      </c>
      <c r="AA213" s="346">
        <v>131.9</v>
      </c>
      <c r="AB213" s="346">
        <v>131.9</v>
      </c>
      <c r="AC213" s="350">
        <v>131.9</v>
      </c>
    </row>
    <row r="214" spans="1:29" s="369" customFormat="1" ht="28.9" customHeight="1" thickBot="1" x14ac:dyDescent="0.3">
      <c r="A214" s="715"/>
      <c r="B214" s="701"/>
      <c r="C214" s="741"/>
      <c r="D214" s="744"/>
      <c r="E214" s="336" t="s">
        <v>388</v>
      </c>
      <c r="F214" s="351">
        <v>131.9</v>
      </c>
      <c r="G214" s="351">
        <v>131.9</v>
      </c>
      <c r="H214" s="351">
        <v>131.9</v>
      </c>
      <c r="I214" s="351">
        <v>131.9</v>
      </c>
      <c r="J214" s="351">
        <v>131.9</v>
      </c>
      <c r="K214" s="351">
        <v>131.9</v>
      </c>
      <c r="L214" s="351">
        <v>131.9</v>
      </c>
      <c r="M214" s="351">
        <v>131.9</v>
      </c>
      <c r="N214" s="351">
        <v>131.9</v>
      </c>
      <c r="O214" s="351">
        <v>131.9</v>
      </c>
      <c r="P214" s="351">
        <v>131.9</v>
      </c>
      <c r="Q214" s="351">
        <v>131.9</v>
      </c>
      <c r="R214" s="351">
        <v>131.9</v>
      </c>
      <c r="S214" s="351">
        <v>131.9</v>
      </c>
      <c r="T214" s="351">
        <v>131.9</v>
      </c>
      <c r="U214" s="351">
        <v>131.9</v>
      </c>
      <c r="V214" s="351">
        <v>131.9</v>
      </c>
      <c r="W214" s="351">
        <v>131.9</v>
      </c>
      <c r="X214" s="351">
        <v>131.9</v>
      </c>
      <c r="Y214" s="351">
        <v>131.9</v>
      </c>
      <c r="Z214" s="351">
        <v>131.9</v>
      </c>
      <c r="AA214" s="351">
        <v>131.9</v>
      </c>
      <c r="AB214" s="351">
        <v>131.9</v>
      </c>
      <c r="AC214" s="352">
        <v>131.9</v>
      </c>
    </row>
    <row r="215" spans="1:29" ht="20.45" customHeight="1" x14ac:dyDescent="0.25">
      <c r="A215" s="745" t="s">
        <v>568</v>
      </c>
      <c r="B215" s="657" t="s">
        <v>559</v>
      </c>
      <c r="C215" s="748" t="s">
        <v>569</v>
      </c>
      <c r="D215" s="750" t="s">
        <v>567</v>
      </c>
      <c r="E215" s="364" t="s">
        <v>386</v>
      </c>
      <c r="F215" s="347">
        <v>146.5</v>
      </c>
      <c r="G215" s="347">
        <v>146.5</v>
      </c>
      <c r="H215" s="347">
        <v>146.5</v>
      </c>
      <c r="I215" s="347">
        <v>146.5</v>
      </c>
      <c r="J215" s="347">
        <v>146.5</v>
      </c>
      <c r="K215" s="347">
        <v>146.5</v>
      </c>
      <c r="L215" s="347">
        <v>146.5</v>
      </c>
      <c r="M215" s="347">
        <v>146.5</v>
      </c>
      <c r="N215" s="347">
        <v>146.5</v>
      </c>
      <c r="O215" s="347">
        <v>146.5</v>
      </c>
      <c r="P215" s="347">
        <v>146.5</v>
      </c>
      <c r="Q215" s="347">
        <v>146.5</v>
      </c>
      <c r="R215" s="347">
        <v>146.5</v>
      </c>
      <c r="S215" s="347">
        <v>146.5</v>
      </c>
      <c r="T215" s="347">
        <v>146.5</v>
      </c>
      <c r="U215" s="347">
        <v>146.5</v>
      </c>
      <c r="V215" s="347">
        <v>146.5</v>
      </c>
      <c r="W215" s="347">
        <v>146.5</v>
      </c>
      <c r="X215" s="347">
        <v>146.5</v>
      </c>
      <c r="Y215" s="347">
        <v>146.5</v>
      </c>
      <c r="Z215" s="347">
        <v>146.5</v>
      </c>
      <c r="AA215" s="347">
        <v>146.5</v>
      </c>
      <c r="AB215" s="347">
        <v>146.5</v>
      </c>
      <c r="AC215" s="362">
        <v>146.5</v>
      </c>
    </row>
    <row r="216" spans="1:29" ht="20.45" customHeight="1" x14ac:dyDescent="0.25">
      <c r="A216" s="714"/>
      <c r="B216" s="700"/>
      <c r="C216" s="740"/>
      <c r="D216" s="743"/>
      <c r="E216" s="334" t="s">
        <v>387</v>
      </c>
      <c r="F216" s="346">
        <v>146.5</v>
      </c>
      <c r="G216" s="346">
        <v>146.5</v>
      </c>
      <c r="H216" s="346">
        <v>146.5</v>
      </c>
      <c r="I216" s="346">
        <v>146.5</v>
      </c>
      <c r="J216" s="346">
        <v>146.5</v>
      </c>
      <c r="K216" s="346">
        <v>146.5</v>
      </c>
      <c r="L216" s="346">
        <v>146.5</v>
      </c>
      <c r="M216" s="346">
        <v>146.5</v>
      </c>
      <c r="N216" s="346">
        <v>146.5</v>
      </c>
      <c r="O216" s="346">
        <v>146.5</v>
      </c>
      <c r="P216" s="346">
        <v>146.5</v>
      </c>
      <c r="Q216" s="346">
        <v>146.5</v>
      </c>
      <c r="R216" s="346">
        <v>146.5</v>
      </c>
      <c r="S216" s="346">
        <v>146.5</v>
      </c>
      <c r="T216" s="346">
        <v>146.5</v>
      </c>
      <c r="U216" s="346">
        <v>146.5</v>
      </c>
      <c r="V216" s="346">
        <v>146.5</v>
      </c>
      <c r="W216" s="346">
        <v>146.5</v>
      </c>
      <c r="X216" s="346">
        <v>146.5</v>
      </c>
      <c r="Y216" s="346">
        <v>146.5</v>
      </c>
      <c r="Z216" s="346">
        <v>146.5</v>
      </c>
      <c r="AA216" s="346">
        <v>146.5</v>
      </c>
      <c r="AB216" s="346">
        <v>146.5</v>
      </c>
      <c r="AC216" s="350">
        <v>146.5</v>
      </c>
    </row>
    <row r="217" spans="1:29" ht="20.45" customHeight="1" thickBot="1" x14ac:dyDescent="0.3">
      <c r="A217" s="746"/>
      <c r="B217" s="747"/>
      <c r="C217" s="749"/>
      <c r="D217" s="751"/>
      <c r="E217" s="365" t="s">
        <v>388</v>
      </c>
      <c r="F217" s="353">
        <v>146.5</v>
      </c>
      <c r="G217" s="353">
        <v>146.5</v>
      </c>
      <c r="H217" s="353">
        <v>146.5</v>
      </c>
      <c r="I217" s="353">
        <v>146.5</v>
      </c>
      <c r="J217" s="353">
        <v>146.5</v>
      </c>
      <c r="K217" s="353">
        <v>146.5</v>
      </c>
      <c r="L217" s="353">
        <v>146.5</v>
      </c>
      <c r="M217" s="353">
        <v>146.5</v>
      </c>
      <c r="N217" s="353">
        <v>146.5</v>
      </c>
      <c r="O217" s="353">
        <v>146.5</v>
      </c>
      <c r="P217" s="353">
        <v>146.5</v>
      </c>
      <c r="Q217" s="353">
        <v>146.5</v>
      </c>
      <c r="R217" s="353">
        <v>146.5</v>
      </c>
      <c r="S217" s="353">
        <v>146.5</v>
      </c>
      <c r="T217" s="353">
        <v>146.5</v>
      </c>
      <c r="U217" s="353">
        <v>146.5</v>
      </c>
      <c r="V217" s="353">
        <v>146.5</v>
      </c>
      <c r="W217" s="353">
        <v>146.5</v>
      </c>
      <c r="X217" s="353">
        <v>146.5</v>
      </c>
      <c r="Y217" s="353">
        <v>146.5</v>
      </c>
      <c r="Z217" s="353">
        <v>146.5</v>
      </c>
      <c r="AA217" s="353">
        <v>146.5</v>
      </c>
      <c r="AB217" s="353">
        <v>146.5</v>
      </c>
      <c r="AC217" s="363">
        <v>146.5</v>
      </c>
    </row>
    <row r="218" spans="1:29" ht="20.45" customHeight="1" x14ac:dyDescent="0.25">
      <c r="A218" s="713" t="s">
        <v>570</v>
      </c>
      <c r="B218" s="699" t="s">
        <v>559</v>
      </c>
      <c r="C218" s="739" t="s">
        <v>571</v>
      </c>
      <c r="D218" s="742" t="s">
        <v>567</v>
      </c>
      <c r="E218" s="332" t="s">
        <v>386</v>
      </c>
      <c r="F218" s="348">
        <v>161.19999999999999</v>
      </c>
      <c r="G218" s="348">
        <v>161.19999999999999</v>
      </c>
      <c r="H218" s="348">
        <v>161.19999999999999</v>
      </c>
      <c r="I218" s="348">
        <v>161.19999999999999</v>
      </c>
      <c r="J218" s="348">
        <v>161.19999999999999</v>
      </c>
      <c r="K218" s="348">
        <v>161.19999999999999</v>
      </c>
      <c r="L218" s="348">
        <v>161.19999999999999</v>
      </c>
      <c r="M218" s="348">
        <v>161.19999999999999</v>
      </c>
      <c r="N218" s="348">
        <v>161.19999999999999</v>
      </c>
      <c r="O218" s="348">
        <v>161.19999999999999</v>
      </c>
      <c r="P218" s="348">
        <v>161.19999999999999</v>
      </c>
      <c r="Q218" s="348">
        <v>161.19999999999999</v>
      </c>
      <c r="R218" s="348">
        <v>161.19999999999999</v>
      </c>
      <c r="S218" s="348">
        <v>161.19999999999999</v>
      </c>
      <c r="T218" s="348">
        <v>161.19999999999999</v>
      </c>
      <c r="U218" s="348">
        <v>161.19999999999999</v>
      </c>
      <c r="V218" s="348">
        <v>161.19999999999999</v>
      </c>
      <c r="W218" s="348">
        <v>161.19999999999999</v>
      </c>
      <c r="X218" s="348">
        <v>161.19999999999999</v>
      </c>
      <c r="Y218" s="348">
        <v>161.19999999999999</v>
      </c>
      <c r="Z218" s="348">
        <v>161.19999999999999</v>
      </c>
      <c r="AA218" s="348">
        <v>161.19999999999999</v>
      </c>
      <c r="AB218" s="348">
        <v>161.19999999999999</v>
      </c>
      <c r="AC218" s="349">
        <v>161.19999999999999</v>
      </c>
    </row>
    <row r="219" spans="1:29" ht="20.45" customHeight="1" x14ac:dyDescent="0.25">
      <c r="A219" s="714"/>
      <c r="B219" s="700"/>
      <c r="C219" s="740"/>
      <c r="D219" s="743"/>
      <c r="E219" s="334" t="s">
        <v>387</v>
      </c>
      <c r="F219" s="346">
        <v>161.19999999999999</v>
      </c>
      <c r="G219" s="346">
        <v>161.19999999999999</v>
      </c>
      <c r="H219" s="346">
        <v>161.19999999999999</v>
      </c>
      <c r="I219" s="346">
        <v>161.19999999999999</v>
      </c>
      <c r="J219" s="346">
        <v>161.19999999999999</v>
      </c>
      <c r="K219" s="346">
        <v>161.19999999999999</v>
      </c>
      <c r="L219" s="346">
        <v>161.19999999999999</v>
      </c>
      <c r="M219" s="346">
        <v>161.19999999999999</v>
      </c>
      <c r="N219" s="346">
        <v>161.19999999999999</v>
      </c>
      <c r="O219" s="346">
        <v>161.19999999999999</v>
      </c>
      <c r="P219" s="346">
        <v>161.19999999999999</v>
      </c>
      <c r="Q219" s="346">
        <v>161.19999999999999</v>
      </c>
      <c r="R219" s="346">
        <v>161.19999999999999</v>
      </c>
      <c r="S219" s="346">
        <v>161.19999999999999</v>
      </c>
      <c r="T219" s="346">
        <v>161.19999999999999</v>
      </c>
      <c r="U219" s="346">
        <v>161.19999999999999</v>
      </c>
      <c r="V219" s="346">
        <v>161.19999999999999</v>
      </c>
      <c r="W219" s="346">
        <v>161.19999999999999</v>
      </c>
      <c r="X219" s="346">
        <v>161.19999999999999</v>
      </c>
      <c r="Y219" s="346">
        <v>161.19999999999999</v>
      </c>
      <c r="Z219" s="346">
        <v>161.19999999999999</v>
      </c>
      <c r="AA219" s="346">
        <v>161.19999999999999</v>
      </c>
      <c r="AB219" s="346">
        <v>161.19999999999999</v>
      </c>
      <c r="AC219" s="350">
        <v>161.19999999999999</v>
      </c>
    </row>
    <row r="220" spans="1:29" ht="20.45" customHeight="1" thickBot="1" x14ac:dyDescent="0.3">
      <c r="A220" s="715"/>
      <c r="B220" s="701"/>
      <c r="C220" s="741"/>
      <c r="D220" s="744"/>
      <c r="E220" s="336" t="s">
        <v>388</v>
      </c>
      <c r="F220" s="351">
        <v>161.19999999999999</v>
      </c>
      <c r="G220" s="351">
        <v>161.19999999999999</v>
      </c>
      <c r="H220" s="351">
        <v>161.19999999999999</v>
      </c>
      <c r="I220" s="351">
        <v>161.19999999999999</v>
      </c>
      <c r="J220" s="351">
        <v>161.19999999999999</v>
      </c>
      <c r="K220" s="351">
        <v>161.19999999999999</v>
      </c>
      <c r="L220" s="351">
        <v>161.19999999999999</v>
      </c>
      <c r="M220" s="351">
        <v>161.19999999999999</v>
      </c>
      <c r="N220" s="351">
        <v>161.19999999999999</v>
      </c>
      <c r="O220" s="351">
        <v>161.19999999999999</v>
      </c>
      <c r="P220" s="351">
        <v>161.19999999999999</v>
      </c>
      <c r="Q220" s="351">
        <v>161.19999999999999</v>
      </c>
      <c r="R220" s="351">
        <v>161.19999999999999</v>
      </c>
      <c r="S220" s="351">
        <v>161.19999999999999</v>
      </c>
      <c r="T220" s="351">
        <v>161.19999999999999</v>
      </c>
      <c r="U220" s="351">
        <v>161.19999999999999</v>
      </c>
      <c r="V220" s="351">
        <v>161.19999999999999</v>
      </c>
      <c r="W220" s="351">
        <v>161.19999999999999</v>
      </c>
      <c r="X220" s="351">
        <v>161.19999999999999</v>
      </c>
      <c r="Y220" s="351">
        <v>161.19999999999999</v>
      </c>
      <c r="Z220" s="351">
        <v>161.19999999999999</v>
      </c>
      <c r="AA220" s="351">
        <v>161.19999999999999</v>
      </c>
      <c r="AB220" s="351">
        <v>161.19999999999999</v>
      </c>
      <c r="AC220" s="352">
        <v>161.19999999999999</v>
      </c>
    </row>
    <row r="221" spans="1:29" ht="20.45" customHeight="1" x14ac:dyDescent="0.25">
      <c r="A221" s="727" t="s">
        <v>130</v>
      </c>
      <c r="B221" s="730" t="s">
        <v>559</v>
      </c>
      <c r="C221" s="733" t="s">
        <v>572</v>
      </c>
      <c r="D221" s="736" t="s">
        <v>567</v>
      </c>
      <c r="E221" s="364" t="s">
        <v>386</v>
      </c>
      <c r="F221" s="347">
        <v>219.8</v>
      </c>
      <c r="G221" s="347">
        <v>219.8</v>
      </c>
      <c r="H221" s="347">
        <v>219.8</v>
      </c>
      <c r="I221" s="347">
        <v>219.8</v>
      </c>
      <c r="J221" s="347">
        <v>219.8</v>
      </c>
      <c r="K221" s="347">
        <v>219.8</v>
      </c>
      <c r="L221" s="347">
        <v>219.8</v>
      </c>
      <c r="M221" s="347">
        <v>219.8</v>
      </c>
      <c r="N221" s="347">
        <v>219.8</v>
      </c>
      <c r="O221" s="347">
        <v>219.8</v>
      </c>
      <c r="P221" s="347">
        <v>219.8</v>
      </c>
      <c r="Q221" s="347">
        <v>219.8</v>
      </c>
      <c r="R221" s="347">
        <v>219.8</v>
      </c>
      <c r="S221" s="347">
        <v>219.8</v>
      </c>
      <c r="T221" s="347">
        <v>219.8</v>
      </c>
      <c r="U221" s="347">
        <v>219.8</v>
      </c>
      <c r="V221" s="347">
        <v>219.8</v>
      </c>
      <c r="W221" s="347">
        <v>219.8</v>
      </c>
      <c r="X221" s="347">
        <v>219.8</v>
      </c>
      <c r="Y221" s="347">
        <v>219.8</v>
      </c>
      <c r="Z221" s="347">
        <v>219.8</v>
      </c>
      <c r="AA221" s="347">
        <v>219.8</v>
      </c>
      <c r="AB221" s="347">
        <v>219.8</v>
      </c>
      <c r="AC221" s="362">
        <v>219.8</v>
      </c>
    </row>
    <row r="222" spans="1:29" ht="20.45" customHeight="1" x14ac:dyDescent="0.25">
      <c r="A222" s="728"/>
      <c r="B222" s="731"/>
      <c r="C222" s="734"/>
      <c r="D222" s="737"/>
      <c r="E222" s="334" t="s">
        <v>387</v>
      </c>
      <c r="F222" s="346">
        <v>219.8</v>
      </c>
      <c r="G222" s="346">
        <v>219.8</v>
      </c>
      <c r="H222" s="346">
        <v>219.8</v>
      </c>
      <c r="I222" s="346">
        <v>219.8</v>
      </c>
      <c r="J222" s="346">
        <v>219.8</v>
      </c>
      <c r="K222" s="346">
        <v>219.8</v>
      </c>
      <c r="L222" s="346">
        <v>219.8</v>
      </c>
      <c r="M222" s="346">
        <v>219.8</v>
      </c>
      <c r="N222" s="346">
        <v>219.8</v>
      </c>
      <c r="O222" s="346">
        <v>219.8</v>
      </c>
      <c r="P222" s="346">
        <v>219.8</v>
      </c>
      <c r="Q222" s="346">
        <v>219.8</v>
      </c>
      <c r="R222" s="346">
        <v>219.8</v>
      </c>
      <c r="S222" s="346">
        <v>219.8</v>
      </c>
      <c r="T222" s="346">
        <v>219.8</v>
      </c>
      <c r="U222" s="346">
        <v>219.8</v>
      </c>
      <c r="V222" s="346">
        <v>219.8</v>
      </c>
      <c r="W222" s="346">
        <v>219.8</v>
      </c>
      <c r="X222" s="346">
        <v>219.8</v>
      </c>
      <c r="Y222" s="346">
        <v>219.8</v>
      </c>
      <c r="Z222" s="346">
        <v>219.8</v>
      </c>
      <c r="AA222" s="346">
        <v>219.8</v>
      </c>
      <c r="AB222" s="346">
        <v>219.8</v>
      </c>
      <c r="AC222" s="350">
        <v>219.8</v>
      </c>
    </row>
    <row r="223" spans="1:29" ht="20.45" customHeight="1" thickBot="1" x14ac:dyDescent="0.3">
      <c r="A223" s="729"/>
      <c r="B223" s="732"/>
      <c r="C223" s="735"/>
      <c r="D223" s="738"/>
      <c r="E223" s="336" t="s">
        <v>388</v>
      </c>
      <c r="F223" s="351">
        <v>219.8</v>
      </c>
      <c r="G223" s="351">
        <v>219.8</v>
      </c>
      <c r="H223" s="351">
        <v>219.8</v>
      </c>
      <c r="I223" s="351">
        <v>219.8</v>
      </c>
      <c r="J223" s="351">
        <v>219.8</v>
      </c>
      <c r="K223" s="351">
        <v>219.8</v>
      </c>
      <c r="L223" s="351">
        <v>219.8</v>
      </c>
      <c r="M223" s="351">
        <v>219.8</v>
      </c>
      <c r="N223" s="351">
        <v>219.8</v>
      </c>
      <c r="O223" s="351">
        <v>219.8</v>
      </c>
      <c r="P223" s="351">
        <v>219.8</v>
      </c>
      <c r="Q223" s="351">
        <v>219.8</v>
      </c>
      <c r="R223" s="351">
        <v>219.8</v>
      </c>
      <c r="S223" s="351">
        <v>219.8</v>
      </c>
      <c r="T223" s="351">
        <v>219.8</v>
      </c>
      <c r="U223" s="351">
        <v>219.8</v>
      </c>
      <c r="V223" s="351">
        <v>219.8</v>
      </c>
      <c r="W223" s="351">
        <v>219.8</v>
      </c>
      <c r="X223" s="351">
        <v>219.8</v>
      </c>
      <c r="Y223" s="351">
        <v>219.8</v>
      </c>
      <c r="Z223" s="351">
        <v>219.8</v>
      </c>
      <c r="AA223" s="351">
        <v>219.8</v>
      </c>
      <c r="AB223" s="351">
        <v>219.8</v>
      </c>
      <c r="AC223" s="352">
        <v>219.8</v>
      </c>
    </row>
    <row r="232" spans="1:7" s="58" customFormat="1" ht="21.6" customHeight="1" x14ac:dyDescent="0.25">
      <c r="A232" s="547" t="s">
        <v>184</v>
      </c>
      <c r="C232" s="126"/>
      <c r="D232" s="126"/>
      <c r="E232" s="126"/>
      <c r="F232" s="126"/>
      <c r="G232" s="126"/>
    </row>
  </sheetData>
  <mergeCells count="298">
    <mergeCell ref="A44:A46"/>
    <mergeCell ref="B44:B46"/>
    <mergeCell ref="C44:C46"/>
    <mergeCell ref="D44:D46"/>
    <mergeCell ref="A47:A49"/>
    <mergeCell ref="B47:B49"/>
    <mergeCell ref="C47:C49"/>
    <mergeCell ref="D47:D49"/>
    <mergeCell ref="A53:A55"/>
    <mergeCell ref="B53:B55"/>
    <mergeCell ref="C53:C55"/>
    <mergeCell ref="D53:D55"/>
    <mergeCell ref="A35:A37"/>
    <mergeCell ref="B35:B37"/>
    <mergeCell ref="C35:C37"/>
    <mergeCell ref="D35:D37"/>
    <mergeCell ref="A38:A40"/>
    <mergeCell ref="B38:B40"/>
    <mergeCell ref="C38:C40"/>
    <mergeCell ref="D38:D40"/>
    <mergeCell ref="A41:A43"/>
    <mergeCell ref="B41:B43"/>
    <mergeCell ref="C41:C43"/>
    <mergeCell ref="D41:D43"/>
    <mergeCell ref="A196:A198"/>
    <mergeCell ref="B196:B198"/>
    <mergeCell ref="C196:C198"/>
    <mergeCell ref="D196:D198"/>
    <mergeCell ref="A199:A201"/>
    <mergeCell ref="B199:B201"/>
    <mergeCell ref="C199:C201"/>
    <mergeCell ref="D199:D201"/>
    <mergeCell ref="A190:A192"/>
    <mergeCell ref="B190:B192"/>
    <mergeCell ref="C190:C192"/>
    <mergeCell ref="D190:D192"/>
    <mergeCell ref="A193:A195"/>
    <mergeCell ref="B193:B195"/>
    <mergeCell ref="C193:C195"/>
    <mergeCell ref="D193:D195"/>
    <mergeCell ref="A184:A186"/>
    <mergeCell ref="B184:B186"/>
    <mergeCell ref="C184:C186"/>
    <mergeCell ref="D184:D186"/>
    <mergeCell ref="A187:A189"/>
    <mergeCell ref="B187:B189"/>
    <mergeCell ref="C187:C189"/>
    <mergeCell ref="D187:D189"/>
    <mergeCell ref="A178:A180"/>
    <mergeCell ref="B178:B180"/>
    <mergeCell ref="C178:C180"/>
    <mergeCell ref="D178:D180"/>
    <mergeCell ref="A181:A183"/>
    <mergeCell ref="B181:B183"/>
    <mergeCell ref="C181:C183"/>
    <mergeCell ref="D181:D183"/>
    <mergeCell ref="A172:A174"/>
    <mergeCell ref="B172:B174"/>
    <mergeCell ref="C172:C174"/>
    <mergeCell ref="D172:D174"/>
    <mergeCell ref="A175:A177"/>
    <mergeCell ref="B175:B177"/>
    <mergeCell ref="C175:C177"/>
    <mergeCell ref="D175:D177"/>
    <mergeCell ref="A166:A168"/>
    <mergeCell ref="B166:B168"/>
    <mergeCell ref="C166:C168"/>
    <mergeCell ref="D166:D168"/>
    <mergeCell ref="A169:A171"/>
    <mergeCell ref="B169:B171"/>
    <mergeCell ref="C169:C171"/>
    <mergeCell ref="D169:D171"/>
    <mergeCell ref="A162:A164"/>
    <mergeCell ref="B162:B164"/>
    <mergeCell ref="C162:C164"/>
    <mergeCell ref="D162:D164"/>
    <mergeCell ref="A165:AC165"/>
    <mergeCell ref="A156:A158"/>
    <mergeCell ref="B156:B158"/>
    <mergeCell ref="C156:C158"/>
    <mergeCell ref="D156:D158"/>
    <mergeCell ref="A159:A161"/>
    <mergeCell ref="B159:B161"/>
    <mergeCell ref="C159:C161"/>
    <mergeCell ref="D159:D161"/>
    <mergeCell ref="A119:A121"/>
    <mergeCell ref="C119:C121"/>
    <mergeCell ref="A125:A127"/>
    <mergeCell ref="A128:A130"/>
    <mergeCell ref="A150:A152"/>
    <mergeCell ref="B150:B152"/>
    <mergeCell ref="C150:C152"/>
    <mergeCell ref="D150:D152"/>
    <mergeCell ref="A153:A155"/>
    <mergeCell ref="B153:B155"/>
    <mergeCell ref="C153:C155"/>
    <mergeCell ref="D153:D155"/>
    <mergeCell ref="A141:A143"/>
    <mergeCell ref="B141:B143"/>
    <mergeCell ref="C141:C143"/>
    <mergeCell ref="D141:D143"/>
    <mergeCell ref="A144:A146"/>
    <mergeCell ref="B144:B146"/>
    <mergeCell ref="C144:C146"/>
    <mergeCell ref="D144:D146"/>
    <mergeCell ref="A147:A149"/>
    <mergeCell ref="B147:B149"/>
    <mergeCell ref="C147:C149"/>
    <mergeCell ref="D147:D149"/>
    <mergeCell ref="A137:AC137"/>
    <mergeCell ref="A138:A140"/>
    <mergeCell ref="B138:B140"/>
    <mergeCell ref="C138:C140"/>
    <mergeCell ref="D138:D140"/>
    <mergeCell ref="A131:A133"/>
    <mergeCell ref="B131:B133"/>
    <mergeCell ref="C131:C133"/>
    <mergeCell ref="D131:D133"/>
    <mergeCell ref="A134:A136"/>
    <mergeCell ref="B134:B136"/>
    <mergeCell ref="C134:C136"/>
    <mergeCell ref="D134:D136"/>
    <mergeCell ref="A1:AC1"/>
    <mergeCell ref="A4:A6"/>
    <mergeCell ref="A7:A9"/>
    <mergeCell ref="A10:A12"/>
    <mergeCell ref="D10:D12"/>
    <mergeCell ref="C7:C9"/>
    <mergeCell ref="F2:AC2"/>
    <mergeCell ref="E2:E3"/>
    <mergeCell ref="D2:D3"/>
    <mergeCell ref="C2:C3"/>
    <mergeCell ref="D4:D6"/>
    <mergeCell ref="C4:C6"/>
    <mergeCell ref="D7:D9"/>
    <mergeCell ref="B10:B12"/>
    <mergeCell ref="C10:C12"/>
    <mergeCell ref="A13:A15"/>
    <mergeCell ref="B16:B18"/>
    <mergeCell ref="A34:AC34"/>
    <mergeCell ref="B4:B6"/>
    <mergeCell ref="B7:B9"/>
    <mergeCell ref="B2:B3"/>
    <mergeCell ref="B13:B15"/>
    <mergeCell ref="A2:A3"/>
    <mergeCell ref="A16:A18"/>
    <mergeCell ref="D13:D15"/>
    <mergeCell ref="C13:C15"/>
    <mergeCell ref="B28:B30"/>
    <mergeCell ref="B25:B27"/>
    <mergeCell ref="C25:C27"/>
    <mergeCell ref="D25:D27"/>
    <mergeCell ref="D16:D18"/>
    <mergeCell ref="B19:B21"/>
    <mergeCell ref="C19:C21"/>
    <mergeCell ref="D19:D21"/>
    <mergeCell ref="A19:A21"/>
    <mergeCell ref="A25:A27"/>
    <mergeCell ref="C16:C18"/>
    <mergeCell ref="A22:A24"/>
    <mergeCell ref="B22:B24"/>
    <mergeCell ref="A28:A30"/>
    <mergeCell ref="A31:A33"/>
    <mergeCell ref="A202:AC202"/>
    <mergeCell ref="B31:B33"/>
    <mergeCell ref="C28:C30"/>
    <mergeCell ref="D28:D30"/>
    <mergeCell ref="D31:D33"/>
    <mergeCell ref="C31:C33"/>
    <mergeCell ref="A113:A115"/>
    <mergeCell ref="A116:A118"/>
    <mergeCell ref="A56:A58"/>
    <mergeCell ref="B56:B58"/>
    <mergeCell ref="C56:C58"/>
    <mergeCell ref="D56:D58"/>
    <mergeCell ref="A59:A61"/>
    <mergeCell ref="B59:B61"/>
    <mergeCell ref="C59:C61"/>
    <mergeCell ref="D59:D61"/>
    <mergeCell ref="A72:A74"/>
    <mergeCell ref="B72:B74"/>
    <mergeCell ref="C72:C74"/>
    <mergeCell ref="D72:D74"/>
    <mergeCell ref="A75:A77"/>
    <mergeCell ref="C128:C130"/>
    <mergeCell ref="C22:C24"/>
    <mergeCell ref="D22:D24"/>
    <mergeCell ref="D69:D71"/>
    <mergeCell ref="B203:B205"/>
    <mergeCell ref="C203:C205"/>
    <mergeCell ref="D203:D205"/>
    <mergeCell ref="B113:B115"/>
    <mergeCell ref="C113:C115"/>
    <mergeCell ref="A66:A68"/>
    <mergeCell ref="B66:B68"/>
    <mergeCell ref="C66:C68"/>
    <mergeCell ref="D66:D68"/>
    <mergeCell ref="A69:A71"/>
    <mergeCell ref="B69:B71"/>
    <mergeCell ref="C69:C71"/>
    <mergeCell ref="C50:C52"/>
    <mergeCell ref="A50:A52"/>
    <mergeCell ref="B50:B52"/>
    <mergeCell ref="D50:D52"/>
    <mergeCell ref="A62:AC62"/>
    <mergeCell ref="A63:A65"/>
    <mergeCell ref="B63:B65"/>
    <mergeCell ref="C63:C65"/>
    <mergeCell ref="D63:D65"/>
    <mergeCell ref="A209:A211"/>
    <mergeCell ref="B209:B211"/>
    <mergeCell ref="C209:C211"/>
    <mergeCell ref="D209:D211"/>
    <mergeCell ref="A206:A208"/>
    <mergeCell ref="B206:B208"/>
    <mergeCell ref="C206:C208"/>
    <mergeCell ref="D206:D208"/>
    <mergeCell ref="D113:D115"/>
    <mergeCell ref="B116:B118"/>
    <mergeCell ref="C116:C118"/>
    <mergeCell ref="D116:D118"/>
    <mergeCell ref="B119:B121"/>
    <mergeCell ref="B125:B127"/>
    <mergeCell ref="C125:C127"/>
    <mergeCell ref="D125:D127"/>
    <mergeCell ref="B128:B130"/>
    <mergeCell ref="A203:A205"/>
    <mergeCell ref="D128:D130"/>
    <mergeCell ref="D119:D121"/>
    <mergeCell ref="A122:A124"/>
    <mergeCell ref="B122:B124"/>
    <mergeCell ref="C122:C124"/>
    <mergeCell ref="D122:D124"/>
    <mergeCell ref="B75:B77"/>
    <mergeCell ref="C75:C77"/>
    <mergeCell ref="D75:D77"/>
    <mergeCell ref="A221:A223"/>
    <mergeCell ref="B221:B223"/>
    <mergeCell ref="C221:C223"/>
    <mergeCell ref="D221:D223"/>
    <mergeCell ref="A218:A220"/>
    <mergeCell ref="B218:B220"/>
    <mergeCell ref="C218:C220"/>
    <mergeCell ref="D218:D220"/>
    <mergeCell ref="A212:A214"/>
    <mergeCell ref="B212:B214"/>
    <mergeCell ref="C212:C214"/>
    <mergeCell ref="D212:D214"/>
    <mergeCell ref="A215:A217"/>
    <mergeCell ref="B215:B217"/>
    <mergeCell ref="C215:C217"/>
    <mergeCell ref="D215:D217"/>
    <mergeCell ref="A78:A80"/>
    <mergeCell ref="B78:B80"/>
    <mergeCell ref="C78:C80"/>
    <mergeCell ref="D78:D80"/>
    <mergeCell ref="A81:A83"/>
    <mergeCell ref="B81:B83"/>
    <mergeCell ref="C81:C83"/>
    <mergeCell ref="D81:D83"/>
    <mergeCell ref="A84:A86"/>
    <mergeCell ref="B84:B86"/>
    <mergeCell ref="C84:C86"/>
    <mergeCell ref="D84:D86"/>
    <mergeCell ref="A87:AC87"/>
    <mergeCell ref="A88:A90"/>
    <mergeCell ref="B88:B90"/>
    <mergeCell ref="C88:C90"/>
    <mergeCell ref="D88:D90"/>
    <mergeCell ref="A91:A93"/>
    <mergeCell ref="B91:B93"/>
    <mergeCell ref="C91:C93"/>
    <mergeCell ref="D91:D93"/>
    <mergeCell ref="A94:A96"/>
    <mergeCell ref="B94:B96"/>
    <mergeCell ref="C94:C96"/>
    <mergeCell ref="D94:D96"/>
    <mergeCell ref="A97:A99"/>
    <mergeCell ref="B97:B99"/>
    <mergeCell ref="C97:C99"/>
    <mergeCell ref="D97:D99"/>
    <mergeCell ref="A100:A102"/>
    <mergeCell ref="B100:B102"/>
    <mergeCell ref="C100:C102"/>
    <mergeCell ref="D100:D102"/>
    <mergeCell ref="A112:AC112"/>
    <mergeCell ref="A103:A105"/>
    <mergeCell ref="B103:B105"/>
    <mergeCell ref="C103:C105"/>
    <mergeCell ref="D103:D105"/>
    <mergeCell ref="A106:A108"/>
    <mergeCell ref="B106:B108"/>
    <mergeCell ref="C106:C108"/>
    <mergeCell ref="D106:D108"/>
    <mergeCell ref="A109:A111"/>
    <mergeCell ref="B109:B111"/>
    <mergeCell ref="C109:C111"/>
    <mergeCell ref="D109:D111"/>
  </mergeCells>
  <phoneticPr fontId="5"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V25"/>
  <sheetViews>
    <sheetView zoomScale="90" zoomScaleNormal="90" workbookViewId="0">
      <selection sqref="A1:L1"/>
    </sheetView>
  </sheetViews>
  <sheetFormatPr defaultColWidth="8.7109375" defaultRowHeight="12.75" x14ac:dyDescent="0.2"/>
  <cols>
    <col min="1" max="1" width="9.7109375" style="3" bestFit="1" customWidth="1"/>
    <col min="2" max="2" width="8.7109375" style="3" customWidth="1"/>
    <col min="3" max="3" width="17.28515625" style="3" bestFit="1" customWidth="1"/>
    <col min="4" max="4" width="12.7109375" style="3" bestFit="1" customWidth="1"/>
    <col min="5" max="5" width="12.85546875" style="3" bestFit="1" customWidth="1"/>
    <col min="6" max="6" width="22.28515625" style="3" bestFit="1" customWidth="1"/>
    <col min="7" max="7" width="16.85546875" style="3" bestFit="1" customWidth="1"/>
    <col min="8" max="8" width="19.5703125" style="3" customWidth="1"/>
    <col min="9" max="9" width="9.85546875" style="3" customWidth="1"/>
    <col min="10" max="10" width="13.85546875" style="3" customWidth="1"/>
    <col min="11" max="11" width="20.140625" style="3" bestFit="1" customWidth="1"/>
    <col min="12" max="12" width="24.28515625" style="3" bestFit="1" customWidth="1"/>
    <col min="13" max="13" width="8.7109375" style="3"/>
    <col min="14" max="14" width="14.42578125" style="3" customWidth="1"/>
    <col min="15" max="15" width="15.42578125" style="3" customWidth="1"/>
    <col min="16" max="16" width="19.28515625" style="3" customWidth="1"/>
    <col min="17" max="17" width="20.7109375" style="3" customWidth="1"/>
    <col min="18" max="18" width="18.28515625" style="3" customWidth="1"/>
    <col min="19" max="21" width="13.7109375" style="3" customWidth="1"/>
    <col min="22" max="22" width="11.5703125" style="3" customWidth="1"/>
    <col min="23" max="24" width="8.7109375" style="3"/>
    <col min="25" max="25" width="13.7109375" style="3" customWidth="1"/>
    <col min="26" max="28" width="8.7109375" style="3"/>
    <col min="29" max="29" width="12.42578125" style="3" customWidth="1"/>
    <col min="30" max="16384" width="8.7109375" style="3"/>
  </cols>
  <sheetData>
    <row r="1" spans="1:22" ht="27" customHeight="1" x14ac:dyDescent="0.2">
      <c r="A1" s="875" t="s">
        <v>659</v>
      </c>
      <c r="B1" s="876"/>
      <c r="C1" s="876"/>
      <c r="D1" s="876"/>
      <c r="E1" s="876"/>
      <c r="F1" s="876"/>
      <c r="G1" s="876"/>
      <c r="H1" s="876"/>
      <c r="I1" s="876"/>
      <c r="J1" s="876"/>
      <c r="K1" s="876"/>
      <c r="L1" s="876"/>
      <c r="N1" s="593" t="str">
        <f>"Energy Consumption - "&amp;Prototype!A2</f>
        <v>Energy Consumption - Hospital</v>
      </c>
      <c r="O1" s="594"/>
      <c r="P1" s="594"/>
      <c r="Q1" s="594"/>
      <c r="R1" s="594"/>
      <c r="S1" s="594"/>
      <c r="T1" s="594"/>
      <c r="U1" s="594"/>
      <c r="V1" s="594"/>
    </row>
    <row r="2" spans="1:22" ht="39.6" customHeight="1" x14ac:dyDescent="0.2">
      <c r="A2" s="558" t="s">
        <v>6</v>
      </c>
      <c r="B2" s="558" t="s">
        <v>573</v>
      </c>
      <c r="C2" s="558" t="s">
        <v>652</v>
      </c>
      <c r="D2" s="558" t="s">
        <v>653</v>
      </c>
      <c r="E2" s="558" t="s">
        <v>654</v>
      </c>
      <c r="F2" s="558" t="s">
        <v>655</v>
      </c>
      <c r="G2" s="558" t="s">
        <v>656</v>
      </c>
      <c r="H2" s="558" t="s">
        <v>657</v>
      </c>
      <c r="I2" s="566" t="s">
        <v>658</v>
      </c>
      <c r="J2" s="566" t="s">
        <v>665</v>
      </c>
      <c r="K2" s="566" t="s">
        <v>666</v>
      </c>
      <c r="L2" s="566" t="s">
        <v>664</v>
      </c>
      <c r="N2" s="567" t="s">
        <v>6</v>
      </c>
      <c r="O2" s="558" t="s">
        <v>573</v>
      </c>
      <c r="P2" s="558" t="s">
        <v>574</v>
      </c>
      <c r="Q2" s="558" t="s">
        <v>660</v>
      </c>
      <c r="R2" s="558" t="s">
        <v>661</v>
      </c>
      <c r="S2" s="138" t="s">
        <v>662</v>
      </c>
      <c r="T2" s="138" t="s">
        <v>665</v>
      </c>
      <c r="U2" s="138" t="s">
        <v>666</v>
      </c>
      <c r="V2" s="138" t="s">
        <v>663</v>
      </c>
    </row>
    <row r="3" spans="1:22" ht="19.149999999999999" customHeight="1" x14ac:dyDescent="0.2">
      <c r="A3" s="874" t="s">
        <v>37</v>
      </c>
      <c r="B3" s="565">
        <v>1</v>
      </c>
      <c r="C3" s="575">
        <v>70.324198312236291</v>
      </c>
      <c r="D3" s="575">
        <v>38.761645569620256</v>
      </c>
      <c r="E3" s="575">
        <v>109.08584388185655</v>
      </c>
      <c r="F3" s="575">
        <v>42.978200000000008</v>
      </c>
      <c r="G3" s="575">
        <v>51.870000000000005</v>
      </c>
      <c r="H3" s="575">
        <v>94.84820000000002</v>
      </c>
      <c r="I3" s="565">
        <v>200.3</v>
      </c>
      <c r="J3" s="575">
        <f>(I3*1.25)</f>
        <v>250.375</v>
      </c>
      <c r="K3" s="575">
        <f>(I3*0.75)</f>
        <v>150.22500000000002</v>
      </c>
      <c r="L3" s="575">
        <f>J3-K3</f>
        <v>100.14999999999998</v>
      </c>
      <c r="N3" s="703" t="s">
        <v>37</v>
      </c>
      <c r="O3" s="568">
        <v>1</v>
      </c>
      <c r="P3" s="569">
        <v>7059</v>
      </c>
      <c r="Q3" s="570">
        <v>70.980212195308724</v>
      </c>
      <c r="R3" s="570">
        <v>51.157709366392332</v>
      </c>
      <c r="S3" s="571">
        <f>Q3+R3</f>
        <v>122.13792156170106</v>
      </c>
      <c r="T3" s="572">
        <f t="shared" ref="T3:T18" si="0">S3*1.25</f>
        <v>152.67240195212634</v>
      </c>
      <c r="U3" s="572">
        <f t="shared" ref="U3:U18" si="1">S3*0.75</f>
        <v>91.60344117127579</v>
      </c>
      <c r="V3" s="571">
        <f>T3-U3</f>
        <v>61.068960780850546</v>
      </c>
    </row>
    <row r="4" spans="1:22" ht="19.149999999999999" customHeight="1" x14ac:dyDescent="0.2">
      <c r="A4" s="874"/>
      <c r="B4" s="565">
        <v>2</v>
      </c>
      <c r="C4" s="575">
        <v>79.335950413223145</v>
      </c>
      <c r="D4" s="575">
        <v>37.598285123966946</v>
      </c>
      <c r="E4" s="575">
        <v>116.93423553719009</v>
      </c>
      <c r="F4" s="575">
        <v>47.222699999999996</v>
      </c>
      <c r="G4" s="575">
        <v>46.572599999999994</v>
      </c>
      <c r="H4" s="575">
        <v>93.795299999999997</v>
      </c>
      <c r="I4" s="565">
        <v>201.2</v>
      </c>
      <c r="J4" s="575">
        <f t="shared" ref="J4:J18" si="2">(I4*1.25)</f>
        <v>251.5</v>
      </c>
      <c r="K4" s="575">
        <f t="shared" ref="K4:K18" si="3">(I4*0.75)</f>
        <v>150.89999999999998</v>
      </c>
      <c r="L4" s="575">
        <f t="shared" ref="L4:L18" si="4">J4-K4</f>
        <v>100.60000000000002</v>
      </c>
      <c r="N4" s="703"/>
      <c r="O4" s="568">
        <v>2</v>
      </c>
      <c r="P4" s="569">
        <v>14514</v>
      </c>
      <c r="Q4" s="570">
        <v>45.631221123127403</v>
      </c>
      <c r="R4" s="570">
        <v>53.475471118975605</v>
      </c>
      <c r="S4" s="571">
        <f t="shared" ref="S4:S18" si="5">Q4+R4</f>
        <v>99.106692242103009</v>
      </c>
      <c r="T4" s="572">
        <f t="shared" si="0"/>
        <v>123.88336530262876</v>
      </c>
      <c r="U4" s="572">
        <f t="shared" si="1"/>
        <v>74.330019181577256</v>
      </c>
      <c r="V4" s="571">
        <f t="shared" ref="V4:V18" si="6">T4-U4</f>
        <v>49.553346121051504</v>
      </c>
    </row>
    <row r="5" spans="1:22" ht="19.149999999999999" customHeight="1" x14ac:dyDescent="0.2">
      <c r="A5" s="874"/>
      <c r="B5" s="565">
        <v>3</v>
      </c>
      <c r="C5" s="575">
        <v>76.68167550371156</v>
      </c>
      <c r="D5" s="575">
        <v>33.359872746553549</v>
      </c>
      <c r="E5" s="575">
        <v>110.04154825026511</v>
      </c>
      <c r="F5" s="575">
        <v>45.349899999999998</v>
      </c>
      <c r="G5" s="575">
        <v>44.071300000000001</v>
      </c>
      <c r="H5" s="575">
        <v>89.421199999999999</v>
      </c>
      <c r="I5" s="565">
        <v>198.6</v>
      </c>
      <c r="J5" s="575">
        <f t="shared" si="2"/>
        <v>248.25</v>
      </c>
      <c r="K5" s="575">
        <f t="shared" si="3"/>
        <v>148.94999999999999</v>
      </c>
      <c r="L5" s="575">
        <f t="shared" si="4"/>
        <v>99.300000000000011</v>
      </c>
      <c r="N5" s="703"/>
      <c r="O5" s="568">
        <v>3</v>
      </c>
      <c r="P5" s="569">
        <v>56689</v>
      </c>
      <c r="Q5" s="570">
        <v>53.487682660570549</v>
      </c>
      <c r="R5" s="570">
        <v>48.160547948909439</v>
      </c>
      <c r="S5" s="571">
        <f t="shared" si="5"/>
        <v>101.64823060947998</v>
      </c>
      <c r="T5" s="572">
        <f t="shared" si="0"/>
        <v>127.06028826184998</v>
      </c>
      <c r="U5" s="572">
        <f t="shared" si="1"/>
        <v>76.236172957109986</v>
      </c>
      <c r="V5" s="571">
        <f t="shared" si="6"/>
        <v>50.824115304739991</v>
      </c>
    </row>
    <row r="6" spans="1:22" ht="19.149999999999999" customHeight="1" x14ac:dyDescent="0.2">
      <c r="A6" s="874"/>
      <c r="B6" s="565">
        <v>4</v>
      </c>
      <c r="C6" s="575">
        <v>83.729296375266514</v>
      </c>
      <c r="D6" s="575">
        <v>36.76648187633262</v>
      </c>
      <c r="E6" s="575">
        <v>120.49577825159913</v>
      </c>
      <c r="F6" s="575">
        <v>49.9437</v>
      </c>
      <c r="G6" s="575">
        <v>46.122699999999995</v>
      </c>
      <c r="H6" s="575">
        <v>96.066399999999987</v>
      </c>
      <c r="I6" s="565">
        <v>206.8</v>
      </c>
      <c r="J6" s="575">
        <f t="shared" si="2"/>
        <v>258.5</v>
      </c>
      <c r="K6" s="575">
        <f t="shared" si="3"/>
        <v>155.10000000000002</v>
      </c>
      <c r="L6" s="575">
        <f t="shared" si="4"/>
        <v>103.39999999999998</v>
      </c>
      <c r="N6" s="703"/>
      <c r="O6" s="568">
        <v>4</v>
      </c>
      <c r="P6" s="569">
        <v>29372</v>
      </c>
      <c r="Q6" s="570">
        <v>54.755926049206174</v>
      </c>
      <c r="R6" s="570">
        <v>50.159318999849447</v>
      </c>
      <c r="S6" s="571">
        <f t="shared" si="5"/>
        <v>104.91524504905561</v>
      </c>
      <c r="T6" s="572">
        <f t="shared" si="0"/>
        <v>131.1440563113195</v>
      </c>
      <c r="U6" s="572">
        <f t="shared" si="1"/>
        <v>78.68643378679171</v>
      </c>
      <c r="V6" s="571">
        <f t="shared" si="6"/>
        <v>52.457622524527793</v>
      </c>
    </row>
    <row r="7" spans="1:22" ht="19.149999999999999" customHeight="1" x14ac:dyDescent="0.2">
      <c r="A7" s="874"/>
      <c r="B7" s="565">
        <v>5</v>
      </c>
      <c r="C7" s="575">
        <v>78.184268537074146</v>
      </c>
      <c r="D7" s="575">
        <v>34.364488977955915</v>
      </c>
      <c r="E7" s="575">
        <v>112.54875751503006</v>
      </c>
      <c r="F7" s="575">
        <v>45.984200000000001</v>
      </c>
      <c r="G7" s="575">
        <v>43.167000000000009</v>
      </c>
      <c r="H7" s="575">
        <v>89.151200000000017</v>
      </c>
      <c r="I7" s="565">
        <v>198.3</v>
      </c>
      <c r="J7" s="575">
        <f t="shared" si="2"/>
        <v>247.875</v>
      </c>
      <c r="K7" s="575">
        <f t="shared" si="3"/>
        <v>148.72500000000002</v>
      </c>
      <c r="L7" s="575">
        <f t="shared" si="4"/>
        <v>99.149999999999977</v>
      </c>
      <c r="N7" s="703"/>
      <c r="O7" s="568">
        <v>5</v>
      </c>
      <c r="P7" s="569">
        <v>5067</v>
      </c>
      <c r="Q7" s="570">
        <v>39.828202554020528</v>
      </c>
      <c r="R7" s="570">
        <v>24.816475850209393</v>
      </c>
      <c r="S7" s="571">
        <f t="shared" si="5"/>
        <v>64.644678404229921</v>
      </c>
      <c r="T7" s="572">
        <f t="shared" si="0"/>
        <v>80.805848005287402</v>
      </c>
      <c r="U7" s="572">
        <f t="shared" si="1"/>
        <v>48.483508803172441</v>
      </c>
      <c r="V7" s="571">
        <f t="shared" si="6"/>
        <v>32.322339202114961</v>
      </c>
    </row>
    <row r="8" spans="1:22" ht="19.149999999999999" customHeight="1" x14ac:dyDescent="0.2">
      <c r="A8" s="874"/>
      <c r="B8" s="565">
        <v>6</v>
      </c>
      <c r="C8" s="575">
        <v>80.352696390658181</v>
      </c>
      <c r="D8" s="575">
        <v>26.866868365180466</v>
      </c>
      <c r="E8" s="575">
        <v>107.21956475583865</v>
      </c>
      <c r="F8" s="575">
        <v>48.648800000000001</v>
      </c>
      <c r="G8" s="575">
        <v>36.622900000000001</v>
      </c>
      <c r="H8" s="575">
        <v>85.27170000000001</v>
      </c>
      <c r="I8" s="565">
        <v>203.5</v>
      </c>
      <c r="J8" s="575">
        <f t="shared" si="2"/>
        <v>254.375</v>
      </c>
      <c r="K8" s="575">
        <f t="shared" si="3"/>
        <v>152.625</v>
      </c>
      <c r="L8" s="575">
        <f t="shared" si="4"/>
        <v>101.75</v>
      </c>
      <c r="N8" s="703"/>
      <c r="O8" s="568">
        <v>6</v>
      </c>
      <c r="P8" s="569">
        <v>32891</v>
      </c>
      <c r="Q8" s="570">
        <v>54.93212515884494</v>
      </c>
      <c r="R8" s="570">
        <v>75.476365686410062</v>
      </c>
      <c r="S8" s="571">
        <f t="shared" si="5"/>
        <v>130.40849084525502</v>
      </c>
      <c r="T8" s="572">
        <f t="shared" si="0"/>
        <v>163.01061355656879</v>
      </c>
      <c r="U8" s="572">
        <f t="shared" si="1"/>
        <v>97.806368133941262</v>
      </c>
      <c r="V8" s="571">
        <f t="shared" si="6"/>
        <v>65.204245422627523</v>
      </c>
    </row>
    <row r="9" spans="1:22" ht="19.149999999999999" customHeight="1" x14ac:dyDescent="0.2">
      <c r="A9" s="874"/>
      <c r="B9" s="565">
        <v>7</v>
      </c>
      <c r="C9" s="575">
        <v>79.918407258064505</v>
      </c>
      <c r="D9" s="575">
        <v>25.337116935483873</v>
      </c>
      <c r="E9" s="575">
        <v>105.25552419354838</v>
      </c>
      <c r="F9" s="575">
        <v>49.299700000000001</v>
      </c>
      <c r="G9" s="575">
        <v>35.936700000000002</v>
      </c>
      <c r="H9" s="575">
        <v>85.236400000000003</v>
      </c>
      <c r="I9" s="565">
        <v>205</v>
      </c>
      <c r="J9" s="575">
        <f t="shared" si="2"/>
        <v>256.25</v>
      </c>
      <c r="K9" s="575">
        <f t="shared" si="3"/>
        <v>153.75</v>
      </c>
      <c r="L9" s="575">
        <f t="shared" si="4"/>
        <v>102.5</v>
      </c>
      <c r="N9" s="703"/>
      <c r="O9" s="568">
        <v>7</v>
      </c>
      <c r="P9" s="569">
        <v>31754</v>
      </c>
      <c r="Q9" s="570">
        <v>74.843716197552865</v>
      </c>
      <c r="R9" s="570">
        <v>45.486109268373966</v>
      </c>
      <c r="S9" s="571">
        <f t="shared" si="5"/>
        <v>120.32982546592683</v>
      </c>
      <c r="T9" s="572">
        <f t="shared" si="0"/>
        <v>150.41228183240855</v>
      </c>
      <c r="U9" s="572">
        <f t="shared" si="1"/>
        <v>90.247369099445123</v>
      </c>
      <c r="V9" s="571">
        <f t="shared" si="6"/>
        <v>60.16491273296343</v>
      </c>
    </row>
    <row r="10" spans="1:22" ht="19.149999999999999" customHeight="1" x14ac:dyDescent="0.2">
      <c r="A10" s="874"/>
      <c r="B10" s="565">
        <v>8</v>
      </c>
      <c r="C10" s="575">
        <v>86.540239130434799</v>
      </c>
      <c r="D10" s="575">
        <v>28.971760869565212</v>
      </c>
      <c r="E10" s="575">
        <v>115.51200000000001</v>
      </c>
      <c r="F10" s="575">
        <v>51.829499999999996</v>
      </c>
      <c r="G10" s="575">
        <v>36.555400000000006</v>
      </c>
      <c r="H10" s="575">
        <v>88.384900000000002</v>
      </c>
      <c r="I10" s="565">
        <v>210.8</v>
      </c>
      <c r="J10" s="575">
        <f t="shared" si="2"/>
        <v>263.5</v>
      </c>
      <c r="K10" s="575">
        <f t="shared" si="3"/>
        <v>158.10000000000002</v>
      </c>
      <c r="L10" s="575">
        <f t="shared" si="4"/>
        <v>105.39999999999998</v>
      </c>
      <c r="N10" s="703"/>
      <c r="O10" s="568">
        <v>8</v>
      </c>
      <c r="P10" s="569">
        <v>50355</v>
      </c>
      <c r="Q10" s="570">
        <v>56.543942198765762</v>
      </c>
      <c r="R10" s="570">
        <v>86.911469679451784</v>
      </c>
      <c r="S10" s="571">
        <f t="shared" si="5"/>
        <v>143.45541187821755</v>
      </c>
      <c r="T10" s="572">
        <f t="shared" si="0"/>
        <v>179.31926484777193</v>
      </c>
      <c r="U10" s="572">
        <f t="shared" si="1"/>
        <v>107.59155890866316</v>
      </c>
      <c r="V10" s="571">
        <f t="shared" si="6"/>
        <v>71.727705939108773</v>
      </c>
    </row>
    <row r="11" spans="1:22" ht="19.149999999999999" customHeight="1" x14ac:dyDescent="0.2">
      <c r="A11" s="874"/>
      <c r="B11" s="565">
        <v>9</v>
      </c>
      <c r="C11" s="575">
        <v>87.060484581497803</v>
      </c>
      <c r="D11" s="575">
        <v>29.676982378854625</v>
      </c>
      <c r="E11" s="575">
        <v>116.73746696035244</v>
      </c>
      <c r="F11" s="575">
        <v>51.375799999999991</v>
      </c>
      <c r="G11" s="575">
        <v>37.713000000000008</v>
      </c>
      <c r="H11" s="575">
        <v>89.088799999999992</v>
      </c>
      <c r="I11" s="565">
        <v>209.8</v>
      </c>
      <c r="J11" s="575">
        <f t="shared" si="2"/>
        <v>262.25</v>
      </c>
      <c r="K11" s="575">
        <f t="shared" si="3"/>
        <v>157.35000000000002</v>
      </c>
      <c r="L11" s="575">
        <f t="shared" si="4"/>
        <v>104.89999999999998</v>
      </c>
      <c r="N11" s="703"/>
      <c r="O11" s="568">
        <v>9</v>
      </c>
      <c r="P11" s="569">
        <v>72118</v>
      </c>
      <c r="Q11" s="570">
        <v>45.225686473214381</v>
      </c>
      <c r="R11" s="570">
        <v>63.3726521601304</v>
      </c>
      <c r="S11" s="571">
        <f t="shared" si="5"/>
        <v>108.59833863334478</v>
      </c>
      <c r="T11" s="572">
        <f t="shared" si="0"/>
        <v>135.74792329168099</v>
      </c>
      <c r="U11" s="572">
        <f t="shared" si="1"/>
        <v>81.448753975008586</v>
      </c>
      <c r="V11" s="571">
        <f t="shared" si="6"/>
        <v>54.299169316672405</v>
      </c>
    </row>
    <row r="12" spans="1:22" ht="19.149999999999999" customHeight="1" x14ac:dyDescent="0.2">
      <c r="A12" s="874"/>
      <c r="B12" s="565">
        <v>10</v>
      </c>
      <c r="C12" s="575">
        <v>86.004290465631939</v>
      </c>
      <c r="D12" s="575">
        <v>28.117228381374726</v>
      </c>
      <c r="E12" s="575">
        <v>114.12151884700667</v>
      </c>
      <c r="F12" s="575">
        <v>52.860099999999996</v>
      </c>
      <c r="G12" s="575">
        <v>38.218699999999998</v>
      </c>
      <c r="H12" s="575">
        <v>91.078800000000001</v>
      </c>
      <c r="I12" s="565">
        <v>213.4</v>
      </c>
      <c r="J12" s="575">
        <f t="shared" si="2"/>
        <v>266.75</v>
      </c>
      <c r="K12" s="575">
        <f t="shared" si="3"/>
        <v>160.05000000000001</v>
      </c>
      <c r="L12" s="575">
        <f t="shared" si="4"/>
        <v>106.69999999999999</v>
      </c>
      <c r="N12" s="703"/>
      <c r="O12" s="568">
        <v>10</v>
      </c>
      <c r="P12" s="569">
        <v>55175</v>
      </c>
      <c r="Q12" s="570">
        <v>66.772263788736169</v>
      </c>
      <c r="R12" s="570">
        <v>63.83398665256901</v>
      </c>
      <c r="S12" s="571">
        <f t="shared" si="5"/>
        <v>130.60625044130518</v>
      </c>
      <c r="T12" s="572">
        <f t="shared" si="0"/>
        <v>163.25781305163147</v>
      </c>
      <c r="U12" s="572">
        <f t="shared" si="1"/>
        <v>97.954687830978884</v>
      </c>
      <c r="V12" s="571">
        <f t="shared" si="6"/>
        <v>65.303125220652589</v>
      </c>
    </row>
    <row r="13" spans="1:22" ht="19.149999999999999" customHeight="1" x14ac:dyDescent="0.2">
      <c r="A13" s="874"/>
      <c r="B13" s="565">
        <v>11</v>
      </c>
      <c r="C13" s="575">
        <v>84.225582371458543</v>
      </c>
      <c r="D13" s="575">
        <v>33.455529905561384</v>
      </c>
      <c r="E13" s="575">
        <v>117.68111227701993</v>
      </c>
      <c r="F13" s="575">
        <v>52.584400000000002</v>
      </c>
      <c r="G13" s="575">
        <v>46.638600000000004</v>
      </c>
      <c r="H13" s="575">
        <v>99.223000000000013</v>
      </c>
      <c r="I13" s="565">
        <v>215.5</v>
      </c>
      <c r="J13" s="575">
        <f t="shared" si="2"/>
        <v>269.375</v>
      </c>
      <c r="K13" s="575">
        <f t="shared" si="3"/>
        <v>161.625</v>
      </c>
      <c r="L13" s="575">
        <f t="shared" si="4"/>
        <v>107.75</v>
      </c>
      <c r="N13" s="703"/>
      <c r="O13" s="568">
        <v>11</v>
      </c>
      <c r="P13" s="569">
        <v>20961</v>
      </c>
      <c r="Q13" s="570">
        <v>67.713582297283381</v>
      </c>
      <c r="R13" s="570">
        <v>42.220507647070832</v>
      </c>
      <c r="S13" s="571">
        <f t="shared" si="5"/>
        <v>109.93408994435421</v>
      </c>
      <c r="T13" s="572">
        <f t="shared" si="0"/>
        <v>137.41761243044277</v>
      </c>
      <c r="U13" s="572">
        <f t="shared" si="1"/>
        <v>82.450567458265652</v>
      </c>
      <c r="V13" s="571">
        <f t="shared" si="6"/>
        <v>54.967044972177121</v>
      </c>
    </row>
    <row r="14" spans="1:22" ht="19.149999999999999" customHeight="1" x14ac:dyDescent="0.2">
      <c r="A14" s="874"/>
      <c r="B14" s="565">
        <v>12</v>
      </c>
      <c r="C14" s="575">
        <v>80.451823899371064</v>
      </c>
      <c r="D14" s="575">
        <v>34.046687631027254</v>
      </c>
      <c r="E14" s="575">
        <v>114.49851153039832</v>
      </c>
      <c r="F14" s="575">
        <v>49.460099999999997</v>
      </c>
      <c r="G14" s="575">
        <v>44.642400000000002</v>
      </c>
      <c r="H14" s="575">
        <v>94.102499999999992</v>
      </c>
      <c r="I14" s="565">
        <v>209.5</v>
      </c>
      <c r="J14" s="575">
        <f t="shared" si="2"/>
        <v>261.875</v>
      </c>
      <c r="K14" s="575">
        <f t="shared" si="3"/>
        <v>157.125</v>
      </c>
      <c r="L14" s="575">
        <f t="shared" si="4"/>
        <v>104.75</v>
      </c>
      <c r="N14" s="703"/>
      <c r="O14" s="568">
        <v>12</v>
      </c>
      <c r="P14" s="569">
        <v>93863</v>
      </c>
      <c r="Q14" s="570">
        <v>69.337542630166993</v>
      </c>
      <c r="R14" s="570">
        <v>42.635038447479175</v>
      </c>
      <c r="S14" s="571">
        <f t="shared" si="5"/>
        <v>111.97258107764617</v>
      </c>
      <c r="T14" s="572">
        <f t="shared" si="0"/>
        <v>139.96572634705771</v>
      </c>
      <c r="U14" s="572">
        <f t="shared" si="1"/>
        <v>83.979435808234626</v>
      </c>
      <c r="V14" s="571">
        <f t="shared" si="6"/>
        <v>55.986290538823084</v>
      </c>
    </row>
    <row r="15" spans="1:22" ht="19.149999999999999" customHeight="1" x14ac:dyDescent="0.2">
      <c r="A15" s="874"/>
      <c r="B15" s="565">
        <v>13</v>
      </c>
      <c r="C15" s="575">
        <v>82.195711009174317</v>
      </c>
      <c r="D15" s="575">
        <v>29.601284403669723</v>
      </c>
      <c r="E15" s="575">
        <v>111.79699541284404</v>
      </c>
      <c r="F15" s="575">
        <v>53.881</v>
      </c>
      <c r="G15" s="575">
        <v>42.946000000000005</v>
      </c>
      <c r="H15" s="575">
        <v>96.826999999999998</v>
      </c>
      <c r="I15" s="565">
        <v>218.3</v>
      </c>
      <c r="J15" s="575">
        <f t="shared" si="2"/>
        <v>272.875</v>
      </c>
      <c r="K15" s="575">
        <f t="shared" si="3"/>
        <v>163.72500000000002</v>
      </c>
      <c r="L15" s="575">
        <f t="shared" si="4"/>
        <v>109.14999999999998</v>
      </c>
      <c r="N15" s="703"/>
      <c r="O15" s="568">
        <v>13</v>
      </c>
      <c r="P15" s="569">
        <v>30306</v>
      </c>
      <c r="Q15" s="570">
        <v>75.593438725341301</v>
      </c>
      <c r="R15" s="570">
        <v>48.302175867405005</v>
      </c>
      <c r="S15" s="571">
        <f t="shared" si="5"/>
        <v>123.89561459274631</v>
      </c>
      <c r="T15" s="572">
        <f t="shared" si="0"/>
        <v>154.8695182409329</v>
      </c>
      <c r="U15" s="572">
        <f t="shared" si="1"/>
        <v>92.921710944559734</v>
      </c>
      <c r="V15" s="571">
        <f t="shared" si="6"/>
        <v>61.947807296373171</v>
      </c>
    </row>
    <row r="16" spans="1:22" ht="19.149999999999999" customHeight="1" x14ac:dyDescent="0.2">
      <c r="A16" s="874"/>
      <c r="B16" s="565">
        <v>14</v>
      </c>
      <c r="C16" s="575">
        <v>89.333065774804922</v>
      </c>
      <c r="D16" s="575">
        <v>33.899331103678939</v>
      </c>
      <c r="E16" s="575">
        <v>123.23239687848385</v>
      </c>
      <c r="F16" s="575">
        <v>52.656600000000005</v>
      </c>
      <c r="G16" s="575">
        <v>45.283000000000001</v>
      </c>
      <c r="H16" s="575">
        <v>97.939600000000013</v>
      </c>
      <c r="I16" s="565">
        <v>215.8</v>
      </c>
      <c r="J16" s="575">
        <f t="shared" si="2"/>
        <v>269.75</v>
      </c>
      <c r="K16" s="575">
        <f t="shared" si="3"/>
        <v>161.85000000000002</v>
      </c>
      <c r="L16" s="575">
        <f t="shared" si="4"/>
        <v>107.89999999999998</v>
      </c>
      <c r="N16" s="703"/>
      <c r="O16" s="568">
        <v>14</v>
      </c>
      <c r="P16" s="569">
        <v>13400</v>
      </c>
      <c r="Q16" s="570">
        <v>63.176915436294905</v>
      </c>
      <c r="R16" s="570">
        <v>77.508974240287117</v>
      </c>
      <c r="S16" s="571">
        <f t="shared" si="5"/>
        <v>140.68588967658201</v>
      </c>
      <c r="T16" s="572">
        <f t="shared" si="0"/>
        <v>175.85736209572752</v>
      </c>
      <c r="U16" s="572">
        <f t="shared" si="1"/>
        <v>105.51441725743651</v>
      </c>
      <c r="V16" s="571">
        <f t="shared" si="6"/>
        <v>70.342944838291018</v>
      </c>
    </row>
    <row r="17" spans="1:22" ht="19.149999999999999" customHeight="1" x14ac:dyDescent="0.2">
      <c r="A17" s="874"/>
      <c r="B17" s="565">
        <v>15</v>
      </c>
      <c r="C17" s="575">
        <v>93.34697336561743</v>
      </c>
      <c r="D17" s="575">
        <v>23.055617433414046</v>
      </c>
      <c r="E17" s="575">
        <v>116.40259079903147</v>
      </c>
      <c r="F17" s="575">
        <v>60.836499999999994</v>
      </c>
      <c r="G17" s="575">
        <v>35.539700000000003</v>
      </c>
      <c r="H17" s="575">
        <v>96.376199999999997</v>
      </c>
      <c r="I17" s="565">
        <v>238.3</v>
      </c>
      <c r="J17" s="575">
        <f t="shared" si="2"/>
        <v>297.875</v>
      </c>
      <c r="K17" s="575">
        <f t="shared" si="3"/>
        <v>178.72500000000002</v>
      </c>
      <c r="L17" s="575">
        <f t="shared" si="4"/>
        <v>119.14999999999998</v>
      </c>
      <c r="N17" s="703"/>
      <c r="O17" s="568">
        <v>15</v>
      </c>
      <c r="P17" s="569">
        <v>24206</v>
      </c>
      <c r="Q17" s="570">
        <v>61.217834653468351</v>
      </c>
      <c r="R17" s="570">
        <v>63.656692197584519</v>
      </c>
      <c r="S17" s="571">
        <f t="shared" si="5"/>
        <v>124.87452685105288</v>
      </c>
      <c r="T17" s="572">
        <f t="shared" si="0"/>
        <v>156.0931585638161</v>
      </c>
      <c r="U17" s="572">
        <f t="shared" si="1"/>
        <v>93.655895138289651</v>
      </c>
      <c r="V17" s="571">
        <f t="shared" si="6"/>
        <v>62.437263425526453</v>
      </c>
    </row>
    <row r="18" spans="1:22" ht="19.149999999999999" customHeight="1" x14ac:dyDescent="0.2">
      <c r="A18" s="874"/>
      <c r="B18" s="565">
        <v>16</v>
      </c>
      <c r="C18" s="575">
        <v>80.601830065359479</v>
      </c>
      <c r="D18" s="575">
        <v>38.84137254901961</v>
      </c>
      <c r="E18" s="575">
        <v>119.44320261437909</v>
      </c>
      <c r="F18" s="575">
        <v>46.575299999999999</v>
      </c>
      <c r="G18" s="575">
        <v>53.7864</v>
      </c>
      <c r="H18" s="575">
        <v>100.3617</v>
      </c>
      <c r="I18" s="565">
        <v>204.9</v>
      </c>
      <c r="J18" s="575">
        <f t="shared" si="2"/>
        <v>256.125</v>
      </c>
      <c r="K18" s="575">
        <f t="shared" si="3"/>
        <v>153.67500000000001</v>
      </c>
      <c r="L18" s="575">
        <f t="shared" si="4"/>
        <v>102.44999999999999</v>
      </c>
      <c r="N18" s="703"/>
      <c r="O18" s="568">
        <v>16</v>
      </c>
      <c r="P18" s="569">
        <v>57915</v>
      </c>
      <c r="Q18" s="570">
        <v>72.26808706778472</v>
      </c>
      <c r="R18" s="570">
        <v>64.383248663836667</v>
      </c>
      <c r="S18" s="571">
        <f t="shared" si="5"/>
        <v>136.65133573162137</v>
      </c>
      <c r="T18" s="572">
        <f t="shared" si="0"/>
        <v>170.81416966452673</v>
      </c>
      <c r="U18" s="572">
        <f t="shared" si="1"/>
        <v>102.48850179871603</v>
      </c>
      <c r="V18" s="571">
        <f t="shared" si="6"/>
        <v>68.325667865810701</v>
      </c>
    </row>
    <row r="20" spans="1:22" x14ac:dyDescent="0.2">
      <c r="N20" s="3" t="s">
        <v>575</v>
      </c>
    </row>
    <row r="21" spans="1:22" x14ac:dyDescent="0.2">
      <c r="N21" s="3" t="s">
        <v>576</v>
      </c>
    </row>
    <row r="25" spans="1:22" s="28" customFormat="1" hidden="1" x14ac:dyDescent="0.2">
      <c r="N25" s="28" t="s">
        <v>184</v>
      </c>
      <c r="R25" s="29"/>
      <c r="S25" s="30"/>
      <c r="T25" s="31"/>
    </row>
  </sheetData>
  <mergeCells count="4">
    <mergeCell ref="N3:N18"/>
    <mergeCell ref="A3:A18"/>
    <mergeCell ref="N1:V1"/>
    <mergeCell ref="A1:L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45"/>
  <sheetViews>
    <sheetView zoomScale="85" zoomScaleNormal="85" workbookViewId="0">
      <selection sqref="A1:G1"/>
    </sheetView>
  </sheetViews>
  <sheetFormatPr defaultColWidth="8.7109375" defaultRowHeight="12.75" x14ac:dyDescent="0.2"/>
  <cols>
    <col min="1" max="2" width="12" style="3" customWidth="1"/>
    <col min="3" max="6" width="13.7109375" style="3" customWidth="1"/>
    <col min="7" max="7" width="13.28515625" style="3" customWidth="1"/>
    <col min="8" max="8" width="6.28515625" style="3" customWidth="1"/>
    <col min="9" max="9" width="8.7109375" style="3"/>
    <col min="10" max="10" width="12" style="3" customWidth="1"/>
    <col min="11" max="11" width="14.140625" style="3" customWidth="1"/>
    <col min="12" max="12" width="10.28515625" style="3" customWidth="1"/>
    <col min="13" max="27" width="5.7109375" style="3" customWidth="1"/>
    <col min="28" max="28" width="21.140625" style="3" bestFit="1" customWidth="1"/>
    <col min="29" max="16384" width="8.7109375" style="3"/>
  </cols>
  <sheetData>
    <row r="1" spans="1:28" ht="28.9" customHeight="1" x14ac:dyDescent="0.2">
      <c r="A1" s="619" t="str">
        <f>"% of Floor Area per CZ and Vintage Bin - "&amp;Prototype!A2</f>
        <v>% of Floor Area per CZ and Vintage Bin - Hospital</v>
      </c>
      <c r="B1" s="619"/>
      <c r="C1" s="619"/>
      <c r="D1" s="619"/>
      <c r="E1" s="619"/>
      <c r="F1" s="619"/>
      <c r="G1" s="619"/>
      <c r="J1" s="879" t="str">
        <f>"% of Floor Area per CZ and Vintage Bin - "&amp;Prototype!A2</f>
        <v>% of Floor Area per CZ and Vintage Bin - Hospital</v>
      </c>
      <c r="K1" s="879"/>
      <c r="L1" s="879"/>
      <c r="M1" s="879"/>
      <c r="N1" s="879"/>
      <c r="O1" s="879"/>
      <c r="P1" s="879"/>
      <c r="Q1" s="879"/>
      <c r="R1" s="879"/>
      <c r="S1" s="879"/>
      <c r="T1" s="879"/>
      <c r="U1" s="879"/>
      <c r="V1" s="879"/>
      <c r="W1" s="879"/>
      <c r="X1" s="879"/>
      <c r="Y1" s="879"/>
      <c r="Z1" s="879"/>
      <c r="AA1" s="879"/>
    </row>
    <row r="2" spans="1:28" ht="21" customHeight="1" x14ac:dyDescent="0.2">
      <c r="A2" s="880" t="s">
        <v>6</v>
      </c>
      <c r="B2" s="880" t="s">
        <v>573</v>
      </c>
      <c r="C2" s="880" t="s">
        <v>577</v>
      </c>
      <c r="D2" s="880"/>
      <c r="E2" s="880"/>
      <c r="F2" s="880"/>
      <c r="G2" s="880"/>
      <c r="J2" s="880" t="s">
        <v>6</v>
      </c>
      <c r="K2" s="880" t="s">
        <v>577</v>
      </c>
      <c r="L2" s="880" t="s">
        <v>573</v>
      </c>
      <c r="M2" s="880"/>
      <c r="N2" s="880"/>
      <c r="O2" s="880"/>
      <c r="P2" s="880"/>
      <c r="Q2" s="880"/>
      <c r="R2" s="880"/>
      <c r="S2" s="880"/>
      <c r="T2" s="880"/>
      <c r="U2" s="880"/>
      <c r="V2" s="880"/>
      <c r="W2" s="880"/>
      <c r="X2" s="880"/>
      <c r="Y2" s="880"/>
      <c r="Z2" s="880"/>
      <c r="AA2" s="880"/>
    </row>
    <row r="3" spans="1:28" ht="21" customHeight="1" x14ac:dyDescent="0.2">
      <c r="A3" s="880"/>
      <c r="B3" s="880"/>
      <c r="C3" s="564" t="s">
        <v>578</v>
      </c>
      <c r="D3" s="564" t="s">
        <v>218</v>
      </c>
      <c r="E3" s="564" t="s">
        <v>220</v>
      </c>
      <c r="F3" s="564" t="s">
        <v>222</v>
      </c>
      <c r="G3" s="564" t="s">
        <v>579</v>
      </c>
      <c r="J3" s="880"/>
      <c r="K3" s="880"/>
      <c r="L3" s="564">
        <v>1</v>
      </c>
      <c r="M3" s="564">
        <v>2</v>
      </c>
      <c r="N3" s="564">
        <v>3</v>
      </c>
      <c r="O3" s="564">
        <v>4</v>
      </c>
      <c r="P3" s="564">
        <v>5</v>
      </c>
      <c r="Q3" s="564">
        <v>6</v>
      </c>
      <c r="R3" s="564">
        <v>7</v>
      </c>
      <c r="S3" s="564">
        <v>8</v>
      </c>
      <c r="T3" s="564">
        <v>9</v>
      </c>
      <c r="U3" s="564">
        <v>10</v>
      </c>
      <c r="V3" s="564">
        <v>11</v>
      </c>
      <c r="W3" s="564">
        <v>12</v>
      </c>
      <c r="X3" s="564">
        <v>13</v>
      </c>
      <c r="Y3" s="564">
        <v>14</v>
      </c>
      <c r="Z3" s="564">
        <v>15</v>
      </c>
      <c r="AA3" s="564">
        <v>16</v>
      </c>
    </row>
    <row r="4" spans="1:28" ht="16.899999999999999" customHeight="1" x14ac:dyDescent="0.2">
      <c r="A4" s="878" t="s">
        <v>37</v>
      </c>
      <c r="B4" s="322">
        <v>1</v>
      </c>
      <c r="C4" s="563">
        <v>0.36</v>
      </c>
      <c r="D4" s="563">
        <v>0.16</v>
      </c>
      <c r="E4" s="563">
        <v>0.16600000000000001</v>
      </c>
      <c r="F4" s="563">
        <v>0.26200000000000001</v>
      </c>
      <c r="G4" s="323">
        <v>5.2999999999999999E-2</v>
      </c>
      <c r="H4" s="68">
        <f>SUM(C4:G4)</f>
        <v>1.0010000000000001</v>
      </c>
      <c r="J4" s="877" t="s">
        <v>37</v>
      </c>
      <c r="K4" s="563" t="s">
        <v>578</v>
      </c>
      <c r="L4" s="563">
        <v>1.1199132000000001E-2</v>
      </c>
      <c r="M4" s="563">
        <v>2.9186127999999999E-2</v>
      </c>
      <c r="N4" s="563">
        <v>6.8196005000000004E-2</v>
      </c>
      <c r="O4" s="563">
        <v>3.6299539999999998E-2</v>
      </c>
      <c r="P4" s="563">
        <v>2.2233560000000001E-3</v>
      </c>
      <c r="Q4" s="563">
        <v>7.7303680999999999E-2</v>
      </c>
      <c r="R4" s="563">
        <v>4.8312809999999998E-2</v>
      </c>
      <c r="S4" s="563">
        <v>0.122821635</v>
      </c>
      <c r="T4" s="563">
        <v>0.18693004499999999</v>
      </c>
      <c r="U4" s="563">
        <v>7.7631431000000001E-2</v>
      </c>
      <c r="V4" s="563">
        <v>3.0374304000000001E-2</v>
      </c>
      <c r="W4" s="563">
        <v>0.13224153299999999</v>
      </c>
      <c r="X4" s="563">
        <v>4.0411688000000001E-2</v>
      </c>
      <c r="Y4" s="563">
        <v>2.3617524000000001E-2</v>
      </c>
      <c r="Z4" s="563">
        <v>2.8291997999999999E-2</v>
      </c>
      <c r="AA4" s="563">
        <v>8.4959191000000003E-2</v>
      </c>
      <c r="AB4" s="68">
        <f t="shared" ref="AB4:AB9" si="0">SUM(L4:AA4)</f>
        <v>1.0000000010000001</v>
      </c>
    </row>
    <row r="5" spans="1:28" ht="16.899999999999999" customHeight="1" x14ac:dyDescent="0.2">
      <c r="A5" s="878"/>
      <c r="B5" s="322">
        <v>2</v>
      </c>
      <c r="C5" s="563">
        <v>0.45600000000000002</v>
      </c>
      <c r="D5" s="563">
        <v>0.19</v>
      </c>
      <c r="E5" s="563">
        <v>0.14599999999999999</v>
      </c>
      <c r="F5" s="563">
        <v>0.17599999999999999</v>
      </c>
      <c r="G5" s="323">
        <v>3.2000000000000001E-2</v>
      </c>
      <c r="H5" s="68">
        <f>SUM(C5:G5)</f>
        <v>1</v>
      </c>
      <c r="J5" s="877"/>
      <c r="K5" s="563" t="s">
        <v>218</v>
      </c>
      <c r="L5" s="563">
        <v>6.9874840000000004E-3</v>
      </c>
      <c r="M5" s="563">
        <v>1.7096917999999999E-2</v>
      </c>
      <c r="N5" s="563">
        <v>0.13061002699999999</v>
      </c>
      <c r="O5" s="563">
        <v>6.6710192000000001E-2</v>
      </c>
      <c r="P5" s="563">
        <v>1.6015726000000001E-2</v>
      </c>
      <c r="Q5" s="563">
        <v>4.7945963000000001E-2</v>
      </c>
      <c r="R5" s="563">
        <v>8.3813388000000003E-2</v>
      </c>
      <c r="S5" s="563">
        <v>6.4214391999999995E-2</v>
      </c>
      <c r="T5" s="563">
        <v>7.9670242000000002E-2</v>
      </c>
      <c r="U5" s="563">
        <v>0.120579176</v>
      </c>
      <c r="V5" s="563">
        <v>2.9983411000000001E-2</v>
      </c>
      <c r="W5" s="563">
        <v>0.14902501300000001</v>
      </c>
      <c r="X5" s="563">
        <v>2.5860019000000001E-2</v>
      </c>
      <c r="Y5" s="563">
        <v>2.1441400999999999E-2</v>
      </c>
      <c r="Z5" s="563">
        <v>5.3850454999999998E-2</v>
      </c>
      <c r="AA5" s="563">
        <v>8.6196193000000004E-2</v>
      </c>
      <c r="AB5" s="68">
        <f t="shared" si="0"/>
        <v>1</v>
      </c>
    </row>
    <row r="6" spans="1:28" ht="16.899999999999999" customHeight="1" x14ac:dyDescent="0.2">
      <c r="A6" s="878"/>
      <c r="B6" s="322">
        <v>3</v>
      </c>
      <c r="C6" s="563">
        <v>0.27300000000000002</v>
      </c>
      <c r="D6" s="563">
        <v>0.371</v>
      </c>
      <c r="E6" s="563">
        <v>0.20300000000000001</v>
      </c>
      <c r="F6" s="563">
        <v>9.6000000000000002E-2</v>
      </c>
      <c r="G6" s="323">
        <v>5.6000000000000001E-2</v>
      </c>
      <c r="H6" s="68">
        <f t="shared" ref="H6:H20" si="1">SUM(C6:G6)</f>
        <v>0.999</v>
      </c>
      <c r="J6" s="877"/>
      <c r="K6" s="563" t="s">
        <v>220</v>
      </c>
      <c r="L6" s="563">
        <v>1.3917518E-2</v>
      </c>
      <c r="M6" s="563">
        <v>2.5292770999999999E-2</v>
      </c>
      <c r="N6" s="563">
        <v>0.137165799</v>
      </c>
      <c r="O6" s="563">
        <v>6.7859286000000005E-2</v>
      </c>
      <c r="P6" s="563">
        <v>2.012307E-2</v>
      </c>
      <c r="Q6" s="563">
        <v>5.6793926000000002E-2</v>
      </c>
      <c r="R6" s="563">
        <v>5.2529738999999999E-2</v>
      </c>
      <c r="S6" s="563">
        <v>8.7540121999999998E-2</v>
      </c>
      <c r="T6" s="563">
        <v>7.1816018999999995E-2</v>
      </c>
      <c r="U6" s="563">
        <v>4.7384918999999998E-2</v>
      </c>
      <c r="V6" s="563">
        <v>4.4387527000000003E-2</v>
      </c>
      <c r="W6" s="563">
        <v>0.20735635499999999</v>
      </c>
      <c r="X6" s="563">
        <v>6.3046047999999993E-2</v>
      </c>
      <c r="Y6" s="563">
        <v>1.8960253E-2</v>
      </c>
      <c r="Z6" s="563">
        <v>3.3514299999999999E-3</v>
      </c>
      <c r="AA6" s="563">
        <v>8.2475217000000003E-2</v>
      </c>
      <c r="AB6" s="68">
        <f t="shared" si="0"/>
        <v>0.99999999900000025</v>
      </c>
    </row>
    <row r="7" spans="1:28" ht="16.899999999999999" customHeight="1" x14ac:dyDescent="0.2">
      <c r="A7" s="878"/>
      <c r="B7" s="322">
        <v>4</v>
      </c>
      <c r="C7" s="563">
        <v>0.28000000000000003</v>
      </c>
      <c r="D7" s="563">
        <v>0.36599999999999999</v>
      </c>
      <c r="E7" s="563">
        <v>0.19400000000000001</v>
      </c>
      <c r="F7" s="563">
        <v>9.8000000000000004E-2</v>
      </c>
      <c r="G7" s="323">
        <v>6.2E-2</v>
      </c>
      <c r="H7" s="68">
        <f t="shared" si="1"/>
        <v>1</v>
      </c>
      <c r="J7" s="877"/>
      <c r="K7" s="563" t="s">
        <v>222</v>
      </c>
      <c r="L7" s="563">
        <v>2.3161775999999999E-2</v>
      </c>
      <c r="M7" s="563">
        <v>3.1909671000000001E-2</v>
      </c>
      <c r="N7" s="563">
        <v>6.8269967000000001E-2</v>
      </c>
      <c r="O7" s="563">
        <v>3.6015643999999999E-2</v>
      </c>
      <c r="P7" s="563">
        <v>3.4737230000000002E-3</v>
      </c>
      <c r="Q7" s="563">
        <v>1.1980629E-2</v>
      </c>
      <c r="R7" s="563">
        <v>3.3033066999999999E-2</v>
      </c>
      <c r="S7" s="563">
        <v>1.0183467E-2</v>
      </c>
      <c r="T7" s="563">
        <v>5.2457166E-2</v>
      </c>
      <c r="U7" s="563">
        <v>0.10973951</v>
      </c>
      <c r="V7" s="563">
        <v>5.6454869999999997E-2</v>
      </c>
      <c r="W7" s="563">
        <v>0.22564025600000001</v>
      </c>
      <c r="X7" s="563">
        <v>9.7188610999999994E-2</v>
      </c>
      <c r="Y7" s="563">
        <v>2.0034387000000001E-2</v>
      </c>
      <c r="Z7" s="563">
        <v>5.7482634999999997E-2</v>
      </c>
      <c r="AA7" s="563">
        <v>0.16297461999999999</v>
      </c>
      <c r="AB7" s="68">
        <f t="shared" si="0"/>
        <v>0.99999999899999992</v>
      </c>
    </row>
    <row r="8" spans="1:28" ht="16.899999999999999" customHeight="1" x14ac:dyDescent="0.2">
      <c r="A8" s="878"/>
      <c r="B8" s="322">
        <v>5</v>
      </c>
      <c r="C8" s="563">
        <v>0.1</v>
      </c>
      <c r="D8" s="563">
        <v>0.50900000000000001</v>
      </c>
      <c r="E8" s="563">
        <v>0.33400000000000002</v>
      </c>
      <c r="F8" s="563">
        <v>5.5E-2</v>
      </c>
      <c r="G8" s="323">
        <v>3.0000000000000001E-3</v>
      </c>
      <c r="H8" s="68">
        <f t="shared" si="1"/>
        <v>1.0010000000000001</v>
      </c>
      <c r="J8" s="877"/>
      <c r="K8" s="563" t="s">
        <v>579</v>
      </c>
      <c r="L8" s="563">
        <v>8.4970640000000004E-3</v>
      </c>
      <c r="M8" s="563">
        <v>1.0568086000000001E-2</v>
      </c>
      <c r="N8" s="563">
        <v>7.3120712000000004E-2</v>
      </c>
      <c r="O8" s="563">
        <v>4.1430814000000003E-2</v>
      </c>
      <c r="P8" s="563">
        <v>3.2573500000000001E-4</v>
      </c>
      <c r="Q8" s="563">
        <v>4.3418976999999997E-2</v>
      </c>
      <c r="R8" s="563">
        <v>5.3905819999999997E-3</v>
      </c>
      <c r="S8" s="563">
        <v>9.0955606999999994E-2</v>
      </c>
      <c r="T8" s="563">
        <v>0.15205049000000001</v>
      </c>
      <c r="U8" s="563">
        <v>0.12318239</v>
      </c>
      <c r="V8" s="563">
        <v>2.2770388999999999E-2</v>
      </c>
      <c r="W8" s="563">
        <v>0.100379975</v>
      </c>
      <c r="X8" s="563">
        <v>8.9408523000000004E-2</v>
      </c>
      <c r="Y8" s="563">
        <v>3.1871884000000003E-2</v>
      </c>
      <c r="Z8" s="563">
        <v>9.6934319000000005E-2</v>
      </c>
      <c r="AA8" s="563">
        <v>0.109694452</v>
      </c>
      <c r="AB8" s="68">
        <f t="shared" si="0"/>
        <v>0.99999999899999992</v>
      </c>
    </row>
    <row r="9" spans="1:28" ht="16.899999999999999" customHeight="1" x14ac:dyDescent="0.2">
      <c r="A9" s="878"/>
      <c r="B9" s="322">
        <v>6</v>
      </c>
      <c r="C9" s="563">
        <v>0.53300000000000003</v>
      </c>
      <c r="D9" s="563">
        <v>0.23499999999999999</v>
      </c>
      <c r="E9" s="563">
        <v>0.14499999999999999</v>
      </c>
      <c r="F9" s="563">
        <v>2.9000000000000001E-2</v>
      </c>
      <c r="G9" s="323">
        <v>5.8000000000000003E-2</v>
      </c>
      <c r="H9" s="68">
        <f t="shared" si="1"/>
        <v>1</v>
      </c>
      <c r="J9" s="877"/>
      <c r="K9" s="563" t="s">
        <v>352</v>
      </c>
      <c r="L9" s="563">
        <v>1.1850249E-2</v>
      </c>
      <c r="M9" s="563">
        <v>2.4367403999999999E-2</v>
      </c>
      <c r="N9" s="563">
        <v>9.5178670000000007E-2</v>
      </c>
      <c r="O9" s="563">
        <v>4.9315462999999997E-2</v>
      </c>
      <c r="P9" s="563">
        <v>8.5077160000000002E-3</v>
      </c>
      <c r="Q9" s="563">
        <v>5.521997E-2</v>
      </c>
      <c r="R9" s="563">
        <v>5.3315854000000003E-2</v>
      </c>
      <c r="S9" s="563">
        <v>8.4540409999999996E-2</v>
      </c>
      <c r="T9" s="563">
        <v>0.12107741599999999</v>
      </c>
      <c r="U9" s="563">
        <v>9.2632157000000007E-2</v>
      </c>
      <c r="V9" s="563">
        <v>3.5187095000000002E-2</v>
      </c>
      <c r="W9" s="563">
        <v>0.157572712</v>
      </c>
      <c r="X9" s="563">
        <v>5.0876394999999998E-2</v>
      </c>
      <c r="Y9" s="563">
        <v>2.2496161000000001E-2</v>
      </c>
      <c r="Z9" s="563">
        <v>4.0637271000000003E-2</v>
      </c>
      <c r="AA9" s="563">
        <v>9.7225060000000002E-2</v>
      </c>
      <c r="AB9" s="68">
        <f t="shared" si="0"/>
        <v>1.000000003</v>
      </c>
    </row>
    <row r="10" spans="1:28" ht="16.899999999999999" customHeight="1" x14ac:dyDescent="0.2">
      <c r="A10" s="878"/>
      <c r="B10" s="322">
        <v>7</v>
      </c>
      <c r="C10" s="563">
        <v>0.34499999999999997</v>
      </c>
      <c r="D10" s="563">
        <v>0.42499999999999999</v>
      </c>
      <c r="E10" s="563">
        <v>0.13900000000000001</v>
      </c>
      <c r="F10" s="563">
        <v>8.3000000000000004E-2</v>
      </c>
      <c r="G10" s="323">
        <v>7.0000000000000001E-3</v>
      </c>
      <c r="H10" s="68">
        <f t="shared" si="1"/>
        <v>0.999</v>
      </c>
      <c r="J10" s="6"/>
      <c r="K10" s="66"/>
      <c r="L10" s="34"/>
      <c r="M10" s="34"/>
      <c r="N10" s="34"/>
      <c r="O10" s="34"/>
      <c r="P10" s="67"/>
      <c r="AB10" s="68"/>
    </row>
    <row r="11" spans="1:28" ht="16.899999999999999" customHeight="1" x14ac:dyDescent="0.2">
      <c r="A11" s="878"/>
      <c r="B11" s="322">
        <v>8</v>
      </c>
      <c r="C11" s="563">
        <v>0.55300000000000005</v>
      </c>
      <c r="D11" s="563">
        <v>0.20499999999999999</v>
      </c>
      <c r="E11" s="563">
        <v>0.14599999999999999</v>
      </c>
      <c r="F11" s="563">
        <v>1.6E-2</v>
      </c>
      <c r="G11" s="323">
        <v>7.9000000000000001E-2</v>
      </c>
      <c r="H11" s="68">
        <f t="shared" si="1"/>
        <v>0.999</v>
      </c>
      <c r="J11" s="6"/>
      <c r="K11" s="66"/>
      <c r="L11" s="34"/>
      <c r="M11" s="34"/>
      <c r="N11" s="34"/>
      <c r="O11" s="34"/>
      <c r="P11" s="67"/>
    </row>
    <row r="12" spans="1:28" ht="16.899999999999999" customHeight="1" x14ac:dyDescent="0.2">
      <c r="A12" s="878"/>
      <c r="B12" s="322">
        <v>9</v>
      </c>
      <c r="C12" s="563">
        <v>0.58799999999999997</v>
      </c>
      <c r="D12" s="563">
        <v>0.17799999999999999</v>
      </c>
      <c r="E12" s="563">
        <v>8.4000000000000005E-2</v>
      </c>
      <c r="F12" s="563">
        <v>5.8000000000000003E-2</v>
      </c>
      <c r="G12" s="323">
        <v>9.1999999999999998E-2</v>
      </c>
      <c r="H12" s="68">
        <f t="shared" si="1"/>
        <v>1</v>
      </c>
      <c r="J12" s="6"/>
      <c r="K12" s="66"/>
      <c r="L12" s="34"/>
      <c r="M12" s="34"/>
      <c r="N12" s="34"/>
      <c r="O12" s="34"/>
      <c r="P12" s="67"/>
    </row>
    <row r="13" spans="1:28" ht="16.899999999999999" customHeight="1" x14ac:dyDescent="0.2">
      <c r="A13" s="878"/>
      <c r="B13" s="322">
        <v>10</v>
      </c>
      <c r="C13" s="563">
        <v>0.31900000000000001</v>
      </c>
      <c r="D13" s="563">
        <v>0.35199999999999998</v>
      </c>
      <c r="E13" s="563">
        <v>7.1999999999999995E-2</v>
      </c>
      <c r="F13" s="563">
        <v>0.159</v>
      </c>
      <c r="G13" s="323">
        <v>9.7000000000000003E-2</v>
      </c>
      <c r="H13" s="68">
        <f t="shared" si="1"/>
        <v>0.999</v>
      </c>
      <c r="J13" s="6"/>
      <c r="K13" s="66"/>
      <c r="L13" s="34"/>
      <c r="M13" s="34"/>
      <c r="N13" s="34"/>
      <c r="O13" s="34"/>
      <c r="P13" s="67"/>
    </row>
    <row r="14" spans="1:28" ht="16.899999999999999" customHeight="1" x14ac:dyDescent="0.2">
      <c r="A14" s="878"/>
      <c r="B14" s="322">
        <v>11</v>
      </c>
      <c r="C14" s="563">
        <v>0.32900000000000001</v>
      </c>
      <c r="D14" s="563">
        <v>0.23100000000000001</v>
      </c>
      <c r="E14" s="563">
        <v>0.17799999999999999</v>
      </c>
      <c r="F14" s="563">
        <v>0.215</v>
      </c>
      <c r="G14" s="323">
        <v>4.7E-2</v>
      </c>
      <c r="H14" s="68">
        <f t="shared" si="1"/>
        <v>1</v>
      </c>
      <c r="J14" s="6"/>
      <c r="K14" s="66"/>
      <c r="L14" s="34"/>
      <c r="M14" s="34"/>
      <c r="N14" s="34"/>
      <c r="O14" s="34"/>
      <c r="P14" s="67"/>
    </row>
    <row r="15" spans="1:28" ht="16.899999999999999" customHeight="1" x14ac:dyDescent="0.2">
      <c r="A15" s="878"/>
      <c r="B15" s="322">
        <v>12</v>
      </c>
      <c r="C15" s="563">
        <v>0.32</v>
      </c>
      <c r="D15" s="563">
        <v>0.25600000000000001</v>
      </c>
      <c r="E15" s="563">
        <v>0.186</v>
      </c>
      <c r="F15" s="563">
        <v>0.192</v>
      </c>
      <c r="G15" s="323">
        <v>4.7E-2</v>
      </c>
      <c r="H15" s="68">
        <f t="shared" si="1"/>
        <v>1.0009999999999999</v>
      </c>
      <c r="J15" s="6"/>
      <c r="K15" s="66"/>
      <c r="L15" s="34"/>
      <c r="M15" s="34"/>
      <c r="N15" s="34"/>
      <c r="O15" s="34"/>
      <c r="P15" s="67"/>
    </row>
    <row r="16" spans="1:28" ht="16.899999999999999" customHeight="1" x14ac:dyDescent="0.2">
      <c r="A16" s="878"/>
      <c r="B16" s="322">
        <v>13</v>
      </c>
      <c r="C16" s="563">
        <v>0.30299999999999999</v>
      </c>
      <c r="D16" s="563">
        <v>0.13800000000000001</v>
      </c>
      <c r="E16" s="563">
        <v>0.17499999999999999</v>
      </c>
      <c r="F16" s="563">
        <v>0.25600000000000001</v>
      </c>
      <c r="G16" s="323">
        <v>0.129</v>
      </c>
      <c r="H16" s="68">
        <f t="shared" si="1"/>
        <v>1.0009999999999999</v>
      </c>
      <c r="J16" s="6"/>
      <c r="K16" s="66"/>
      <c r="L16" s="34"/>
      <c r="M16" s="34"/>
      <c r="N16" s="34"/>
      <c r="O16" s="34"/>
      <c r="P16" s="67"/>
    </row>
    <row r="17" spans="1:16" ht="16.899999999999999" customHeight="1" x14ac:dyDescent="0.2">
      <c r="A17" s="878"/>
      <c r="B17" s="322">
        <v>14</v>
      </c>
      <c r="C17" s="563">
        <v>0.4</v>
      </c>
      <c r="D17" s="563">
        <v>0.25800000000000001</v>
      </c>
      <c r="E17" s="563">
        <v>0.11899999999999999</v>
      </c>
      <c r="F17" s="563">
        <v>0.12</v>
      </c>
      <c r="G17" s="323">
        <v>0.104</v>
      </c>
      <c r="H17" s="68">
        <f t="shared" si="1"/>
        <v>1.0010000000000001</v>
      </c>
      <c r="J17" s="6"/>
      <c r="K17" s="66"/>
      <c r="L17" s="34"/>
      <c r="M17" s="34"/>
      <c r="N17" s="34"/>
      <c r="O17" s="34"/>
      <c r="P17" s="67"/>
    </row>
    <row r="18" spans="1:16" ht="16.899999999999999" customHeight="1" x14ac:dyDescent="0.2">
      <c r="A18" s="878"/>
      <c r="B18" s="322">
        <v>15</v>
      </c>
      <c r="C18" s="563">
        <v>0.26500000000000001</v>
      </c>
      <c r="D18" s="563">
        <v>0.35899999999999999</v>
      </c>
      <c r="E18" s="574">
        <v>1.2E-2</v>
      </c>
      <c r="F18" s="563">
        <v>0.19</v>
      </c>
      <c r="G18" s="323">
        <v>0.17499999999999999</v>
      </c>
      <c r="H18" s="68">
        <f t="shared" si="1"/>
        <v>1.0010000000000001</v>
      </c>
      <c r="J18" s="6"/>
      <c r="K18" s="66"/>
      <c r="L18" s="34"/>
      <c r="M18" s="34"/>
      <c r="N18" s="34"/>
      <c r="O18" s="34"/>
      <c r="P18" s="67"/>
    </row>
    <row r="19" spans="1:16" ht="16.899999999999999" customHeight="1" x14ac:dyDescent="0.2">
      <c r="A19" s="878"/>
      <c r="B19" s="322">
        <v>16</v>
      </c>
      <c r="C19" s="323">
        <v>0.33300000000000002</v>
      </c>
      <c r="D19" s="323">
        <v>0.24</v>
      </c>
      <c r="E19" s="323">
        <v>0.12</v>
      </c>
      <c r="F19" s="323">
        <v>0.22500000000000001</v>
      </c>
      <c r="G19" s="323">
        <v>8.3000000000000004E-2</v>
      </c>
      <c r="H19" s="68">
        <f t="shared" si="1"/>
        <v>1.0009999999999999</v>
      </c>
      <c r="J19" s="6"/>
      <c r="K19" s="66"/>
      <c r="L19" s="34"/>
      <c r="M19" s="34"/>
      <c r="N19" s="34"/>
      <c r="O19" s="34"/>
      <c r="P19" s="67"/>
    </row>
    <row r="20" spans="1:16" ht="15.6" customHeight="1" x14ac:dyDescent="0.2">
      <c r="A20" s="878"/>
      <c r="B20" s="323" t="s">
        <v>187</v>
      </c>
      <c r="C20" s="323">
        <v>0.39600000000000002</v>
      </c>
      <c r="D20" s="323">
        <v>0.28999999999999998</v>
      </c>
      <c r="E20" s="323">
        <v>0.14899999999999999</v>
      </c>
      <c r="F20" s="323">
        <v>9.8000000000000004E-2</v>
      </c>
      <c r="G20" s="323">
        <v>6.8000000000000005E-2</v>
      </c>
      <c r="H20" s="68">
        <f t="shared" si="1"/>
        <v>1.0009999999999999</v>
      </c>
    </row>
    <row r="22" spans="1:16" x14ac:dyDescent="0.2">
      <c r="A22" s="3" t="s">
        <v>580</v>
      </c>
    </row>
    <row r="25" spans="1:16" ht="15.75" x14ac:dyDescent="0.2">
      <c r="A25" s="619" t="str">
        <f>"% of Floor Area per CZ and Vintage Bin - "&amp;Prototype!A26</f>
        <v xml:space="preserve">% of Floor Area per CZ and Vintage Bin - </v>
      </c>
      <c r="B25" s="619"/>
      <c r="C25" s="619"/>
      <c r="D25" s="619"/>
      <c r="E25" s="619"/>
      <c r="F25" s="619"/>
      <c r="G25" s="619"/>
    </row>
    <row r="26" spans="1:16" x14ac:dyDescent="0.2">
      <c r="A26" s="880" t="s">
        <v>6</v>
      </c>
      <c r="B26" s="880" t="s">
        <v>573</v>
      </c>
      <c r="C26" s="880" t="s">
        <v>577</v>
      </c>
      <c r="D26" s="880"/>
      <c r="E26" s="880"/>
      <c r="F26" s="880"/>
      <c r="G26" s="880"/>
    </row>
    <row r="27" spans="1:16" x14ac:dyDescent="0.2">
      <c r="A27" s="880"/>
      <c r="B27" s="880"/>
      <c r="C27" s="564" t="s">
        <v>578</v>
      </c>
      <c r="D27" s="564" t="s">
        <v>218</v>
      </c>
      <c r="E27" s="564" t="s">
        <v>220</v>
      </c>
      <c r="F27" s="564" t="s">
        <v>222</v>
      </c>
      <c r="G27" s="564" t="s">
        <v>579</v>
      </c>
    </row>
    <row r="28" spans="1:16" x14ac:dyDescent="0.2">
      <c r="A28" s="878" t="s">
        <v>37</v>
      </c>
      <c r="B28" s="322">
        <v>1</v>
      </c>
      <c r="C28" s="563">
        <f>(C4+($G4*C4))/$I28</f>
        <v>0.379746835443038</v>
      </c>
      <c r="D28" s="563">
        <f>(D4+($G4*D4))/$I28</f>
        <v>0.16877637130801687</v>
      </c>
      <c r="E28" s="563">
        <f t="shared" ref="E28:F28" si="2">(E4+($G4*E4))/$I28</f>
        <v>0.17510548523206754</v>
      </c>
      <c r="F28" s="563">
        <f t="shared" si="2"/>
        <v>0.2763713080168777</v>
      </c>
      <c r="G28" s="323">
        <v>0</v>
      </c>
      <c r="H28" s="573">
        <f>SUM(C28:G28)</f>
        <v>1</v>
      </c>
      <c r="I28" s="576">
        <v>0.99824399999999991</v>
      </c>
    </row>
    <row r="29" spans="1:16" s="28" customFormat="1" ht="15.6" customHeight="1" x14ac:dyDescent="0.2">
      <c r="A29" s="878"/>
      <c r="B29" s="322">
        <v>2</v>
      </c>
      <c r="C29" s="563">
        <f t="shared" ref="C29:F44" si="3">(C5+($G5*C5))/$I29</f>
        <v>0.47107438016528924</v>
      </c>
      <c r="D29" s="563">
        <f t="shared" si="3"/>
        <v>0.19628099173553717</v>
      </c>
      <c r="E29" s="563">
        <f t="shared" si="3"/>
        <v>0.15082644628099173</v>
      </c>
      <c r="F29" s="563">
        <f t="shared" si="3"/>
        <v>0.1818181818181818</v>
      </c>
      <c r="G29" s="323">
        <v>0</v>
      </c>
      <c r="H29" s="573">
        <f t="shared" ref="H29:H44" si="4">SUM(C29:G29)</f>
        <v>0.99999999999999989</v>
      </c>
      <c r="I29" s="577">
        <v>0.99897600000000009</v>
      </c>
    </row>
    <row r="30" spans="1:16" x14ac:dyDescent="0.2">
      <c r="A30" s="878"/>
      <c r="B30" s="322">
        <v>3</v>
      </c>
      <c r="C30" s="563">
        <f t="shared" si="3"/>
        <v>0.28950159066808062</v>
      </c>
      <c r="D30" s="563">
        <f t="shared" si="3"/>
        <v>0.39342523860021211</v>
      </c>
      <c r="E30" s="563">
        <f t="shared" si="3"/>
        <v>0.21527041357370094</v>
      </c>
      <c r="F30" s="563">
        <f t="shared" si="3"/>
        <v>0.10180275715800637</v>
      </c>
      <c r="G30" s="323">
        <v>0</v>
      </c>
      <c r="H30" s="573">
        <f t="shared" si="4"/>
        <v>1</v>
      </c>
      <c r="I30" s="576">
        <v>0.99580800000000003</v>
      </c>
    </row>
    <row r="31" spans="1:16" x14ac:dyDescent="0.2">
      <c r="A31" s="878"/>
      <c r="B31" s="322">
        <v>4</v>
      </c>
      <c r="C31" s="563">
        <f t="shared" si="3"/>
        <v>0.29850746268656714</v>
      </c>
      <c r="D31" s="563">
        <f t="shared" si="3"/>
        <v>0.39019189765458417</v>
      </c>
      <c r="E31" s="563">
        <f t="shared" si="3"/>
        <v>0.2068230277185501</v>
      </c>
      <c r="F31" s="563">
        <f t="shared" si="3"/>
        <v>0.1044776119402985</v>
      </c>
      <c r="G31" s="323">
        <v>0</v>
      </c>
      <c r="H31" s="573">
        <f t="shared" si="4"/>
        <v>0.99999999999999989</v>
      </c>
      <c r="I31" s="576">
        <v>0.99615600000000004</v>
      </c>
    </row>
    <row r="32" spans="1:16" x14ac:dyDescent="0.2">
      <c r="A32" s="878"/>
      <c r="B32" s="322">
        <v>5</v>
      </c>
      <c r="C32" s="563">
        <f t="shared" si="3"/>
        <v>0.10020040080160321</v>
      </c>
      <c r="D32" s="563">
        <f t="shared" si="3"/>
        <v>0.51002004008016033</v>
      </c>
      <c r="E32" s="563">
        <f t="shared" si="3"/>
        <v>0.33466933867735477</v>
      </c>
      <c r="F32" s="563">
        <f t="shared" si="3"/>
        <v>5.5110220440881763E-2</v>
      </c>
      <c r="G32" s="323">
        <v>0</v>
      </c>
      <c r="H32" s="573">
        <f t="shared" si="4"/>
        <v>1</v>
      </c>
      <c r="I32" s="576">
        <v>1.0009939999999999</v>
      </c>
    </row>
    <row r="33" spans="1:9" x14ac:dyDescent="0.2">
      <c r="A33" s="878"/>
      <c r="B33" s="322">
        <v>6</v>
      </c>
      <c r="C33" s="563">
        <f t="shared" si="3"/>
        <v>0.56581740976645445</v>
      </c>
      <c r="D33" s="563">
        <f t="shared" si="3"/>
        <v>0.2494692144373673</v>
      </c>
      <c r="E33" s="563">
        <f t="shared" si="3"/>
        <v>0.15392781316348195</v>
      </c>
      <c r="F33" s="563">
        <f t="shared" si="3"/>
        <v>3.0785562632696394E-2</v>
      </c>
      <c r="G33" s="323">
        <v>0</v>
      </c>
      <c r="H33" s="573">
        <f t="shared" si="4"/>
        <v>1</v>
      </c>
      <c r="I33" s="576">
        <v>0.99663599999999997</v>
      </c>
    </row>
    <row r="34" spans="1:9" x14ac:dyDescent="0.2">
      <c r="A34" s="878"/>
      <c r="B34" s="322">
        <v>7</v>
      </c>
      <c r="C34" s="563">
        <f t="shared" si="3"/>
        <v>0.34778225806451607</v>
      </c>
      <c r="D34" s="563">
        <f t="shared" si="3"/>
        <v>0.42842741935483869</v>
      </c>
      <c r="E34" s="563">
        <f t="shared" si="3"/>
        <v>0.1401209677419355</v>
      </c>
      <c r="F34" s="563">
        <f t="shared" si="3"/>
        <v>8.3669354838709672E-2</v>
      </c>
      <c r="G34" s="323">
        <v>0</v>
      </c>
      <c r="H34" s="573">
        <f t="shared" si="4"/>
        <v>0.99999999999999989</v>
      </c>
      <c r="I34" s="576">
        <v>0.99894400000000005</v>
      </c>
    </row>
    <row r="35" spans="1:9" x14ac:dyDescent="0.2">
      <c r="A35" s="878"/>
      <c r="B35" s="322">
        <v>8</v>
      </c>
      <c r="C35" s="563">
        <f t="shared" si="3"/>
        <v>0.60108695652173916</v>
      </c>
      <c r="D35" s="563">
        <f t="shared" si="3"/>
        <v>0.2228260869565217</v>
      </c>
      <c r="E35" s="563">
        <f t="shared" si="3"/>
        <v>0.15869565217391302</v>
      </c>
      <c r="F35" s="563">
        <f t="shared" si="3"/>
        <v>1.7391304347826087E-2</v>
      </c>
      <c r="G35" s="323">
        <v>0</v>
      </c>
      <c r="H35" s="573">
        <f t="shared" si="4"/>
        <v>1</v>
      </c>
      <c r="I35" s="576">
        <v>0.99268000000000001</v>
      </c>
    </row>
    <row r="36" spans="1:9" x14ac:dyDescent="0.2">
      <c r="A36" s="878"/>
      <c r="B36" s="322">
        <v>9</v>
      </c>
      <c r="C36" s="563">
        <f t="shared" si="3"/>
        <v>0.64757709251101325</v>
      </c>
      <c r="D36" s="563">
        <f t="shared" si="3"/>
        <v>0.1960352422907489</v>
      </c>
      <c r="E36" s="563">
        <f t="shared" si="3"/>
        <v>9.2511013215859042E-2</v>
      </c>
      <c r="F36" s="563">
        <f t="shared" si="3"/>
        <v>6.3876651982378865E-2</v>
      </c>
      <c r="G36" s="323">
        <v>0</v>
      </c>
      <c r="H36" s="573">
        <f t="shared" si="4"/>
        <v>1</v>
      </c>
      <c r="I36" s="576">
        <v>0.99153599999999997</v>
      </c>
    </row>
    <row r="37" spans="1:9" x14ac:dyDescent="0.2">
      <c r="A37" s="878"/>
      <c r="B37" s="322">
        <v>10</v>
      </c>
      <c r="C37" s="563">
        <f t="shared" si="3"/>
        <v>0.35365853658536589</v>
      </c>
      <c r="D37" s="563">
        <f t="shared" si="3"/>
        <v>0.3902439024390244</v>
      </c>
      <c r="E37" s="563">
        <f t="shared" si="3"/>
        <v>7.9822616407982272E-2</v>
      </c>
      <c r="F37" s="563">
        <f t="shared" si="3"/>
        <v>0.17627494456762752</v>
      </c>
      <c r="G37" s="323">
        <v>0</v>
      </c>
      <c r="H37" s="573">
        <f t="shared" si="4"/>
        <v>1</v>
      </c>
      <c r="I37" s="576">
        <v>0.98949399999999987</v>
      </c>
    </row>
    <row r="38" spans="1:9" x14ac:dyDescent="0.2">
      <c r="A38" s="878"/>
      <c r="B38" s="322">
        <v>11</v>
      </c>
      <c r="C38" s="563">
        <f t="shared" si="3"/>
        <v>0.34522560335781738</v>
      </c>
      <c r="D38" s="563">
        <f t="shared" si="3"/>
        <v>0.24239244491080797</v>
      </c>
      <c r="E38" s="563">
        <f t="shared" si="3"/>
        <v>0.1867785939139559</v>
      </c>
      <c r="F38" s="563">
        <f t="shared" si="3"/>
        <v>0.22560335781741866</v>
      </c>
      <c r="G38" s="323">
        <v>0</v>
      </c>
      <c r="H38" s="573">
        <f t="shared" si="4"/>
        <v>0.99999999999999989</v>
      </c>
      <c r="I38" s="576">
        <v>0.99779100000000009</v>
      </c>
    </row>
    <row r="39" spans="1:9" x14ac:dyDescent="0.2">
      <c r="A39" s="878"/>
      <c r="B39" s="322">
        <v>12</v>
      </c>
      <c r="C39" s="563">
        <f t="shared" si="3"/>
        <v>0.33542976939203356</v>
      </c>
      <c r="D39" s="563">
        <f t="shared" si="3"/>
        <v>0.26834381551362685</v>
      </c>
      <c r="E39" s="563">
        <f t="shared" si="3"/>
        <v>0.19496855345911948</v>
      </c>
      <c r="F39" s="563">
        <f t="shared" si="3"/>
        <v>0.20125786163522014</v>
      </c>
      <c r="G39" s="323">
        <v>0</v>
      </c>
      <c r="H39" s="573">
        <f t="shared" si="4"/>
        <v>1</v>
      </c>
      <c r="I39" s="576">
        <v>0.998838</v>
      </c>
    </row>
    <row r="40" spans="1:9" x14ac:dyDescent="0.2">
      <c r="A40" s="878"/>
      <c r="B40" s="322">
        <v>13</v>
      </c>
      <c r="C40" s="563">
        <f t="shared" si="3"/>
        <v>0.34747706422018343</v>
      </c>
      <c r="D40" s="563">
        <f t="shared" si="3"/>
        <v>0.15825688073394498</v>
      </c>
      <c r="E40" s="563">
        <f t="shared" si="3"/>
        <v>0.2006880733944954</v>
      </c>
      <c r="F40" s="563">
        <f t="shared" si="3"/>
        <v>0.29357798165137616</v>
      </c>
      <c r="G40" s="323">
        <v>0</v>
      </c>
      <c r="H40" s="573">
        <f t="shared" si="4"/>
        <v>1</v>
      </c>
      <c r="I40" s="576">
        <v>0.98448800000000003</v>
      </c>
    </row>
    <row r="41" spans="1:9" x14ac:dyDescent="0.2">
      <c r="A41" s="878"/>
      <c r="B41" s="322">
        <v>14</v>
      </c>
      <c r="C41" s="563">
        <f t="shared" si="3"/>
        <v>0.44593088071348946</v>
      </c>
      <c r="D41" s="563">
        <f t="shared" si="3"/>
        <v>0.28762541806020075</v>
      </c>
      <c r="E41" s="563">
        <f t="shared" si="3"/>
        <v>0.1326644370122631</v>
      </c>
      <c r="F41" s="563">
        <f t="shared" si="3"/>
        <v>0.13377926421404684</v>
      </c>
      <c r="G41" s="323">
        <v>0</v>
      </c>
      <c r="H41" s="573">
        <f t="shared" si="4"/>
        <v>1</v>
      </c>
      <c r="I41" s="576">
        <v>0.99028799999999984</v>
      </c>
    </row>
    <row r="42" spans="1:9" x14ac:dyDescent="0.2">
      <c r="A42" s="878"/>
      <c r="B42" s="322">
        <v>15</v>
      </c>
      <c r="C42" s="563">
        <f t="shared" si="3"/>
        <v>0.32082324455205813</v>
      </c>
      <c r="D42" s="563">
        <f t="shared" si="3"/>
        <v>0.43462469733656173</v>
      </c>
      <c r="E42" s="563">
        <f t="shared" si="3"/>
        <v>1.4527845036319612E-2</v>
      </c>
      <c r="F42" s="563">
        <f t="shared" si="3"/>
        <v>0.23002421307506052</v>
      </c>
      <c r="G42" s="323">
        <v>0</v>
      </c>
      <c r="H42" s="573">
        <f t="shared" si="4"/>
        <v>1</v>
      </c>
      <c r="I42" s="576">
        <v>0.97055000000000002</v>
      </c>
    </row>
    <row r="43" spans="1:9" x14ac:dyDescent="0.2">
      <c r="A43" s="878"/>
      <c r="B43" s="322">
        <v>16</v>
      </c>
      <c r="C43" s="563">
        <f t="shared" si="3"/>
        <v>0.36274509803921573</v>
      </c>
      <c r="D43" s="563">
        <f t="shared" si="3"/>
        <v>0.26143790849673199</v>
      </c>
      <c r="E43" s="563">
        <f t="shared" si="3"/>
        <v>0.13071895424836599</v>
      </c>
      <c r="F43" s="563">
        <f t="shared" si="3"/>
        <v>0.24509803921568626</v>
      </c>
      <c r="G43" s="323">
        <v>0</v>
      </c>
      <c r="H43" s="573">
        <f t="shared" si="4"/>
        <v>1</v>
      </c>
      <c r="I43" s="576">
        <v>0.99419400000000002</v>
      </c>
    </row>
    <row r="44" spans="1:9" x14ac:dyDescent="0.2">
      <c r="A44" s="878"/>
      <c r="B44" s="323" t="s">
        <v>187</v>
      </c>
      <c r="C44" s="563">
        <f t="shared" si="3"/>
        <v>0.42443729903536981</v>
      </c>
      <c r="D44" s="563">
        <f t="shared" si="3"/>
        <v>0.31082529474812431</v>
      </c>
      <c r="E44" s="563">
        <f t="shared" si="3"/>
        <v>0.15969989281886388</v>
      </c>
      <c r="F44" s="563">
        <f t="shared" si="3"/>
        <v>0.10503751339764202</v>
      </c>
      <c r="G44" s="323">
        <v>0</v>
      </c>
      <c r="H44" s="573">
        <f t="shared" si="4"/>
        <v>1</v>
      </c>
      <c r="I44" s="576">
        <v>0.996444</v>
      </c>
    </row>
    <row r="45" spans="1:9" x14ac:dyDescent="0.2">
      <c r="H45" s="38"/>
    </row>
  </sheetData>
  <mergeCells count="15">
    <mergeCell ref="A25:G25"/>
    <mergeCell ref="A26:A27"/>
    <mergeCell ref="B26:B27"/>
    <mergeCell ref="C26:G26"/>
    <mergeCell ref="A28:A44"/>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dimension ref="A1:J2"/>
  <sheetViews>
    <sheetView workbookViewId="0">
      <selection sqref="A1:J1"/>
    </sheetView>
  </sheetViews>
  <sheetFormatPr defaultRowHeight="15" x14ac:dyDescent="0.25"/>
  <sheetData>
    <row r="1" spans="1:10" ht="19.149999999999999" customHeight="1" x14ac:dyDescent="0.25">
      <c r="A1" s="619" t="str">
        <f>"PV - "&amp;Prototype!A2</f>
        <v>PV - Hospital</v>
      </c>
      <c r="B1" s="619"/>
      <c r="C1" s="619"/>
      <c r="D1" s="619"/>
      <c r="E1" s="619"/>
      <c r="F1" s="619"/>
      <c r="G1" s="619"/>
      <c r="H1" s="619"/>
      <c r="I1" s="619"/>
      <c r="J1" s="619"/>
    </row>
    <row r="2" spans="1:10" x14ac:dyDescent="0.25">
      <c r="A2" t="s">
        <v>581</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sqref="A1:H1"/>
    </sheetView>
  </sheetViews>
  <sheetFormatPr defaultColWidth="8.7109375" defaultRowHeight="12.75" x14ac:dyDescent="0.2"/>
  <cols>
    <col min="1" max="1" width="21" style="3" customWidth="1"/>
    <col min="2" max="2" width="14.28515625" style="3" customWidth="1"/>
    <col min="3" max="3" width="14.5703125" style="3" customWidth="1"/>
    <col min="4" max="8" width="8.7109375" style="3"/>
    <col min="9" max="9" width="13.7109375" style="3" customWidth="1"/>
    <col min="10" max="10" width="14.42578125" style="3" customWidth="1"/>
    <col min="11" max="16384" width="8.7109375" style="3"/>
  </cols>
  <sheetData>
    <row r="1" spans="1:8" ht="15.75" x14ac:dyDescent="0.2">
      <c r="A1" s="619" t="str">
        <f>"EV Charger - "&amp;Prototype!A2</f>
        <v>EV Charger - Hospital</v>
      </c>
      <c r="B1" s="619"/>
      <c r="C1" s="619"/>
      <c r="D1" s="619"/>
      <c r="E1" s="619"/>
      <c r="F1" s="619"/>
      <c r="G1" s="619"/>
      <c r="H1" s="619"/>
    </row>
    <row r="2" spans="1:8" x14ac:dyDescent="0.2">
      <c r="A2" s="3" t="s">
        <v>581</v>
      </c>
      <c r="B2" s="50"/>
      <c r="C2" s="51"/>
      <c r="D2" s="52"/>
      <c r="E2" s="52"/>
    </row>
    <row r="3" spans="1:8" x14ac:dyDescent="0.2">
      <c r="A3" s="534"/>
      <c r="B3" s="49"/>
      <c r="C3" s="532"/>
      <c r="D3" s="53"/>
      <c r="E3" s="53"/>
    </row>
    <row r="11" spans="1:8" s="28" customFormat="1" hidden="1" x14ac:dyDescent="0.2">
      <c r="A11" s="28" t="s">
        <v>184</v>
      </c>
      <c r="E11" s="29"/>
      <c r="F11" s="30"/>
      <c r="G11" s="31"/>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E4553-2A73-4E4B-9FCB-9F59F3984FF3}">
  <dimension ref="A1:G83"/>
  <sheetViews>
    <sheetView workbookViewId="0"/>
  </sheetViews>
  <sheetFormatPr defaultRowHeight="15" x14ac:dyDescent="0.25"/>
  <cols>
    <col min="1" max="1" width="58.7109375" customWidth="1"/>
    <col min="2" max="2" width="30.85546875" customWidth="1"/>
    <col min="3" max="3" width="30.28515625" customWidth="1"/>
  </cols>
  <sheetData>
    <row r="1" spans="1:7" x14ac:dyDescent="0.25">
      <c r="A1" t="s">
        <v>582</v>
      </c>
      <c r="B1" t="s">
        <v>583</v>
      </c>
      <c r="C1" t="s">
        <v>583</v>
      </c>
      <c r="D1" s="881" t="s">
        <v>584</v>
      </c>
      <c r="E1" s="881"/>
      <c r="F1" s="881"/>
      <c r="G1" s="881"/>
    </row>
    <row r="2" spans="1:7" x14ac:dyDescent="0.25">
      <c r="A2" s="531" t="s">
        <v>585</v>
      </c>
      <c r="D2">
        <v>2013</v>
      </c>
      <c r="E2">
        <v>2016</v>
      </c>
      <c r="F2">
        <v>2019</v>
      </c>
      <c r="G2">
        <v>2025</v>
      </c>
    </row>
    <row r="3" spans="1:7" x14ac:dyDescent="0.25">
      <c r="A3" s="531" t="s">
        <v>586</v>
      </c>
    </row>
    <row r="4" spans="1:7" x14ac:dyDescent="0.25">
      <c r="A4" t="s">
        <v>587</v>
      </c>
    </row>
    <row r="5" spans="1:7" x14ac:dyDescent="0.25">
      <c r="A5" t="s">
        <v>588</v>
      </c>
    </row>
    <row r="6" spans="1:7" x14ac:dyDescent="0.25">
      <c r="A6" t="s">
        <v>589</v>
      </c>
    </row>
    <row r="7" spans="1:7" x14ac:dyDescent="0.25">
      <c r="A7" t="s">
        <v>590</v>
      </c>
    </row>
    <row r="8" spans="1:7" x14ac:dyDescent="0.25">
      <c r="A8" t="s">
        <v>591</v>
      </c>
    </row>
    <row r="9" spans="1:7" x14ac:dyDescent="0.25">
      <c r="A9" t="s">
        <v>592</v>
      </c>
    </row>
    <row r="10" spans="1:7" x14ac:dyDescent="0.25">
      <c r="A10" t="s">
        <v>593</v>
      </c>
    </row>
    <row r="11" spans="1:7" x14ac:dyDescent="0.25">
      <c r="A11" t="s">
        <v>594</v>
      </c>
    </row>
    <row r="12" spans="1:7" x14ac:dyDescent="0.25">
      <c r="A12" t="s">
        <v>595</v>
      </c>
    </row>
    <row r="13" spans="1:7" x14ac:dyDescent="0.25">
      <c r="A13" t="s">
        <v>596</v>
      </c>
    </row>
    <row r="14" spans="1:7" x14ac:dyDescent="0.25">
      <c r="A14" t="s">
        <v>597</v>
      </c>
    </row>
    <row r="15" spans="1:7" x14ac:dyDescent="0.25">
      <c r="A15" t="s">
        <v>598</v>
      </c>
    </row>
    <row r="16" spans="1:7" x14ac:dyDescent="0.25">
      <c r="A16" t="s">
        <v>599</v>
      </c>
    </row>
    <row r="17" spans="1:1" x14ac:dyDescent="0.25">
      <c r="A17" t="s">
        <v>600</v>
      </c>
    </row>
    <row r="18" spans="1:1" x14ac:dyDescent="0.25">
      <c r="A18" t="s">
        <v>601</v>
      </c>
    </row>
    <row r="19" spans="1:1" x14ac:dyDescent="0.25">
      <c r="A19" t="s">
        <v>95</v>
      </c>
    </row>
    <row r="20" spans="1:1" x14ac:dyDescent="0.25">
      <c r="A20" t="s">
        <v>602</v>
      </c>
    </row>
    <row r="21" spans="1:1" x14ac:dyDescent="0.25">
      <c r="A21" t="s">
        <v>105</v>
      </c>
    </row>
    <row r="22" spans="1:1" x14ac:dyDescent="0.25">
      <c r="A22" t="s">
        <v>603</v>
      </c>
    </row>
    <row r="23" spans="1:1" x14ac:dyDescent="0.25">
      <c r="A23" t="s">
        <v>604</v>
      </c>
    </row>
    <row r="24" spans="1:1" x14ac:dyDescent="0.25">
      <c r="A24" t="s">
        <v>605</v>
      </c>
    </row>
    <row r="25" spans="1:1" x14ac:dyDescent="0.25">
      <c r="A25" t="s">
        <v>606</v>
      </c>
    </row>
    <row r="26" spans="1:1" x14ac:dyDescent="0.25">
      <c r="A26" t="s">
        <v>108</v>
      </c>
    </row>
    <row r="27" spans="1:1" x14ac:dyDescent="0.25">
      <c r="A27" t="s">
        <v>175</v>
      </c>
    </row>
    <row r="28" spans="1:1" x14ac:dyDescent="0.25">
      <c r="A28" t="s">
        <v>607</v>
      </c>
    </row>
    <row r="29" spans="1:1" x14ac:dyDescent="0.25">
      <c r="A29" t="s">
        <v>608</v>
      </c>
    </row>
    <row r="30" spans="1:1" x14ac:dyDescent="0.25">
      <c r="A30" t="s">
        <v>114</v>
      </c>
    </row>
    <row r="31" spans="1:1" x14ac:dyDescent="0.25">
      <c r="A31" t="s">
        <v>147</v>
      </c>
    </row>
    <row r="32" spans="1:1" x14ac:dyDescent="0.25">
      <c r="A32" t="s">
        <v>154</v>
      </c>
    </row>
    <row r="33" spans="1:1" x14ac:dyDescent="0.25">
      <c r="A33" t="s">
        <v>173</v>
      </c>
    </row>
    <row r="34" spans="1:1" x14ac:dyDescent="0.25">
      <c r="A34" t="s">
        <v>119</v>
      </c>
    </row>
    <row r="35" spans="1:1" x14ac:dyDescent="0.25">
      <c r="A35" t="s">
        <v>609</v>
      </c>
    </row>
    <row r="36" spans="1:1" x14ac:dyDescent="0.25">
      <c r="A36" t="s">
        <v>127</v>
      </c>
    </row>
    <row r="37" spans="1:1" x14ac:dyDescent="0.25">
      <c r="A37" t="s">
        <v>610</v>
      </c>
    </row>
    <row r="38" spans="1:1" x14ac:dyDescent="0.25">
      <c r="A38" t="s">
        <v>131</v>
      </c>
    </row>
    <row r="39" spans="1:1" x14ac:dyDescent="0.25">
      <c r="A39" t="s">
        <v>611</v>
      </c>
    </row>
    <row r="40" spans="1:1" x14ac:dyDescent="0.25">
      <c r="A40" t="s">
        <v>612</v>
      </c>
    </row>
    <row r="41" spans="1:1" x14ac:dyDescent="0.25">
      <c r="A41" t="s">
        <v>613</v>
      </c>
    </row>
    <row r="42" spans="1:1" x14ac:dyDescent="0.25">
      <c r="A42" t="s">
        <v>136</v>
      </c>
    </row>
    <row r="43" spans="1:1" x14ac:dyDescent="0.25">
      <c r="A43" t="s">
        <v>614</v>
      </c>
    </row>
    <row r="44" spans="1:1" x14ac:dyDescent="0.25">
      <c r="A44" t="s">
        <v>615</v>
      </c>
    </row>
    <row r="45" spans="1:1" x14ac:dyDescent="0.25">
      <c r="A45" t="s">
        <v>616</v>
      </c>
    </row>
    <row r="46" spans="1:1" x14ac:dyDescent="0.25">
      <c r="A46" t="s">
        <v>617</v>
      </c>
    </row>
    <row r="47" spans="1:1" x14ac:dyDescent="0.25">
      <c r="A47" t="s">
        <v>618</v>
      </c>
    </row>
    <row r="48" spans="1:1" x14ac:dyDescent="0.25">
      <c r="A48" t="s">
        <v>619</v>
      </c>
    </row>
    <row r="49" spans="1:1" x14ac:dyDescent="0.25">
      <c r="A49" t="s">
        <v>620</v>
      </c>
    </row>
    <row r="50" spans="1:1" x14ac:dyDescent="0.25">
      <c r="A50" t="s">
        <v>90</v>
      </c>
    </row>
    <row r="51" spans="1:1" x14ac:dyDescent="0.25">
      <c r="A51" t="s">
        <v>142</v>
      </c>
    </row>
    <row r="52" spans="1:1" x14ac:dyDescent="0.25">
      <c r="A52" t="s">
        <v>621</v>
      </c>
    </row>
    <row r="53" spans="1:1" x14ac:dyDescent="0.25">
      <c r="A53" t="s">
        <v>622</v>
      </c>
    </row>
    <row r="54" spans="1:1" x14ac:dyDescent="0.25">
      <c r="A54" t="s">
        <v>623</v>
      </c>
    </row>
    <row r="55" spans="1:1" x14ac:dyDescent="0.25">
      <c r="A55" t="s">
        <v>624</v>
      </c>
    </row>
    <row r="56" spans="1:1" x14ac:dyDescent="0.25">
      <c r="A56" t="s">
        <v>625</v>
      </c>
    </row>
    <row r="57" spans="1:1" x14ac:dyDescent="0.25">
      <c r="A57" t="s">
        <v>626</v>
      </c>
    </row>
    <row r="58" spans="1:1" x14ac:dyDescent="0.25">
      <c r="A58" t="s">
        <v>627</v>
      </c>
    </row>
    <row r="59" spans="1:1" x14ac:dyDescent="0.25">
      <c r="A59" t="s">
        <v>628</v>
      </c>
    </row>
    <row r="60" spans="1:1" x14ac:dyDescent="0.25">
      <c r="A60" t="s">
        <v>629</v>
      </c>
    </row>
    <row r="61" spans="1:1" x14ac:dyDescent="0.25">
      <c r="A61" t="s">
        <v>630</v>
      </c>
    </row>
    <row r="62" spans="1:1" x14ac:dyDescent="0.25">
      <c r="A62" t="s">
        <v>631</v>
      </c>
    </row>
    <row r="63" spans="1:1" x14ac:dyDescent="0.25">
      <c r="A63" t="s">
        <v>632</v>
      </c>
    </row>
    <row r="64" spans="1:1" x14ac:dyDescent="0.25">
      <c r="A64" t="s">
        <v>633</v>
      </c>
    </row>
    <row r="65" spans="1:1" x14ac:dyDescent="0.25">
      <c r="A65" t="s">
        <v>634</v>
      </c>
    </row>
    <row r="66" spans="1:1" x14ac:dyDescent="0.25">
      <c r="A66" t="s">
        <v>635</v>
      </c>
    </row>
    <row r="67" spans="1:1" x14ac:dyDescent="0.25">
      <c r="A67" t="s">
        <v>636</v>
      </c>
    </row>
    <row r="68" spans="1:1" x14ac:dyDescent="0.25">
      <c r="A68" t="s">
        <v>637</v>
      </c>
    </row>
    <row r="69" spans="1:1" x14ac:dyDescent="0.25">
      <c r="A69" t="s">
        <v>638</v>
      </c>
    </row>
    <row r="70" spans="1:1" x14ac:dyDescent="0.25">
      <c r="A70" t="s">
        <v>639</v>
      </c>
    </row>
    <row r="71" spans="1:1" x14ac:dyDescent="0.25">
      <c r="A71" t="s">
        <v>640</v>
      </c>
    </row>
    <row r="72" spans="1:1" x14ac:dyDescent="0.25">
      <c r="A72" t="s">
        <v>641</v>
      </c>
    </row>
    <row r="73" spans="1:1" x14ac:dyDescent="0.25">
      <c r="A73" t="s">
        <v>642</v>
      </c>
    </row>
    <row r="74" spans="1:1" x14ac:dyDescent="0.25">
      <c r="A74" t="s">
        <v>643</v>
      </c>
    </row>
    <row r="75" spans="1:1" x14ac:dyDescent="0.25">
      <c r="A75" t="s">
        <v>644</v>
      </c>
    </row>
    <row r="76" spans="1:1" x14ac:dyDescent="0.25">
      <c r="A76" t="s">
        <v>645</v>
      </c>
    </row>
    <row r="77" spans="1:1" x14ac:dyDescent="0.25">
      <c r="A77" t="s">
        <v>646</v>
      </c>
    </row>
    <row r="78" spans="1:1" x14ac:dyDescent="0.25">
      <c r="A78" t="s">
        <v>647</v>
      </c>
    </row>
    <row r="79" spans="1:1" x14ac:dyDescent="0.25">
      <c r="A79" t="s">
        <v>484</v>
      </c>
    </row>
    <row r="80" spans="1:1" x14ac:dyDescent="0.25">
      <c r="A80" t="s">
        <v>648</v>
      </c>
    </row>
    <row r="81" spans="1:1" x14ac:dyDescent="0.25">
      <c r="A81" t="s">
        <v>649</v>
      </c>
    </row>
    <row r="82" spans="1:1" x14ac:dyDescent="0.25">
      <c r="A82" t="s">
        <v>650</v>
      </c>
    </row>
    <row r="83" spans="1:1" x14ac:dyDescent="0.25">
      <c r="A83" t="s">
        <v>651</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3CFD1B72A5F084B90FB7B73F4613BEC" ma:contentTypeVersion="6" ma:contentTypeDescription="Create a new document." ma:contentTypeScope="" ma:versionID="2558ad62346f4e4f9cd41e24fac43610">
  <xsd:schema xmlns:xsd="http://www.w3.org/2001/XMLSchema" xmlns:xs="http://www.w3.org/2001/XMLSchema" xmlns:p="http://schemas.microsoft.com/office/2006/metadata/properties" xmlns:ns2="f3a47e91-274c-46a0-ba98-7b939b571e5b" xmlns:ns3="ea1b199f-450f-4d51-8ad4-88f218385cd9" targetNamespace="http://schemas.microsoft.com/office/2006/metadata/properties" ma:root="true" ma:fieldsID="7070cde7c6343b0e2bf1de7a4c91f34e" ns2:_="" ns3:_="">
    <xsd:import namespace="f3a47e91-274c-46a0-ba98-7b939b571e5b"/>
    <xsd:import namespace="ea1b199f-450f-4d51-8ad4-88f218385cd9"/>
    <xsd:element name="properties">
      <xsd:complexType>
        <xsd:sequence>
          <xsd:element name="documentManagement">
            <xsd:complexType>
              <xsd:all>
                <xsd:element ref="ns2:MediaServiceSearchProperties" minOccurs="0"/>
                <xsd:element ref="ns2:MediaServiceObjectDetectorVersions" minOccurs="0"/>
                <xsd:element ref="ns3:SharedWithUsers" minOccurs="0"/>
                <xsd:element ref="ns3:SharedWithDetails"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47e91-274c-46a0-ba98-7b939b571e5b"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b199f-450f-4d51-8ad4-88f218385cd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2.xml><?xml version="1.0" encoding="utf-8"?>
<ds:datastoreItem xmlns:ds="http://schemas.openxmlformats.org/officeDocument/2006/customXml" ds:itemID="{00E06065-C4A8-4EDE-8113-ECBF3D36BF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47e91-274c-46a0-ba98-7b939b571e5b"/>
    <ds:schemaRef ds:uri="ea1b199f-450f-4d51-8ad4-88f218385c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816333-575B-4274-8A3E-18699B071E90}">
  <ds:schemaRefs>
    <ds:schemaRef ds:uri="http://purl.org/dc/dcmitype/"/>
    <ds:schemaRef ds:uri="http://schemas.openxmlformats.org/package/2006/metadata/core-properties"/>
    <ds:schemaRef ds:uri="f3a47e91-274c-46a0-ba98-7b939b571e5b"/>
    <ds:schemaRef ds:uri="http://purl.org/dc/elements/1.1/"/>
    <ds:schemaRef ds:uri="http://schemas.microsoft.com/office/2006/metadata/properties"/>
    <ds:schemaRef ds:uri="http://schemas.microsoft.com/office/2006/documentManagement/types"/>
    <ds:schemaRef ds:uri="http://purl.org/dc/terms/"/>
    <ds:schemaRef ds:uri="http://schemas.microsoft.com/office/infopath/2007/PartnerControls"/>
    <ds:schemaRef ds:uri="ea1b199f-450f-4d51-8ad4-88f218385cd9"/>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Ventilation</vt:lpstr>
      <vt:lpstr>Thermostat</vt:lpstr>
      <vt:lpstr>Water Heater</vt:lpstr>
      <vt:lpstr>Ext Lighting</vt:lpstr>
      <vt:lpstr>Interior Lights</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Dabbagh, Mohammad</cp:lastModifiedBy>
  <cp:revision/>
  <dcterms:created xsi:type="dcterms:W3CDTF">2024-06-21T17:19:36Z</dcterms:created>
  <dcterms:modified xsi:type="dcterms:W3CDTF">2025-12-24T09:34:58Z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0x01010003CFD1B72A5F084B90FB7B73F4613BEC</vt:lpwstr>
  </property>
  <property fmtid="{D5CDD505-2E9C-101B-9397-08002B2CF9AE}" pid="17" name="MediaServiceImageTags">
    <vt:lpwstr/>
  </property>
</Properties>
</file>