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8.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2497" documentId="8_{4A4F0A7E-6322-4861-8C27-BD8681243A50}" xr6:coauthVersionLast="47" xr6:coauthVersionMax="47" xr10:uidLastSave="{CF533CD5-444E-4F02-9F6C-1DD037C5DA90}"/>
  <bookViews>
    <workbookView xWindow="-120" yWindow="-16320" windowWidth="29040" windowHeight="15720" tabRatio="890" activeTab="1" xr2:uid="{EAC23EE3-0CA0-4FF8-990D-9B21A59FA3E0}"/>
  </bookViews>
  <sheets>
    <sheet name="Notes" sheetId="23" r:id="rId1"/>
    <sheet name="Prototype" sheetId="2" r:id="rId2"/>
    <sheet name="Envelope" sheetId="1" r:id="rId3"/>
    <sheet name="Zones" sheetId="13" r:id="rId4"/>
    <sheet name="HVAC System" sheetId="14" r:id="rId5"/>
    <sheet name="Thermostat" sheetId="30"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1" state="hidden" r:id="rId17"/>
  </sheets>
  <definedNames>
    <definedName name="_xlnm._FilterDatabase" localSheetId="16" hidden="1">Data!$D$1:$G$1</definedName>
    <definedName name="_xlnm._FilterDatabase" localSheetId="11" hidden="1">Schedules!$A$1:$AC$59</definedName>
    <definedName name="_xlnm._FilterDatabase" localSheetId="7" hidden="1">'Water Heater'!$A$9:$AL$88</definedName>
    <definedName name="_xlnm._FilterDatabase" localSheetId="3" hidden="1">Zones!$A$2:$AM$82</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20" l="1"/>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L3" i="20" s="1"/>
  <c r="S4" i="20"/>
  <c r="S5" i="20"/>
  <c r="S6" i="20"/>
  <c r="S7" i="20"/>
  <c r="S8" i="20"/>
  <c r="S9" i="20"/>
  <c r="S10" i="20"/>
  <c r="S11" i="20"/>
  <c r="S12" i="20"/>
  <c r="S13" i="20"/>
  <c r="S14" i="20"/>
  <c r="S15" i="20"/>
  <c r="S16" i="20"/>
  <c r="S17" i="20"/>
  <c r="S18" i="20"/>
  <c r="S3" i="20"/>
  <c r="I8" i="1"/>
  <c r="I14" i="1"/>
  <c r="I13" i="1"/>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I18" i="1"/>
  <c r="F4" i="7"/>
  <c r="F3" i="7"/>
  <c r="U3" i="20" l="1"/>
  <c r="T3" i="20"/>
  <c r="V3" i="20" s="1"/>
  <c r="U18" i="20"/>
  <c r="T18" i="20"/>
  <c r="V18" i="20" s="1"/>
  <c r="U17" i="20"/>
  <c r="T17" i="20"/>
  <c r="V17" i="20" s="1"/>
  <c r="U16" i="20"/>
  <c r="T16" i="20"/>
  <c r="V16" i="20" s="1"/>
  <c r="U15" i="20"/>
  <c r="T15" i="20"/>
  <c r="V15" i="20" s="1"/>
  <c r="U14" i="20"/>
  <c r="T14" i="20"/>
  <c r="V14" i="20" s="1"/>
  <c r="U13" i="20"/>
  <c r="T13" i="20"/>
  <c r="V13" i="20" s="1"/>
  <c r="U12" i="20"/>
  <c r="T12" i="20"/>
  <c r="V12" i="20" s="1"/>
  <c r="U11" i="20"/>
  <c r="T11" i="20"/>
  <c r="V11" i="20" s="1"/>
  <c r="U10" i="20"/>
  <c r="T10" i="20"/>
  <c r="V10" i="20" s="1"/>
  <c r="U9" i="20"/>
  <c r="T9" i="20"/>
  <c r="V9" i="20" s="1"/>
  <c r="U8" i="20"/>
  <c r="T8" i="20"/>
  <c r="V8" i="20" s="1"/>
  <c r="U7" i="20"/>
  <c r="T7" i="20"/>
  <c r="V7" i="20" s="1"/>
  <c r="U6" i="20"/>
  <c r="T6" i="20"/>
  <c r="V6" i="20" s="1"/>
  <c r="U5" i="20"/>
  <c r="T5" i="20"/>
  <c r="V5" i="20" s="1"/>
  <c r="U4" i="20"/>
  <c r="T4" i="20"/>
  <c r="V4" i="20" s="1"/>
  <c r="L18" i="20"/>
  <c r="L17" i="20"/>
  <c r="L16" i="20"/>
  <c r="L15" i="20"/>
  <c r="L14" i="20"/>
  <c r="L13" i="20"/>
  <c r="L12" i="20"/>
  <c r="L11" i="20"/>
  <c r="L10" i="20"/>
  <c r="L9" i="20"/>
  <c r="L8" i="20"/>
  <c r="L7" i="20"/>
  <c r="L6" i="20"/>
  <c r="L5" i="20"/>
  <c r="L4" i="20"/>
  <c r="A1" i="29"/>
  <c r="A1" i="28"/>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10" i="7"/>
  <c r="B107" i="7" l="1"/>
  <c r="B96" i="7"/>
  <c r="C96" i="7" s="1"/>
  <c r="F14" i="7"/>
  <c r="G14" i="7" s="1"/>
  <c r="F15" i="7"/>
  <c r="G15" i="7" s="1"/>
  <c r="F16" i="7"/>
  <c r="G16" i="7" s="1"/>
  <c r="F17" i="7"/>
  <c r="G17" i="7" s="1"/>
  <c r="F18" i="7"/>
  <c r="G18" i="7" s="1"/>
  <c r="F19" i="7"/>
  <c r="G19" i="7" s="1"/>
  <c r="F20" i="7"/>
  <c r="G20" i="7" s="1"/>
  <c r="F21" i="7"/>
  <c r="G21" i="7" s="1"/>
  <c r="F22" i="7"/>
  <c r="G22" i="7" s="1"/>
  <c r="F23" i="7"/>
  <c r="G23" i="7" s="1"/>
  <c r="F25" i="7"/>
  <c r="G25" i="7" s="1"/>
  <c r="F26" i="7"/>
  <c r="G26" i="7" s="1"/>
  <c r="F27" i="7"/>
  <c r="G27" i="7" s="1"/>
  <c r="F28" i="7"/>
  <c r="G28" i="7" s="1"/>
  <c r="F29" i="7"/>
  <c r="G29" i="7" s="1"/>
  <c r="F30" i="7"/>
  <c r="G30" i="7" s="1"/>
  <c r="F31" i="7"/>
  <c r="G31" i="7" s="1"/>
  <c r="F32" i="7"/>
  <c r="G32" i="7" s="1"/>
  <c r="F33" i="7"/>
  <c r="G33" i="7" s="1"/>
  <c r="F34" i="7"/>
  <c r="G34" i="7" s="1"/>
  <c r="F36" i="7"/>
  <c r="G36" i="7" s="1"/>
  <c r="F37" i="7"/>
  <c r="G37" i="7" s="1"/>
  <c r="F38" i="7"/>
  <c r="G38" i="7" s="1"/>
  <c r="F39" i="7"/>
  <c r="G39" i="7" s="1"/>
  <c r="F40" i="7"/>
  <c r="G40" i="7" s="1"/>
  <c r="F41" i="7"/>
  <c r="G41" i="7" s="1"/>
  <c r="F42" i="7"/>
  <c r="G42" i="7" s="1"/>
  <c r="F43" i="7"/>
  <c r="G43" i="7" s="1"/>
  <c r="F44" i="7"/>
  <c r="G44" i="7" s="1"/>
  <c r="F45" i="7"/>
  <c r="G45" i="7" s="1"/>
  <c r="F47" i="7"/>
  <c r="G47" i="7" s="1"/>
  <c r="F48" i="7"/>
  <c r="G48" i="7" s="1"/>
  <c r="F49" i="7"/>
  <c r="G49" i="7" s="1"/>
  <c r="F50" i="7"/>
  <c r="G50" i="7" s="1"/>
  <c r="F51" i="7"/>
  <c r="G51" i="7" s="1"/>
  <c r="F52" i="7"/>
  <c r="G52" i="7" s="1"/>
  <c r="F53" i="7"/>
  <c r="G53" i="7" s="1"/>
  <c r="F54" i="7"/>
  <c r="G54" i="7" s="1"/>
  <c r="F55" i="7"/>
  <c r="G55" i="7" s="1"/>
  <c r="F56" i="7"/>
  <c r="G56" i="7" s="1"/>
  <c r="F58" i="7"/>
  <c r="G58" i="7" s="1"/>
  <c r="F59" i="7"/>
  <c r="G59" i="7" s="1"/>
  <c r="F60" i="7"/>
  <c r="G60" i="7" s="1"/>
  <c r="F61" i="7"/>
  <c r="G61" i="7" s="1"/>
  <c r="F62" i="7"/>
  <c r="G62" i="7" s="1"/>
  <c r="F63" i="7"/>
  <c r="G63" i="7" s="1"/>
  <c r="F64" i="7"/>
  <c r="G64" i="7" s="1"/>
  <c r="F65" i="7"/>
  <c r="G65" i="7" s="1"/>
  <c r="F66" i="7"/>
  <c r="G66" i="7" s="1"/>
  <c r="F67" i="7"/>
  <c r="G67" i="7" s="1"/>
  <c r="F69" i="7"/>
  <c r="G69" i="7" s="1"/>
  <c r="F70" i="7"/>
  <c r="G70" i="7" s="1"/>
  <c r="F71" i="7"/>
  <c r="G71" i="7" s="1"/>
  <c r="F72" i="7"/>
  <c r="G72" i="7" s="1"/>
  <c r="F73" i="7"/>
  <c r="G73" i="7" s="1"/>
  <c r="F74" i="7"/>
  <c r="G74" i="7" s="1"/>
  <c r="F75" i="7"/>
  <c r="G75" i="7" s="1"/>
  <c r="F76" i="7"/>
  <c r="G76" i="7" s="1"/>
  <c r="F77" i="7"/>
  <c r="G77" i="7" s="1"/>
  <c r="F78" i="7"/>
  <c r="G78" i="7" s="1"/>
  <c r="F80" i="7"/>
  <c r="G80" i="7" s="1"/>
  <c r="F81" i="7"/>
  <c r="G81" i="7" s="1"/>
  <c r="F82" i="7"/>
  <c r="G82" i="7" s="1"/>
  <c r="F83" i="7"/>
  <c r="G83" i="7" s="1"/>
  <c r="F84" i="7"/>
  <c r="G84" i="7" s="1"/>
  <c r="F85" i="7"/>
  <c r="G85" i="7" s="1"/>
  <c r="F86" i="7"/>
  <c r="G86" i="7" s="1"/>
  <c r="F87" i="7"/>
  <c r="G87" i="7" s="1"/>
  <c r="F88" i="7"/>
  <c r="G88" i="7" s="1"/>
  <c r="F13" i="7"/>
  <c r="G13" i="7"/>
  <c r="F24" i="7"/>
  <c r="G24" i="7"/>
  <c r="F35" i="7"/>
  <c r="G35" i="7"/>
  <c r="F46" i="7"/>
  <c r="G46" i="7"/>
  <c r="F57" i="7"/>
  <c r="G57" i="7"/>
  <c r="F68" i="7"/>
  <c r="G68" i="7"/>
  <c r="F79" i="7"/>
  <c r="G79" i="7"/>
  <c r="A1" i="25"/>
  <c r="B22" i="9"/>
  <c r="C14" i="9" s="1"/>
  <c r="G12" i="9"/>
  <c r="D96" i="7" l="1"/>
  <c r="E96" i="7" s="1"/>
  <c r="G14" i="9" l="1"/>
  <c r="G10" i="9"/>
  <c r="C23" i="29"/>
  <c r="C29" i="29"/>
  <c r="F30" i="29"/>
  <c r="AC46" i="28"/>
  <c r="AB46" i="28"/>
  <c r="AA46" i="28"/>
  <c r="Z46" i="28"/>
  <c r="Y46" i="28"/>
  <c r="X46" i="28"/>
  <c r="W46" i="28"/>
  <c r="V46" i="28"/>
  <c r="U46" i="28"/>
  <c r="T46" i="28"/>
  <c r="S46" i="28"/>
  <c r="R46" i="28"/>
  <c r="Q46" i="28"/>
  <c r="P46" i="28"/>
  <c r="O46" i="28"/>
  <c r="N46" i="28"/>
  <c r="M46" i="28"/>
  <c r="L46" i="28"/>
  <c r="K46" i="28"/>
  <c r="J46" i="28"/>
  <c r="I46" i="28"/>
  <c r="H46" i="28"/>
  <c r="G46" i="28"/>
  <c r="F46" i="28"/>
  <c r="AC45" i="28"/>
  <c r="AB45" i="28"/>
  <c r="AA45" i="28"/>
  <c r="Z45" i="28"/>
  <c r="Y45" i="28"/>
  <c r="X45" i="28"/>
  <c r="W45" i="28"/>
  <c r="V45" i="28"/>
  <c r="U45" i="28"/>
  <c r="T45" i="28"/>
  <c r="S45" i="28"/>
  <c r="R45" i="28"/>
  <c r="Q45" i="28"/>
  <c r="P45" i="28"/>
  <c r="O45" i="28"/>
  <c r="N45" i="28"/>
  <c r="M45" i="28"/>
  <c r="L45" i="28"/>
  <c r="K45" i="28"/>
  <c r="J45" i="28"/>
  <c r="I45" i="28"/>
  <c r="H45" i="28"/>
  <c r="G45" i="28"/>
  <c r="F45" i="28"/>
  <c r="AC44" i="28"/>
  <c r="AB44" i="28"/>
  <c r="AA44" i="28"/>
  <c r="Z44" i="28"/>
  <c r="Y44" i="28"/>
  <c r="X44" i="28"/>
  <c r="W44" i="28"/>
  <c r="V44" i="28"/>
  <c r="U44" i="28"/>
  <c r="T44" i="28"/>
  <c r="S44" i="28"/>
  <c r="R44" i="28"/>
  <c r="Q44" i="28"/>
  <c r="P44" i="28"/>
  <c r="O44" i="28"/>
  <c r="N44" i="28"/>
  <c r="M44" i="28"/>
  <c r="L44" i="28"/>
  <c r="K44" i="28"/>
  <c r="J44" i="28"/>
  <c r="I44" i="28"/>
  <c r="H44" i="28"/>
  <c r="G44" i="28"/>
  <c r="F44" i="28"/>
  <c r="B32" i="28"/>
  <c r="B35" i="28"/>
  <c r="B38" i="28"/>
  <c r="B41" i="28"/>
  <c r="B44" i="28"/>
  <c r="A44" i="28"/>
  <c r="D88" i="14"/>
  <c r="A41" i="28" l="1"/>
  <c r="A38" i="28"/>
  <c r="A35" i="28"/>
  <c r="A32"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C30" i="29"/>
  <c r="A88" i="7" l="1"/>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10" i="7"/>
  <c r="F12" i="7"/>
  <c r="G12" i="7" s="1"/>
  <c r="F11" i="7"/>
  <c r="G11" i="7" s="1"/>
  <c r="F10" i="7"/>
  <c r="I77" i="18"/>
  <c r="I31" i="18"/>
  <c r="I54"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4" i="18"/>
  <c r="A5" i="18"/>
  <c r="A6" i="18"/>
  <c r="A7" i="18"/>
  <c r="A8" i="18"/>
  <c r="A9" i="18"/>
  <c r="A10" i="18"/>
  <c r="A11" i="18"/>
  <c r="A12" i="18"/>
  <c r="A13" i="18"/>
  <c r="A14" i="18"/>
  <c r="A15" i="18"/>
  <c r="A3" i="18"/>
  <c r="I11" i="18"/>
  <c r="A1" i="18"/>
  <c r="A19" i="28"/>
  <c r="A16" i="28"/>
  <c r="A13" i="28"/>
  <c r="A7" i="28"/>
  <c r="A10" i="28" s="1"/>
  <c r="A25" i="28" s="1"/>
  <c r="A1" i="30"/>
  <c r="G10" i="7" l="1"/>
  <c r="B95" i="7"/>
  <c r="A22" i="28"/>
  <c r="Z23" i="13"/>
  <c r="G81" i="13"/>
  <c r="H37" i="13"/>
  <c r="Z26" i="13"/>
  <c r="Z25" i="13"/>
  <c r="Z31" i="13"/>
  <c r="AA23" i="13"/>
  <c r="Z24" i="13"/>
  <c r="Z34" i="13"/>
  <c r="Z33" i="13"/>
  <c r="Z32" i="13"/>
  <c r="Z30" i="13"/>
  <c r="Z29" i="13"/>
  <c r="Z28" i="13"/>
  <c r="Z27" i="13"/>
  <c r="U28" i="13"/>
  <c r="U27" i="13"/>
  <c r="U25" i="13"/>
  <c r="U31" i="13"/>
  <c r="U33" i="13"/>
  <c r="U23" i="13"/>
  <c r="V23" i="13" s="1"/>
  <c r="U34" i="13"/>
  <c r="U32" i="13"/>
  <c r="U30" i="13"/>
  <c r="U29" i="13"/>
  <c r="U26" i="13"/>
  <c r="U24" i="13"/>
  <c r="P31" i="13"/>
  <c r="P34" i="13"/>
  <c r="P32" i="13"/>
  <c r="P33" i="13"/>
  <c r="P30" i="13"/>
  <c r="P23" i="13"/>
  <c r="P24" i="13"/>
  <c r="P26" i="13"/>
  <c r="P27" i="13"/>
  <c r="P29" i="13"/>
  <c r="P28" i="13"/>
  <c r="Q23" i="13"/>
  <c r="C95" i="7" l="1"/>
  <c r="D95" i="7" s="1"/>
  <c r="E95" i="7" s="1"/>
  <c r="B97" i="7"/>
  <c r="F97" i="7" s="1"/>
  <c r="F96" i="7" s="1"/>
  <c r="G96" i="7" s="1"/>
  <c r="I96" i="7" s="1"/>
  <c r="Z36" i="13"/>
  <c r="K76" i="13"/>
  <c r="K53" i="13"/>
  <c r="K30" i="13"/>
  <c r="K29" i="13"/>
  <c r="F95" i="7" l="1"/>
  <c r="M4" i="1"/>
  <c r="G95" i="7" l="1"/>
  <c r="D3" i="7"/>
  <c r="D4" i="7"/>
  <c r="C3" i="18"/>
  <c r="H3" i="18" s="1"/>
  <c r="G58" i="13"/>
  <c r="I95" i="7" l="1"/>
  <c r="E3" i="7"/>
  <c r="E4" i="7"/>
  <c r="C4" i="18" l="1"/>
  <c r="H4" i="18" s="1"/>
  <c r="C5" i="18"/>
  <c r="H5" i="18" s="1"/>
  <c r="C6" i="18"/>
  <c r="H6" i="18" s="1"/>
  <c r="C7" i="18"/>
  <c r="H7" i="18" s="1"/>
  <c r="C8" i="18"/>
  <c r="H8" i="18" s="1"/>
  <c r="C9" i="18"/>
  <c r="H9" i="18" s="1"/>
  <c r="C10" i="18"/>
  <c r="H10" i="18" s="1"/>
  <c r="C11" i="18"/>
  <c r="H11" i="18" s="1"/>
  <c r="C12" i="18"/>
  <c r="H12" i="18" s="1"/>
  <c r="C13" i="18"/>
  <c r="H13" i="18" s="1"/>
  <c r="C14" i="18"/>
  <c r="H14" i="18" s="1"/>
  <c r="C15" i="18"/>
  <c r="H15" i="18" s="1"/>
  <c r="C16" i="18"/>
  <c r="H16" i="18" s="1"/>
  <c r="C17" i="18"/>
  <c r="H17" i="18" s="1"/>
  <c r="C18" i="18"/>
  <c r="H18" i="18" s="1"/>
  <c r="C19" i="18"/>
  <c r="H19" i="18" s="1"/>
  <c r="C20" i="18"/>
  <c r="H20" i="18" s="1"/>
  <c r="C21" i="18"/>
  <c r="H21" i="18" s="1"/>
  <c r="C22" i="18"/>
  <c r="H22" i="18" s="1"/>
  <c r="C23" i="18"/>
  <c r="H23" i="18" s="1"/>
  <c r="C24" i="18"/>
  <c r="H24" i="18" s="1"/>
  <c r="C25" i="18"/>
  <c r="H25" i="18" s="1"/>
  <c r="C26" i="18"/>
  <c r="H26" i="18" s="1"/>
  <c r="C27" i="18"/>
  <c r="H27" i="18" s="1"/>
  <c r="C28" i="18"/>
  <c r="C29" i="18"/>
  <c r="H29" i="18" s="1"/>
  <c r="C30" i="18"/>
  <c r="H30" i="18" s="1"/>
  <c r="C31" i="18"/>
  <c r="H31" i="18" s="1"/>
  <c r="C32" i="18"/>
  <c r="H32" i="18" s="1"/>
  <c r="C33" i="18"/>
  <c r="H33" i="18" s="1"/>
  <c r="C34" i="18"/>
  <c r="H34" i="18" s="1"/>
  <c r="C36" i="18"/>
  <c r="H36" i="18" s="1"/>
  <c r="C37" i="18"/>
  <c r="H37" i="18" s="1"/>
  <c r="C38" i="18"/>
  <c r="H38" i="18" s="1"/>
  <c r="C39" i="18"/>
  <c r="H39" i="18" s="1"/>
  <c r="C40" i="18"/>
  <c r="H40" i="18" s="1"/>
  <c r="C41" i="18"/>
  <c r="H41" i="18" s="1"/>
  <c r="C42" i="18"/>
  <c r="H42" i="18" s="1"/>
  <c r="C43" i="18"/>
  <c r="H43" i="18" s="1"/>
  <c r="C44" i="18"/>
  <c r="H44" i="18" s="1"/>
  <c r="C45" i="18"/>
  <c r="H45" i="18" s="1"/>
  <c r="C46" i="18"/>
  <c r="H46" i="18" s="1"/>
  <c r="C47" i="18"/>
  <c r="H47" i="18" s="1"/>
  <c r="C48" i="18"/>
  <c r="H48" i="18" s="1"/>
  <c r="C49" i="18"/>
  <c r="H49" i="18" s="1"/>
  <c r="C50" i="18"/>
  <c r="H50" i="18" s="1"/>
  <c r="C51" i="18"/>
  <c r="H51" i="18" s="1"/>
  <c r="C52" i="18"/>
  <c r="H52" i="18" s="1"/>
  <c r="C53" i="18"/>
  <c r="H53" i="18" s="1"/>
  <c r="C54" i="18"/>
  <c r="H54" i="18" s="1"/>
  <c r="C55" i="18"/>
  <c r="H55" i="18" s="1"/>
  <c r="C56" i="18"/>
  <c r="H56" i="18" s="1"/>
  <c r="C57" i="18"/>
  <c r="H57" i="18" s="1"/>
  <c r="C59" i="18"/>
  <c r="H59" i="18" s="1"/>
  <c r="C60" i="18"/>
  <c r="H60" i="18" s="1"/>
  <c r="C61" i="18"/>
  <c r="H61" i="18" s="1"/>
  <c r="C62" i="18"/>
  <c r="H62" i="18" s="1"/>
  <c r="C63" i="18"/>
  <c r="H63" i="18" s="1"/>
  <c r="C64" i="18"/>
  <c r="H64" i="18" s="1"/>
  <c r="C65" i="18"/>
  <c r="H65" i="18" s="1"/>
  <c r="C66" i="18"/>
  <c r="H66" i="18" s="1"/>
  <c r="C67" i="18"/>
  <c r="H67" i="18" s="1"/>
  <c r="C68" i="18"/>
  <c r="H68" i="18" s="1"/>
  <c r="C69" i="18"/>
  <c r="H69" i="18" s="1"/>
  <c r="C70" i="18"/>
  <c r="H70" i="18" s="1"/>
  <c r="C71" i="18"/>
  <c r="H71" i="18" s="1"/>
  <c r="C72" i="18"/>
  <c r="H72" i="18" s="1"/>
  <c r="C73" i="18"/>
  <c r="H73" i="18" s="1"/>
  <c r="C74" i="18"/>
  <c r="H74" i="18" s="1"/>
  <c r="C75" i="18"/>
  <c r="H75" i="18" s="1"/>
  <c r="C76" i="18"/>
  <c r="H76" i="18" s="1"/>
  <c r="C77" i="18"/>
  <c r="H77" i="18" s="1"/>
  <c r="C78" i="18"/>
  <c r="H78" i="18" s="1"/>
  <c r="C79" i="18"/>
  <c r="H79" i="18" s="1"/>
  <c r="C80" i="18"/>
  <c r="H80" i="18" s="1"/>
  <c r="J80" i="13"/>
  <c r="B80" i="18" s="1"/>
  <c r="G80" i="18" s="1"/>
  <c r="J80" i="18" s="1"/>
  <c r="H80" i="13"/>
  <c r="J79" i="13"/>
  <c r="B79" i="18" s="1"/>
  <c r="G79" i="18" s="1"/>
  <c r="J79" i="18" s="1"/>
  <c r="I79" i="13"/>
  <c r="H79" i="13"/>
  <c r="H55" i="13"/>
  <c r="J55" i="13"/>
  <c r="B55" i="18" s="1"/>
  <c r="G55" i="18" s="1"/>
  <c r="J34" i="13"/>
  <c r="B34" i="18" s="1"/>
  <c r="G34" i="18" s="1"/>
  <c r="H34" i="13"/>
  <c r="K17" i="13"/>
  <c r="J17" i="13" s="1"/>
  <c r="B17" i="18" s="1"/>
  <c r="G17" i="18" s="1"/>
  <c r="K18" i="13"/>
  <c r="J18" i="13" s="1"/>
  <c r="B18" i="18" s="1"/>
  <c r="G18" i="18" s="1"/>
  <c r="K19" i="13"/>
  <c r="J19" i="13" s="1"/>
  <c r="B19" i="18" s="1"/>
  <c r="G19" i="18" s="1"/>
  <c r="J19" i="18" s="1"/>
  <c r="K20" i="13"/>
  <c r="J20" i="13" s="1"/>
  <c r="B20" i="18" s="1"/>
  <c r="G20" i="18" s="1"/>
  <c r="K21" i="13"/>
  <c r="J21" i="13" s="1"/>
  <c r="B21" i="18" s="1"/>
  <c r="G21" i="18" s="1"/>
  <c r="K16" i="13"/>
  <c r="J16" i="13" s="1"/>
  <c r="B16" i="18" s="1"/>
  <c r="G16" i="18" s="1"/>
  <c r="J31" i="13"/>
  <c r="B31" i="18" s="1"/>
  <c r="G31" i="18" s="1"/>
  <c r="H31" i="13"/>
  <c r="J30" i="13"/>
  <c r="B30" i="18" s="1"/>
  <c r="G30" i="18" s="1"/>
  <c r="H30" i="13"/>
  <c r="J29" i="13"/>
  <c r="B29" i="18" s="1"/>
  <c r="G29" i="18" s="1"/>
  <c r="H29" i="13"/>
  <c r="J28" i="13"/>
  <c r="B28" i="18" s="1"/>
  <c r="G28" i="18" s="1"/>
  <c r="H28" i="13"/>
  <c r="J27" i="13"/>
  <c r="B27" i="18" s="1"/>
  <c r="G27" i="18" s="1"/>
  <c r="H27" i="13"/>
  <c r="J26" i="13"/>
  <c r="B26" i="18" s="1"/>
  <c r="G26" i="18" s="1"/>
  <c r="H26" i="13"/>
  <c r="J25" i="13"/>
  <c r="B25" i="18" s="1"/>
  <c r="G25" i="18" s="1"/>
  <c r="H25" i="13"/>
  <c r="J24" i="13"/>
  <c r="B24" i="18" s="1"/>
  <c r="G24" i="18" s="1"/>
  <c r="H24" i="13"/>
  <c r="J23" i="13"/>
  <c r="B23" i="18" s="1"/>
  <c r="G23" i="18" s="1"/>
  <c r="H23" i="13"/>
  <c r="J22" i="13"/>
  <c r="B22" i="18" s="1"/>
  <c r="G22" i="18" s="1"/>
  <c r="J22" i="18" s="1"/>
  <c r="H22" i="13"/>
  <c r="H21" i="13"/>
  <c r="H20" i="13"/>
  <c r="H19" i="13"/>
  <c r="H18" i="13"/>
  <c r="H17" i="13"/>
  <c r="H16" i="13"/>
  <c r="J59" i="13"/>
  <c r="B59" i="18" s="1"/>
  <c r="G59" i="18" s="1"/>
  <c r="J68" i="13"/>
  <c r="B68" i="18" s="1"/>
  <c r="G68" i="18" s="1"/>
  <c r="J69" i="13"/>
  <c r="B69" i="18" s="1"/>
  <c r="G69" i="18" s="1"/>
  <c r="J70" i="13"/>
  <c r="B70" i="18" s="1"/>
  <c r="G70" i="18" s="1"/>
  <c r="J71" i="13"/>
  <c r="B71" i="18" s="1"/>
  <c r="G71" i="18" s="1"/>
  <c r="J72" i="13"/>
  <c r="B72" i="18" s="1"/>
  <c r="G72" i="18" s="1"/>
  <c r="J73" i="13"/>
  <c r="B73" i="18" s="1"/>
  <c r="G73" i="18" s="1"/>
  <c r="J74" i="13"/>
  <c r="B74" i="18" s="1"/>
  <c r="G74" i="18" s="1"/>
  <c r="J75" i="13"/>
  <c r="B75" i="18" s="1"/>
  <c r="G75" i="18" s="1"/>
  <c r="J76" i="13"/>
  <c r="B76" i="18" s="1"/>
  <c r="G76" i="18" s="1"/>
  <c r="J77" i="13"/>
  <c r="B77" i="18" s="1"/>
  <c r="G77" i="18" s="1"/>
  <c r="J78" i="13"/>
  <c r="B78" i="18" s="1"/>
  <c r="G78" i="18" s="1"/>
  <c r="J47" i="13"/>
  <c r="B47" i="18" s="1"/>
  <c r="G47" i="18" s="1"/>
  <c r="J48" i="13"/>
  <c r="B48" i="18" s="1"/>
  <c r="G48" i="18" s="1"/>
  <c r="J49" i="13"/>
  <c r="B49" i="18" s="1"/>
  <c r="G49" i="18" s="1"/>
  <c r="J50" i="13"/>
  <c r="B50" i="18" s="1"/>
  <c r="G50" i="18" s="1"/>
  <c r="J51" i="13"/>
  <c r="B51" i="18" s="1"/>
  <c r="G51" i="18" s="1"/>
  <c r="J52" i="13"/>
  <c r="B52" i="18" s="1"/>
  <c r="G52" i="18" s="1"/>
  <c r="J53" i="13"/>
  <c r="B53" i="18" s="1"/>
  <c r="G53" i="18" s="1"/>
  <c r="J54" i="13"/>
  <c r="B54" i="18" s="1"/>
  <c r="G54" i="18" s="1"/>
  <c r="J56" i="13"/>
  <c r="B56" i="18" s="1"/>
  <c r="G56" i="18" s="1"/>
  <c r="J57" i="13"/>
  <c r="B57" i="18" s="1"/>
  <c r="G57" i="18" s="1"/>
  <c r="J45" i="13"/>
  <c r="B45" i="18" s="1"/>
  <c r="G45" i="18" s="1"/>
  <c r="J46" i="13"/>
  <c r="B46" i="18" s="1"/>
  <c r="G46" i="18" s="1"/>
  <c r="J32" i="13"/>
  <c r="B32" i="18" s="1"/>
  <c r="G32" i="18" s="1"/>
  <c r="J32" i="18" s="1"/>
  <c r="J33" i="13"/>
  <c r="B33" i="18" s="1"/>
  <c r="G33" i="18" s="1"/>
  <c r="J33" i="18" s="1"/>
  <c r="J6" i="13"/>
  <c r="B6" i="18" s="1"/>
  <c r="G6" i="18" s="1"/>
  <c r="J7" i="13"/>
  <c r="B7" i="18" s="1"/>
  <c r="G7" i="18" s="1"/>
  <c r="J20" i="18" l="1"/>
  <c r="J21" i="18"/>
  <c r="J16" i="18"/>
  <c r="J18" i="18"/>
  <c r="J17" i="18"/>
  <c r="J55" i="18"/>
  <c r="J57" i="18"/>
  <c r="J56" i="18"/>
  <c r="J34" i="18"/>
  <c r="J78" i="18"/>
  <c r="J53" i="18"/>
  <c r="J51" i="18"/>
  <c r="J31" i="18"/>
  <c r="H28" i="18"/>
  <c r="I28" i="18"/>
  <c r="J50" i="18"/>
  <c r="J49" i="18"/>
  <c r="J77" i="18"/>
  <c r="J73" i="18"/>
  <c r="J7" i="18"/>
  <c r="J71" i="18"/>
  <c r="J69" i="18"/>
  <c r="J54" i="18"/>
  <c r="J23" i="18"/>
  <c r="J25" i="18"/>
  <c r="J74" i="18"/>
  <c r="J6" i="18"/>
  <c r="J46" i="18"/>
  <c r="J68" i="18"/>
  <c r="J30" i="18"/>
  <c r="J52" i="18"/>
  <c r="J48" i="18"/>
  <c r="J47" i="18"/>
  <c r="J24" i="18"/>
  <c r="J76" i="18"/>
  <c r="J75" i="18"/>
  <c r="J26" i="18"/>
  <c r="J72" i="18"/>
  <c r="J27" i="18"/>
  <c r="J70" i="18"/>
  <c r="J45" i="18"/>
  <c r="J59" i="18"/>
  <c r="J29" i="18"/>
  <c r="J8" i="1"/>
  <c r="K8" i="1"/>
  <c r="L8" i="1"/>
  <c r="M8" i="1"/>
  <c r="N8" i="1"/>
  <c r="O8" i="1"/>
  <c r="P8" i="1"/>
  <c r="Q8" i="1"/>
  <c r="R8" i="1"/>
  <c r="S8" i="1"/>
  <c r="T8" i="1"/>
  <c r="U8" i="1"/>
  <c r="V8" i="1"/>
  <c r="W8" i="1"/>
  <c r="X8" i="1"/>
  <c r="X14" i="1"/>
  <c r="W14" i="1"/>
  <c r="V14" i="1"/>
  <c r="U14" i="1"/>
  <c r="T14" i="1"/>
  <c r="S14" i="1"/>
  <c r="R14" i="1"/>
  <c r="Q14" i="1"/>
  <c r="P14" i="1"/>
  <c r="O14" i="1"/>
  <c r="N14" i="1"/>
  <c r="M14" i="1"/>
  <c r="L14" i="1"/>
  <c r="K14" i="1"/>
  <c r="J14" i="1"/>
  <c r="X13" i="1"/>
  <c r="W13" i="1"/>
  <c r="V13" i="1"/>
  <c r="U13" i="1"/>
  <c r="T13" i="1"/>
  <c r="S13" i="1"/>
  <c r="R13" i="1"/>
  <c r="Q13" i="1"/>
  <c r="P13" i="1"/>
  <c r="O13" i="1"/>
  <c r="N13" i="1"/>
  <c r="M13" i="1"/>
  <c r="L13" i="1"/>
  <c r="K13" i="1"/>
  <c r="J13" i="1"/>
  <c r="J28" i="18" l="1"/>
  <c r="X4" i="1"/>
  <c r="W4" i="1"/>
  <c r="V4" i="1"/>
  <c r="T4" i="1"/>
  <c r="U4" i="1"/>
  <c r="S4" i="1"/>
  <c r="N4" i="1"/>
  <c r="O4" i="1"/>
  <c r="P4" i="1"/>
  <c r="Q4" i="1"/>
  <c r="R4" i="1"/>
  <c r="L4" i="1"/>
  <c r="K4" i="1"/>
  <c r="J4" i="1"/>
  <c r="I4" i="1"/>
  <c r="A1" i="13"/>
  <c r="AA32" i="13" l="1"/>
  <c r="AA25" i="13"/>
  <c r="AA26" i="13"/>
  <c r="AA27" i="13"/>
  <c r="AA28" i="13"/>
  <c r="V25" i="13"/>
  <c r="V24" i="13"/>
  <c r="V33" i="13"/>
  <c r="AA33" i="13"/>
  <c r="Q34" i="13"/>
  <c r="AA24" i="13"/>
  <c r="AA31" i="13"/>
  <c r="AA30" i="13"/>
  <c r="AA29" i="13"/>
  <c r="AA34" i="13"/>
  <c r="Q30" i="13"/>
  <c r="V31" i="13"/>
  <c r="V30" i="13"/>
  <c r="Q24" i="13"/>
  <c r="Q26" i="13"/>
  <c r="Q27" i="13"/>
  <c r="V27" i="13"/>
  <c r="V26" i="13"/>
  <c r="Q28" i="13"/>
  <c r="V34" i="13"/>
  <c r="V32" i="13"/>
  <c r="V28" i="13"/>
  <c r="V29" i="13"/>
  <c r="Q32" i="13"/>
  <c r="Q33" i="13"/>
  <c r="Q29" i="13"/>
  <c r="Q31" i="13"/>
  <c r="H71" i="13" l="1"/>
  <c r="H72" i="13"/>
  <c r="H73" i="13"/>
  <c r="H74" i="13"/>
  <c r="H75" i="13"/>
  <c r="H76" i="13"/>
  <c r="H77" i="13"/>
  <c r="H78" i="13"/>
  <c r="H10" i="13"/>
  <c r="H11" i="13"/>
  <c r="H12" i="13"/>
  <c r="H13" i="13"/>
  <c r="H14" i="13"/>
  <c r="H15" i="13"/>
  <c r="H32" i="13"/>
  <c r="H33" i="13"/>
  <c r="H36" i="13"/>
  <c r="H38" i="13"/>
  <c r="H39" i="13"/>
  <c r="H40" i="13"/>
  <c r="H41" i="13"/>
  <c r="H42" i="13"/>
  <c r="H43" i="13"/>
  <c r="H44" i="13"/>
  <c r="H45" i="13"/>
  <c r="H46" i="13"/>
  <c r="H47" i="13"/>
  <c r="H48" i="13"/>
  <c r="H49" i="13"/>
  <c r="H50" i="13"/>
  <c r="H51" i="13"/>
  <c r="H52" i="13"/>
  <c r="H53" i="13"/>
  <c r="H54" i="13"/>
  <c r="H56" i="13"/>
  <c r="H57" i="13"/>
  <c r="H59" i="13"/>
  <c r="H60" i="13"/>
  <c r="H61" i="13"/>
  <c r="H62" i="13"/>
  <c r="H63" i="13"/>
  <c r="H64" i="13"/>
  <c r="H65" i="13"/>
  <c r="H66" i="13"/>
  <c r="H67" i="13"/>
  <c r="H68" i="13"/>
  <c r="H69" i="13"/>
  <c r="H70" i="13"/>
  <c r="C58" i="18"/>
  <c r="H58" i="18" s="1"/>
  <c r="J58" i="13" l="1"/>
  <c r="B58" i="18" s="1"/>
  <c r="G58" i="18" s="1"/>
  <c r="J58" i="18" s="1"/>
  <c r="G35" i="13"/>
  <c r="H58" i="13"/>
  <c r="A1" i="14"/>
  <c r="J8" i="13"/>
  <c r="B8" i="18" s="1"/>
  <c r="G8" i="18" s="1"/>
  <c r="J8" i="18" s="1"/>
  <c r="J10" i="13"/>
  <c r="B10" i="18" s="1"/>
  <c r="G10" i="18" s="1"/>
  <c r="J10" i="18" s="1"/>
  <c r="J11" i="13"/>
  <c r="B11" i="18" s="1"/>
  <c r="G11" i="18" s="1"/>
  <c r="J11" i="18" s="1"/>
  <c r="J12" i="13"/>
  <c r="B12" i="18" s="1"/>
  <c r="G12" i="18" s="1"/>
  <c r="J12" i="18" s="1"/>
  <c r="J13" i="13"/>
  <c r="B13" i="18" s="1"/>
  <c r="G13" i="18" s="1"/>
  <c r="J13" i="18" s="1"/>
  <c r="J36" i="13"/>
  <c r="B36" i="18" s="1"/>
  <c r="G36" i="18" s="1"/>
  <c r="J36" i="18" s="1"/>
  <c r="C81" i="18" l="1"/>
  <c r="H81" i="18" s="1"/>
  <c r="H35" i="13"/>
  <c r="C35" i="18"/>
  <c r="H35" i="18" s="1"/>
  <c r="U35" i="13"/>
  <c r="V35" i="13" s="1"/>
  <c r="J81" i="13"/>
  <c r="B81" i="18" s="1"/>
  <c r="G81" i="18" s="1"/>
  <c r="J35" i="13"/>
  <c r="B35" i="18" s="1"/>
  <c r="G35" i="18" s="1"/>
  <c r="H81" i="13"/>
  <c r="J35" i="18" l="1"/>
  <c r="J81" i="18"/>
  <c r="A1" i="22"/>
  <c r="A1" i="27"/>
  <c r="A1" i="21"/>
  <c r="A1" i="9"/>
  <c r="A1" i="1"/>
  <c r="H4" i="21" l="1"/>
  <c r="H5" i="21"/>
  <c r="H6" i="21"/>
  <c r="H7" i="21"/>
  <c r="H8" i="21"/>
  <c r="H9" i="21"/>
  <c r="H10" i="21"/>
  <c r="H11" i="21"/>
  <c r="H12" i="21"/>
  <c r="H13" i="21"/>
  <c r="H14" i="21"/>
  <c r="H15" i="21"/>
  <c r="H16" i="21"/>
  <c r="H17" i="21"/>
  <c r="H18" i="21"/>
  <c r="H19" i="21"/>
  <c r="K67" i="13" l="1"/>
  <c r="J67" i="13" s="1"/>
  <c r="B67" i="18" s="1"/>
  <c r="G67" i="18" s="1"/>
  <c r="J67" i="18" s="1"/>
  <c r="K66" i="13"/>
  <c r="J66" i="13" s="1"/>
  <c r="B66" i="18" s="1"/>
  <c r="G66" i="18" s="1"/>
  <c r="J66" i="18" s="1"/>
  <c r="K65" i="13"/>
  <c r="J65" i="13" s="1"/>
  <c r="B65" i="18" s="1"/>
  <c r="G65" i="18" s="1"/>
  <c r="J65" i="18" s="1"/>
  <c r="K64" i="13"/>
  <c r="J64" i="13" s="1"/>
  <c r="B64" i="18" s="1"/>
  <c r="G64" i="18" s="1"/>
  <c r="J64" i="18" s="1"/>
  <c r="K63" i="13"/>
  <c r="J63" i="13" s="1"/>
  <c r="B63" i="18" s="1"/>
  <c r="G63" i="18" s="1"/>
  <c r="J63" i="18" s="1"/>
  <c r="K62" i="13"/>
  <c r="J62" i="13" s="1"/>
  <c r="B62" i="18" s="1"/>
  <c r="G62" i="18" s="1"/>
  <c r="J62" i="18" s="1"/>
  <c r="K61" i="13"/>
  <c r="J61" i="13" s="1"/>
  <c r="B61" i="18" s="1"/>
  <c r="G61" i="18" s="1"/>
  <c r="J61" i="18" s="1"/>
  <c r="K60" i="13"/>
  <c r="J60" i="13" s="1"/>
  <c r="B60" i="18" s="1"/>
  <c r="G60" i="18" s="1"/>
  <c r="J60" i="18" s="1"/>
  <c r="K44" i="13"/>
  <c r="J44" i="13" s="1"/>
  <c r="B44" i="18" s="1"/>
  <c r="G44" i="18" s="1"/>
  <c r="J44" i="18" s="1"/>
  <c r="K43" i="13"/>
  <c r="J43" i="13" s="1"/>
  <c r="B43" i="18" s="1"/>
  <c r="G43" i="18" s="1"/>
  <c r="J43" i="18" s="1"/>
  <c r="K42" i="13"/>
  <c r="J42" i="13" s="1"/>
  <c r="B42" i="18" s="1"/>
  <c r="G42" i="18" s="1"/>
  <c r="J42" i="18" s="1"/>
  <c r="K41" i="13"/>
  <c r="J41" i="13" s="1"/>
  <c r="B41" i="18" s="1"/>
  <c r="G41" i="18" s="1"/>
  <c r="J41" i="18" s="1"/>
  <c r="K40" i="13"/>
  <c r="J40" i="13" s="1"/>
  <c r="B40" i="18" s="1"/>
  <c r="G40" i="18" s="1"/>
  <c r="J40" i="18" s="1"/>
  <c r="K39" i="13"/>
  <c r="J39" i="13" s="1"/>
  <c r="B39" i="18" s="1"/>
  <c r="G39" i="18" s="1"/>
  <c r="J39" i="18" s="1"/>
  <c r="K38" i="13"/>
  <c r="J38" i="13" s="1"/>
  <c r="B38" i="18" s="1"/>
  <c r="G38" i="18" s="1"/>
  <c r="J38" i="18" s="1"/>
  <c r="K37" i="13"/>
  <c r="J37" i="13" s="1"/>
  <c r="B37" i="18" s="1"/>
  <c r="G37" i="18" s="1"/>
  <c r="J37" i="18" s="1"/>
  <c r="K5" i="13"/>
  <c r="J5" i="13" s="1"/>
  <c r="B5" i="18" s="1"/>
  <c r="G5" i="18" s="1"/>
  <c r="J5" i="18" s="1"/>
  <c r="K4" i="13"/>
  <c r="J4" i="13" s="1"/>
  <c r="B4" i="18" s="1"/>
  <c r="G4" i="18" s="1"/>
  <c r="J4" i="18" s="1"/>
  <c r="I38" i="13"/>
  <c r="I39" i="13" l="1"/>
  <c r="I40" i="13" s="1"/>
  <c r="I41" i="13" s="1"/>
  <c r="I42" i="13" s="1"/>
  <c r="I43" i="13" s="1"/>
  <c r="I44" i="13" s="1"/>
  <c r="I45" i="13" s="1"/>
  <c r="I46" i="13" s="1"/>
  <c r="I47" i="13" s="1"/>
  <c r="I48" i="13" s="1"/>
  <c r="I49" i="13" s="1"/>
  <c r="I50" i="13" s="1"/>
  <c r="I51" i="13" s="1"/>
  <c r="I52" i="13" s="1"/>
  <c r="I53" i="13" s="1"/>
  <c r="I54" i="13" s="1"/>
  <c r="I55" i="13" s="1"/>
  <c r="I56" i="13" s="1"/>
  <c r="J14" i="13"/>
  <c r="B14" i="18" s="1"/>
  <c r="G14" i="18" s="1"/>
  <c r="J14" i="18" s="1"/>
  <c r="G82" i="13" l="1"/>
  <c r="B23" i="9" s="1"/>
  <c r="J15" i="13"/>
  <c r="B15" i="18" s="1"/>
  <c r="G15" i="18" s="1"/>
  <c r="J15" i="18" s="1"/>
  <c r="N3" i="20"/>
  <c r="H4" i="13"/>
  <c r="H5" i="13"/>
  <c r="H6" i="13"/>
  <c r="H7" i="13"/>
  <c r="H8" i="13"/>
  <c r="J9" i="13"/>
  <c r="B9" i="18" s="1"/>
  <c r="G9" i="18" s="1"/>
  <c r="J9" i="18" s="1"/>
  <c r="C11" i="9" l="1"/>
  <c r="G11" i="9" s="1"/>
  <c r="C15" i="9"/>
  <c r="G15" i="9" s="1"/>
  <c r="G16" i="9" s="1"/>
  <c r="A3" i="9" s="1"/>
  <c r="C13" i="9"/>
  <c r="G13" i="9" s="1"/>
  <c r="G17" i="9" s="1"/>
  <c r="B3" i="9" s="1"/>
  <c r="F80" i="13"/>
  <c r="F3" i="13"/>
  <c r="F19" i="13"/>
  <c r="F55" i="13"/>
  <c r="F76" i="13"/>
  <c r="F65" i="13"/>
  <c r="F30" i="13"/>
  <c r="F7" i="13"/>
  <c r="F51" i="13"/>
  <c r="F62" i="13"/>
  <c r="F52" i="13"/>
  <c r="F74" i="13"/>
  <c r="F9" i="13"/>
  <c r="F38" i="13"/>
  <c r="F27" i="13"/>
  <c r="F60" i="13"/>
  <c r="F49" i="13"/>
  <c r="F50" i="13"/>
  <c r="F73" i="13"/>
  <c r="F56" i="13"/>
  <c r="F47" i="13"/>
  <c r="F48" i="13"/>
  <c r="F46" i="13"/>
  <c r="F24" i="13"/>
  <c r="F6" i="13"/>
  <c r="F70" i="13"/>
  <c r="F22" i="13"/>
  <c r="F61" i="13"/>
  <c r="F69" i="13"/>
  <c r="F44" i="13"/>
  <c r="F5" i="13"/>
  <c r="F36" i="13"/>
  <c r="F13" i="13"/>
  <c r="F21" i="13"/>
  <c r="F20" i="13"/>
  <c r="F31" i="13"/>
  <c r="F32" i="13"/>
  <c r="F78" i="13"/>
  <c r="F29" i="13"/>
  <c r="F41" i="13"/>
  <c r="F75" i="13"/>
  <c r="F28" i="13"/>
  <c r="F16" i="13"/>
  <c r="F8" i="13"/>
  <c r="F26" i="13"/>
  <c r="F39" i="13"/>
  <c r="F59" i="13"/>
  <c r="F14" i="13"/>
  <c r="F45" i="13"/>
  <c r="F4" i="13"/>
  <c r="F57" i="13"/>
  <c r="F11" i="13"/>
  <c r="F79" i="13"/>
  <c r="F42" i="13"/>
  <c r="F54" i="13"/>
  <c r="F53" i="13"/>
  <c r="F17" i="13"/>
  <c r="F64" i="13"/>
  <c r="F40" i="13"/>
  <c r="F72" i="13"/>
  <c r="F25" i="13"/>
  <c r="F63" i="13"/>
  <c r="F15" i="13"/>
  <c r="F71" i="13"/>
  <c r="F66" i="13"/>
  <c r="F10" i="13"/>
  <c r="F33" i="13"/>
  <c r="F23" i="13"/>
  <c r="F68" i="13"/>
  <c r="F37" i="13"/>
  <c r="F12" i="13"/>
  <c r="F67" i="13"/>
  <c r="F43" i="13"/>
  <c r="F34" i="13"/>
  <c r="F18" i="13"/>
  <c r="F77" i="13"/>
  <c r="H3" i="13"/>
  <c r="J3" i="13"/>
  <c r="B3" i="18" s="1"/>
  <c r="G3" i="18" s="1"/>
  <c r="J3" i="18" s="1"/>
  <c r="H9" i="13"/>
  <c r="C3" i="9" l="1"/>
  <c r="G18" i="9"/>
  <c r="F82" i="13"/>
</calcChain>
</file>

<file path=xl/sharedStrings.xml><?xml version="1.0" encoding="utf-8"?>
<sst xmlns="http://schemas.openxmlformats.org/spreadsheetml/2006/main" count="1457" uniqueCount="731">
  <si>
    <t>Data Sources</t>
  </si>
  <si>
    <t>Dataset</t>
  </si>
  <si>
    <t>Dodge 2023</t>
  </si>
  <si>
    <t>CEUS 2022</t>
  </si>
  <si>
    <t>CBECS 2018</t>
  </si>
  <si>
    <t>ComStock 2023</t>
  </si>
  <si>
    <t>Prototype</t>
  </si>
  <si>
    <r>
      <t>CEC prototype</t>
    </r>
    <r>
      <rPr>
        <sz val="10"/>
        <rFont val="Arial"/>
        <family val="2"/>
      </rPr>
      <t xml:space="preserve"> (CBECC 2022.3.1)</t>
    </r>
  </si>
  <si>
    <t>https://bees.noresco.com/software2022.html</t>
  </si>
  <si>
    <t>PNNL prototype (90.1-2022)</t>
  </si>
  <si>
    <t>https://www.energycodes.gov/prototype-building-models#Commercial</t>
  </si>
  <si>
    <t>DEER prototype (June 2023)</t>
  </si>
  <si>
    <t>https://github.com/sound-data/DEER-Prototypes-EnergyPlus</t>
  </si>
  <si>
    <t>ORNL 2019 Large Office prototype zoning</t>
  </si>
  <si>
    <t>https://www.sciencedirect.com/science/article/abs/pii/S0306261920312186</t>
  </si>
  <si>
    <t>https://publications.ibpsa.org/proceedings/simbuild/2020/papers/simbuild2020_C064.pdf</t>
  </si>
  <si>
    <t>Massachusetts Large Office prototype</t>
  </si>
  <si>
    <t>https://www.mass.gov/doc/large-office-prototype-basis-of-design-report/download</t>
  </si>
  <si>
    <t xml:space="preserve"> </t>
  </si>
  <si>
    <t>Codes</t>
  </si>
  <si>
    <t>Title 24, part 6, referred to as T24 (1984, 2001, 2008, 2010, 2013, 2022, 2025)</t>
  </si>
  <si>
    <t>ASHRAE 90.1 (2022)</t>
  </si>
  <si>
    <t>CFR Title 10 (2010, 2024)</t>
  </si>
  <si>
    <t>Others</t>
  </si>
  <si>
    <t>ACM (2022)</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</si>
  <si>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</si>
  <si>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</si>
  <si>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</si>
  <si>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</si>
  <si>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</si>
  <si>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</si>
  <si>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2010</t>
  </si>
  <si>
    <t>https://www.pnnl.gov/main/publications/external/technical_reports/PNNL-20405.pdf</t>
  </si>
  <si>
    <t>Air leakage Memo, NORESCO, 2025</t>
  </si>
  <si>
    <t>Infiltration_rate_report_14May2025-Short-Version.docx</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</si>
  <si>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</si>
  <si>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</si>
  <si>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Construction Rate</t>
  </si>
  <si>
    <t>Total Floor area (thousands of sf)</t>
  </si>
  <si>
    <t xml:space="preserve"> Pre-1978</t>
  </si>
  <si>
    <t>1978-1997</t>
  </si>
  <si>
    <t>1998-2007</t>
  </si>
  <si>
    <t>2008-2018</t>
  </si>
  <si>
    <t>2019-2022</t>
  </si>
  <si>
    <t>New Construction (2019+)</t>
  </si>
  <si>
    <t>Source: Dodge 2023 data ( NEW large office built after 1967)</t>
  </si>
  <si>
    <t>Notes</t>
  </si>
  <si>
    <t xml:space="preserve"> Large office building is defined as any office building with a total area &gt;150,000 sf, by analyzing Dodge 2023 data.</t>
  </si>
  <si>
    <t>Large office buildings cover approximately 52% of the floor area and 7% of the total number of the CA office buildings (according to the Dodge 2023 datasets).</t>
  </si>
  <si>
    <t>Only  2% of offices in CA have stories &gt;6 and area &lt;150,000. (according to the Dodge 2023 datasets)</t>
  </si>
  <si>
    <r>
      <t>Analysis of the Dodge 2023 dataset (see table and chart below) shows that the median and average number of stories and total floor area (</t>
    </r>
    <r>
      <rPr>
        <u/>
        <sz val="10"/>
        <color theme="1"/>
        <rFont val="Arial"/>
        <family val="2"/>
      </rPr>
      <t>not footprint of each story</t>
    </r>
    <r>
      <rPr>
        <sz val="10"/>
        <color theme="1"/>
        <rFont val="Arial"/>
        <family val="2"/>
      </rPr>
      <t>) are considerably smaller than those represented in the existing prototypes developed by PNNL and CBECC. This suggests that a smaller prototype might better reflect the California building stock. However, we have chosen to continue using the existing prototype floor area and number of stories for the following reasons:</t>
    </r>
  </si>
  <si>
    <t>- Developing a smaller prototype would make the CEC prototype different from national Large Office prototype.</t>
  </si>
  <si>
    <t>- Change would likely have little impact on energy consumption on a per sf basis (kBTU/sf), nor would it result in different HVAC system design .</t>
  </si>
  <si>
    <t>Statical Analysis of the CA Large Office Building Stock (STC:7,305,405 &amp; floor area&gt;150 ksf)</t>
  </si>
  <si>
    <t>No. of Stories</t>
  </si>
  <si>
    <t xml:space="preserve">Footprint (sf) </t>
  </si>
  <si>
    <t>Total Area (sf)</t>
  </si>
  <si>
    <t>Median</t>
  </si>
  <si>
    <t>Average</t>
  </si>
  <si>
    <t>Source: Dodge 2023 data ( NEW large office buildings built after 1967)</t>
  </si>
  <si>
    <t>Existing Large Office Prototype</t>
  </si>
  <si>
    <t>Footprint* (sf)</t>
  </si>
  <si>
    <t>CBECC (CEC) 2022</t>
  </si>
  <si>
    <t>PNNL ASHRAE 90.1 2022</t>
  </si>
  <si>
    <t>DEER (CPUC) 2024</t>
  </si>
  <si>
    <t>NORESCO, Updated November 2025</t>
  </si>
  <si>
    <t>OfficeLarge</t>
  </si>
  <si>
    <t>Characteristic</t>
  </si>
  <si>
    <t>Value</t>
  </si>
  <si>
    <t>Building Type</t>
  </si>
  <si>
    <t>Large Office</t>
  </si>
  <si>
    <t>Building Category</t>
  </si>
  <si>
    <t>Nonresidential</t>
  </si>
  <si>
    <t>Vintages</t>
  </si>
  <si>
    <t>4 Vintages: Pre-1978 , 1978-1997 ,1998-2007 , 2008-2018
New Construction (2019+)</t>
  </si>
  <si>
    <t xml:space="preserve">Based on the vintage bin analysis
</t>
  </si>
  <si>
    <t>NonRes-Vintage bins-Draft Report-30Nov2023-Final.docx</t>
  </si>
  <si>
    <t>Shape</t>
  </si>
  <si>
    <t>Number of floors: Based on the existing Large Office prototypes (PNNL, CEC)
Footprint (floor area of each story): Supported by Dodge 2023 data and consistent with the existing Large Office prototypes
Zone configuration and floor plan layout: Based on the ORNL 2019 project, with modifications informed by engineering and architectural judgment (see the "Zones" tab for more details)</t>
  </si>
  <si>
    <t>Total Floor Area (ft2)</t>
  </si>
  <si>
    <t>498,589 (240 ft *160 ft)</t>
  </si>
  <si>
    <t>Same as CEC and PNNL</t>
  </si>
  <si>
    <t>Aspect Ratio</t>
  </si>
  <si>
    <t>Number of Floors</t>
  </si>
  <si>
    <t>12 Floor + basement</t>
  </si>
  <si>
    <t>Number of floor: based on the existing Large Office prototypes (PNNL,CEC)</t>
  </si>
  <si>
    <t>Roof type</t>
  </si>
  <si>
    <t xml:space="preserve">Flat </t>
  </si>
  <si>
    <t>Supported by CBECS 2018 data  (Same as CEC and PNNL)</t>
  </si>
  <si>
    <t>WWR</t>
  </si>
  <si>
    <t>40% of the above grade wall</t>
  </si>
  <si>
    <t>Window dimensions</t>
  </si>
  <si>
    <t>Even distribution</t>
  </si>
  <si>
    <t>Shading Geometry</t>
  </si>
  <si>
    <t>None</t>
  </si>
  <si>
    <t>Floor to floor height (feet)</t>
  </si>
  <si>
    <t>Floor to ceiling height (feet)</t>
  </si>
  <si>
    <t>Glazing sill height (feet)</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</si>
  <si>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</si>
  <si>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</si>
  <si>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</si>
  <si>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</si>
  <si>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</si>
  <si>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</si>
  <si>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</si>
  <si>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</si>
  <si>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</si>
  <si>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</si>
  <si>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</si>
  <si>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</si>
  <si>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</si>
  <si>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</si>
  <si>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</si>
  <si>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</si>
  <si>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</si>
  <si>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</si>
  <si>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</si>
  <si>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</si>
  <si>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</si>
  <si>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</si>
  <si>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</si>
  <si>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</si>
  <si>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</si>
  <si>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</si>
  <si>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U-factor IP</t>
  </si>
  <si>
    <t>Pre 1978</t>
  </si>
  <si>
    <t>N/A</t>
  </si>
  <si>
    <t>ASHRAE 90.1 Table A3.3.3.1, 16" on center, R-0</t>
  </si>
  <si>
    <t>High-rise office: Package A with heat capacity   10.0-14.99 (BTU/F/ft2)</t>
  </si>
  <si>
    <t>2019+</t>
  </si>
  <si>
    <t>Roof</t>
  </si>
  <si>
    <t>FlatRoof_WoodFramedAndOther_NonRes</t>
  </si>
  <si>
    <t>Metal deck + insulation + Roof membrane</t>
  </si>
  <si>
    <t>Considering 30 years for roof/ insulation replacement.</t>
  </si>
  <si>
    <t>Windows</t>
  </si>
  <si>
    <t>FixedWindow_NonRes</t>
  </si>
  <si>
    <t xml:space="preserve">CBECS 2018 shows that ~50% of large offices that were built before 2000 are single pane </t>
  </si>
  <si>
    <t>ASHRAE Handbook of Fundamentals for single pane (Table 4-Ch15)  &amp; T24, 2013  for double pane(50%-50%)*</t>
  </si>
  <si>
    <t>Double pane</t>
  </si>
  <si>
    <t>SHGC</t>
  </si>
  <si>
    <t>ASHRAE Handbook of Fundamentals for single pane (Table 10-Ch15)  &amp; T24, 2013  for double pane(50%-50%)*</t>
  </si>
  <si>
    <t>WWR:20-30 / SHGC non-north (Non-north SHGC is more stringent than north and is therefore considered for all sides)</t>
  </si>
  <si>
    <r>
      <t xml:space="preserve">Infiltration rate at normal pressure (cfm/ft2) </t>
    </r>
    <r>
      <rPr>
        <sz val="12"/>
        <color theme="0"/>
        <rFont val="Arial"/>
        <family val="2"/>
      </rPr>
      <t xml:space="preserve">(Design flow rate approach and Flow/Exterior Wall Area calculation method) </t>
    </r>
  </si>
  <si>
    <t>I_75 (cfm/sf)
6-sdied Infiltration rate 
@ 75 pa</t>
  </si>
  <si>
    <t xml:space="preserve"> I-design (cfm/ft2) 
(4-sided Infiltration rate at normal pressure) 
(Design flow rate approach and Flow/Exterior Wall Area calculation method) </t>
  </si>
  <si>
    <t>Infiltration</t>
  </si>
  <si>
    <t>2022 CASE report (Table 38)</t>
  </si>
  <si>
    <t>2022 CASE report (Table 38) &amp;
Title 24, part 6, 2008-2016 (Table 140.3-B)</t>
  </si>
  <si>
    <t>2022 CASE report (Table 38) &amp;  
Title 24, part 6, 2025 (Table 140.3-B)</t>
  </si>
  <si>
    <t>Source:  Title 24 air barrier requirements (all editions) and the standardized infiltration rate reported in the 2022 CASE report and Dodge 2023 data</t>
  </si>
  <si>
    <t xml:space="preserve">Air Leakage Memo: </t>
  </si>
  <si>
    <t xml:space="preserve">*Note for windows properties in vintage 1 &amp;2 : </t>
  </si>
  <si>
    <t xml:space="preserve">We’ve considered a 50% single-pane and 50% double-pane mix (based on the 2013 requirements) for the window properties in Vintage 1 &amp; 2 (pre-1998 buildings). </t>
  </si>
  <si>
    <t>We don't have California-specific data, and the decision was based on the CBECS 2018 data, which indicates:</t>
  </si>
  <si>
    <t xml:space="preserve"> - 30% of large offices built before 1978 have mixed windows, while only 16% of large offices from the second vintage (1978-1997) have mixed glass.</t>
  </si>
  <si>
    <t xml:space="preserve"> - Pre-1980: Among those with either single or double-pane windows, 70% have single-pane windows, and 30% have double-pane windows.</t>
  </si>
  <si>
    <t xml:space="preserve"> - 1980-1999: Among those with either single or double-pane windows, 43% have single-pane windows, and 57% have double-pane windows.</t>
  </si>
  <si>
    <t xml:space="preserve"> - Pre-2000: Among those with either single or double-pane windows,  49% has single pane windows.</t>
  </si>
  <si>
    <t>Considering the Pre-2000 percentage, we've decided to apply the 50%-50% mix to the window properties of the first two vintages.</t>
  </si>
  <si>
    <t xml:space="preserve">Fixed windows </t>
  </si>
  <si>
    <t>WWR:20-30 / SHGC north</t>
  </si>
  <si>
    <t>WWR:20-30 / SHGC non-north</t>
  </si>
  <si>
    <t>Space/ Thermal Zone</t>
  </si>
  <si>
    <t>Space Type</t>
  </si>
  <si>
    <t>HVAC System Name/AHU Name</t>
  </si>
  <si>
    <t>Schedule Category</t>
  </si>
  <si>
    <t>Conditioned (Y/N)</t>
  </si>
  <si>
    <t xml:space="preserve">Area Fraction </t>
  </si>
  <si>
    <t>Area (ft²)</t>
  </si>
  <si>
    <t>Volume 
(ft³)</t>
  </si>
  <si>
    <t>Multipliers</t>
  </si>
  <si>
    <t>Number of People</t>
  </si>
  <si>
    <t xml:space="preserve">People 
(Persons/1,000 ft²)
[T24, 2025,Table 120.1-A] </t>
  </si>
  <si>
    <t>Perimeter_Open_ Office_N_Basement</t>
  </si>
  <si>
    <t>Office Area (&gt;250 square feet)</t>
  </si>
  <si>
    <t xml:space="preserve"> VAV With Reheat_Basement</t>
  </si>
  <si>
    <t>Office</t>
  </si>
  <si>
    <t>Y</t>
  </si>
  <si>
    <t>Perimeter_Open_ Office_S_Basement</t>
  </si>
  <si>
    <t>Core_Enclosed_Office_Basement</t>
  </si>
  <si>
    <t>Server_Room_Basement</t>
  </si>
  <si>
    <t>Server Room (EPD 45)</t>
  </si>
  <si>
    <t>CRAH_ServerRoom_Basement</t>
  </si>
  <si>
    <t>Data</t>
  </si>
  <si>
    <t>Mech/Elec_Basement</t>
  </si>
  <si>
    <t>Electrical, Mechanical, Telephone Rooms</t>
  </si>
  <si>
    <t>Conference_Basement</t>
  </si>
  <si>
    <t>Convention, Conference, Multipurpose and Meeting Area</t>
  </si>
  <si>
    <t>Break_Basement</t>
  </si>
  <si>
    <t>Lounge, Breakroom, or Waiting Area</t>
  </si>
  <si>
    <t>Storage_Basement</t>
  </si>
  <si>
    <t>Storage (General)</t>
  </si>
  <si>
    <t>Restroom_Basement</t>
  </si>
  <si>
    <t>Restrooms</t>
  </si>
  <si>
    <t>Lobby_Basement</t>
  </si>
  <si>
    <t>Lobby, Main Entry</t>
  </si>
  <si>
    <t>Number of People: 10 according to ASHRAE 62.1 Table 6-1 for main entry lobbies
T24: 33 for main Entry lobbies &amp; 5 for reception area</t>
  </si>
  <si>
    <t>Stair/Elevator_Basement</t>
  </si>
  <si>
    <t>Stairwell</t>
  </si>
  <si>
    <t>Corridor_W_Basement</t>
  </si>
  <si>
    <t>Corridor Area</t>
  </si>
  <si>
    <t>Corridor_E_Basement</t>
  </si>
  <si>
    <t>Perimeter_Open_ Office_N_FloorG</t>
  </si>
  <si>
    <t xml:space="preserve"> VAV With Reheat_FloorG</t>
  </si>
  <si>
    <t>Perimeter_Open_ Office_W_FloorG</t>
  </si>
  <si>
    <t>Perimeter_Open_ Office_E_FloorG</t>
  </si>
  <si>
    <t>Perimeter_Enclosed_ Office_NE_FloorG</t>
  </si>
  <si>
    <t>Perimeter_Enclosed_ Office_NW_FloorG</t>
  </si>
  <si>
    <t>Basement</t>
  </si>
  <si>
    <t>First Floor</t>
  </si>
  <si>
    <t>Middle/Top Floors</t>
  </si>
  <si>
    <t>Core_Enclosed_Office_FloorG</t>
  </si>
  <si>
    <t>Server_Room_FloorG</t>
  </si>
  <si>
    <t>Computer Room (EPD 20)</t>
  </si>
  <si>
    <t>CRAC DX Clg_FloorG</t>
  </si>
  <si>
    <t>Spaces of Basement​</t>
  </si>
  <si>
    <t>Area (ft2)​</t>
  </si>
  <si>
    <t>% of footprint</t>
  </si>
  <si>
    <t>Spaces of First Floor​</t>
  </si>
  <si>
    <t>Spaces of Middle/Top Floor​s</t>
  </si>
  <si>
    <t>Mech/Elec_FloorG</t>
  </si>
  <si>
    <t>Open office​</t>
  </si>
  <si>
    <t>Conference_FloorG</t>
  </si>
  <si>
    <t>Core Enclosed Office​</t>
  </si>
  <si>
    <t>Break_FloorG</t>
  </si>
  <si>
    <t>Perimeter Enclosed Office​</t>
  </si>
  <si>
    <t>_</t>
  </si>
  <si>
    <t>FoodPrep_FloorG</t>
  </si>
  <si>
    <t>Kitchen/Food Preparation Area</t>
  </si>
  <si>
    <t>Conference​</t>
  </si>
  <si>
    <t>Storage_FloorG</t>
  </si>
  <si>
    <t>Break + Food prep​</t>
  </si>
  <si>
    <t>Locker_FloorG</t>
  </si>
  <si>
    <t>Locker Room</t>
  </si>
  <si>
    <t xml:space="preserve">Based on 2022 CEC AP5 </t>
  </si>
  <si>
    <t>Storage​</t>
  </si>
  <si>
    <t>Storage​+locker</t>
  </si>
  <si>
    <t>Lobby_S_FloorG</t>
  </si>
  <si>
    <t>Mech/Elec​</t>
  </si>
  <si>
    <t>Lobby_FloorG</t>
  </si>
  <si>
    <t>Server Room​</t>
  </si>
  <si>
    <t>Restroom_FloorG</t>
  </si>
  <si>
    <t>Corridor​</t>
  </si>
  <si>
    <t>Stair/Elevator_FloorG</t>
  </si>
  <si>
    <t>Restroom​</t>
  </si>
  <si>
    <t>Corridor_W_FloorG</t>
  </si>
  <si>
    <t>Lobby​</t>
  </si>
  <si>
    <t>Corridor_E_FloorG</t>
  </si>
  <si>
    <t>Stair/Elevator​</t>
  </si>
  <si>
    <t>Plenum_FloorG</t>
  </si>
  <si>
    <t>Plenum</t>
  </si>
  <si>
    <t>N</t>
  </si>
  <si>
    <t>Plenum​</t>
  </si>
  <si>
    <t>38,353 ​</t>
  </si>
  <si>
    <t>Perimeter_Open_ Office_N_FloorM</t>
  </si>
  <si>
    <t xml:space="preserve"> VAV With Reheat_FloorM</t>
  </si>
  <si>
    <t>Perimeter_Open_ Office_S_FloorM</t>
  </si>
  <si>
    <t>Perimeter_Open_ Office_E_FloorM</t>
  </si>
  <si>
    <t>Perimeter_Open_ Office_W_FloorM</t>
  </si>
  <si>
    <t>Perimeter_Enclosed_ Office_NE_FloorM</t>
  </si>
  <si>
    <t>Perimeter_Enclosed_ Office_NW_FloorM</t>
  </si>
  <si>
    <t>Perimeter_Enclosed_ Office_SW_FloorM</t>
  </si>
  <si>
    <t>Perimeter_Enclosed_ Office_SE_FloorM</t>
  </si>
  <si>
    <t>Core_Enclosed_ Office_FloorM</t>
  </si>
  <si>
    <t>Server_Room_FloorM</t>
  </si>
  <si>
    <t xml:space="preserve"> CRAC DX Clg_FloorM</t>
  </si>
  <si>
    <t>Mech/Elec_FloorM</t>
  </si>
  <si>
    <t>Conference_N_FloorM</t>
  </si>
  <si>
    <t>Conference_W_FloorM</t>
  </si>
  <si>
    <t>Conference_S_FloorM</t>
  </si>
  <si>
    <t>Conference_E_FloorM</t>
  </si>
  <si>
    <t>Break_FloorM</t>
  </si>
  <si>
    <t>Storage_FloorM</t>
  </si>
  <si>
    <t>Lobby_FloorM</t>
  </si>
  <si>
    <t>Restroom_FloorM</t>
  </si>
  <si>
    <t>Stair/Elevator_FloorM</t>
  </si>
  <si>
    <t>Corridor_W_FloorM</t>
  </si>
  <si>
    <t>Corridor_E_FloorM</t>
  </si>
  <si>
    <t>Plenum_FloorM</t>
  </si>
  <si>
    <t>Perimeter_Open_ Office_N_FloorT</t>
  </si>
  <si>
    <t>VAV With Reheat_FloorT</t>
  </si>
  <si>
    <t>Perimeter_Open_ Office_S_FloorT</t>
  </si>
  <si>
    <t>Perimeter_Open_ Office_E_FloorT</t>
  </si>
  <si>
    <t>Perimeter_Open_ Office_W_FloorT</t>
  </si>
  <si>
    <t>Perimeter_Enclosed_ Office_NE_FloorT</t>
  </si>
  <si>
    <t>Perimeter_Enclosed_ Office_NW_FloorT</t>
  </si>
  <si>
    <t>Perimeter_Enclosed_ Office_SW_FloorT</t>
  </si>
  <si>
    <t>Perimeter_Enclosed_ Office_SE_FloorT</t>
  </si>
  <si>
    <t>Core_Enclosed_ Office_FloorT</t>
  </si>
  <si>
    <t>Server_Room_FloorT</t>
  </si>
  <si>
    <t xml:space="preserve"> CRAC DX Clg_FloorT</t>
  </si>
  <si>
    <t>Mech/Elec_FloorT</t>
  </si>
  <si>
    <t>Conference_N_FloorT</t>
  </si>
  <si>
    <t>Conference_W_FloorT</t>
  </si>
  <si>
    <t>Conference_S_FloorT</t>
  </si>
  <si>
    <t>Conference_E_FloorT</t>
  </si>
  <si>
    <t>Break_FloorT</t>
  </si>
  <si>
    <t>Storage_FloorT</t>
  </si>
  <si>
    <t>Lobby_FloorT</t>
  </si>
  <si>
    <t>Restroom_FloorT</t>
  </si>
  <si>
    <t>Stair/Elevator_FloorT</t>
  </si>
  <si>
    <t>Corridor_W_FloorT</t>
  </si>
  <si>
    <t>Corridor_E_FloorT</t>
  </si>
  <si>
    <t>Plenum_FloorT</t>
  </si>
  <si>
    <t xml:space="preserve"> Total Zones in E+: 79
  Total with multiplier: 286</t>
  </si>
  <si>
    <t xml:space="preserve"> Total (13 Space Types)</t>
  </si>
  <si>
    <t xml:space="preserve"> Total systems in E+: 8
  Total with multiplier: 26</t>
  </si>
  <si>
    <t xml:space="preserve"> Total (1 category)</t>
  </si>
  <si>
    <t xml:space="preserve"> Total zones in E+: 76 conditioned and 3 unconditioned.
  Total with multiplier: 274 Conditioned , 12 Unconditioned )</t>
  </si>
  <si>
    <t>Zones</t>
  </si>
  <si>
    <t xml:space="preserve">Heating </t>
  </si>
  <si>
    <t>Cooling</t>
  </si>
  <si>
    <t>Air Distribution</t>
  </si>
  <si>
    <t>Source</t>
  </si>
  <si>
    <t xml:space="preserve">Existing </t>
  </si>
  <si>
    <t>Server Room_B</t>
  </si>
  <si>
    <t>-</t>
  </si>
  <si>
    <t>built up CRAH with chilled water coils
(Computer Room Air Handling unit)</t>
  </si>
  <si>
    <t xml:space="preserve">CAV </t>
  </si>
  <si>
    <t>Engineering Judgement</t>
  </si>
  <si>
    <t>Server_Room_G
Server_Room_M
Server_Room_T</t>
  </si>
  <si>
    <t xml:space="preserve">DX Computer Room Air Conditioner </t>
  </si>
  <si>
    <t>CAV</t>
  </si>
  <si>
    <t>DX Computer Room Air Conditioner units have been a standard solution in server rooms for many years.</t>
  </si>
  <si>
    <t>All other conditioned zones</t>
  </si>
  <si>
    <t>Gas Boiler</t>
  </si>
  <si>
    <t>Chiller
(it also serves the Server_Room_B zone)</t>
  </si>
  <si>
    <t>built-up VAV with hydronic reheat</t>
  </si>
  <si>
    <t>New Construction</t>
  </si>
  <si>
    <t>T24 2025</t>
  </si>
  <si>
    <t xml:space="preserve">DX Computer Room Air Conditioner (CRAC) </t>
  </si>
  <si>
    <t>VAV</t>
  </si>
  <si>
    <t xml:space="preserve">Efficiency of HVAC system </t>
  </si>
  <si>
    <t>Upgrade/Installed year</t>
  </si>
  <si>
    <t>DX Computer Room Air Conditioner Server_Room_G/M/T (CRAC)</t>
  </si>
  <si>
    <t>Chiller</t>
  </si>
  <si>
    <t xml:space="preserve">Sources </t>
  </si>
  <si>
    <t>EER=9.0</t>
  </si>
  <si>
    <t>6.10 COP
6.40 IPLV</t>
  </si>
  <si>
    <t>Efficiency of 80%</t>
  </si>
  <si>
    <t xml:space="preserve">CFR Energy 2008 (for DX CRAC) </t>
  </si>
  <si>
    <t>Two centrifugal chillers  (Total cooling plant load &gt; 600 tons)
Two atmospheric boilers (no combustion air fans)</t>
  </si>
  <si>
    <t>FR-2009-03-23.pdf</t>
  </si>
  <si>
    <t xml:space="preserve">≤ 0.590 kW/ton 
≤ 0.400 IPLV </t>
  </si>
  <si>
    <t xml:space="preserve">Thermal efficiency (Et) of 80% </t>
  </si>
  <si>
    <t>CFR Energy 2010:Title 10- Table 9 (for DX CRAC)
Title 24, Part 6, 2013 ,Table 110.2-J (for Boiler thermal efficiency)</t>
  </si>
  <si>
    <t>water-cooled centrifugal chillers
Two Boilers each with capacity between 300-2,500 KBTU/hr</t>
  </si>
  <si>
    <t>SEER=13.4
SCOP=2.09</t>
  </si>
  <si>
    <t>≤ 0.625 kW/ton
≤ 0.410 IPLV</t>
  </si>
  <si>
    <t xml:space="preserve">Thermal efficiency (Et) of 84% </t>
  </si>
  <si>
    <t>CFR Energy 2025, Table 12 (for DX CRAC)
Title 24, Part 6, 2022 ,Table 110.2-J (for Boiler thermal efficiency)</t>
  </si>
  <si>
    <t xml:space="preserve"> Two water-cooled screw chillers (Each between 300-600 ton), Path B, Positive displacement chiller with design leaving fluid temperature ≤ 32°F
Two Boilers each with capacity between 300-2,500 KBTU/hr</t>
  </si>
  <si>
    <t>CFR-2024-title10-vol3-part431-subpartF.pdf</t>
  </si>
  <si>
    <t xml:space="preserve">Economizer is required for all the systems. CRAC units should have "integrated airside economizer" </t>
  </si>
  <si>
    <t>Only adiabatic humidification</t>
  </si>
  <si>
    <t>Title 24, Part 6_ 2025, Section 140.9 (a)1</t>
  </si>
  <si>
    <t>Demand Control ventilation</t>
  </si>
  <si>
    <t>Background Data [To be deleted prior to publication]</t>
  </si>
  <si>
    <t>Existing prototypes:</t>
  </si>
  <si>
    <t>Space</t>
  </si>
  <si>
    <t>System No.</t>
  </si>
  <si>
    <t>System Type</t>
  </si>
  <si>
    <t>Fan Control</t>
  </si>
  <si>
    <t xml:space="preserve">Cooling Type </t>
  </si>
  <si>
    <t>Heating Type</t>
  </si>
  <si>
    <t>CBECC 2025</t>
  </si>
  <si>
    <t xml:space="preserve">All Space </t>
  </si>
  <si>
    <t>Chilled water</t>
  </si>
  <si>
    <t>Hot-water fossil fuel boiler</t>
  </si>
  <si>
    <t>CPUC 2024</t>
  </si>
  <si>
    <t xml:space="preserve">Chiller water </t>
  </si>
  <si>
    <t xml:space="preserve">PNNL ASHRAE 90.1- 2022 San Diego </t>
  </si>
  <si>
    <t>data center room</t>
  </si>
  <si>
    <t>14. WSHP (CRAC)</t>
  </si>
  <si>
    <t>Water source heat pump (Computer room air conditioning unit)</t>
  </si>
  <si>
    <t>Constant volume</t>
  </si>
  <si>
    <t>Fluid cooler</t>
  </si>
  <si>
    <t>Basement (Except data center)</t>
  </si>
  <si>
    <t>12. SZ-CV-HW</t>
  </si>
  <si>
    <t>Single-zone system</t>
  </si>
  <si>
    <t>Other spaces</t>
  </si>
  <si>
    <t>7. VAV with reheat</t>
  </si>
  <si>
    <t>VAV with reheat</t>
  </si>
  <si>
    <t>Basement system in PNNL model is :SZ-CV-HW (Single zone system:  CV fan control &amp; Chilled water cooling  &amp; Hot-water fossil fuel boiler heating)</t>
  </si>
  <si>
    <t xml:space="preserve">Other floors system in PNNL model is: VAV Reheat ( VAV with Reheat: VA fan control &amp; Chilled water cooling  &amp; Hot-water fossil fuel boiler heating ) </t>
  </si>
  <si>
    <t>Dat center zone has its won system in PNNL model: WSHP (CRAC): Water source heat pump (Computer room air conditioning unit) system: CV fan control &amp; Fluid cooler &amp; Hot-water fossil fuel boiler heating</t>
  </si>
  <si>
    <t>CEUS 2022 data:</t>
  </si>
  <si>
    <t>Heating System</t>
  </si>
  <si>
    <t>Calculation method</t>
  </si>
  <si>
    <t>Fan Coil / Unit Ventilator</t>
  </si>
  <si>
    <t>Dual Duct Constant Air Volume</t>
  </si>
  <si>
    <t>Dual Duct Variable Air Volume</t>
  </si>
  <si>
    <t>Single Duct Constant Air Volume</t>
  </si>
  <si>
    <t>Single Duct Variable Air Volume</t>
  </si>
  <si>
    <t>Floorspace-Based</t>
  </si>
  <si>
    <t>Office, Large</t>
  </si>
  <si>
    <t>Sites-Based</t>
  </si>
  <si>
    <t>Chiller System</t>
  </si>
  <si>
    <t>Boiler/ Hydronic</t>
  </si>
  <si>
    <t>Package System / Heat Pump</t>
  </si>
  <si>
    <t>Split-System / Heat Pump</t>
  </si>
  <si>
    <t>Ductless Mini-Split Heat Pump</t>
  </si>
  <si>
    <t>Room Heating</t>
  </si>
  <si>
    <t>Heating Fuel Type</t>
  </si>
  <si>
    <t>Gas Share</t>
  </si>
  <si>
    <t>Electric Share</t>
  </si>
  <si>
    <t>Fuel Share Large office (area &gt;3,000 sf)</t>
  </si>
  <si>
    <t>CZ</t>
  </si>
  <si>
    <t>Heating system</t>
  </si>
  <si>
    <t>Water heater</t>
  </si>
  <si>
    <t>Saturation (Electric)</t>
  </si>
  <si>
    <t>Saturation (Gas)</t>
  </si>
  <si>
    <t>Saturation
(Other Fuels)</t>
  </si>
  <si>
    <t> </t>
  </si>
  <si>
    <t>Fan power</t>
  </si>
  <si>
    <t>Approach</t>
  </si>
  <si>
    <t>System</t>
  </si>
  <si>
    <t xml:space="preserve">Total Static Pressure (TSP)
(in w.c.)
</t>
  </si>
  <si>
    <t>Fan Efficiency
[ACM 2025]</t>
  </si>
  <si>
    <t>Fan Motor and Drive Efficiency 
[ACM 2025, Table 13]</t>
  </si>
  <si>
    <t>W/cfm
[ACM 2025, Table 14 and 15]</t>
  </si>
  <si>
    <t>Data Source</t>
  </si>
  <si>
    <t>Existing</t>
  </si>
  <si>
    <t>PNNL TSP</t>
  </si>
  <si>
    <t>CAV System &lt;7,437 cfm</t>
  </si>
  <si>
    <t>~0.9 (The full-load efficiency of the motor serving the fan- will be determined based on ACM 2025, Table 13)</t>
  </si>
  <si>
    <t xml:space="preserve"> Fan Motor and Efficiency: ACM 2025, 0.5 Engineering judgement 
TSP:[PNNL 20405, 2010, Table 5.11</t>
  </si>
  <si>
    <t>CAV System &gt;7,437 cfm</t>
  </si>
  <si>
    <t>VAV System &gt; 4,648 cfm</t>
  </si>
  <si>
    <t>Brake horse power (bhp)=(Supply cfm*TSP in w.c.)/(6356*Fan efficiency)</t>
  </si>
  <si>
    <t>Fan power (w/cfm) = bhp/motor and drive efficiency *746</t>
  </si>
  <si>
    <t>ACM 2025</t>
  </si>
  <si>
    <t>VAV System &gt; 10,000 cfm</t>
  </si>
  <si>
    <t xml:space="preserve"> Fan Motor and Efficiency and W/cfm: ACM 2025</t>
  </si>
  <si>
    <t>0.35 w/cfm for indoor unit fan (T24, 2025, Section 140.4(a)3 D)</t>
  </si>
  <si>
    <t>* 0.9 is an average fan efficiency according to ACM 2025, Table 13</t>
  </si>
  <si>
    <t>Fan total eff (E+ input) = 0.65 x Motor_eff</t>
  </si>
  <si>
    <t>TSP (E+ input) in w.c. = Motor_eff/746 x (6356 x Fan_eff) x W/cfm</t>
  </si>
  <si>
    <t>Fan_eff=0.65</t>
  </si>
  <si>
    <t>Microsoft Word - PNNL 90 1-2010_TSD_Final 5-23-2011_Final.docx</t>
  </si>
  <si>
    <t>Gas</t>
  </si>
  <si>
    <t>Statewide</t>
  </si>
  <si>
    <t>Office, Small</t>
  </si>
  <si>
    <t>Heating</t>
  </si>
  <si>
    <t>Spaces/Zones</t>
  </si>
  <si>
    <t>Setpoint</t>
  </si>
  <si>
    <t>All conditioned zones except server rooms</t>
  </si>
  <si>
    <t>Heating Setpoint (F)</t>
  </si>
  <si>
    <t>T24 2022 - Appendix 5.4B</t>
  </si>
  <si>
    <t>Heating Setback (F)</t>
  </si>
  <si>
    <t>Cooling Setpoint (F)</t>
  </si>
  <si>
    <t>Cooling Setback (F)</t>
  </si>
  <si>
    <t>85*</t>
  </si>
  <si>
    <t>Server rooms</t>
  </si>
  <si>
    <t xml:space="preserve">Title 24, Part 6, 2025, section 140.9 (a)  and  PNNL ASHRAE 90.1 2022 Large Office prototype  </t>
  </si>
  <si>
    <t>The Server room with 20 W/ft2 load would likely don't require heating system as the equipment constantly generate enough heat. **</t>
  </si>
  <si>
    <t>*PNNL has considered 80 F for cooling setback of Large Office prototype (same as Medium Office). However cooling setback  is 85 F in Small Office prototype !</t>
  </si>
  <si>
    <t>**PNNL has set the heating system temperature to 65°F for all of their data center zones.</t>
  </si>
  <si>
    <t>Heating/ CoolingSetpointsSchedules (existing prototypes extracted from the idf files (presented below)</t>
  </si>
  <si>
    <t>CEC-2022</t>
  </si>
  <si>
    <t>PNNL-2022</t>
  </si>
  <si>
    <t>CEC-Weekday</t>
  </si>
  <si>
    <t>CEC-Saturday</t>
  </si>
  <si>
    <t>CEC-Sunday</t>
  </si>
  <si>
    <t>PNNL-Weekday</t>
  </si>
  <si>
    <t>PNNL-Saturday</t>
  </si>
  <si>
    <t>PNNL-Sunday</t>
  </si>
  <si>
    <t>Space Name</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</si>
  <si>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</si>
  <si>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</si>
  <si>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</si>
  <si>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</si>
  <si>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</si>
  <si>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</si>
  <si>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</si>
  <si>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</si>
  <si>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5* 25/50 (cfm/unit)</t>
  </si>
  <si>
    <t xml:space="preserve">Almost 1 unit per 30 occupant for exhaust fan </t>
  </si>
  <si>
    <t>0.25 (cfm/sf)</t>
  </si>
  <si>
    <t>8* 25/50 (cfm/unit)</t>
  </si>
  <si>
    <t>9* 25/50 (cfm/unit)</t>
  </si>
  <si>
    <t>WH Type</t>
  </si>
  <si>
    <t>Efficiency</t>
  </si>
  <si>
    <t>Tank Volume (gal)</t>
  </si>
  <si>
    <t>Tank Loss</t>
  </si>
  <si>
    <t>Unit</t>
  </si>
  <si>
    <t xml:space="preserve">Existing  </t>
  </si>
  <si>
    <t>Fuel Type based on CEUS</t>
  </si>
  <si>
    <t>Peak Hot Water Consumption</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</si>
  <si>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</si>
  <si>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</si>
  <si>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</si>
  <si>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</si>
  <si>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</si>
  <si>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</si>
  <si>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</si>
  <si>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</si>
  <si>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</si>
  <si>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</si>
  <si>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</si>
  <si>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 (Btu/h-F)</t>
  </si>
  <si>
    <t>Gas Storage WH</t>
  </si>
  <si>
    <t>Btu/hr</t>
  </si>
  <si>
    <t>Standby loss equation: Title 20, §1605.1 Table F-4 
WH capacity equation: ACM, 2025, 5.9.2: Rated capacity section)</t>
  </si>
  <si>
    <t xml:space="preserve">Electric resistance WH </t>
  </si>
  <si>
    <t>%/hr</t>
  </si>
  <si>
    <t>Total</t>
  </si>
  <si>
    <t>Design supply temperature (F)</t>
  </si>
  <si>
    <t>Ref: T24 2022 - Appendix 5.4B</t>
  </si>
  <si>
    <t>Cold Water supply temperature (F)</t>
  </si>
  <si>
    <t>Ref: ACM, 2025, 5.9.2: Rated capacity section</t>
  </si>
  <si>
    <t>WH system factor</t>
  </si>
  <si>
    <t>Reheat multiplier</t>
  </si>
  <si>
    <t>Ref: ACM, 2025, 5.9.2: Storage Volume</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</si>
  <si>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</si>
  <si>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Ambient temp</t>
  </si>
  <si>
    <t>Delta T</t>
  </si>
  <si>
    <t xml:space="preserve">New Construction </t>
  </si>
  <si>
    <t>LPD (W/ft²)</t>
  </si>
  <si>
    <t>Additional LPD for Portable Lighting (W/ft²)</t>
  </si>
  <si>
    <t xml:space="preserve">LPD (W/ft²) </t>
  </si>
  <si>
    <t>T24, part 6, 2025, Table 140.6 C
For Computer and Server room: Engineering Judgement</t>
  </si>
  <si>
    <t>T24, part 6, 2013, Table 140.6 C
For Computer and Server room: Engineering Judgement</t>
  </si>
  <si>
    <t>1,1</t>
  </si>
  <si>
    <t>Whole Building method</t>
  </si>
  <si>
    <t>LPD for Office Building ((W/ft²)</t>
  </si>
  <si>
    <t>Ref: T24, Table 140.6 B</t>
  </si>
  <si>
    <t>Motion Controlled Luminaires (W)</t>
  </si>
  <si>
    <t>Non-motion Controlled Luminaires (W)</t>
  </si>
  <si>
    <t>Total (W)</t>
  </si>
  <si>
    <t>Title 24, 2022</t>
  </si>
  <si>
    <t>Exterior Lighting</t>
  </si>
  <si>
    <t>Items (Assume LZ2)</t>
  </si>
  <si>
    <t>Assumptions
[2019 Outdoor Lighting CASE Report &amp; PNNL 90.1-2010 TSD]</t>
  </si>
  <si>
    <t>Lighting Power Allowance 
[T24, 2025, Table 140.7-A &amp; 140.7-B]</t>
  </si>
  <si>
    <t>Exterior Lighting Power (W)</t>
  </si>
  <si>
    <t>IWA (Initial Wage Allowance)</t>
  </si>
  <si>
    <t>(W)</t>
  </si>
  <si>
    <t>Parking area</t>
  </si>
  <si>
    <t xml:space="preserve">400 ft² for every parking space 
1 parking space per 250 ft² of gross building area </t>
  </si>
  <si>
    <t>(ft²)</t>
  </si>
  <si>
    <t>(W/ft²)</t>
  </si>
  <si>
    <t>Building Entrance</t>
  </si>
  <si>
    <t>2 building entrance (1 per 10,000 ft² footprint)</t>
  </si>
  <si>
    <t>(count)</t>
  </si>
  <si>
    <t>(W/ea)</t>
  </si>
  <si>
    <t>Hardscape Ornamental Light</t>
  </si>
  <si>
    <t>0.1 ft² per 1 ft² of gross building area for hardscape ornamental light</t>
  </si>
  <si>
    <t>Building façade</t>
  </si>
  <si>
    <t>0.1 W per ft² of facade area 
Façade Area* = Perimeter × 0.5 × 30 ft (30 ft is the max height that is lit) 
The 0.5 factor assumes that only half of the perimeter walls are lit.
-Formula ia developed based on the 2019 Outdoor Lighting CASE report</t>
  </si>
  <si>
    <t>Non-sales canopy</t>
  </si>
  <si>
    <t>Motion controlled Luminaires</t>
  </si>
  <si>
    <t>Non-motion-controlled Luminaires</t>
  </si>
  <si>
    <t>*Developed based on 2019 Outdoor Lighting CASE Report</t>
  </si>
  <si>
    <t>Perimeter (ft)</t>
  </si>
  <si>
    <t>Total floor area (ft²)</t>
  </si>
  <si>
    <t>Floors (above ground)</t>
  </si>
  <si>
    <t>Floors (all)</t>
  </si>
  <si>
    <t>Hour</t>
  </si>
  <si>
    <t>Saturday</t>
  </si>
  <si>
    <t>Sunday</t>
  </si>
  <si>
    <t>Weekday</t>
  </si>
  <si>
    <t>Plug load Power Density (W/ft²)</t>
  </si>
  <si>
    <t>Gas Power Density (Btu/hr-ft²)</t>
  </si>
  <si>
    <t>Refrigeration Power Density (W/ft²)</t>
  </si>
  <si>
    <t>Plug load and schedule project with CEC, 2025</t>
  </si>
  <si>
    <t>Based on PNNL ASHRAE 90.1 2022 assumptions and minimum load for computer room</t>
  </si>
  <si>
    <t>T24 2022 - Appendix 5.4A</t>
  </si>
  <si>
    <t>OfficeLarge prototype is assumed to have a transformer, and its losses will be explicitly modeled.</t>
  </si>
  <si>
    <t>Elevator</t>
  </si>
  <si>
    <t xml:space="preserve">No of Elevator </t>
  </si>
  <si>
    <t>Design Load (W)</t>
  </si>
  <si>
    <t>New Construction and Existing</t>
  </si>
  <si>
    <t>PNNL Large Office prorotype</t>
  </si>
  <si>
    <t>Assumptions for elevators:</t>
  </si>
  <si>
    <t xml:space="preserve">One elevator for approximately 50,000 ft² in use. </t>
  </si>
  <si>
    <t>https://buildingandinteriors.com/find-the-magic-number-elevators-per-building/</t>
  </si>
  <si>
    <t>For every two floors or two and a half floors, one more elevator was added.</t>
  </si>
  <si>
    <t>An in-use rate of 70% for the floor area was assumed, based on engineering judgment.</t>
  </si>
  <si>
    <t xml:space="preserve">Calculated number of Elevators: </t>
  </si>
  <si>
    <t>Calculate Elevator load (kw)based on ACM 2022:</t>
  </si>
  <si>
    <t>140.7 kW is PNNL ASHRE 90.1 2019 elevator load  (Design level + Light/Fan)</t>
  </si>
  <si>
    <t>ACM 2022 suggestion for elevator load (kw):</t>
  </si>
  <si>
    <t>Elevator load will be defined as exterior load not equipment load  (Same as PNNL ASHRAE 90.1 Large Hotel prototype).</t>
  </si>
  <si>
    <t>If we consider 10 elevators, the total load (10 × 10 kW) would be 100 kW, which is 40% lower than the PNNL assumption.
However, CBECC considered both elevator and Escalator for medium office prototype  (10,000 for elevator and 3930 per Escalator) for a 3 stoy, 50 k office buildings. 
 Since elevator load is not typically climate-dependent, we will adopt the PNNL value for the Large Office prototype.</t>
  </si>
  <si>
    <t>Zone</t>
  </si>
  <si>
    <t>Schedule</t>
  </si>
  <si>
    <t>Type</t>
  </si>
  <si>
    <t>All zones</t>
  </si>
  <si>
    <t>Occupancy</t>
  </si>
  <si>
    <r>
      <t xml:space="preserve">T24 2022 - Appendix 5.4B, [Office]
</t>
    </r>
    <r>
      <rPr>
        <sz val="9"/>
        <color rgb="FF0070C0"/>
        <rFont val="Arial"/>
        <family val="2"/>
      </rPr>
      <t xml:space="preserve">
Updated base on Plug load and schedules project with CEC, 2025</t>
    </r>
  </si>
  <si>
    <t>Lights</t>
  </si>
  <si>
    <t>T24 2022 - Appendix 5.4B, [Office]</t>
  </si>
  <si>
    <t xml:space="preserve">ElecEquipment </t>
  </si>
  <si>
    <t xml:space="preserve">Plug load and schedules project with CEC, 2025 </t>
  </si>
  <si>
    <t>HVACAvail</t>
  </si>
  <si>
    <r>
      <t xml:space="preserve">T24 2022 - Appendix 5.4B, [Office]
</t>
    </r>
    <r>
      <rPr>
        <sz val="9"/>
        <color rgb="FF0070C0"/>
        <rFont val="Arial"/>
        <family val="2"/>
      </rPr>
      <t>Updated base on Plug load and schedules project with CEC, 202</t>
    </r>
  </si>
  <si>
    <t>ServiceHotWater</t>
  </si>
  <si>
    <t>HtgSetpt</t>
  </si>
  <si>
    <t>ClgSetpt</t>
  </si>
  <si>
    <r>
      <t xml:space="preserve">T24 2022 - Appendix 5.4B, [Data]
</t>
    </r>
    <r>
      <rPr>
        <sz val="9"/>
        <color rgb="FF0070C0"/>
        <rFont val="Arial"/>
        <family val="2"/>
      </rPr>
      <t>Updated base on office schedule</t>
    </r>
  </si>
  <si>
    <t>T24 2022 - Appendix 5.4B, [Data]</t>
  </si>
  <si>
    <t xml:space="preserve">T24 2022 - Appendix 5.4B, [Data]
</t>
  </si>
  <si>
    <t>Based on Activity level and thermostat setpoint</t>
  </si>
  <si>
    <t>Other</t>
  </si>
  <si>
    <t>Building</t>
  </si>
  <si>
    <r>
      <rPr>
        <sz val="9"/>
        <color rgb="FF000000"/>
        <rFont val="Arial"/>
        <family val="2"/>
      </rPr>
      <t xml:space="preserve">T24 2022 - Appendix 5.4B, [Office]
</t>
    </r>
    <r>
      <rPr>
        <sz val="9"/>
        <color rgb="FF0070C0"/>
        <rFont val="Arial"/>
        <family val="2"/>
      </rPr>
      <t>Updated base on Plug load and schedules project with CEC, 202</t>
    </r>
  </si>
  <si>
    <t>ExtLightingNonMotionCtrl</t>
  </si>
  <si>
    <t>ExtLightingMotionCtrl</t>
  </si>
  <si>
    <t>FunctionalAreaPeopleActivityLevel</t>
  </si>
  <si>
    <t xml:space="preserve">Based on Activity level schedules in  CEC Prototypes </t>
  </si>
  <si>
    <t>Server room</t>
  </si>
  <si>
    <t>ComputerRoomPeopleActivityLevel</t>
  </si>
  <si>
    <t xml:space="preserve">Based on Activilty level schedules in  CEC Prototypes </t>
  </si>
  <si>
    <t>Conference room</t>
  </si>
  <si>
    <t>MeetingAreaPeopleActivityLevel</t>
  </si>
  <si>
    <t>Corridor, Stair, Lobby, Restroom, Mech, Storage, Break</t>
  </si>
  <si>
    <t>CommonAreaPeopleActivityLevel</t>
  </si>
  <si>
    <t>Kitchen/Food prep</t>
  </si>
  <si>
    <t>KitchenPeopleActivityLevel</t>
  </si>
  <si>
    <t>Locker</t>
  </si>
  <si>
    <t>LockerRoomPeopleActivityLevel</t>
  </si>
  <si>
    <t>Operating Schedule</t>
  </si>
  <si>
    <t>System Capacity fraction</t>
  </si>
  <si>
    <t xml:space="preserve">Developed based on CEC and CEUS </t>
  </si>
  <si>
    <t xml:space="preserve">Alternative HVAC System Operating	</t>
  </si>
  <si>
    <t xml:space="preserve">Alternative HVAC System Operating					</t>
  </si>
  <si>
    <t xml:space="preserve">Developed based on CEC schedules and CEUS operating hours					</t>
  </si>
  <si>
    <t>Otherday</t>
  </si>
  <si>
    <t>CalBEM Energy Consumption - OfficeLarge</t>
  </si>
  <si>
    <t>National Average (EnergyStar Portfolio Manager)</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</si>
  <si>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</si>
  <si>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</si>
  <si>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</si>
  <si>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</si>
  <si>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</si>
  <si>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</si>
  <si>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</si>
  <si>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RangeRange (25% Higher)</t>
  </si>
  <si>
    <t>Acceptable RangeRange (25% Lower)</t>
  </si>
  <si>
    <t>National Average Acceptable Range</t>
  </si>
  <si>
    <t>Zip code</t>
  </si>
  <si>
    <t>Total Floorspace (Thousand of ft2)</t>
  </si>
  <si>
    <t>CEUS 2022 Electric Energy Intensity (kWh/ft²)</t>
  </si>
  <si>
    <t>CEUS 2022 Annual Gas Intensity (kWh/ft²)</t>
  </si>
  <si>
    <t>CEUS 2022 Total EUI (kBtu/ft²)</t>
  </si>
  <si>
    <t>Acceptable Range (25% Higher)</t>
  </si>
  <si>
    <t>Acceptable Range (25% Lower)</t>
  </si>
  <si>
    <t>CEUS 2022 Acceptable Range</t>
  </si>
  <si>
    <t>HotelSmall</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</si>
  <si>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</si>
  <si>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</si>
  <si>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</si>
  <si>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Floor area distribution of CA office buildings (CEUS 2022)</t>
  </si>
  <si>
    <t>Pre-1978</t>
  </si>
  <si>
    <t>Not available</t>
  </si>
  <si>
    <t>Office, Medium</t>
  </si>
  <si>
    <t>OfficeSmall</t>
  </si>
  <si>
    <t>Ref: CEUS 2022 dataset</t>
  </si>
  <si>
    <t>Ref: Dodge 2023</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</si>
  <si>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</si>
  <si>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</si>
  <si>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</si>
  <si>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</si>
  <si>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</si>
  <si>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</si>
  <si>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</si>
  <si>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</si>
  <si>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</si>
  <si>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</si>
  <si>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</si>
  <si>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</si>
  <si>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</si>
  <si>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</si>
  <si>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</si>
  <si>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</si>
  <si>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</si>
  <si>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</si>
  <si>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</si>
  <si>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</si>
  <si>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</si>
  <si>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</si>
  <si>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</si>
  <si>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</si>
  <si>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</si>
  <si>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</si>
  <si>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</si>
  <si>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</si>
  <si>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</si>
  <si>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</si>
  <si>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</si>
  <si>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</si>
  <si>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</si>
  <si>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</si>
  <si>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</si>
  <si>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</si>
  <si>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</si>
  <si>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(Reading Area)</t>
  </si>
  <si>
    <t>Library (Stacks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</si>
  <si>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</si>
  <si>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</si>
  <si>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</si>
  <si>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</si>
  <si>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</si>
  <si>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</si>
  <si>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</si>
  <si>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</si>
  <si>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</si>
  <si>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</si>
  <si>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</si>
  <si>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</si>
  <si>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</si>
  <si>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</si>
  <si>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</si>
  <si>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</si>
  <si>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</si>
  <si>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</si>
  <si>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</si>
  <si>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</si>
  <si>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</si>
  <si>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</si>
  <si>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</si>
  <si>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</si>
  <si>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</si>
  <si>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</si>
  <si>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</si>
  <si>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</si>
  <si>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</si>
  <si>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</si>
  <si>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IT Room (EPD 12)</t>
  </si>
  <si>
    <t>Water Heater - OfficeLarge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</si>
</sst>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8" formatCode="0.000"/>
    <numFmt numFmtId="169" formatCode="_(* #,##0_);_(* \(#,##0\);_(* &quot;-&quot;??_);_(@_)"/>
    <numFmt numFmtId="170" formatCode="_(* #,##0.000_);_(* \(#,##0.000\);_(* &quot;-&quot;??_);_(@_)"/>
    <numFmt numFmtId="171" formatCode="_(* #,##0.0000_);_(* \(#,##0.0000\);_(* &quot;-&quot;??_);_(@_)"/>
    <numFmt numFmtId="172" formatCode="#,##0;\-0;[Color15]0"/>
    <numFmt numFmtId="173" formatCode="_(* #,##0.0_);_(* \(#,##0.0\);_(* &quot;-&quot;?????_);_(@_)"/>
  </numFmts>
  <fonts count="59" x14ac:knownFonts="1">
    <font>
      <sz val="11"/>
      <color theme="1"/>
      <name val="Calibri"/>
      <family val="2"/>
      <scheme val="minor"/>
    </font>
    <font>
      <b/>
      <sz val="14"/>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theme="4" tint="-0.499984740745262"/>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9"/>
      <name val="Arial"/>
      <family val="2"/>
    </font>
    <font>
      <b/>
      <sz val="10"/>
      <color rgb="FF7030A0"/>
      <name val="Arial"/>
      <family val="2"/>
    </font>
    <font>
      <sz val="10"/>
      <color rgb="FF000000"/>
      <name val="Arial"/>
      <family val="2"/>
      <charset val="1"/>
    </font>
    <font>
      <sz val="11"/>
      <color theme="1"/>
      <name val="Arial"/>
      <family val="2"/>
    </font>
    <font>
      <b/>
      <sz val="14"/>
      <color theme="1"/>
      <name val="Arial"/>
      <family val="2"/>
    </font>
    <font>
      <u/>
      <sz val="10"/>
      <color theme="1"/>
      <name val="Arial"/>
      <family val="2"/>
    </font>
    <font>
      <sz val="8"/>
      <color theme="1"/>
      <name val="Arial"/>
      <family val="2"/>
    </font>
    <font>
      <b/>
      <sz val="9"/>
      <color theme="1"/>
      <name val="Arial"/>
      <family val="2"/>
    </font>
    <font>
      <b/>
      <sz val="10"/>
      <color rgb="FFFFFFFF"/>
      <name val="Arial"/>
      <family val="2"/>
    </font>
    <font>
      <sz val="14"/>
      <color theme="1"/>
      <name val="Arial"/>
      <family val="2"/>
    </font>
    <font>
      <sz val="14"/>
      <color theme="0"/>
      <name val="Arial"/>
      <family val="2"/>
    </font>
    <font>
      <sz val="12"/>
      <color theme="0"/>
      <name val="Arial"/>
      <family val="2"/>
    </font>
    <font>
      <b/>
      <sz val="10"/>
      <color theme="0"/>
      <name val="Arial"/>
      <family val="2"/>
    </font>
    <font>
      <b/>
      <sz val="12"/>
      <color rgb="FFFFFFFF"/>
      <name val="Arial"/>
      <family val="2"/>
    </font>
    <font>
      <sz val="11"/>
      <color rgb="FFC00000"/>
      <name val="Calibri"/>
      <family val="2"/>
      <scheme val="minor"/>
    </font>
    <font>
      <sz val="11"/>
      <name val="Cambria"/>
      <family val="1"/>
    </font>
    <font>
      <sz val="11"/>
      <color theme="1"/>
      <name val="Cambria"/>
      <family val="1"/>
    </font>
    <font>
      <b/>
      <sz val="11"/>
      <color theme="1"/>
      <name val="Cambria"/>
      <family val="1"/>
    </font>
    <font>
      <sz val="10"/>
      <color rgb="FF7030A0"/>
      <name val="Arial"/>
      <family val="2"/>
    </font>
    <font>
      <b/>
      <sz val="10"/>
      <color theme="1"/>
      <name val="Calibri"/>
      <family val="2"/>
      <scheme val="minor"/>
    </font>
    <font>
      <sz val="10"/>
      <color theme="0"/>
      <name val="Calibri"/>
      <family val="2"/>
      <scheme val="minor"/>
    </font>
    <font>
      <sz val="11"/>
      <color theme="1"/>
      <name val="Calibri"/>
      <family val="2"/>
    </font>
    <font>
      <b/>
      <sz val="10"/>
      <color rgb="FF2F5496"/>
      <name val="Arial"/>
      <family val="2"/>
    </font>
    <font>
      <sz val="11"/>
      <name val="Arial"/>
      <family val="2"/>
    </font>
    <font>
      <sz val="10"/>
      <color rgb="FF0070C0"/>
      <name val="Arial"/>
      <family val="2"/>
    </font>
    <font>
      <sz val="8"/>
      <color rgb="FF000000"/>
      <name val="Arial"/>
      <family val="2"/>
    </font>
    <font>
      <b/>
      <sz val="8"/>
      <color rgb="FF000000"/>
      <name val="Arial"/>
      <family val="2"/>
    </font>
    <font>
      <sz val="9"/>
      <color rgb="FF0070C0"/>
      <name val="Arial"/>
      <family val="2"/>
    </font>
    <font>
      <sz val="10"/>
      <color rgb="FFFF0000"/>
      <name val="Arial"/>
      <family val="2"/>
    </font>
    <font>
      <sz val="9"/>
      <color rgb="FF000000"/>
      <name val="Arial"/>
      <family val="2"/>
    </font>
    <font>
      <sz val="11"/>
      <color rgb="FF000000"/>
      <name val="Calibri"/>
      <family val="2"/>
    </font>
  </fonts>
  <fills count="26">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005DAA"/>
        <bgColor indexed="64"/>
      </patternFill>
    </fill>
    <fill>
      <patternFill patternType="solid">
        <fgColor rgb="FFCBD2E2"/>
        <bgColor indexed="64"/>
      </patternFill>
    </fill>
    <fill>
      <patternFill patternType="solid">
        <fgColor rgb="FFE7EAF1"/>
        <bgColor indexed="64"/>
      </patternFill>
    </fill>
    <fill>
      <patternFill patternType="solid">
        <fgColor rgb="FF203764"/>
        <bgColor rgb="FF000000"/>
      </patternFill>
    </fill>
    <fill>
      <patternFill patternType="solid">
        <fgColor rgb="FFD9E1F2"/>
        <bgColor rgb="FF000000"/>
      </patternFill>
    </fill>
    <fill>
      <patternFill patternType="solid">
        <fgColor rgb="FFD9D9D9"/>
        <bgColor indexed="64"/>
      </patternFill>
    </fill>
    <fill>
      <patternFill patternType="solid">
        <fgColor rgb="FFFFFFFF"/>
        <bgColor indexed="64"/>
      </patternFill>
    </fill>
    <fill>
      <patternFill patternType="solid">
        <fgColor theme="0" tint="-0.34998626667073579"/>
        <bgColor indexed="64"/>
      </patternFill>
    </fill>
    <fill>
      <patternFill patternType="lightUp"/>
    </fill>
    <fill>
      <patternFill patternType="solid">
        <fgColor rgb="FFFFFFFF"/>
        <bgColor rgb="FF000000"/>
      </patternFill>
    </fill>
    <fill>
      <patternFill patternType="solid">
        <fgColor rgb="FFD6DCE4"/>
        <bgColor rgb="FF000000"/>
      </patternFill>
    </fill>
    <fill>
      <patternFill patternType="solid">
        <fgColor theme="7" tint="0.79998168889431442"/>
        <bgColor rgb="FF000000"/>
      </patternFill>
    </fill>
    <fill>
      <patternFill patternType="solid">
        <fgColor rgb="FFD9E1F2"/>
        <bgColor indexed="64"/>
      </patternFill>
    </fill>
  </fills>
  <borders count="224">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medium">
        <color rgb="FFC00000"/>
      </left>
      <right style="medium">
        <color rgb="FFC00000"/>
      </right>
      <top style="medium">
        <color rgb="FFC00000"/>
      </top>
      <bottom style="medium">
        <color rgb="FFC00000"/>
      </bottom>
      <diagonal/>
    </border>
    <border>
      <left style="medium">
        <color rgb="FFFFFFFF"/>
      </left>
      <right/>
      <top style="thick">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style="medium">
        <color rgb="FFFFFFFF"/>
      </top>
      <bottom style="medium">
        <color rgb="FFFFFFFF"/>
      </bottom>
      <diagonal/>
    </border>
    <border>
      <left/>
      <right style="medium">
        <color rgb="FFFFFFFF"/>
      </right>
      <top style="thick">
        <color rgb="FFFFFFFF"/>
      </top>
      <bottom/>
      <diagonal/>
    </border>
    <border>
      <left/>
      <right/>
      <top style="thick">
        <color rgb="FFFFFFFF"/>
      </top>
      <bottom/>
      <diagonal/>
    </border>
    <border>
      <left/>
      <right style="medium">
        <color rgb="FFFFFFFF"/>
      </right>
      <top/>
      <bottom style="medium">
        <color rgb="FFFFFFF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808080"/>
      </left>
      <right style="thin">
        <color rgb="FF808080"/>
      </right>
      <top style="thin">
        <color rgb="FF808080"/>
      </top>
      <bottom style="thin">
        <color rgb="FF808080"/>
      </bottom>
      <diagonal/>
    </border>
    <border>
      <left style="medium">
        <color rgb="FFFFFFFF"/>
      </left>
      <right style="thin">
        <color rgb="FF000000"/>
      </right>
      <top style="thick">
        <color rgb="FFFFFFFF"/>
      </top>
      <bottom style="medium">
        <color rgb="FFFFFFFF"/>
      </bottom>
      <diagonal/>
    </border>
    <border>
      <left style="medium">
        <color rgb="FFFFFFFF"/>
      </left>
      <right style="thin">
        <color rgb="FF000000"/>
      </right>
      <top style="medium">
        <color rgb="FFFFFFFF"/>
      </top>
      <bottom style="medium">
        <color rgb="FFFFFFFF"/>
      </bottom>
      <diagonal/>
    </border>
    <border>
      <left style="medium">
        <color indexed="64"/>
      </left>
      <right style="thin">
        <color indexed="64"/>
      </right>
      <top/>
      <bottom style="thin">
        <color indexed="64"/>
      </bottom>
      <diagonal/>
    </border>
    <border>
      <left style="thin">
        <color theme="0" tint="-0.499984740745262"/>
      </left>
      <right style="thin">
        <color theme="0" tint="-0.499984740745262"/>
      </right>
      <top style="thin">
        <color indexed="64"/>
      </top>
      <bottom/>
      <diagonal/>
    </border>
    <border>
      <left style="thin">
        <color theme="0" tint="-0.499984740745262"/>
      </left>
      <right style="thin">
        <color rgb="FF808080"/>
      </right>
      <top style="thin">
        <color theme="0" tint="-0.499984740745262"/>
      </top>
      <bottom/>
      <diagonal/>
    </border>
    <border>
      <left style="thin">
        <color theme="0" tint="-0.499984740745262"/>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808080"/>
      </left>
      <right style="thin">
        <color rgb="FF808080"/>
      </right>
      <top style="thin">
        <color theme="0" tint="-0.499984740745262"/>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thin">
        <color indexed="64"/>
      </left>
      <right style="medium">
        <color rgb="FFFFFFFF"/>
      </right>
      <top style="thin">
        <color indexed="64"/>
      </top>
      <bottom style="thick">
        <color rgb="FFFFFFFF"/>
      </bottom>
      <diagonal/>
    </border>
    <border>
      <left style="medium">
        <color rgb="FFFFFFFF"/>
      </left>
      <right style="thin">
        <color rgb="FF000000"/>
      </right>
      <top style="thin">
        <color indexed="64"/>
      </top>
      <bottom style="thick">
        <color rgb="FFFFFFFF"/>
      </bottom>
      <diagonal/>
    </border>
    <border>
      <left style="medium">
        <color rgb="FFFFFFFF"/>
      </left>
      <right style="thin">
        <color indexed="64"/>
      </right>
      <top style="thin">
        <color indexed="64"/>
      </top>
      <bottom style="thick">
        <color rgb="FFFFFFFF"/>
      </bottom>
      <diagonal/>
    </border>
    <border>
      <left style="thin">
        <color indexed="64"/>
      </left>
      <right style="medium">
        <color rgb="FFFFFFFF"/>
      </right>
      <top style="thick">
        <color rgb="FFFFFFFF"/>
      </top>
      <bottom style="medium">
        <color rgb="FFFFFFFF"/>
      </bottom>
      <diagonal/>
    </border>
    <border>
      <left style="medium">
        <color rgb="FFFFFFFF"/>
      </left>
      <right style="thin">
        <color indexed="64"/>
      </right>
      <top style="thick">
        <color rgb="FFFFFFFF"/>
      </top>
      <bottom style="medium">
        <color rgb="FFFFFFFF"/>
      </bottom>
      <diagonal/>
    </border>
    <border>
      <left style="thin">
        <color indexed="64"/>
      </left>
      <right style="medium">
        <color rgb="FFFFFFFF"/>
      </right>
      <top style="medium">
        <color rgb="FFFFFFFF"/>
      </top>
      <bottom style="medium">
        <color rgb="FFFFFFFF"/>
      </bottom>
      <diagonal/>
    </border>
    <border>
      <left style="medium">
        <color rgb="FFFFFFFF"/>
      </left>
      <right style="thin">
        <color indexed="64"/>
      </right>
      <top style="medium">
        <color rgb="FFFFFFFF"/>
      </top>
      <bottom style="medium">
        <color rgb="FFFFFFFF"/>
      </bottom>
      <diagonal/>
    </border>
    <border>
      <left style="thin">
        <color indexed="64"/>
      </left>
      <right style="medium">
        <color rgb="FFFFFFFF"/>
      </right>
      <top style="medium">
        <color rgb="FFFFFFFF"/>
      </top>
      <bottom style="thin">
        <color indexed="64"/>
      </bottom>
      <diagonal/>
    </border>
    <border>
      <left style="medium">
        <color rgb="FFFFFFFF"/>
      </left>
      <right style="thin">
        <color rgb="FF000000"/>
      </right>
      <top style="medium">
        <color rgb="FFFFFFFF"/>
      </top>
      <bottom style="thin">
        <color indexed="64"/>
      </bottom>
      <diagonal/>
    </border>
    <border>
      <left style="medium">
        <color rgb="FFFFFFFF"/>
      </left>
      <right style="thin">
        <color indexed="64"/>
      </right>
      <top style="medium">
        <color rgb="FFFFFFFF"/>
      </top>
      <bottom style="thin">
        <color indexed="64"/>
      </bottom>
      <diagonal/>
    </border>
    <border>
      <left style="medium">
        <color rgb="FFFFFFFF"/>
      </left>
      <right style="thin">
        <color indexed="64"/>
      </right>
      <top style="thick">
        <color rgb="FFFFFFFF"/>
      </top>
      <bottom style="thin">
        <color indexed="64"/>
      </bottom>
      <diagonal/>
    </border>
    <border>
      <left style="thin">
        <color rgb="FF000000"/>
      </left>
      <right style="medium">
        <color rgb="FFFFFFFF"/>
      </right>
      <top style="medium">
        <color rgb="FFFFFFFF"/>
      </top>
      <bottom style="thin">
        <color indexed="64"/>
      </bottom>
      <diagonal/>
    </border>
    <border>
      <left style="thin">
        <color theme="0" tint="-0.499984740745262"/>
      </left>
      <right style="thin">
        <color indexed="64"/>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top style="thin">
        <color theme="0" tint="-0.499984740745262"/>
      </top>
      <bottom style="thin">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indexed="64"/>
      </right>
      <top style="medium">
        <color indexed="64"/>
      </top>
      <bottom style="thin">
        <color indexed="64"/>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top style="thin">
        <color indexed="64"/>
      </top>
      <bottom style="medium">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right/>
      <top/>
      <bottom style="thin">
        <color theme="1" tint="0.34998626667073579"/>
      </bottom>
      <diagonal/>
    </border>
    <border>
      <left style="thin">
        <color theme="1" tint="0.34998626667073579"/>
      </left>
      <right/>
      <top style="thin">
        <color theme="1" tint="0.34998626667073579"/>
      </top>
      <bottom/>
      <diagonal/>
    </border>
    <border>
      <left/>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top style="thin">
        <color theme="1" tint="0.34998626667073579"/>
      </top>
      <bottom style="thin">
        <color indexed="64"/>
      </bottom>
      <diagonal/>
    </border>
    <border>
      <left style="thin">
        <color indexed="64"/>
      </left>
      <right style="thin">
        <color theme="1" tint="0.34998626667073579"/>
      </right>
      <top style="thin">
        <color theme="1" tint="0.34998626667073579"/>
      </top>
      <bottom style="thin">
        <color indexed="64"/>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medium">
        <color indexed="64"/>
      </right>
      <top style="medium">
        <color theme="1" tint="0.34998626667073579"/>
      </top>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thin">
        <color theme="1" tint="0.34998626667073579"/>
      </left>
      <right style="medium">
        <color indexed="64"/>
      </right>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diagonal/>
    </border>
    <border>
      <left style="medium">
        <color indexed="64"/>
      </left>
      <right style="thin">
        <color rgb="FF595959"/>
      </right>
      <top style="medium">
        <color rgb="FF595959"/>
      </top>
      <bottom/>
      <diagonal/>
    </border>
    <border>
      <left style="medium">
        <color indexed="64"/>
      </left>
      <right style="thin">
        <color rgb="FF595959"/>
      </right>
      <top/>
      <bottom/>
      <diagonal/>
    </border>
    <border>
      <left style="medium">
        <color indexed="64"/>
      </left>
      <right style="thin">
        <color rgb="FF595959"/>
      </right>
      <top/>
      <bottom style="thin">
        <color rgb="FF595959"/>
      </bottom>
      <diagonal/>
    </border>
    <border>
      <left style="thin">
        <color rgb="FF595959"/>
      </left>
      <right style="thin">
        <color rgb="FF595959"/>
      </right>
      <top style="medium">
        <color rgb="FF595959"/>
      </top>
      <bottom/>
      <diagonal/>
    </border>
    <border>
      <left style="thin">
        <color rgb="FF595959"/>
      </left>
      <right style="thin">
        <color rgb="FF595959"/>
      </right>
      <top/>
      <bottom/>
      <diagonal/>
    </border>
    <border>
      <left style="thin">
        <color rgb="FF595959"/>
      </left>
      <right style="thin">
        <color rgb="FF595959"/>
      </right>
      <top/>
      <bottom style="thin">
        <color rgb="FF595959"/>
      </bottom>
      <diagonal/>
    </border>
    <border>
      <left style="thin">
        <color rgb="FF595959"/>
      </left>
      <right style="medium">
        <color indexed="64"/>
      </right>
      <top style="medium">
        <color rgb="FF595959"/>
      </top>
      <bottom/>
      <diagonal/>
    </border>
    <border>
      <left style="thin">
        <color rgb="FF595959"/>
      </left>
      <right style="medium">
        <color indexed="64"/>
      </right>
      <top/>
      <bottom/>
      <diagonal/>
    </border>
    <border>
      <left style="thin">
        <color rgb="FF595959"/>
      </left>
      <right style="medium">
        <color indexed="64"/>
      </right>
      <top/>
      <bottom style="thin">
        <color rgb="FF595959"/>
      </bottom>
      <diagonal/>
    </border>
    <border>
      <left/>
      <right style="thin">
        <color rgb="FF595959"/>
      </right>
      <top style="medium">
        <color rgb="FF595959"/>
      </top>
      <bottom style="thin">
        <color rgb="FF595959"/>
      </bottom>
      <diagonal/>
    </border>
    <border>
      <left style="thin">
        <color rgb="FF595959"/>
      </left>
      <right style="thin">
        <color rgb="FF595959"/>
      </right>
      <top style="medium">
        <color rgb="FF595959"/>
      </top>
      <bottom style="thin">
        <color rgb="FF595959"/>
      </bottom>
      <diagonal/>
    </border>
    <border>
      <left style="thin">
        <color rgb="FF595959"/>
      </left>
      <right style="medium">
        <color rgb="FF595959"/>
      </right>
      <top style="medium">
        <color rgb="FF595959"/>
      </top>
      <bottom style="thin">
        <color rgb="FF595959"/>
      </bottom>
      <diagonal/>
    </border>
    <border>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medium">
        <color rgb="FF595959"/>
      </right>
      <top style="thin">
        <color rgb="FF595959"/>
      </top>
      <bottom style="thin">
        <color rgb="FF595959"/>
      </bottom>
      <diagonal/>
    </border>
    <border>
      <left/>
      <right style="thin">
        <color rgb="FF595959"/>
      </right>
      <top style="thin">
        <color rgb="FF595959"/>
      </top>
      <bottom style="medium">
        <color rgb="FF595959"/>
      </bottom>
      <diagonal/>
    </border>
    <border>
      <left style="thin">
        <color rgb="FF595959"/>
      </left>
      <right style="thin">
        <color rgb="FF595959"/>
      </right>
      <top style="thin">
        <color rgb="FF595959"/>
      </top>
      <bottom style="medium">
        <color rgb="FF595959"/>
      </bottom>
      <diagonal/>
    </border>
    <border>
      <left style="thin">
        <color rgb="FF595959"/>
      </left>
      <right style="medium">
        <color rgb="FF595959"/>
      </right>
      <top style="thin">
        <color rgb="FF595959"/>
      </top>
      <bottom style="medium">
        <color rgb="FF59595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medium">
        <color rgb="FF000000"/>
      </left>
      <right style="thin">
        <color indexed="64"/>
      </right>
      <top style="medium">
        <color rgb="FF000000"/>
      </top>
      <bottom style="thin">
        <color indexed="64"/>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style="medium">
        <color indexed="64"/>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medium">
        <color rgb="FF000000"/>
      </left>
      <right style="thin">
        <color indexed="64"/>
      </right>
      <top style="medium">
        <color rgb="FF000000"/>
      </top>
      <bottom/>
      <diagonal/>
    </border>
    <border>
      <left style="thin">
        <color theme="0" tint="-0.499984740745262"/>
      </left>
      <right style="thin">
        <color theme="0" tint="-0.499984740745262"/>
      </right>
      <top style="medium">
        <color rgb="FF000000"/>
      </top>
      <bottom/>
      <diagonal/>
    </border>
    <border>
      <left style="thin">
        <color rgb="FF000000"/>
      </left>
      <right style="thin">
        <color rgb="FF000000"/>
      </right>
      <top style="medium">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style="thin">
        <color indexed="64"/>
      </right>
      <top style="medium">
        <color rgb="FF000000"/>
      </top>
      <bottom/>
      <diagonal/>
    </border>
    <border>
      <left/>
      <right style="medium">
        <color indexed="64"/>
      </right>
      <top style="medium">
        <color rgb="FF000000"/>
      </top>
      <bottom/>
      <diagonal/>
    </border>
  </borders>
  <cellStyleXfs count="14">
    <xf numFmtId="0" fontId="0" fillId="0" borderId="0"/>
    <xf numFmtId="0" fontId="2" fillId="0" borderId="0"/>
    <xf numFmtId="9" fontId="3" fillId="0" borderId="0" applyFont="0" applyFill="0" applyBorder="0" applyAlignment="0" applyProtection="0"/>
    <xf numFmtId="0" fontId="5" fillId="0" borderId="0" applyNumberFormat="0" applyFill="0" applyBorder="0" applyAlignment="0" applyProtection="0"/>
    <xf numFmtId="0" fontId="7" fillId="0" borderId="0"/>
    <xf numFmtId="0" fontId="9" fillId="0" borderId="0" applyNumberFormat="0" applyFill="0" applyBorder="0" applyAlignment="0" applyProtection="0"/>
    <xf numFmtId="43" fontId="3" fillId="0" borderId="0" applyFont="0" applyFill="0" applyBorder="0" applyAlignment="0" applyProtection="0"/>
    <xf numFmtId="0" fontId="3" fillId="0" borderId="0"/>
    <xf numFmtId="9" fontId="7" fillId="0" borderId="0" applyFont="0" applyFill="0" applyBorder="0" applyAlignment="0" applyProtection="0"/>
    <xf numFmtId="0" fontId="15" fillId="0" borderId="0"/>
    <xf numFmtId="0" fontId="17" fillId="0" borderId="0" applyNumberFormat="0" applyFill="0" applyBorder="0" applyAlignment="0" applyProtection="0"/>
    <xf numFmtId="0" fontId="7" fillId="0" borderId="0"/>
    <xf numFmtId="0" fontId="7" fillId="0" borderId="0"/>
    <xf numFmtId="0" fontId="3" fillId="0" borderId="0"/>
  </cellStyleXfs>
  <cellXfs count="781">
    <xf numFmtId="0" fontId="0" fillId="0" borderId="0" xfId="0"/>
    <xf numFmtId="0" fontId="9" fillId="0" borderId="0" xfId="5"/>
    <xf numFmtId="2" fontId="0" fillId="0" borderId="0" xfId="0" applyNumberFormat="1"/>
    <xf numFmtId="0" fontId="1" fillId="0" borderId="0" xfId="0" applyFont="1" applyAlignment="1">
      <alignment horizontal="center" vertical="center"/>
    </xf>
    <xf numFmtId="0" fontId="13" fillId="0" borderId="0" xfId="0" applyFont="1"/>
    <xf numFmtId="0" fontId="13"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vertical="center"/>
    </xf>
    <xf numFmtId="0" fontId="7" fillId="0" borderId="0" xfId="0" applyFont="1" applyAlignment="1">
      <alignment vertical="center" wrapText="1"/>
    </xf>
    <xf numFmtId="0" fontId="17" fillId="0" borderId="0" xfId="5" applyFont="1"/>
    <xf numFmtId="0" fontId="16" fillId="0" borderId="0" xfId="0" applyFont="1" applyAlignment="1">
      <alignment vertical="center"/>
    </xf>
    <xf numFmtId="0" fontId="2" fillId="0" borderId="2" xfId="1" applyBorder="1" applyAlignment="1">
      <alignment vertical="center" wrapText="1"/>
    </xf>
    <xf numFmtId="3" fontId="2" fillId="0" borderId="2" xfId="1" applyNumberFormat="1" applyBorder="1" applyAlignment="1">
      <alignment horizontal="center" vertical="center" wrapText="1"/>
    </xf>
    <xf numFmtId="0" fontId="2" fillId="0" borderId="2" xfId="1" applyBorder="1" applyAlignment="1">
      <alignment vertical="center"/>
    </xf>
    <xf numFmtId="0" fontId="2" fillId="0" borderId="2" xfId="1" applyBorder="1" applyAlignment="1">
      <alignment horizontal="center" vertical="center" wrapText="1"/>
    </xf>
    <xf numFmtId="0" fontId="7" fillId="0" borderId="2" xfId="0" applyFont="1" applyBorder="1" applyAlignment="1">
      <alignment vertical="center"/>
    </xf>
    <xf numFmtId="0" fontId="7" fillId="0" borderId="2" xfId="0" applyFont="1" applyBorder="1" applyAlignment="1">
      <alignment vertical="center" wrapText="1"/>
    </xf>
    <xf numFmtId="0" fontId="20" fillId="10" borderId="2" xfId="0" applyFont="1" applyFill="1" applyBorder="1" applyAlignment="1">
      <alignment vertical="center"/>
    </xf>
    <xf numFmtId="0" fontId="20" fillId="10" borderId="2" xfId="0" applyFont="1" applyFill="1" applyBorder="1" applyAlignment="1">
      <alignment horizontal="left" vertical="center"/>
    </xf>
    <xf numFmtId="3" fontId="7" fillId="0" borderId="2" xfId="7" applyNumberFormat="1" applyFont="1" applyBorder="1" applyAlignment="1">
      <alignment horizontal="center" vertical="center"/>
    </xf>
    <xf numFmtId="1" fontId="2" fillId="0" borderId="2" xfId="7" applyNumberFormat="1" applyFont="1" applyBorder="1" applyAlignment="1">
      <alignment horizontal="center" vertical="center"/>
    </xf>
    <xf numFmtId="1" fontId="22" fillId="0" borderId="2" xfId="7" quotePrefix="1" applyNumberFormat="1" applyFont="1" applyBorder="1" applyAlignment="1">
      <alignment horizontal="center" vertical="center"/>
    </xf>
    <xf numFmtId="1" fontId="2" fillId="0" borderId="2" xfId="7" quotePrefix="1" applyNumberFormat="1" applyFont="1" applyBorder="1" applyAlignment="1">
      <alignment horizontal="center" vertical="center"/>
    </xf>
    <xf numFmtId="3" fontId="12" fillId="0" borderId="2" xfId="3" applyNumberFormat="1" applyFont="1" applyFill="1" applyBorder="1" applyAlignment="1">
      <alignment horizontal="center" vertical="center" wrapText="1"/>
    </xf>
    <xf numFmtId="165" fontId="7" fillId="0" borderId="0" xfId="0" applyNumberFormat="1" applyFont="1" applyAlignment="1">
      <alignment horizontal="center" vertical="center"/>
    </xf>
    <xf numFmtId="0" fontId="7" fillId="0" borderId="0" xfId="0" applyFont="1" applyAlignment="1">
      <alignment horizontal="center" vertical="top" wrapText="1"/>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7" fillId="0" borderId="2" xfId="0" applyFont="1" applyBorder="1" applyAlignment="1">
      <alignment horizontal="left" vertical="center" wrapText="1"/>
    </xf>
    <xf numFmtId="9" fontId="7" fillId="0" borderId="0" xfId="2" applyFont="1" applyFill="1" applyBorder="1" applyAlignment="1">
      <alignment horizontal="center" vertical="center"/>
    </xf>
    <xf numFmtId="0" fontId="8" fillId="0" borderId="0" xfId="0" applyFont="1" applyAlignment="1">
      <alignment horizontal="center"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0" fontId="8" fillId="10" borderId="24" xfId="0" applyFont="1" applyFill="1" applyBorder="1" applyAlignment="1">
      <alignment horizontal="center" vertical="center"/>
    </xf>
    <xf numFmtId="9" fontId="7" fillId="0" borderId="0" xfId="0" applyNumberFormat="1" applyFont="1" applyAlignment="1">
      <alignment vertical="center"/>
    </xf>
    <xf numFmtId="0" fontId="8" fillId="0" borderId="0" xfId="0" applyFont="1" applyAlignment="1">
      <alignment vertical="center"/>
    </xf>
    <xf numFmtId="0" fontId="17" fillId="0" borderId="0" xfId="5" applyFont="1" applyAlignment="1">
      <alignment vertical="center"/>
    </xf>
    <xf numFmtId="0" fontId="25" fillId="0" borderId="0" xfId="0" applyFont="1" applyAlignment="1">
      <alignment horizontal="left" vertical="center"/>
    </xf>
    <xf numFmtId="0" fontId="26" fillId="10" borderId="15" xfId="0" applyFont="1" applyFill="1" applyBorder="1" applyAlignment="1">
      <alignment horizontal="center" vertical="center" wrapText="1"/>
    </xf>
    <xf numFmtId="3" fontId="7" fillId="0" borderId="2" xfId="0" applyNumberFormat="1" applyFont="1" applyBorder="1" applyAlignment="1">
      <alignment horizontal="center" vertical="center"/>
    </xf>
    <xf numFmtId="0" fontId="24" fillId="0" borderId="0" xfId="0" applyFont="1" applyAlignment="1">
      <alignment horizontal="center" vertical="center"/>
    </xf>
    <xf numFmtId="0" fontId="24" fillId="0" borderId="32" xfId="0" applyFont="1" applyBorder="1" applyAlignment="1">
      <alignment horizontal="center" vertical="center"/>
    </xf>
    <xf numFmtId="0" fontId="24" fillId="0" borderId="34" xfId="0" applyFont="1" applyBorder="1" applyAlignment="1">
      <alignment horizontal="center" vertical="center"/>
    </xf>
    <xf numFmtId="0" fontId="24" fillId="0" borderId="35" xfId="0" applyFont="1" applyBorder="1" applyAlignment="1">
      <alignment horizontal="center" vertical="center"/>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9" xfId="0" applyFont="1" applyBorder="1" applyAlignment="1">
      <alignment horizontal="center" vertical="center"/>
    </xf>
    <xf numFmtId="0" fontId="27" fillId="5" borderId="0" xfId="0" applyFont="1" applyFill="1" applyAlignment="1">
      <alignment vertical="center" wrapText="1"/>
    </xf>
    <xf numFmtId="0" fontId="24" fillId="5" borderId="0" xfId="0" applyFont="1" applyFill="1" applyAlignment="1">
      <alignment horizontal="center" vertical="center"/>
    </xf>
    <xf numFmtId="165" fontId="24" fillId="5" borderId="0" xfId="0" applyNumberFormat="1" applyFont="1" applyFill="1" applyAlignment="1">
      <alignment horizontal="center" vertical="center"/>
    </xf>
    <xf numFmtId="169" fontId="7" fillId="0" borderId="24" xfId="6" applyNumberFormat="1" applyFont="1" applyBorder="1" applyAlignment="1">
      <alignment horizontal="center" vertical="center"/>
    </xf>
    <xf numFmtId="0" fontId="25" fillId="0" borderId="0" xfId="0" applyFont="1" applyAlignment="1">
      <alignment horizontal="left"/>
    </xf>
    <xf numFmtId="0" fontId="26" fillId="0" borderId="0" xfId="0" applyFont="1" applyAlignment="1">
      <alignment horizontal="left" vertical="center" wrapText="1"/>
    </xf>
    <xf numFmtId="0" fontId="26"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0" fontId="8" fillId="2" borderId="0" xfId="0" applyFont="1" applyFill="1" applyAlignment="1">
      <alignment horizontal="center" vertical="center"/>
    </xf>
    <xf numFmtId="168" fontId="24" fillId="0" borderId="0" xfId="0" applyNumberFormat="1" applyFont="1" applyAlignment="1">
      <alignment horizontal="center" vertical="center"/>
    </xf>
    <xf numFmtId="0" fontId="14" fillId="0" borderId="0" xfId="0" applyFont="1" applyAlignment="1">
      <alignment vertical="center"/>
    </xf>
    <xf numFmtId="3" fontId="7" fillId="0" borderId="0" xfId="7" applyNumberFormat="1" applyFont="1" applyAlignment="1">
      <alignment horizontal="center" vertical="center"/>
    </xf>
    <xf numFmtId="0" fontId="31" fillId="0" borderId="0" xfId="0" applyFont="1"/>
    <xf numFmtId="0" fontId="32" fillId="2" borderId="0" xfId="0" applyFont="1" applyFill="1"/>
    <xf numFmtId="166" fontId="2" fillId="0" borderId="2" xfId="1" applyNumberFormat="1" applyBorder="1" applyAlignment="1">
      <alignment horizontal="center" vertical="center" wrapText="1"/>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0" fontId="8" fillId="0" borderId="26" xfId="4" applyFont="1" applyBorder="1" applyAlignment="1">
      <alignment horizontal="center" vertical="center"/>
    </xf>
    <xf numFmtId="0" fontId="8" fillId="0" borderId="24" xfId="4" applyFont="1" applyBorder="1" applyAlignment="1">
      <alignment horizontal="center" vertical="center"/>
    </xf>
    <xf numFmtId="9" fontId="7" fillId="0" borderId="0" xfId="0" applyNumberFormat="1" applyFont="1" applyAlignment="1">
      <alignment horizontal="left"/>
    </xf>
    <xf numFmtId="0" fontId="30" fillId="0" borderId="0" xfId="0" applyFont="1"/>
    <xf numFmtId="0" fontId="8" fillId="10" borderId="24" xfId="0" applyFont="1" applyFill="1" applyBorder="1" applyAlignment="1">
      <alignment horizontal="center" vertical="center" wrapText="1"/>
    </xf>
    <xf numFmtId="169" fontId="7" fillId="0" borderId="24" xfId="6" applyNumberFormat="1" applyFont="1" applyBorder="1" applyAlignment="1">
      <alignment horizontal="center"/>
    </xf>
    <xf numFmtId="0" fontId="7" fillId="0" borderId="24" xfId="0" applyFont="1" applyBorder="1" applyAlignment="1">
      <alignment horizontal="center"/>
    </xf>
    <xf numFmtId="0" fontId="23" fillId="0" borderId="0" xfId="0" applyFont="1" applyAlignment="1">
      <alignment horizontal="center" vertical="center"/>
    </xf>
    <xf numFmtId="0" fontId="34" fillId="0" borderId="0" xfId="0" applyFont="1"/>
    <xf numFmtId="0" fontId="7" fillId="5" borderId="0" xfId="0" applyFont="1" applyFill="1"/>
    <xf numFmtId="0" fontId="34" fillId="5" borderId="0" xfId="0" applyFont="1" applyFill="1"/>
    <xf numFmtId="0" fontId="7" fillId="5" borderId="53" xfId="0" applyFont="1" applyFill="1" applyBorder="1"/>
    <xf numFmtId="0" fontId="7" fillId="5" borderId="54" xfId="0" applyFont="1" applyFill="1" applyBorder="1"/>
    <xf numFmtId="0" fontId="7" fillId="5" borderId="53" xfId="0" applyFont="1" applyFill="1" applyBorder="1" applyAlignment="1">
      <alignment horizontal="center" vertical="center" wrapText="1"/>
    </xf>
    <xf numFmtId="0" fontId="7" fillId="5" borderId="54" xfId="0" applyFont="1" applyFill="1" applyBorder="1" applyAlignment="1">
      <alignment vertical="center" wrapText="1"/>
    </xf>
    <xf numFmtId="0" fontId="7" fillId="5" borderId="55" xfId="0" applyFont="1" applyFill="1" applyBorder="1"/>
    <xf numFmtId="0" fontId="7" fillId="5" borderId="56" xfId="0" applyFont="1" applyFill="1" applyBorder="1"/>
    <xf numFmtId="0" fontId="7" fillId="5" borderId="57" xfId="0" applyFont="1" applyFill="1" applyBorder="1"/>
    <xf numFmtId="0" fontId="24" fillId="0" borderId="24" xfId="0" applyFont="1" applyBorder="1" applyAlignment="1">
      <alignment horizontal="center" vertical="center" wrapText="1"/>
    </xf>
    <xf numFmtId="0" fontId="36" fillId="13" borderId="45" xfId="0" applyFont="1" applyFill="1" applyBorder="1" applyAlignment="1">
      <alignment horizontal="left" vertical="center" wrapText="1" readingOrder="1"/>
    </xf>
    <xf numFmtId="0" fontId="36" fillId="13" borderId="45" xfId="0" applyFont="1" applyFill="1" applyBorder="1" applyAlignment="1">
      <alignment horizontal="left" vertical="center" wrapText="1" indent="1" readingOrder="1"/>
    </xf>
    <xf numFmtId="0" fontId="36" fillId="13" borderId="45" xfId="0" applyFont="1" applyFill="1" applyBorder="1" applyAlignment="1">
      <alignment horizontal="center" vertical="center" wrapText="1" readingOrder="1"/>
    </xf>
    <xf numFmtId="0" fontId="25" fillId="14" borderId="46" xfId="0" applyFont="1" applyFill="1" applyBorder="1" applyAlignment="1">
      <alignment horizontal="left" vertical="center" wrapText="1" readingOrder="1"/>
    </xf>
    <xf numFmtId="9" fontId="25" fillId="14" borderId="46" xfId="0" applyNumberFormat="1" applyFont="1" applyFill="1" applyBorder="1" applyAlignment="1">
      <alignment horizontal="center" wrapText="1" readingOrder="1"/>
    </xf>
    <xf numFmtId="0" fontId="25" fillId="15" borderId="47" xfId="0" applyFont="1" applyFill="1" applyBorder="1" applyAlignment="1">
      <alignment horizontal="left" wrapText="1" readingOrder="1"/>
    </xf>
    <xf numFmtId="9" fontId="25" fillId="15" borderId="47" xfId="0" applyNumberFormat="1" applyFont="1" applyFill="1" applyBorder="1" applyAlignment="1">
      <alignment horizontal="center" wrapText="1" readingOrder="1"/>
    </xf>
    <xf numFmtId="0" fontId="25" fillId="14" borderId="62" xfId="0" applyFont="1" applyFill="1" applyBorder="1" applyAlignment="1">
      <alignment horizontal="left" vertical="center" wrapText="1" readingOrder="1"/>
    </xf>
    <xf numFmtId="0" fontId="36" fillId="13" borderId="63" xfId="0" applyFont="1" applyFill="1" applyBorder="1" applyAlignment="1">
      <alignment horizontal="center" vertical="center" wrapText="1" readingOrder="1"/>
    </xf>
    <xf numFmtId="9" fontId="25" fillId="14" borderId="61" xfId="0" applyNumberFormat="1" applyFont="1" applyFill="1" applyBorder="1" applyAlignment="1">
      <alignment horizontal="center" wrapText="1" readingOrder="1"/>
    </xf>
    <xf numFmtId="9" fontId="25" fillId="15" borderId="64" xfId="0" applyNumberFormat="1" applyFont="1" applyFill="1" applyBorder="1" applyAlignment="1">
      <alignment horizontal="center" wrapText="1" readingOrder="1"/>
    </xf>
    <xf numFmtId="9" fontId="25" fillId="15" borderId="65" xfId="0" applyNumberFormat="1" applyFont="1" applyFill="1" applyBorder="1" applyAlignment="1">
      <alignment horizontal="center" wrapText="1" readingOrder="1"/>
    </xf>
    <xf numFmtId="9" fontId="25" fillId="14" borderId="66" xfId="0" applyNumberFormat="1" applyFont="1" applyFill="1" applyBorder="1" applyAlignment="1">
      <alignment horizontal="center" wrapText="1" readingOrder="1"/>
    </xf>
    <xf numFmtId="9" fontId="25" fillId="15" borderId="61" xfId="0" applyNumberFormat="1" applyFont="1" applyFill="1" applyBorder="1" applyAlignment="1">
      <alignment horizontal="center" wrapText="1" readingOrder="1"/>
    </xf>
    <xf numFmtId="0" fontId="37" fillId="0" borderId="0" xfId="0" applyFont="1"/>
    <xf numFmtId="0" fontId="14" fillId="7" borderId="0" xfId="0" applyFont="1" applyFill="1" applyAlignment="1">
      <alignment vertical="center"/>
    </xf>
    <xf numFmtId="0" fontId="38" fillId="7" borderId="0" xfId="0" applyFont="1" applyFill="1"/>
    <xf numFmtId="9" fontId="25" fillId="14" borderId="62" xfId="0" applyNumberFormat="1" applyFont="1" applyFill="1" applyBorder="1" applyAlignment="1">
      <alignment horizontal="center" wrapText="1" readingOrder="1"/>
    </xf>
    <xf numFmtId="9" fontId="25" fillId="14" borderId="67" xfId="0" applyNumberFormat="1" applyFont="1" applyFill="1" applyBorder="1" applyAlignment="1">
      <alignment horizontal="center" wrapText="1" readingOrder="1"/>
    </xf>
    <xf numFmtId="9" fontId="25" fillId="15" borderId="68" xfId="0" applyNumberFormat="1" applyFont="1" applyFill="1" applyBorder="1" applyAlignment="1">
      <alignment horizontal="center" wrapText="1" readingOrder="1"/>
    </xf>
    <xf numFmtId="0" fontId="8" fillId="5" borderId="0" xfId="0" applyFont="1" applyFill="1" applyAlignment="1">
      <alignment vertical="center"/>
    </xf>
    <xf numFmtId="0" fontId="8" fillId="10" borderId="27" xfId="0" applyFont="1" applyFill="1" applyBorder="1" applyAlignment="1">
      <alignment horizontal="center" vertical="center" wrapText="1"/>
    </xf>
    <xf numFmtId="164" fontId="3" fillId="0" borderId="2" xfId="2" applyNumberFormat="1" applyFont="1" applyBorder="1"/>
    <xf numFmtId="0" fontId="25" fillId="10" borderId="2" xfId="0" applyFont="1" applyFill="1" applyBorder="1" applyAlignment="1">
      <alignment horizontal="center" vertical="center"/>
    </xf>
    <xf numFmtId="9" fontId="2" fillId="0" borderId="2" xfId="2" applyFont="1" applyFill="1" applyBorder="1" applyAlignment="1">
      <alignment horizontal="center" vertical="center"/>
    </xf>
    <xf numFmtId="0" fontId="26" fillId="0" borderId="0" xfId="0" applyFont="1" applyAlignment="1">
      <alignment horizontal="center" vertical="center"/>
    </xf>
    <xf numFmtId="9" fontId="8" fillId="0" borderId="0" xfId="2" applyFont="1" applyFill="1" applyBorder="1" applyAlignment="1">
      <alignment horizontal="center" vertical="center"/>
    </xf>
    <xf numFmtId="9" fontId="8" fillId="0" borderId="0" xfId="2" applyFont="1" applyFill="1" applyBorder="1" applyAlignment="1">
      <alignment vertical="center"/>
    </xf>
    <xf numFmtId="0" fontId="14" fillId="0" borderId="0" xfId="0" applyFont="1" applyAlignment="1">
      <alignment vertical="center" wrapText="1"/>
    </xf>
    <xf numFmtId="0" fontId="26" fillId="0" borderId="0" xfId="0" applyFont="1" applyAlignment="1">
      <alignment vertical="center"/>
    </xf>
    <xf numFmtId="0" fontId="7" fillId="0" borderId="2" xfId="0" applyFont="1" applyBorder="1" applyAlignment="1">
      <alignment horizontal="center"/>
    </xf>
    <xf numFmtId="3" fontId="7" fillId="0" borderId="0" xfId="0" applyNumberFormat="1" applyFont="1" applyAlignment="1">
      <alignment vertical="center"/>
    </xf>
    <xf numFmtId="9" fontId="8" fillId="0" borderId="28" xfId="0" applyNumberFormat="1" applyFont="1" applyBorder="1" applyAlignment="1">
      <alignment horizontal="center"/>
    </xf>
    <xf numFmtId="164" fontId="0" fillId="0" borderId="2" xfId="2" applyNumberFormat="1" applyFont="1" applyFill="1" applyBorder="1"/>
    <xf numFmtId="0" fontId="14" fillId="0" borderId="16" xfId="0" applyFont="1" applyBorder="1" applyAlignment="1">
      <alignment vertical="center"/>
    </xf>
    <xf numFmtId="9" fontId="7" fillId="0" borderId="24" xfId="0" applyNumberFormat="1" applyFont="1" applyBorder="1" applyAlignment="1">
      <alignment horizontal="center" vertical="center" wrapText="1"/>
    </xf>
    <xf numFmtId="0" fontId="20" fillId="17" borderId="2" xfId="0" applyFont="1" applyFill="1" applyBorder="1" applyAlignment="1">
      <alignment horizontal="center" vertical="center" wrapText="1"/>
    </xf>
    <xf numFmtId="0" fontId="26" fillId="17" borderId="70" xfId="0" applyFont="1" applyFill="1" applyBorder="1" applyAlignment="1">
      <alignment horizontal="center" vertical="center"/>
    </xf>
    <xf numFmtId="0" fontId="25" fillId="0" borderId="2" xfId="0" applyFont="1" applyBorder="1" applyAlignment="1">
      <alignment horizontal="center" vertical="center"/>
    </xf>
    <xf numFmtId="0" fontId="15" fillId="0" borderId="0" xfId="0" applyFont="1"/>
    <xf numFmtId="0" fontId="20" fillId="10" borderId="15" xfId="0" applyFont="1" applyFill="1" applyBorder="1" applyAlignment="1">
      <alignment horizontal="center" vertical="center" wrapText="1"/>
    </xf>
    <xf numFmtId="0" fontId="23" fillId="0" borderId="0" xfId="0" applyFont="1" applyAlignment="1">
      <alignment vertical="center" wrapText="1"/>
    </xf>
    <xf numFmtId="0" fontId="26" fillId="0" borderId="0" xfId="0" applyFont="1" applyAlignment="1">
      <alignment vertical="center" wrapText="1"/>
    </xf>
    <xf numFmtId="0" fontId="7" fillId="0" borderId="69" xfId="0" quotePrefix="1" applyFont="1" applyBorder="1" applyAlignment="1">
      <alignment horizontal="center" vertical="center" wrapText="1"/>
    </xf>
    <xf numFmtId="0" fontId="2" fillId="0" borderId="69" xfId="0" applyFont="1" applyBorder="1" applyAlignment="1">
      <alignment horizontal="center" vertical="center" wrapText="1"/>
    </xf>
    <xf numFmtId="0" fontId="7" fillId="6" borderId="24" xfId="0" applyFont="1" applyFill="1" applyBorder="1"/>
    <xf numFmtId="169" fontId="7" fillId="0" borderId="2" xfId="6" applyNumberFormat="1" applyFont="1" applyBorder="1" applyAlignment="1">
      <alignment horizontal="center" vertical="center"/>
    </xf>
    <xf numFmtId="0" fontId="8" fillId="5" borderId="22" xfId="0" applyFont="1" applyFill="1" applyBorder="1" applyAlignment="1">
      <alignment vertical="center"/>
    </xf>
    <xf numFmtId="169" fontId="25" fillId="14" borderId="71" xfId="0" applyNumberFormat="1" applyFont="1" applyFill="1" applyBorder="1" applyAlignment="1">
      <alignment horizontal="center" vertical="center" wrapText="1"/>
    </xf>
    <xf numFmtId="169" fontId="25" fillId="15" borderId="72" xfId="0" applyNumberFormat="1" applyFont="1" applyFill="1" applyBorder="1" applyAlignment="1">
      <alignment horizontal="center" vertical="center" wrapText="1"/>
    </xf>
    <xf numFmtId="169" fontId="25" fillId="14" borderId="72" xfId="0" applyNumberFormat="1" applyFont="1" applyFill="1" applyBorder="1" applyAlignment="1">
      <alignment horizontal="center" vertical="center" wrapText="1"/>
    </xf>
    <xf numFmtId="169" fontId="7" fillId="0" borderId="0" xfId="0" applyNumberFormat="1" applyFont="1" applyAlignment="1">
      <alignment vertical="center"/>
    </xf>
    <xf numFmtId="3" fontId="7" fillId="6" borderId="2" xfId="7" applyNumberFormat="1" applyFont="1" applyFill="1" applyBorder="1" applyAlignment="1">
      <alignment horizontal="center" vertical="center"/>
    </xf>
    <xf numFmtId="169" fontId="7" fillId="6" borderId="2" xfId="6" applyNumberFormat="1" applyFont="1" applyFill="1" applyBorder="1" applyAlignment="1">
      <alignment horizontal="center" vertical="center"/>
    </xf>
    <xf numFmtId="1" fontId="2" fillId="6" borderId="2" xfId="7" applyNumberFormat="1" applyFont="1" applyFill="1" applyBorder="1" applyAlignment="1">
      <alignment horizontal="center" vertical="center"/>
    </xf>
    <xf numFmtId="1" fontId="2" fillId="6" borderId="2" xfId="7" quotePrefix="1" applyNumberFormat="1" applyFont="1" applyFill="1" applyBorder="1" applyAlignment="1">
      <alignment horizontal="center" vertical="center"/>
    </xf>
    <xf numFmtId="0" fontId="44" fillId="0" borderId="2" xfId="0" applyFont="1" applyBorder="1" applyAlignment="1">
      <alignment vertical="center"/>
    </xf>
    <xf numFmtId="0" fontId="7" fillId="0" borderId="2" xfId="0" applyFont="1" applyBorder="1" applyAlignment="1">
      <alignment wrapText="1"/>
    </xf>
    <xf numFmtId="0" fontId="45" fillId="10" borderId="2" xfId="0" applyFont="1" applyFill="1" applyBorder="1" applyAlignment="1">
      <alignment horizontal="center" vertical="center"/>
    </xf>
    <xf numFmtId="0" fontId="43" fillId="0" borderId="2" xfId="0" applyFont="1" applyBorder="1" applyAlignment="1">
      <alignment vertical="center" wrapText="1"/>
    </xf>
    <xf numFmtId="0" fontId="2" fillId="0" borderId="0" xfId="0" applyFont="1"/>
    <xf numFmtId="0" fontId="25" fillId="0" borderId="70" xfId="0" applyFont="1" applyBorder="1" applyAlignment="1">
      <alignment horizontal="center" vertical="center" wrapText="1"/>
    </xf>
    <xf numFmtId="0" fontId="25" fillId="0" borderId="0" xfId="0" applyFont="1" applyAlignment="1">
      <alignment vertical="center"/>
    </xf>
    <xf numFmtId="0" fontId="25" fillId="0" borderId="0" xfId="0" applyFont="1" applyAlignment="1">
      <alignment horizontal="center" vertical="center" wrapText="1"/>
    </xf>
    <xf numFmtId="9" fontId="25" fillId="14" borderId="0" xfId="0" applyNumberFormat="1" applyFont="1" applyFill="1" applyAlignment="1">
      <alignment horizontal="center" wrapText="1" readingOrder="1"/>
    </xf>
    <xf numFmtId="9" fontId="25" fillId="15" borderId="0" xfId="0" applyNumberFormat="1" applyFont="1" applyFill="1" applyAlignment="1">
      <alignment horizontal="center" wrapText="1" readingOrder="1"/>
    </xf>
    <xf numFmtId="3" fontId="24" fillId="0" borderId="24" xfId="0" applyNumberFormat="1" applyFont="1" applyBorder="1" applyAlignment="1">
      <alignment horizontal="center" vertical="center" wrapText="1"/>
    </xf>
    <xf numFmtId="0" fontId="28" fillId="5" borderId="24" xfId="0" applyFont="1" applyFill="1" applyBorder="1" applyAlignment="1">
      <alignment horizontal="center" vertical="center" wrapText="1"/>
    </xf>
    <xf numFmtId="0" fontId="2" fillId="0" borderId="24" xfId="0" applyFont="1" applyBorder="1" applyAlignment="1">
      <alignment horizontal="center" vertical="center"/>
    </xf>
    <xf numFmtId="0" fontId="2" fillId="0" borderId="70" xfId="0" applyFont="1" applyBorder="1" applyAlignment="1">
      <alignment horizontal="center" vertical="center" wrapText="1"/>
    </xf>
    <xf numFmtId="0" fontId="46" fillId="0" borderId="0" xfId="0" applyFont="1"/>
    <xf numFmtId="168" fontId="2" fillId="0" borderId="24" xfId="0" applyNumberFormat="1" applyFont="1" applyBorder="1" applyAlignment="1">
      <alignment horizontal="center" vertical="center"/>
    </xf>
    <xf numFmtId="0" fontId="7" fillId="5" borderId="24" xfId="0" applyFont="1" applyFill="1" applyBorder="1" applyAlignment="1">
      <alignment horizontal="center" vertical="center"/>
    </xf>
    <xf numFmtId="0" fontId="7" fillId="0" borderId="0" xfId="0" applyFont="1" applyAlignment="1">
      <alignment wrapText="1"/>
    </xf>
    <xf numFmtId="0" fontId="7" fillId="5" borderId="0" xfId="0" applyFont="1" applyFill="1" applyAlignment="1">
      <alignment horizontal="center"/>
    </xf>
    <xf numFmtId="0" fontId="18" fillId="0" borderId="0" xfId="0" applyFont="1"/>
    <xf numFmtId="0" fontId="18" fillId="0" borderId="0" xfId="0" applyFont="1" applyAlignment="1">
      <alignment wrapText="1"/>
    </xf>
    <xf numFmtId="0" fontId="18" fillId="0" borderId="0" xfId="0" applyFont="1" applyAlignment="1">
      <alignment horizontal="center"/>
    </xf>
    <xf numFmtId="0" fontId="18" fillId="0" borderId="0" xfId="0" applyFont="1" applyAlignment="1">
      <alignment vertical="center"/>
    </xf>
    <xf numFmtId="0" fontId="7" fillId="0" borderId="24" xfId="0" applyFont="1" applyBorder="1" applyAlignment="1">
      <alignment vertical="center"/>
    </xf>
    <xf numFmtId="0" fontId="17" fillId="0" borderId="24" xfId="5" applyFont="1" applyBorder="1" applyAlignment="1">
      <alignment horizontal="center" vertical="center"/>
    </xf>
    <xf numFmtId="0" fontId="48" fillId="0" borderId="0" xfId="0" quotePrefix="1" applyFont="1"/>
    <xf numFmtId="0" fontId="47" fillId="2" borderId="0" xfId="0" applyFont="1" applyFill="1"/>
    <xf numFmtId="0" fontId="7" fillId="0" borderId="19" xfId="0" applyFont="1" applyBorder="1" applyAlignment="1">
      <alignment vertical="center"/>
    </xf>
    <xf numFmtId="164" fontId="7" fillId="0" borderId="2" xfId="2" applyNumberFormat="1" applyFont="1" applyBorder="1" applyAlignment="1">
      <alignment horizontal="center" vertical="center"/>
    </xf>
    <xf numFmtId="43" fontId="7" fillId="0" borderId="0" xfId="0" applyNumberFormat="1" applyFont="1" applyAlignment="1">
      <alignment vertical="center"/>
    </xf>
    <xf numFmtId="164" fontId="7" fillId="6" borderId="2" xfId="2" applyNumberFormat="1" applyFont="1" applyFill="1" applyBorder="1" applyAlignment="1">
      <alignment horizontal="center" vertical="center"/>
    </xf>
    <xf numFmtId="0" fontId="7" fillId="5" borderId="0" xfId="0" applyFont="1" applyFill="1" applyAlignment="1">
      <alignment vertical="center"/>
    </xf>
    <xf numFmtId="0" fontId="7" fillId="5" borderId="22" xfId="0" applyFont="1" applyFill="1" applyBorder="1" applyAlignment="1">
      <alignment vertical="center"/>
    </xf>
    <xf numFmtId="0" fontId="1" fillId="0" borderId="0" xfId="0" applyFont="1" applyAlignment="1">
      <alignment vertical="center"/>
    </xf>
    <xf numFmtId="0" fontId="2" fillId="0" borderId="0" xfId="0" applyFont="1" applyAlignment="1">
      <alignment vertical="center"/>
    </xf>
    <xf numFmtId="0" fontId="20" fillId="0" borderId="0" xfId="0" applyFont="1" applyAlignment="1">
      <alignment vertical="center"/>
    </xf>
    <xf numFmtId="3" fontId="7" fillId="0" borderId="24" xfId="0" applyNumberFormat="1" applyFont="1" applyBorder="1" applyAlignment="1">
      <alignment horizontal="center" vertical="center"/>
    </xf>
    <xf numFmtId="169" fontId="7" fillId="0" borderId="28" xfId="6" applyNumberFormat="1" applyFont="1" applyBorder="1" applyAlignment="1">
      <alignment horizontal="center" vertical="center"/>
    </xf>
    <xf numFmtId="0" fontId="49" fillId="0" borderId="0" xfId="0" applyFont="1" applyAlignment="1">
      <alignment wrapText="1"/>
    </xf>
    <xf numFmtId="0" fontId="38" fillId="0" borderId="0" xfId="0" applyFont="1"/>
    <xf numFmtId="0" fontId="44" fillId="0" borderId="15" xfId="0" applyFont="1" applyBorder="1" applyAlignment="1">
      <alignment vertical="center"/>
    </xf>
    <xf numFmtId="0" fontId="44" fillId="0" borderId="32" xfId="0" applyFont="1" applyBorder="1" applyAlignment="1">
      <alignment vertical="center"/>
    </xf>
    <xf numFmtId="0" fontId="25" fillId="0" borderId="0" xfId="0" applyFont="1" applyAlignment="1">
      <alignment horizontal="left" vertical="center" wrapText="1"/>
    </xf>
    <xf numFmtId="169" fontId="25" fillId="0" borderId="0" xfId="0" applyNumberFormat="1" applyFont="1" applyAlignment="1">
      <alignment horizontal="right" vertical="center" wrapText="1"/>
    </xf>
    <xf numFmtId="9" fontId="25" fillId="0" borderId="0" xfId="2" applyFont="1" applyFill="1" applyBorder="1" applyAlignment="1">
      <alignment horizontal="right" vertical="center" wrapText="1"/>
    </xf>
    <xf numFmtId="0" fontId="36" fillId="13" borderId="85" xfId="0" applyFont="1" applyFill="1" applyBorder="1" applyAlignment="1">
      <alignment horizontal="left" vertical="center" wrapText="1"/>
    </xf>
    <xf numFmtId="0" fontId="36" fillId="13" borderId="86" xfId="0" applyFont="1" applyFill="1" applyBorder="1" applyAlignment="1">
      <alignment horizontal="center" vertical="center" wrapText="1"/>
    </xf>
    <xf numFmtId="0" fontId="36" fillId="13" borderId="87" xfId="0" applyFont="1" applyFill="1" applyBorder="1" applyAlignment="1">
      <alignment horizontal="center" vertical="center" wrapText="1"/>
    </xf>
    <xf numFmtId="169" fontId="25" fillId="14" borderId="93" xfId="0" applyNumberFormat="1" applyFont="1" applyFill="1" applyBorder="1" applyAlignment="1">
      <alignment horizontal="center" vertical="center" wrapText="1"/>
    </xf>
    <xf numFmtId="0" fontId="25" fillId="14" borderId="96" xfId="0" applyFont="1" applyFill="1" applyBorder="1" applyAlignment="1">
      <alignment horizontal="right" vertical="center" wrapText="1"/>
    </xf>
    <xf numFmtId="0" fontId="26" fillId="0" borderId="0" xfId="0" applyFont="1" applyAlignment="1">
      <alignment horizontal="left" vertical="center"/>
    </xf>
    <xf numFmtId="0" fontId="7" fillId="0" borderId="32" xfId="0" applyFont="1" applyBorder="1"/>
    <xf numFmtId="0" fontId="7" fillId="0" borderId="15" xfId="0" applyFont="1" applyBorder="1"/>
    <xf numFmtId="0" fontId="26" fillId="10" borderId="23" xfId="0" applyFont="1" applyFill="1" applyBorder="1"/>
    <xf numFmtId="0" fontId="26" fillId="10" borderId="23" xfId="0" applyFont="1" applyFill="1" applyBorder="1" applyAlignment="1">
      <alignment wrapText="1"/>
    </xf>
    <xf numFmtId="0" fontId="26" fillId="10" borderId="23" xfId="0" applyFont="1" applyFill="1" applyBorder="1" applyAlignment="1">
      <alignment horizontal="center"/>
    </xf>
    <xf numFmtId="0" fontId="26" fillId="10" borderId="23" xfId="0" applyFont="1" applyFill="1" applyBorder="1" applyAlignment="1">
      <alignment horizontal="center" wrapText="1"/>
    </xf>
    <xf numFmtId="0" fontId="26" fillId="18" borderId="20" xfId="0" applyFont="1" applyFill="1" applyBorder="1" applyAlignment="1">
      <alignment wrapText="1"/>
    </xf>
    <xf numFmtId="9" fontId="25" fillId="0" borderId="23" xfId="0" applyNumberFormat="1" applyFont="1" applyBorder="1"/>
    <xf numFmtId="9" fontId="25" fillId="19" borderId="23" xfId="0" applyNumberFormat="1" applyFont="1" applyFill="1" applyBorder="1"/>
    <xf numFmtId="165" fontId="13" fillId="0" borderId="0" xfId="0" applyNumberFormat="1" applyFont="1" applyAlignment="1">
      <alignment horizontal="center" vertical="center"/>
    </xf>
    <xf numFmtId="0" fontId="16" fillId="2" borderId="0" xfId="0" applyFont="1" applyFill="1"/>
    <xf numFmtId="0" fontId="16" fillId="2" borderId="0" xfId="0" applyFont="1" applyFill="1" applyAlignment="1">
      <alignment horizontal="left"/>
    </xf>
    <xf numFmtId="0" fontId="16" fillId="2" borderId="0" xfId="0" applyFont="1" applyFill="1" applyAlignment="1">
      <alignment horizontal="center"/>
    </xf>
    <xf numFmtId="168" fontId="7" fillId="11" borderId="24" xfId="0" applyNumberFormat="1" applyFont="1" applyFill="1" applyBorder="1" applyAlignment="1">
      <alignment horizontal="center" vertical="center"/>
    </xf>
    <xf numFmtId="0" fontId="7" fillId="6" borderId="24" xfId="0" applyFont="1" applyFill="1" applyBorder="1" applyAlignment="1">
      <alignment horizontal="center" vertical="center"/>
    </xf>
    <xf numFmtId="0" fontId="7" fillId="3" borderId="24" xfId="0" applyFont="1" applyFill="1" applyBorder="1" applyAlignment="1">
      <alignment horizontal="center" vertical="center"/>
    </xf>
    <xf numFmtId="0" fontId="7" fillId="20" borderId="24" xfId="0" applyFont="1" applyFill="1" applyBorder="1" applyAlignment="1">
      <alignment horizontal="center" vertical="center"/>
    </xf>
    <xf numFmtId="2" fontId="7" fillId="6" borderId="24" xfId="0" applyNumberFormat="1" applyFont="1" applyFill="1" applyBorder="1" applyAlignment="1">
      <alignment horizontal="center" vertical="center"/>
    </xf>
    <xf numFmtId="0" fontId="35" fillId="6" borderId="24" xfId="0" applyFont="1" applyFill="1" applyBorder="1" applyAlignment="1">
      <alignment horizontal="center" vertical="center" wrapText="1"/>
    </xf>
    <xf numFmtId="0" fontId="8" fillId="10" borderId="25" xfId="0" applyFont="1" applyFill="1" applyBorder="1" applyAlignment="1">
      <alignment horizontal="center" vertical="center"/>
    </xf>
    <xf numFmtId="0" fontId="0" fillId="0" borderId="16" xfId="0" applyBorder="1" applyAlignment="1">
      <alignment vertical="center" wrapText="1"/>
    </xf>
    <xf numFmtId="0" fontId="42" fillId="0" borderId="0" xfId="0" applyFont="1"/>
    <xf numFmtId="0" fontId="8" fillId="10" borderId="2" xfId="0" applyFont="1" applyFill="1" applyBorder="1" applyAlignment="1">
      <alignment horizontal="center" vertical="center" wrapText="1"/>
    </xf>
    <xf numFmtId="0" fontId="7" fillId="0" borderId="28" xfId="0" applyFont="1" applyBorder="1" applyAlignment="1">
      <alignment horizontal="center" vertical="center"/>
    </xf>
    <xf numFmtId="0" fontId="7" fillId="6" borderId="2" xfId="0" applyFont="1" applyFill="1" applyBorder="1" applyAlignment="1">
      <alignment vertical="center"/>
    </xf>
    <xf numFmtId="3" fontId="7" fillId="6" borderId="24" xfId="0" applyNumberFormat="1" applyFont="1" applyFill="1" applyBorder="1" applyAlignment="1">
      <alignment horizontal="center" vertical="center"/>
    </xf>
    <xf numFmtId="169" fontId="7" fillId="6" borderId="28" xfId="6" applyNumberFormat="1" applyFont="1" applyFill="1" applyBorder="1" applyAlignment="1">
      <alignment horizontal="center" vertical="center"/>
    </xf>
    <xf numFmtId="0" fontId="7" fillId="6" borderId="28" xfId="0" applyFont="1" applyFill="1" applyBorder="1" applyAlignment="1">
      <alignment horizontal="center" vertical="center"/>
    </xf>
    <xf numFmtId="169" fontId="7" fillId="0" borderId="97" xfId="6" applyNumberFormat="1" applyFont="1" applyBorder="1" applyAlignment="1">
      <alignment horizontal="center" vertical="center"/>
    </xf>
    <xf numFmtId="169" fontId="7" fillId="6" borderId="97" xfId="6" applyNumberFormat="1" applyFont="1" applyFill="1" applyBorder="1" applyAlignment="1">
      <alignment horizontal="center" vertical="center"/>
    </xf>
    <xf numFmtId="3" fontId="7" fillId="6" borderId="98" xfId="0" applyNumberFormat="1" applyFont="1" applyFill="1" applyBorder="1" applyAlignment="1">
      <alignment horizontal="center" vertical="center"/>
    </xf>
    <xf numFmtId="169" fontId="7" fillId="6" borderId="99" xfId="6" applyNumberFormat="1" applyFont="1" applyFill="1" applyBorder="1" applyAlignment="1">
      <alignment horizontal="center" vertical="center"/>
    </xf>
    <xf numFmtId="0" fontId="7" fillId="6" borderId="98" xfId="0" applyFont="1" applyFill="1" applyBorder="1" applyAlignment="1">
      <alignment horizontal="center" vertical="center"/>
    </xf>
    <xf numFmtId="0" fontId="7" fillId="6" borderId="99" xfId="0" applyFont="1" applyFill="1" applyBorder="1" applyAlignment="1">
      <alignment horizontal="center" vertical="center"/>
    </xf>
    <xf numFmtId="9" fontId="12" fillId="0" borderId="2" xfId="2" applyFont="1" applyBorder="1" applyAlignment="1">
      <alignment horizontal="center" vertical="center" wrapText="1"/>
    </xf>
    <xf numFmtId="43" fontId="2" fillId="0" borderId="0" xfId="0" applyNumberFormat="1" applyFont="1" applyAlignment="1">
      <alignment vertical="center"/>
    </xf>
    <xf numFmtId="0" fontId="7" fillId="11" borderId="24" xfId="0" applyFont="1" applyFill="1" applyBorder="1" applyAlignment="1">
      <alignment horizontal="center" vertical="center"/>
    </xf>
    <xf numFmtId="0" fontId="7" fillId="11" borderId="24" xfId="0" applyFont="1" applyFill="1" applyBorder="1" applyAlignment="1">
      <alignment horizontal="center" vertical="center" wrapText="1"/>
    </xf>
    <xf numFmtId="0" fontId="7" fillId="6" borderId="27" xfId="0" applyFont="1" applyFill="1" applyBorder="1" applyAlignment="1">
      <alignment vertical="center"/>
    </xf>
    <xf numFmtId="0" fontId="7" fillId="6" borderId="24" xfId="0" applyFont="1" applyFill="1" applyBorder="1" applyAlignment="1">
      <alignment horizontal="center" vertical="center" wrapText="1"/>
    </xf>
    <xf numFmtId="0" fontId="2" fillId="20" borderId="24" xfId="0" applyFont="1" applyFill="1" applyBorder="1" applyAlignment="1">
      <alignment horizontal="center" vertical="center"/>
    </xf>
    <xf numFmtId="168" fontId="7" fillId="5" borderId="24" xfId="0" applyNumberFormat="1" applyFont="1" applyFill="1" applyBorder="1" applyAlignment="1">
      <alignment horizontal="center" vertical="center"/>
    </xf>
    <xf numFmtId="2" fontId="7" fillId="5" borderId="24" xfId="0" applyNumberFormat="1" applyFont="1" applyFill="1" applyBorder="1" applyAlignment="1">
      <alignment horizontal="center" vertical="center"/>
    </xf>
    <xf numFmtId="1" fontId="52" fillId="0" borderId="2" xfId="7" applyNumberFormat="1" applyFont="1" applyBorder="1" applyAlignment="1">
      <alignment horizontal="center" vertical="center"/>
    </xf>
    <xf numFmtId="10" fontId="52" fillId="0" borderId="0" xfId="2" applyNumberFormat="1" applyFont="1" applyBorder="1" applyAlignment="1">
      <alignment horizontal="left" vertical="center" wrapText="1"/>
    </xf>
    <xf numFmtId="0" fontId="12" fillId="0" borderId="2" xfId="3" applyFont="1" applyBorder="1" applyAlignment="1">
      <alignment horizontal="center" vertical="center" wrapText="1"/>
    </xf>
    <xf numFmtId="0" fontId="12" fillId="0" borderId="2" xfId="3" applyFont="1" applyFill="1" applyBorder="1" applyAlignment="1">
      <alignment horizontal="center" vertical="center" wrapText="1"/>
    </xf>
    <xf numFmtId="0" fontId="12" fillId="6" borderId="2" xfId="3" applyFont="1" applyFill="1" applyBorder="1" applyAlignment="1">
      <alignment horizontal="center" vertical="center" wrapText="1"/>
    </xf>
    <xf numFmtId="3" fontId="2" fillId="0" borderId="2" xfId="3" applyNumberFormat="1" applyFont="1" applyFill="1" applyBorder="1" applyAlignment="1">
      <alignment horizontal="center" vertical="center" wrapText="1"/>
    </xf>
    <xf numFmtId="4" fontId="8" fillId="0" borderId="0" xfId="0" applyNumberFormat="1" applyFont="1" applyAlignment="1">
      <alignment vertical="center"/>
    </xf>
    <xf numFmtId="0" fontId="34" fillId="0" borderId="0" xfId="0" applyFont="1" applyAlignment="1">
      <alignment vertical="center"/>
    </xf>
    <xf numFmtId="0" fontId="53" fillId="0" borderId="0" xfId="0" applyFont="1" applyAlignment="1">
      <alignment horizontal="left" vertical="center" indent="1"/>
    </xf>
    <xf numFmtId="0" fontId="54" fillId="0" borderId="0" xfId="0" applyFont="1" applyAlignment="1">
      <alignment vertical="center"/>
    </xf>
    <xf numFmtId="43" fontId="8" fillId="0" borderId="0" xfId="0" applyNumberFormat="1" applyFont="1" applyAlignment="1">
      <alignment vertical="center"/>
    </xf>
    <xf numFmtId="170" fontId="7" fillId="0" borderId="0" xfId="0" applyNumberFormat="1" applyFont="1" applyAlignment="1">
      <alignment vertical="center"/>
    </xf>
    <xf numFmtId="164" fontId="7" fillId="0" borderId="0" xfId="0" applyNumberFormat="1" applyFont="1" applyAlignment="1">
      <alignment vertical="center"/>
    </xf>
    <xf numFmtId="0" fontId="36" fillId="0" borderId="0" xfId="0" applyFont="1" applyAlignment="1">
      <alignment horizontal="left" vertical="center" wrapText="1"/>
    </xf>
    <xf numFmtId="0" fontId="36" fillId="0" borderId="0" xfId="0" applyFont="1" applyAlignment="1">
      <alignment horizontal="center" vertical="center" wrapText="1"/>
    </xf>
    <xf numFmtId="164" fontId="25" fillId="0" borderId="0" xfId="2" applyNumberFormat="1" applyFont="1" applyFill="1" applyBorder="1" applyAlignment="1">
      <alignment horizontal="right" vertical="center" wrapText="1"/>
    </xf>
    <xf numFmtId="169" fontId="25" fillId="0" borderId="0" xfId="0" applyNumberFormat="1" applyFont="1" applyAlignment="1">
      <alignment horizontal="center" vertical="center" wrapText="1"/>
    </xf>
    <xf numFmtId="4" fontId="8" fillId="0" borderId="0" xfId="0" applyNumberFormat="1"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17" fillId="0" borderId="0" xfId="5" applyFont="1" applyAlignment="1">
      <alignment horizontal="left"/>
    </xf>
    <xf numFmtId="0" fontId="24" fillId="0" borderId="4" xfId="0" applyFont="1" applyBorder="1" applyAlignment="1">
      <alignment horizontal="center" vertical="center"/>
    </xf>
    <xf numFmtId="0" fontId="24" fillId="0" borderId="6" xfId="0" applyFont="1" applyBorder="1" applyAlignment="1">
      <alignment horizontal="center" vertical="center"/>
    </xf>
    <xf numFmtId="0" fontId="24" fillId="0" borderId="8" xfId="0" applyFont="1" applyBorder="1" applyAlignment="1">
      <alignment horizontal="center" vertical="center"/>
    </xf>
    <xf numFmtId="170" fontId="8" fillId="0" borderId="0" xfId="0" applyNumberFormat="1" applyFont="1" applyAlignment="1">
      <alignment vertical="center"/>
    </xf>
    <xf numFmtId="171" fontId="8" fillId="0" borderId="0" xfId="0" applyNumberFormat="1" applyFont="1" applyAlignment="1">
      <alignment vertical="center"/>
    </xf>
    <xf numFmtId="4" fontId="26" fillId="0" borderId="0" xfId="0" applyNumberFormat="1" applyFont="1" applyAlignment="1">
      <alignment vertical="center"/>
    </xf>
    <xf numFmtId="3" fontId="12" fillId="0" borderId="2" xfId="3" applyNumberFormat="1" applyFont="1" applyBorder="1" applyAlignment="1">
      <alignment horizontal="center" vertical="center" wrapText="1"/>
    </xf>
    <xf numFmtId="169" fontId="7" fillId="0" borderId="2" xfId="6" applyNumberFormat="1" applyFont="1" applyBorder="1" applyAlignment="1">
      <alignment vertical="center"/>
    </xf>
    <xf numFmtId="0" fontId="51" fillId="0" borderId="0" xfId="13" applyFont="1" applyAlignment="1">
      <alignment horizontal="center" vertical="top"/>
    </xf>
    <xf numFmtId="0" fontId="36" fillId="13" borderId="85" xfId="0" applyFont="1" applyFill="1" applyBorder="1" applyAlignment="1">
      <alignment horizontal="center" vertical="center" wrapText="1"/>
    </xf>
    <xf numFmtId="0" fontId="25" fillId="14" borderId="88" xfId="0" applyFont="1" applyFill="1" applyBorder="1" applyAlignment="1">
      <alignment horizontal="center" vertical="center" wrapText="1"/>
    </xf>
    <xf numFmtId="0" fontId="25" fillId="15" borderId="90" xfId="0" applyFont="1" applyFill="1" applyBorder="1" applyAlignment="1">
      <alignment horizontal="center" vertical="center" wrapText="1"/>
    </xf>
    <xf numFmtId="0" fontId="25" fillId="15" borderId="92" xfId="0" applyFont="1" applyFill="1" applyBorder="1" applyAlignment="1">
      <alignment horizontal="center" vertical="center" wrapText="1"/>
    </xf>
    <xf numFmtId="9" fontId="25" fillId="14" borderId="89" xfId="2" applyFont="1" applyFill="1" applyBorder="1" applyAlignment="1">
      <alignment horizontal="center" vertical="center" wrapText="1"/>
    </xf>
    <xf numFmtId="9" fontId="25" fillId="15" borderId="91" xfId="2" applyFont="1" applyFill="1" applyBorder="1" applyAlignment="1">
      <alignment horizontal="center" vertical="center" wrapText="1"/>
    </xf>
    <xf numFmtId="169" fontId="25" fillId="14" borderId="71" xfId="0" applyNumberFormat="1" applyFont="1" applyFill="1" applyBorder="1" applyAlignment="1">
      <alignment vertical="center" wrapText="1"/>
    </xf>
    <xf numFmtId="169" fontId="25" fillId="15" borderId="72" xfId="0" applyNumberFormat="1" applyFont="1" applyFill="1" applyBorder="1" applyAlignment="1">
      <alignment vertical="center" wrapText="1"/>
    </xf>
    <xf numFmtId="164" fontId="25" fillId="14" borderId="89" xfId="2" applyNumberFormat="1" applyFont="1" applyFill="1" applyBorder="1" applyAlignment="1">
      <alignment horizontal="center" vertical="center" wrapText="1"/>
    </xf>
    <xf numFmtId="164" fontId="25" fillId="15" borderId="91" xfId="2" applyNumberFormat="1" applyFont="1" applyFill="1" applyBorder="1" applyAlignment="1">
      <alignment horizontal="center" vertical="center" wrapText="1"/>
    </xf>
    <xf numFmtId="164" fontId="25" fillId="14" borderId="95" xfId="2" applyNumberFormat="1" applyFont="1" applyFill="1" applyBorder="1" applyAlignment="1">
      <alignment horizontal="center" vertical="center" wrapText="1"/>
    </xf>
    <xf numFmtId="0" fontId="25" fillId="14" borderId="90" xfId="0" applyFont="1" applyFill="1" applyBorder="1" applyAlignment="1">
      <alignment horizontal="center" vertical="center" wrapText="1"/>
    </xf>
    <xf numFmtId="0" fontId="25" fillId="14" borderId="92" xfId="0" applyFont="1" applyFill="1" applyBorder="1" applyAlignment="1">
      <alignment horizontal="center" vertical="center" wrapText="1"/>
    </xf>
    <xf numFmtId="9" fontId="25" fillId="14" borderId="95" xfId="2" applyFont="1" applyFill="1" applyBorder="1" applyAlignment="1">
      <alignment horizontal="center" vertical="center" wrapText="1"/>
    </xf>
    <xf numFmtId="169" fontId="25" fillId="15" borderId="93" xfId="0" applyNumberFormat="1" applyFont="1" applyFill="1" applyBorder="1" applyAlignment="1">
      <alignment vertical="center" wrapText="1"/>
    </xf>
    <xf numFmtId="164" fontId="25" fillId="15" borderId="94" xfId="2" applyNumberFormat="1" applyFont="1" applyFill="1" applyBorder="1" applyAlignment="1">
      <alignment horizontal="center" vertical="center" wrapText="1"/>
    </xf>
    <xf numFmtId="169" fontId="7" fillId="0" borderId="2" xfId="6" applyNumberFormat="1" applyFont="1" applyFill="1" applyBorder="1" applyAlignment="1">
      <alignment horizontal="center" vertical="center"/>
    </xf>
    <xf numFmtId="164" fontId="25" fillId="14" borderId="71" xfId="2" applyNumberFormat="1" applyFont="1" applyFill="1" applyBorder="1" applyAlignment="1">
      <alignment horizontal="center" vertical="center" wrapText="1"/>
    </xf>
    <xf numFmtId="169" fontId="7" fillId="0" borderId="0" xfId="6" applyNumberFormat="1" applyFont="1" applyFill="1" applyAlignment="1">
      <alignment horizontal="center" vertical="center"/>
    </xf>
    <xf numFmtId="0" fontId="7" fillId="0" borderId="22" xfId="0" applyFont="1" applyBorder="1" applyAlignment="1">
      <alignment vertical="center"/>
    </xf>
    <xf numFmtId="10" fontId="7" fillId="0" borderId="0" xfId="0" applyNumberFormat="1" applyFont="1" applyAlignment="1">
      <alignment vertical="center"/>
    </xf>
    <xf numFmtId="0" fontId="21" fillId="10" borderId="100" xfId="0" applyFont="1" applyFill="1" applyBorder="1" applyAlignment="1">
      <alignment horizontal="center" vertical="center" wrapText="1"/>
    </xf>
    <xf numFmtId="0" fontId="20" fillId="10" borderId="100" xfId="0" applyFont="1" applyFill="1" applyBorder="1" applyAlignment="1">
      <alignment horizontal="center" vertical="center" wrapText="1"/>
    </xf>
    <xf numFmtId="0" fontId="20" fillId="10" borderId="100" xfId="0" applyFont="1" applyFill="1" applyBorder="1" applyAlignment="1">
      <alignment horizontal="center" vertical="center"/>
    </xf>
    <xf numFmtId="0" fontId="26" fillId="17" borderId="100" xfId="0" applyFont="1" applyFill="1" applyBorder="1" applyAlignment="1">
      <alignment horizontal="center" vertical="center" wrapText="1"/>
    </xf>
    <xf numFmtId="0" fontId="24" fillId="0" borderId="106" xfId="0" applyFont="1" applyBorder="1" applyAlignment="1">
      <alignment horizontal="center" vertical="center"/>
    </xf>
    <xf numFmtId="2" fontId="24" fillId="0" borderId="1" xfId="0" applyNumberFormat="1" applyFont="1" applyBorder="1" applyAlignment="1">
      <alignment horizontal="center" vertical="center"/>
    </xf>
    <xf numFmtId="2" fontId="24" fillId="0" borderId="5" xfId="0" applyNumberFormat="1" applyFont="1" applyBorder="1" applyAlignment="1">
      <alignment horizontal="center" vertical="center"/>
    </xf>
    <xf numFmtId="0" fontId="24" fillId="0" borderId="14" xfId="0" applyFont="1" applyBorder="1" applyAlignment="1">
      <alignment horizontal="center" vertical="center"/>
    </xf>
    <xf numFmtId="2" fontId="24" fillId="0" borderId="2" xfId="0" applyNumberFormat="1" applyFont="1" applyBorder="1" applyAlignment="1">
      <alignment horizontal="center" vertical="center"/>
    </xf>
    <xf numFmtId="2" fontId="55" fillId="0" borderId="15" xfId="0" applyNumberFormat="1" applyFont="1" applyBorder="1" applyAlignment="1">
      <alignment horizontal="center" vertical="center"/>
    </xf>
    <xf numFmtId="2" fontId="55" fillId="0" borderId="2" xfId="0" applyNumberFormat="1" applyFont="1" applyBorder="1" applyAlignment="1">
      <alignment horizontal="center" vertical="center"/>
    </xf>
    <xf numFmtId="2" fontId="24" fillId="0" borderId="7" xfId="0" applyNumberFormat="1" applyFont="1" applyBorder="1" applyAlignment="1">
      <alignment horizontal="center" vertical="center"/>
    </xf>
    <xf numFmtId="0" fontId="24" fillId="0" borderId="17" xfId="0" applyFont="1" applyBorder="1" applyAlignment="1">
      <alignment horizontal="center" vertical="center"/>
    </xf>
    <xf numFmtId="2" fontId="24" fillId="0" borderId="15" xfId="0" applyNumberFormat="1" applyFont="1" applyBorder="1" applyAlignment="1">
      <alignment horizontal="center" vertical="center"/>
    </xf>
    <xf numFmtId="2" fontId="24" fillId="0" borderId="114" xfId="0" applyNumberFormat="1" applyFont="1" applyBorder="1" applyAlignment="1">
      <alignment horizontal="center" vertical="center"/>
    </xf>
    <xf numFmtId="0" fontId="24" fillId="0" borderId="116" xfId="0" applyFont="1" applyBorder="1" applyAlignment="1">
      <alignment horizontal="center" vertical="center"/>
    </xf>
    <xf numFmtId="0" fontId="24" fillId="0" borderId="117" xfId="0" applyFont="1" applyBorder="1" applyAlignment="1">
      <alignment horizontal="center" vertical="center"/>
    </xf>
    <xf numFmtId="0" fontId="24" fillId="0" borderId="118" xfId="0" applyFont="1" applyBorder="1" applyAlignment="1">
      <alignment horizontal="center" vertical="center"/>
    </xf>
    <xf numFmtId="2" fontId="24" fillId="0" borderId="43" xfId="0" applyNumberFormat="1" applyFont="1" applyBorder="1" applyAlignment="1">
      <alignment horizontal="center" vertical="center"/>
    </xf>
    <xf numFmtId="2" fontId="24" fillId="0" borderId="9" xfId="0" applyNumberFormat="1" applyFont="1" applyBorder="1" applyAlignment="1">
      <alignment horizontal="center" vertical="center"/>
    </xf>
    <xf numFmtId="2" fontId="55" fillId="0" borderId="120" xfId="0" applyNumberFormat="1" applyFont="1" applyBorder="1" applyAlignment="1">
      <alignment horizontal="center" vertical="center"/>
    </xf>
    <xf numFmtId="2" fontId="55" fillId="0" borderId="121" xfId="0" applyNumberFormat="1" applyFont="1" applyBorder="1" applyAlignment="1">
      <alignment horizontal="center" vertical="center"/>
    </xf>
    <xf numFmtId="2" fontId="55" fillId="0" borderId="69" xfId="0" applyNumberFormat="1" applyFont="1" applyBorder="1" applyAlignment="1">
      <alignment horizontal="center" vertical="center"/>
    </xf>
    <xf numFmtId="2" fontId="55" fillId="0" borderId="122" xfId="0" applyNumberFormat="1" applyFont="1" applyBorder="1" applyAlignment="1">
      <alignment horizontal="center" vertical="center"/>
    </xf>
    <xf numFmtId="0" fontId="24" fillId="0" borderId="125" xfId="0" applyFont="1" applyBorder="1" applyAlignment="1">
      <alignment horizontal="center" vertical="center"/>
    </xf>
    <xf numFmtId="2" fontId="55" fillId="0" borderId="126" xfId="0" applyNumberFormat="1" applyFont="1" applyBorder="1" applyAlignment="1">
      <alignment horizontal="center" vertical="center"/>
    </xf>
    <xf numFmtId="2" fontId="55" fillId="0" borderId="127" xfId="0" applyNumberFormat="1" applyFont="1" applyBorder="1" applyAlignment="1">
      <alignment horizontal="center" vertical="center"/>
    </xf>
    <xf numFmtId="0" fontId="24" fillId="0" borderId="129" xfId="0" applyFont="1" applyBorder="1" applyAlignment="1">
      <alignment horizontal="center" vertical="center"/>
    </xf>
    <xf numFmtId="2" fontId="24" fillId="0" borderId="20" xfId="0" applyNumberFormat="1" applyFont="1" applyBorder="1" applyAlignment="1">
      <alignment horizontal="center" vertical="center"/>
    </xf>
    <xf numFmtId="2" fontId="24" fillId="0" borderId="130" xfId="0" applyNumberFormat="1" applyFont="1" applyBorder="1" applyAlignment="1">
      <alignment horizontal="center" vertical="center"/>
    </xf>
    <xf numFmtId="2" fontId="24" fillId="0" borderId="128" xfId="0" applyNumberFormat="1" applyFont="1" applyBorder="1" applyAlignment="1">
      <alignment horizontal="center" vertical="center"/>
    </xf>
    <xf numFmtId="2" fontId="24" fillId="0" borderId="131" xfId="0" applyNumberFormat="1" applyFont="1" applyBorder="1" applyAlignment="1">
      <alignment horizontal="center" vertical="center"/>
    </xf>
    <xf numFmtId="2" fontId="24" fillId="0" borderId="100" xfId="0" applyNumberFormat="1" applyFont="1" applyBorder="1" applyAlignment="1">
      <alignment horizontal="center" vertical="center"/>
    </xf>
    <xf numFmtId="2" fontId="24" fillId="0" borderId="132" xfId="0" applyNumberFormat="1" applyFont="1" applyBorder="1" applyAlignment="1">
      <alignment horizontal="center" vertical="center"/>
    </xf>
    <xf numFmtId="2" fontId="24" fillId="0" borderId="123" xfId="0" applyNumberFormat="1" applyFont="1" applyBorder="1" applyAlignment="1">
      <alignment horizontal="center" vertical="center"/>
    </xf>
    <xf numFmtId="2" fontId="24" fillId="0" borderId="133" xfId="0" applyNumberFormat="1" applyFont="1" applyBorder="1" applyAlignment="1">
      <alignment horizontal="center" vertical="center"/>
    </xf>
    <xf numFmtId="1" fontId="24" fillId="0" borderId="1" xfId="0" applyNumberFormat="1" applyFont="1" applyBorder="1" applyAlignment="1">
      <alignment horizontal="center" vertical="center"/>
    </xf>
    <xf numFmtId="1" fontId="24" fillId="0" borderId="5" xfId="0" applyNumberFormat="1" applyFont="1" applyBorder="1" applyAlignment="1">
      <alignment horizontal="center" vertical="center"/>
    </xf>
    <xf numFmtId="1" fontId="24" fillId="0" borderId="2" xfId="0" applyNumberFormat="1" applyFont="1" applyBorder="1" applyAlignment="1">
      <alignment horizontal="center" vertical="center"/>
    </xf>
    <xf numFmtId="1" fontId="24" fillId="0" borderId="7" xfId="0" applyNumberFormat="1" applyFont="1" applyBorder="1" applyAlignment="1">
      <alignment horizontal="center" vertical="center"/>
    </xf>
    <xf numFmtId="1" fontId="24" fillId="0" borderId="43" xfId="0" applyNumberFormat="1" applyFont="1" applyBorder="1" applyAlignment="1">
      <alignment horizontal="center" vertical="center"/>
    </xf>
    <xf numFmtId="1" fontId="24" fillId="0" borderId="9" xfId="0" applyNumberFormat="1" applyFont="1" applyBorder="1" applyAlignment="1">
      <alignment horizontal="center" vertical="center"/>
    </xf>
    <xf numFmtId="0" fontId="24" fillId="0" borderId="73" xfId="0" applyFont="1" applyBorder="1" applyAlignment="1">
      <alignment horizontal="center" vertical="center"/>
    </xf>
    <xf numFmtId="1" fontId="24" fillId="0" borderId="20" xfId="0" applyNumberFormat="1" applyFont="1" applyBorder="1" applyAlignment="1">
      <alignment horizontal="center" vertical="center"/>
    </xf>
    <xf numFmtId="1" fontId="24" fillId="0" borderId="130" xfId="0" applyNumberFormat="1" applyFont="1" applyBorder="1" applyAlignment="1">
      <alignment horizontal="center" vertical="center"/>
    </xf>
    <xf numFmtId="0" fontId="24" fillId="0" borderId="148" xfId="0" applyFont="1" applyBorder="1" applyAlignment="1">
      <alignment horizontal="center" vertical="center"/>
    </xf>
    <xf numFmtId="0" fontId="24" fillId="0" borderId="152" xfId="0" applyFont="1" applyBorder="1" applyAlignment="1">
      <alignment horizontal="center" vertical="center"/>
    </xf>
    <xf numFmtId="1" fontId="24" fillId="0" borderId="115" xfId="0" applyNumberFormat="1" applyFont="1" applyBorder="1" applyAlignment="1">
      <alignment horizontal="center" vertical="center"/>
    </xf>
    <xf numFmtId="1" fontId="24" fillId="0" borderId="159" xfId="0" applyNumberFormat="1" applyFont="1" applyBorder="1" applyAlignment="1">
      <alignment horizontal="center" vertical="center"/>
    </xf>
    <xf numFmtId="1" fontId="24" fillId="0" borderId="123" xfId="0" applyNumberFormat="1" applyFont="1" applyBorder="1" applyAlignment="1">
      <alignment horizontal="center" vertical="center"/>
    </xf>
    <xf numFmtId="1" fontId="24" fillId="0" borderId="133" xfId="0" applyNumberFormat="1" applyFont="1" applyBorder="1" applyAlignment="1">
      <alignment horizontal="center" vertical="center"/>
    </xf>
    <xf numFmtId="0" fontId="8" fillId="10" borderId="112" xfId="0" applyFont="1" applyFill="1" applyBorder="1" applyAlignment="1">
      <alignment horizontal="center" vertical="center"/>
    </xf>
    <xf numFmtId="0" fontId="26" fillId="17" borderId="112" xfId="0" applyFont="1" applyFill="1" applyBorder="1" applyAlignment="1">
      <alignment horizontal="center" vertical="center" wrapText="1"/>
    </xf>
    <xf numFmtId="0" fontId="26" fillId="17" borderId="112" xfId="0" applyFont="1" applyFill="1" applyBorder="1" applyAlignment="1">
      <alignment horizontal="center" vertical="center"/>
    </xf>
    <xf numFmtId="0" fontId="8" fillId="10" borderId="112" xfId="0" applyFont="1" applyFill="1" applyBorder="1" applyAlignment="1">
      <alignment horizontal="center" vertical="center" wrapText="1"/>
    </xf>
    <xf numFmtId="0" fontId="20" fillId="10" borderId="69" xfId="0" applyFont="1" applyFill="1" applyBorder="1" applyAlignment="1">
      <alignment horizontal="center" vertical="center" wrapText="1"/>
    </xf>
    <xf numFmtId="1" fontId="12" fillId="0" borderId="69" xfId="3" applyNumberFormat="1" applyFont="1" applyBorder="1" applyAlignment="1">
      <alignment horizontal="left" vertical="center" wrapText="1"/>
    </xf>
    <xf numFmtId="0" fontId="2" fillId="0" borderId="69" xfId="0" applyFont="1" applyBorder="1"/>
    <xf numFmtId="1" fontId="12" fillId="0" borderId="0" xfId="3" applyNumberFormat="1" applyFont="1" applyBorder="1" applyAlignment="1">
      <alignment horizontal="left" vertical="center" wrapText="1"/>
    </xf>
    <xf numFmtId="0" fontId="8" fillId="17" borderId="112" xfId="0" applyFont="1" applyFill="1" applyBorder="1" applyAlignment="1">
      <alignment horizontal="center" vertical="center" wrapText="1"/>
    </xf>
    <xf numFmtId="0" fontId="8" fillId="17" borderId="112" xfId="0" applyFont="1" applyFill="1" applyBorder="1" applyAlignment="1">
      <alignment horizontal="center" vertical="center"/>
    </xf>
    <xf numFmtId="2" fontId="7" fillId="0" borderId="2" xfId="0" applyNumberFormat="1" applyFont="1" applyBorder="1" applyAlignment="1">
      <alignment horizontal="center" vertical="center"/>
    </xf>
    <xf numFmtId="0" fontId="52" fillId="5" borderId="163" xfId="0" applyFont="1" applyFill="1" applyBorder="1" applyAlignment="1">
      <alignment horizontal="left" vertical="center"/>
    </xf>
    <xf numFmtId="0" fontId="7" fillId="5" borderId="164" xfId="0" applyFont="1" applyFill="1" applyBorder="1" applyAlignment="1">
      <alignment horizontal="left" vertical="center"/>
    </xf>
    <xf numFmtId="0" fontId="7" fillId="5" borderId="164" xfId="0" applyFont="1" applyFill="1" applyBorder="1" applyAlignment="1">
      <alignment vertical="center"/>
    </xf>
    <xf numFmtId="0" fontId="25" fillId="5" borderId="164" xfId="0" applyFont="1" applyFill="1" applyBorder="1" applyAlignment="1">
      <alignment horizontal="center" vertical="center" wrapText="1"/>
    </xf>
    <xf numFmtId="0" fontId="7" fillId="5" borderId="164" xfId="0" applyFont="1" applyFill="1" applyBorder="1"/>
    <xf numFmtId="0" fontId="7" fillId="5" borderId="118" xfId="0" applyFont="1" applyFill="1" applyBorder="1"/>
    <xf numFmtId="0" fontId="52" fillId="5" borderId="145" xfId="0" applyFont="1" applyFill="1" applyBorder="1" applyAlignment="1">
      <alignment horizontal="left" vertical="center"/>
    </xf>
    <xf numFmtId="9" fontId="7" fillId="5" borderId="0" xfId="0" applyNumberFormat="1" applyFont="1" applyFill="1"/>
    <xf numFmtId="0" fontId="7" fillId="5" borderId="146" xfId="0" applyFont="1" applyFill="1" applyBorder="1" applyAlignment="1">
      <alignment vertical="center"/>
    </xf>
    <xf numFmtId="0" fontId="7" fillId="0" borderId="165" xfId="0" applyFont="1" applyBorder="1" applyAlignment="1">
      <alignment horizontal="center" vertical="center"/>
    </xf>
    <xf numFmtId="0" fontId="2" fillId="0" borderId="166" xfId="0" applyFont="1" applyBorder="1" applyAlignment="1">
      <alignment horizontal="center" vertical="center" wrapText="1"/>
    </xf>
    <xf numFmtId="2" fontId="2" fillId="0" borderId="2" xfId="0" applyNumberFormat="1" applyFont="1" applyBorder="1" applyAlignment="1">
      <alignment horizontal="center" vertical="center"/>
    </xf>
    <xf numFmtId="0" fontId="7" fillId="0" borderId="167" xfId="0" applyFont="1" applyBorder="1" applyAlignment="1">
      <alignment horizontal="center" vertical="center" wrapText="1"/>
    </xf>
    <xf numFmtId="0" fontId="7" fillId="0" borderId="165" xfId="0" applyFont="1" applyBorder="1" applyAlignment="1">
      <alignment vertical="center" wrapText="1"/>
    </xf>
    <xf numFmtId="2" fontId="7" fillId="0" borderId="0" xfId="0" applyNumberFormat="1" applyFont="1"/>
    <xf numFmtId="0" fontId="8" fillId="0" borderId="2" xfId="0" applyFont="1" applyBorder="1" applyAlignment="1">
      <alignment horizontal="center" vertical="center"/>
    </xf>
    <xf numFmtId="0" fontId="8" fillId="0" borderId="15" xfId="0" applyFont="1" applyBorder="1" applyAlignment="1">
      <alignment horizontal="center" vertical="center"/>
    </xf>
    <xf numFmtId="1" fontId="24" fillId="0" borderId="100" xfId="0" applyNumberFormat="1" applyFont="1" applyBorder="1" applyAlignment="1">
      <alignment horizontal="center" vertical="center"/>
    </xf>
    <xf numFmtId="1" fontId="24" fillId="0" borderId="132" xfId="0" applyNumberFormat="1" applyFont="1" applyBorder="1" applyAlignment="1">
      <alignment horizontal="center" vertical="center"/>
    </xf>
    <xf numFmtId="2" fontId="24" fillId="0" borderId="170" xfId="0" applyNumberFormat="1" applyFont="1" applyBorder="1" applyAlignment="1">
      <alignment horizontal="center" vertical="center"/>
    </xf>
    <xf numFmtId="2" fontId="24" fillId="0" borderId="101" xfId="0" applyNumberFormat="1" applyFont="1" applyBorder="1" applyAlignment="1">
      <alignment horizontal="center" vertical="center"/>
    </xf>
    <xf numFmtId="2" fontId="55" fillId="0" borderId="7" xfId="0" applyNumberFormat="1" applyFont="1" applyBorder="1" applyAlignment="1">
      <alignment horizontal="center" vertical="center"/>
    </xf>
    <xf numFmtId="2" fontId="24" fillId="0" borderId="171" xfId="0" applyNumberFormat="1" applyFont="1" applyBorder="1" applyAlignment="1">
      <alignment horizontal="center" vertical="center"/>
    </xf>
    <xf numFmtId="0" fontId="56" fillId="0" borderId="0" xfId="0" applyFont="1" applyAlignment="1">
      <alignment horizontal="left" vertical="center"/>
    </xf>
    <xf numFmtId="0" fontId="26" fillId="10" borderId="15" xfId="0" applyFont="1" applyFill="1" applyBorder="1" applyAlignment="1">
      <alignment horizontal="left" vertical="center" wrapText="1"/>
    </xf>
    <xf numFmtId="0" fontId="26" fillId="10" borderId="100" xfId="0" applyFont="1" applyFill="1" applyBorder="1" applyAlignment="1">
      <alignment horizontal="center" vertical="center" wrapText="1"/>
    </xf>
    <xf numFmtId="0" fontId="7" fillId="0" borderId="2" xfId="0" applyFont="1" applyBorder="1" applyAlignment="1">
      <alignment horizontal="right" vertical="center"/>
    </xf>
    <xf numFmtId="172" fontId="7" fillId="0" borderId="2" xfId="0" applyNumberFormat="1" applyFont="1" applyBorder="1" applyAlignment="1">
      <alignment vertical="center"/>
    </xf>
    <xf numFmtId="169" fontId="7" fillId="0" borderId="2" xfId="6" applyNumberFormat="1" applyFont="1" applyBorder="1" applyAlignment="1">
      <alignment horizontal="right" vertical="center" wrapText="1"/>
    </xf>
    <xf numFmtId="0" fontId="7" fillId="0" borderId="14" xfId="0" applyFont="1" applyBorder="1" applyAlignment="1">
      <alignment vertical="center" wrapText="1"/>
    </xf>
    <xf numFmtId="0" fontId="7" fillId="0" borderId="14" xfId="0" applyFont="1" applyBorder="1" applyAlignment="1">
      <alignment horizontal="right" vertical="center"/>
    </xf>
    <xf numFmtId="169" fontId="7" fillId="0" borderId="14" xfId="6" applyNumberFormat="1" applyFont="1" applyBorder="1" applyAlignment="1">
      <alignment horizontal="right" vertical="center"/>
    </xf>
    <xf numFmtId="172" fontId="2" fillId="0" borderId="2" xfId="0" applyNumberFormat="1" applyFont="1" applyBorder="1" applyAlignment="1">
      <alignment vertical="center"/>
    </xf>
    <xf numFmtId="172" fontId="2" fillId="11" borderId="14" xfId="0" applyNumberFormat="1" applyFont="1" applyFill="1" applyBorder="1" applyAlignment="1">
      <alignment vertical="center"/>
    </xf>
    <xf numFmtId="3" fontId="7" fillId="0" borderId="0" xfId="0" applyNumberFormat="1" applyFont="1" applyAlignment="1">
      <alignment horizontal="left"/>
    </xf>
    <xf numFmtId="43" fontId="7" fillId="0" borderId="0" xfId="0" applyNumberFormat="1" applyFont="1" applyAlignment="1">
      <alignment horizontal="center" vertical="center" wrapText="1"/>
    </xf>
    <xf numFmtId="0" fontId="7" fillId="0" borderId="15" xfId="0" applyFont="1" applyBorder="1" applyAlignment="1">
      <alignment vertical="center"/>
    </xf>
    <xf numFmtId="0" fontId="7" fillId="0" borderId="17" xfId="0" applyFont="1" applyBorder="1" applyAlignment="1">
      <alignment vertical="center"/>
    </xf>
    <xf numFmtId="169" fontId="7" fillId="0" borderId="17" xfId="6" applyNumberFormat="1" applyFont="1" applyBorder="1" applyAlignment="1">
      <alignment horizontal="right" vertical="center"/>
    </xf>
    <xf numFmtId="0" fontId="25" fillId="0" borderId="100" xfId="0" applyFont="1" applyBorder="1" applyAlignment="1">
      <alignment horizontal="center" vertical="center" wrapText="1"/>
    </xf>
    <xf numFmtId="0" fontId="7" fillId="0" borderId="100" xfId="0" applyFont="1" applyBorder="1" applyAlignment="1">
      <alignment vertical="center"/>
    </xf>
    <xf numFmtId="0" fontId="7" fillId="0" borderId="100" xfId="0" applyFont="1" applyBorder="1" applyAlignment="1">
      <alignment vertical="center" wrapText="1"/>
    </xf>
    <xf numFmtId="0" fontId="12" fillId="0" borderId="100" xfId="3" applyFont="1" applyFill="1" applyBorder="1" applyAlignment="1">
      <alignment horizontal="center" vertical="center" wrapText="1"/>
    </xf>
    <xf numFmtId="0" fontId="2" fillId="0" borderId="100" xfId="0" applyFont="1" applyBorder="1" applyAlignment="1">
      <alignment horizontal="center" vertical="center" wrapText="1"/>
    </xf>
    <xf numFmtId="0" fontId="15" fillId="0" borderId="100" xfId="0" applyFont="1" applyBorder="1" applyAlignment="1">
      <alignment horizontal="center"/>
    </xf>
    <xf numFmtId="0" fontId="12" fillId="0" borderId="100" xfId="3" applyFont="1" applyBorder="1" applyAlignment="1">
      <alignment horizontal="center" vertical="center" wrapText="1"/>
    </xf>
    <xf numFmtId="0" fontId="0" fillId="0" borderId="100" xfId="0" applyBorder="1" applyAlignment="1">
      <alignment horizontal="center" vertical="center"/>
    </xf>
    <xf numFmtId="0" fontId="7" fillId="0" borderId="100" xfId="0" applyFont="1" applyBorder="1" applyAlignment="1">
      <alignment horizontal="center"/>
    </xf>
    <xf numFmtId="0" fontId="20" fillId="10" borderId="2" xfId="0" applyFont="1" applyFill="1" applyBorder="1" applyAlignment="1">
      <alignment horizontal="left" vertical="center" wrapText="1"/>
    </xf>
    <xf numFmtId="0" fontId="20" fillId="10" borderId="2" xfId="0" applyFont="1" applyFill="1" applyBorder="1" applyAlignment="1">
      <alignment vertical="center" wrapText="1"/>
    </xf>
    <xf numFmtId="169" fontId="7" fillId="0" borderId="2" xfId="0" applyNumberFormat="1" applyFont="1" applyBorder="1" applyAlignment="1">
      <alignment vertical="center"/>
    </xf>
    <xf numFmtId="169" fontId="7" fillId="0" borderId="2" xfId="6" applyNumberFormat="1" applyFont="1" applyBorder="1" applyAlignment="1">
      <alignment horizontal="left" vertical="center"/>
    </xf>
    <xf numFmtId="1" fontId="7" fillId="0" borderId="2" xfId="0" applyNumberFormat="1" applyFont="1" applyBorder="1" applyAlignment="1">
      <alignment horizontal="right" vertical="center"/>
    </xf>
    <xf numFmtId="169" fontId="7" fillId="5" borderId="2" xfId="6" applyNumberFormat="1" applyFont="1" applyFill="1" applyBorder="1" applyAlignment="1">
      <alignment horizontal="right" vertical="center"/>
    </xf>
    <xf numFmtId="0" fontId="7" fillId="5" borderId="2" xfId="0" applyFont="1" applyFill="1" applyBorder="1" applyAlignment="1">
      <alignment vertical="center"/>
    </xf>
    <xf numFmtId="173" fontId="25" fillId="22" borderId="2" xfId="0" applyNumberFormat="1" applyFont="1" applyFill="1" applyBorder="1" applyAlignment="1">
      <alignment vertical="center"/>
    </xf>
    <xf numFmtId="1" fontId="7" fillId="5" borderId="2" xfId="0" applyNumberFormat="1" applyFont="1" applyFill="1" applyBorder="1" applyAlignment="1">
      <alignment horizontal="right" vertical="center"/>
    </xf>
    <xf numFmtId="173" fontId="7" fillId="0" borderId="2" xfId="0" applyNumberFormat="1" applyFont="1" applyBorder="1"/>
    <xf numFmtId="0" fontId="12" fillId="0" borderId="2" xfId="3" applyFont="1" applyBorder="1" applyAlignment="1">
      <alignment horizontal="left" vertical="center" wrapText="1"/>
    </xf>
    <xf numFmtId="2" fontId="7" fillId="5" borderId="2" xfId="0" applyNumberFormat="1" applyFont="1" applyFill="1" applyBorder="1" applyAlignment="1">
      <alignment horizontal="center" vertical="center"/>
    </xf>
    <xf numFmtId="0" fontId="7" fillId="0" borderId="2" xfId="0" applyFont="1" applyBorder="1"/>
    <xf numFmtId="1" fontId="25" fillId="0" borderId="0" xfId="0" applyNumberFormat="1" applyFont="1" applyAlignment="1">
      <alignment vertical="center" wrapText="1"/>
    </xf>
    <xf numFmtId="3" fontId="25" fillId="0" borderId="0" xfId="0" applyNumberFormat="1" applyFont="1" applyAlignment="1">
      <alignment vertical="center"/>
    </xf>
    <xf numFmtId="43" fontId="7" fillId="0" borderId="2" xfId="6" applyFont="1" applyBorder="1" applyAlignment="1">
      <alignment horizontal="left" vertical="center"/>
    </xf>
    <xf numFmtId="165" fontId="2" fillId="0" borderId="69" xfId="0" applyNumberFormat="1" applyFont="1" applyBorder="1"/>
    <xf numFmtId="1" fontId="2" fillId="0" borderId="69" xfId="0" applyNumberFormat="1" applyFont="1" applyBorder="1"/>
    <xf numFmtId="169" fontId="2" fillId="0" borderId="69" xfId="6" applyNumberFormat="1" applyFont="1" applyBorder="1"/>
    <xf numFmtId="1" fontId="7" fillId="0" borderId="24" xfId="0" applyNumberFormat="1" applyFont="1" applyBorder="1" applyAlignment="1">
      <alignment horizontal="center" vertical="center" wrapText="1"/>
    </xf>
    <xf numFmtId="169" fontId="7" fillId="0" borderId="24" xfId="0" applyNumberFormat="1" applyFont="1" applyBorder="1" applyAlignment="1">
      <alignment horizontal="center" vertical="center" wrapText="1"/>
    </xf>
    <xf numFmtId="0" fontId="13" fillId="0" borderId="15" xfId="0" applyFont="1" applyBorder="1"/>
    <xf numFmtId="0" fontId="13" fillId="0" borderId="18" xfId="0" applyFont="1" applyBorder="1"/>
    <xf numFmtId="1" fontId="0" fillId="0" borderId="18" xfId="0" applyNumberFormat="1" applyBorder="1" applyAlignment="1">
      <alignment horizontal="center" vertical="center"/>
    </xf>
    <xf numFmtId="0" fontId="13" fillId="0" borderId="20" xfId="0" applyFont="1" applyBorder="1"/>
    <xf numFmtId="0" fontId="2" fillId="0" borderId="69" xfId="0" applyFont="1" applyBorder="1" applyAlignment="1">
      <alignment horizontal="center"/>
    </xf>
    <xf numFmtId="1" fontId="7" fillId="6" borderId="28" xfId="0" applyNumberFormat="1" applyFont="1" applyFill="1" applyBorder="1" applyAlignment="1">
      <alignment horizontal="center" vertical="center"/>
    </xf>
    <xf numFmtId="1" fontId="24" fillId="0" borderId="112" xfId="0" applyNumberFormat="1" applyFont="1" applyBorder="1" applyAlignment="1">
      <alignment horizontal="center" vertical="center"/>
    </xf>
    <xf numFmtId="1" fontId="24" fillId="0" borderId="174" xfId="0" applyNumberFormat="1" applyFont="1" applyBorder="1" applyAlignment="1">
      <alignment horizontal="center" vertical="center"/>
    </xf>
    <xf numFmtId="1" fontId="24" fillId="0" borderId="104" xfId="0" applyNumberFormat="1" applyFont="1" applyBorder="1" applyAlignment="1">
      <alignment horizontal="center" vertical="center"/>
    </xf>
    <xf numFmtId="1" fontId="24" fillId="0" borderId="105" xfId="0" applyNumberFormat="1" applyFont="1" applyBorder="1" applyAlignment="1">
      <alignment horizontal="center" vertical="center"/>
    </xf>
    <xf numFmtId="1" fontId="24" fillId="0" borderId="109" xfId="0" applyNumberFormat="1" applyFont="1" applyBorder="1" applyAlignment="1">
      <alignment horizontal="center" vertical="center"/>
    </xf>
    <xf numFmtId="1" fontId="24" fillId="0" borderId="150" xfId="0" applyNumberFormat="1" applyFont="1" applyBorder="1" applyAlignment="1">
      <alignment horizontal="center" vertical="center"/>
    </xf>
    <xf numFmtId="1" fontId="24" fillId="0" borderId="153" xfId="0" applyNumberFormat="1" applyFont="1" applyBorder="1" applyAlignment="1">
      <alignment horizontal="center" vertical="center"/>
    </xf>
    <xf numFmtId="0" fontId="57" fillId="0" borderId="184" xfId="0" applyFont="1" applyBorder="1" applyAlignment="1">
      <alignment horizontal="center" vertical="center"/>
    </xf>
    <xf numFmtId="0" fontId="57" fillId="0" borderId="185" xfId="0" applyFont="1" applyBorder="1" applyAlignment="1">
      <alignment horizontal="center" vertical="center"/>
    </xf>
    <xf numFmtId="0" fontId="57" fillId="0" borderId="186" xfId="0" applyFont="1" applyBorder="1" applyAlignment="1">
      <alignment horizontal="center" vertical="center"/>
    </xf>
    <xf numFmtId="0" fontId="57" fillId="22" borderId="0" xfId="0" applyFont="1" applyFill="1" applyAlignment="1">
      <alignment horizontal="center" vertical="center"/>
    </xf>
    <xf numFmtId="0" fontId="57" fillId="0" borderId="0" xfId="0" applyFont="1" applyAlignment="1">
      <alignment horizontal="center" vertical="center"/>
    </xf>
    <xf numFmtId="0" fontId="57" fillId="0" borderId="187" xfId="0" applyFont="1" applyBorder="1" applyAlignment="1">
      <alignment horizontal="center" vertical="center"/>
    </xf>
    <xf numFmtId="0" fontId="57" fillId="0" borderId="188" xfId="0" applyFont="1" applyBorder="1" applyAlignment="1">
      <alignment horizontal="center" vertical="center"/>
    </xf>
    <xf numFmtId="0" fontId="57" fillId="0" borderId="189" xfId="0" applyFont="1" applyBorder="1" applyAlignment="1">
      <alignment horizontal="center" vertical="center"/>
    </xf>
    <xf numFmtId="0" fontId="57" fillId="0" borderId="190" xfId="0" applyFont="1" applyBorder="1" applyAlignment="1">
      <alignment horizontal="center" vertical="center"/>
    </xf>
    <xf numFmtId="0" fontId="57" fillId="0" borderId="191" xfId="0" applyFont="1" applyBorder="1" applyAlignment="1">
      <alignment horizontal="center" vertical="center"/>
    </xf>
    <xf numFmtId="0" fontId="57" fillId="0" borderId="192" xfId="0" applyFont="1" applyBorder="1" applyAlignment="1">
      <alignment horizontal="center" vertical="center"/>
    </xf>
    <xf numFmtId="0" fontId="53" fillId="0" borderId="0" xfId="0" applyFont="1" applyAlignment="1">
      <alignment vertical="center"/>
    </xf>
    <xf numFmtId="10" fontId="25" fillId="0" borderId="0" xfId="0" applyNumberFormat="1" applyFont="1" applyAlignment="1">
      <alignment horizontal="left" vertical="center"/>
    </xf>
    <xf numFmtId="0" fontId="25" fillId="0" borderId="0" xfId="0" applyFont="1"/>
    <xf numFmtId="169" fontId="7" fillId="6" borderId="0" xfId="6" applyNumberFormat="1" applyFont="1" applyFill="1" applyAlignment="1">
      <alignment horizontal="center" vertical="center"/>
    </xf>
    <xf numFmtId="1" fontId="55" fillId="0" borderId="100" xfId="0" applyNumberFormat="1" applyFont="1" applyBorder="1" applyAlignment="1">
      <alignment horizontal="center" vertical="center"/>
    </xf>
    <xf numFmtId="0" fontId="21" fillId="10" borderId="2" xfId="0" applyFont="1" applyFill="1" applyBorder="1" applyAlignment="1">
      <alignment horizontal="center" vertical="center" wrapText="1"/>
    </xf>
    <xf numFmtId="168" fontId="7" fillId="0" borderId="24" xfId="0" applyNumberFormat="1" applyFont="1" applyBorder="1" applyAlignment="1">
      <alignment horizontal="center" vertical="center"/>
    </xf>
    <xf numFmtId="0" fontId="26" fillId="17" borderId="199" xfId="0" applyFont="1" applyFill="1" applyBorder="1" applyAlignment="1">
      <alignment horizontal="center" vertical="center" wrapText="1"/>
    </xf>
    <xf numFmtId="0" fontId="20" fillId="23" borderId="200" xfId="0" applyFont="1" applyFill="1" applyBorder="1" applyAlignment="1">
      <alignment horizontal="center" vertical="center" wrapText="1"/>
    </xf>
    <xf numFmtId="0" fontId="20" fillId="23" borderId="201" xfId="0" applyFont="1" applyFill="1" applyBorder="1" applyAlignment="1">
      <alignment horizontal="center" vertical="center" wrapText="1"/>
    </xf>
    <xf numFmtId="0" fontId="20" fillId="23" borderId="202" xfId="0" applyFont="1" applyFill="1" applyBorder="1" applyAlignment="1">
      <alignment horizontal="center" vertical="center" wrapText="1"/>
    </xf>
    <xf numFmtId="0" fontId="20" fillId="24" borderId="203" xfId="0" applyFont="1" applyFill="1" applyBorder="1" applyAlignment="1">
      <alignment horizontal="center" vertical="center" wrapText="1"/>
    </xf>
    <xf numFmtId="0" fontId="20" fillId="24" borderId="204" xfId="0" applyFont="1" applyFill="1" applyBorder="1" applyAlignment="1">
      <alignment horizontal="center" vertical="center" wrapText="1"/>
    </xf>
    <xf numFmtId="0" fontId="7" fillId="0" borderId="32" xfId="4" applyBorder="1" applyAlignment="1">
      <alignment horizontal="center" vertical="center"/>
    </xf>
    <xf numFmtId="169" fontId="7" fillId="0" borderId="32" xfId="6" applyNumberFormat="1" applyFont="1" applyBorder="1" applyAlignment="1">
      <alignment horizontal="center" vertical="center"/>
    </xf>
    <xf numFmtId="2" fontId="7" fillId="0" borderId="32" xfId="0" applyNumberFormat="1" applyFont="1" applyBorder="1" applyAlignment="1">
      <alignment horizontal="center" vertical="center"/>
    </xf>
    <xf numFmtId="2" fontId="7" fillId="0" borderId="32" xfId="0" applyNumberFormat="1" applyFont="1" applyBorder="1"/>
    <xf numFmtId="165" fontId="58" fillId="0" borderId="211" xfId="0" applyNumberFormat="1" applyFont="1" applyBorder="1"/>
    <xf numFmtId="165" fontId="58" fillId="0" borderId="212" xfId="0" applyNumberFormat="1" applyFont="1" applyBorder="1"/>
    <xf numFmtId="2" fontId="7" fillId="0" borderId="206" xfId="0" applyNumberFormat="1" applyFont="1" applyBorder="1"/>
    <xf numFmtId="0" fontId="20" fillId="24" borderId="213" xfId="0" applyFont="1" applyFill="1" applyBorder="1" applyAlignment="1">
      <alignment horizontal="center" vertical="center" wrapText="1"/>
    </xf>
    <xf numFmtId="2" fontId="7" fillId="0" borderId="211" xfId="0" applyNumberFormat="1" applyFont="1" applyBorder="1"/>
    <xf numFmtId="0" fontId="7" fillId="0" borderId="211" xfId="0" applyFont="1" applyBorder="1"/>
    <xf numFmtId="0" fontId="8" fillId="8" borderId="204" xfId="0" applyFont="1" applyFill="1" applyBorder="1" applyAlignment="1">
      <alignment vertical="center" wrapText="1"/>
    </xf>
    <xf numFmtId="0" fontId="7" fillId="0" borderId="212" xfId="0" applyFont="1" applyBorder="1"/>
    <xf numFmtId="2" fontId="7" fillId="0" borderId="209" xfId="0" applyNumberFormat="1" applyFont="1" applyBorder="1"/>
    <xf numFmtId="0" fontId="26" fillId="10" borderId="214" xfId="0" applyFont="1" applyFill="1" applyBorder="1" applyAlignment="1">
      <alignment horizontal="center" vertical="center"/>
    </xf>
    <xf numFmtId="0" fontId="20" fillId="10" borderId="215" xfId="0" applyFont="1" applyFill="1" applyBorder="1" applyAlignment="1">
      <alignment horizontal="center" vertical="center" wrapText="1"/>
    </xf>
    <xf numFmtId="0" fontId="8" fillId="25" borderId="216" xfId="0" applyFont="1" applyFill="1" applyBorder="1" applyAlignment="1">
      <alignment horizontal="center" vertical="center" wrapText="1"/>
    </xf>
    <xf numFmtId="0" fontId="8" fillId="25" borderId="213" xfId="0" applyFont="1" applyFill="1" applyBorder="1" applyAlignment="1">
      <alignment horizontal="center" vertical="center" wrapText="1"/>
    </xf>
    <xf numFmtId="0" fontId="8" fillId="10" borderId="210" xfId="0" applyFont="1" applyFill="1" applyBorder="1" applyAlignment="1">
      <alignment horizontal="center" vertical="center" wrapText="1"/>
    </xf>
    <xf numFmtId="0" fontId="7" fillId="0" borderId="207" xfId="4" applyBorder="1" applyAlignment="1">
      <alignment horizontal="center" vertical="center"/>
    </xf>
    <xf numFmtId="169" fontId="7" fillId="0" borderId="207" xfId="6" applyNumberFormat="1" applyFont="1" applyBorder="1" applyAlignment="1">
      <alignment horizontal="center" vertical="center"/>
    </xf>
    <xf numFmtId="2" fontId="7" fillId="0" borderId="207" xfId="0" applyNumberFormat="1" applyFont="1" applyBorder="1" applyAlignment="1">
      <alignment horizontal="center" vertical="center"/>
    </xf>
    <xf numFmtId="2" fontId="7" fillId="0" borderId="207" xfId="0" applyNumberFormat="1" applyFont="1" applyBorder="1"/>
    <xf numFmtId="165" fontId="58" fillId="0" borderId="205" xfId="0" applyNumberFormat="1" applyFont="1" applyBorder="1"/>
    <xf numFmtId="165" fontId="58" fillId="0" borderId="208" xfId="0" applyNumberFormat="1" applyFont="1" applyBorder="1"/>
    <xf numFmtId="0" fontId="7" fillId="0" borderId="0" xfId="0" applyFont="1" applyAlignment="1">
      <alignment horizontal="center"/>
    </xf>
    <xf numFmtId="0" fontId="7" fillId="0" borderId="0" xfId="0" applyFont="1" applyAlignment="1">
      <alignment horizontal="left" vertical="center"/>
    </xf>
    <xf numFmtId="0" fontId="9" fillId="0" borderId="0" xfId="5" applyAlignment="1">
      <alignment horizontal="left"/>
    </xf>
    <xf numFmtId="0" fontId="7" fillId="0" borderId="0" xfId="0" applyFont="1" applyAlignment="1">
      <alignment horizontal="left"/>
    </xf>
    <xf numFmtId="0" fontId="7" fillId="0" borderId="0" xfId="0" applyFont="1" applyAlignment="1">
      <alignment horizontal="left" vertical="center" wrapText="1"/>
    </xf>
    <xf numFmtId="0" fontId="7" fillId="0" borderId="24" xfId="0" applyFont="1" applyBorder="1" applyAlignment="1">
      <alignment horizontal="center" vertical="center"/>
    </xf>
    <xf numFmtId="0" fontId="7" fillId="0" borderId="26" xfId="0" applyFont="1" applyBorder="1" applyAlignment="1">
      <alignment horizontal="center" vertical="center"/>
    </xf>
    <xf numFmtId="0" fontId="14" fillId="12" borderId="0" xfId="0" applyFont="1" applyFill="1" applyAlignment="1">
      <alignment horizontal="center" vertical="center" wrapText="1"/>
    </xf>
    <xf numFmtId="0" fontId="7" fillId="0" borderId="24" xfId="0" applyFont="1" applyBorder="1" applyAlignment="1">
      <alignment horizontal="center" vertical="center" wrapText="1"/>
    </xf>
    <xf numFmtId="0" fontId="23" fillId="0" borderId="0" xfId="0" applyFont="1" applyAlignment="1">
      <alignment horizontal="left" vertical="center"/>
    </xf>
    <xf numFmtId="0" fontId="7" fillId="0" borderId="69" xfId="0" applyFont="1" applyBorder="1" applyAlignment="1">
      <alignment horizontal="center" vertical="center" wrapText="1"/>
    </xf>
    <xf numFmtId="0" fontId="7" fillId="0" borderId="69" xfId="0" applyFont="1" applyBorder="1" applyAlignment="1">
      <alignment horizontal="center" vertical="center"/>
    </xf>
    <xf numFmtId="0" fontId="7" fillId="0" borderId="15" xfId="0" applyFont="1" applyBorder="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left" wrapText="1"/>
    </xf>
    <xf numFmtId="0" fontId="20" fillId="10"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8" fillId="10" borderId="100" xfId="0" applyFont="1" applyFill="1" applyBorder="1" applyAlignment="1">
      <alignment horizontal="center" vertical="center" wrapText="1"/>
    </xf>
    <xf numFmtId="0" fontId="7" fillId="0" borderId="100"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20" xfId="0" applyFont="1" applyBorder="1" applyAlignment="1">
      <alignment horizontal="center" vertical="center" wrapText="1"/>
    </xf>
    <xf numFmtId="0" fontId="8" fillId="10" borderId="0" xfId="0" applyFont="1" applyFill="1" applyAlignment="1">
      <alignment horizontal="center" vertical="center"/>
    </xf>
    <xf numFmtId="0" fontId="8" fillId="10" borderId="2" xfId="0" applyFont="1" applyFill="1" applyBorder="1" applyAlignment="1">
      <alignment horizontal="center" vertical="center"/>
    </xf>
    <xf numFmtId="0" fontId="8" fillId="10" borderId="15" xfId="0" applyFont="1" applyFill="1" applyBorder="1" applyAlignment="1">
      <alignment horizontal="center" vertical="center"/>
    </xf>
    <xf numFmtId="0" fontId="26" fillId="10" borderId="2" xfId="0" applyFont="1" applyFill="1" applyBorder="1" applyAlignment="1">
      <alignment horizontal="center" vertical="center"/>
    </xf>
    <xf numFmtId="0" fontId="25" fillId="0" borderId="32" xfId="0" applyFont="1" applyBorder="1" applyAlignment="1">
      <alignment horizontal="center" vertical="center"/>
    </xf>
    <xf numFmtId="0" fontId="25" fillId="0" borderId="32" xfId="0" applyFont="1" applyBorder="1"/>
    <xf numFmtId="0" fontId="58" fillId="0" borderId="32" xfId="0" applyFont="1" applyBorder="1"/>
    <xf numFmtId="0" fontId="20" fillId="17" borderId="221" xfId="0" applyFont="1" applyFill="1" applyBorder="1" applyAlignment="1">
      <alignment horizontal="center" vertical="center" wrapText="1"/>
    </xf>
    <xf numFmtId="0" fontId="20" fillId="23" borderId="222" xfId="0" applyFont="1" applyFill="1" applyBorder="1" applyAlignment="1">
      <alignment horizontal="center" vertical="center" wrapText="1"/>
    </xf>
    <xf numFmtId="0" fontId="20" fillId="23" borderId="223" xfId="0" applyFont="1" applyFill="1" applyBorder="1" applyAlignment="1">
      <alignment horizontal="center" vertical="center" wrapText="1"/>
    </xf>
    <xf numFmtId="0" fontId="25" fillId="0" borderId="207" xfId="0" applyFont="1" applyBorder="1" applyAlignment="1">
      <alignment horizontal="center" vertical="center"/>
    </xf>
    <xf numFmtId="0" fontId="25" fillId="0" borderId="207" xfId="0" applyFont="1" applyBorder="1"/>
    <xf numFmtId="0" fontId="58" fillId="0" borderId="207" xfId="0" applyFont="1" applyBorder="1"/>
    <xf numFmtId="0" fontId="14" fillId="12" borderId="0" xfId="0" applyFont="1" applyFill="1" applyAlignment="1">
      <alignment horizontal="center" vertical="center"/>
    </xf>
    <xf numFmtId="0" fontId="7" fillId="0" borderId="0" xfId="0" applyFont="1" applyAlignment="1">
      <alignment horizontal="center"/>
    </xf>
    <xf numFmtId="0" fontId="7" fillId="0" borderId="0" xfId="0" applyFont="1" applyAlignment="1">
      <alignment horizontal="left" vertical="center"/>
    </xf>
    <xf numFmtId="0" fontId="7" fillId="0" borderId="0" xfId="0" applyFont="1" applyAlignment="1">
      <alignment horizontal="center" vertical="center"/>
    </xf>
    <xf numFmtId="0" fontId="9" fillId="0" borderId="0" xfId="5" applyAlignment="1">
      <alignment horizontal="left"/>
    </xf>
    <xf numFmtId="0" fontId="7" fillId="0" borderId="0" xfId="0" applyFont="1" applyAlignment="1">
      <alignment horizontal="left"/>
    </xf>
    <xf numFmtId="0" fontId="14" fillId="12" borderId="31" xfId="0" applyFont="1" applyFill="1" applyBorder="1" applyAlignment="1">
      <alignment horizontal="center" vertical="center"/>
    </xf>
    <xf numFmtId="0" fontId="14" fillId="12" borderId="48" xfId="0" applyFont="1" applyFill="1" applyBorder="1" applyAlignment="1">
      <alignment horizontal="center" vertical="center"/>
    </xf>
    <xf numFmtId="0" fontId="14" fillId="12" borderId="49" xfId="0" applyFont="1" applyFill="1" applyBorder="1" applyAlignment="1">
      <alignment horizontal="center" vertical="center"/>
    </xf>
    <xf numFmtId="0" fontId="7" fillId="0" borderId="50" xfId="0" applyFont="1" applyBorder="1" applyAlignment="1">
      <alignment horizontal="left" vertical="center"/>
    </xf>
    <xf numFmtId="0" fontId="7" fillId="0" borderId="51" xfId="0" applyFont="1" applyBorder="1" applyAlignment="1">
      <alignment horizontal="left" vertical="center"/>
    </xf>
    <xf numFmtId="0" fontId="7" fillId="0" borderId="52" xfId="0" applyFont="1" applyBorder="1" applyAlignment="1">
      <alignment horizontal="left" vertical="center"/>
    </xf>
    <xf numFmtId="0" fontId="7" fillId="0" borderId="53" xfId="0" applyFont="1" applyBorder="1" applyAlignment="1">
      <alignment horizontal="left" vertical="center"/>
    </xf>
    <xf numFmtId="0" fontId="7" fillId="0" borderId="54" xfId="0" applyFont="1" applyBorder="1" applyAlignment="1">
      <alignment horizontal="left" vertical="center"/>
    </xf>
    <xf numFmtId="0" fontId="7" fillId="6" borderId="28" xfId="0" applyFont="1" applyFill="1" applyBorder="1" applyAlignment="1">
      <alignment horizontal="center"/>
    </xf>
    <xf numFmtId="0" fontId="7" fillId="6" borderId="29" xfId="0" applyFont="1" applyFill="1" applyBorder="1" applyAlignment="1">
      <alignment horizontal="center"/>
    </xf>
    <xf numFmtId="0" fontId="7" fillId="6" borderId="30" xfId="0" applyFont="1" applyFill="1" applyBorder="1" applyAlignment="1">
      <alignment horizontal="center"/>
    </xf>
    <xf numFmtId="0" fontId="7" fillId="0" borderId="58" xfId="0" quotePrefix="1" applyFont="1" applyBorder="1" applyAlignment="1">
      <alignment horizontal="left" vertical="center"/>
    </xf>
    <xf numFmtId="0" fontId="7" fillId="0" borderId="59" xfId="0" quotePrefix="1" applyFont="1" applyBorder="1" applyAlignment="1">
      <alignment horizontal="left" vertical="center"/>
    </xf>
    <xf numFmtId="0" fontId="7" fillId="0" borderId="60" xfId="0" quotePrefix="1" applyFont="1" applyBorder="1" applyAlignment="1">
      <alignment horizontal="left" vertical="center"/>
    </xf>
    <xf numFmtId="0" fontId="7" fillId="0" borderId="53" xfId="0" quotePrefix="1" applyFont="1" applyBorder="1" applyAlignment="1">
      <alignment horizontal="left" vertical="center"/>
    </xf>
    <xf numFmtId="0" fontId="7" fillId="0" borderId="0" xfId="0" quotePrefix="1" applyFont="1" applyAlignment="1">
      <alignment horizontal="left" vertical="center"/>
    </xf>
    <xf numFmtId="0" fontId="7" fillId="0" borderId="54" xfId="0" quotePrefix="1" applyFont="1" applyBorder="1" applyAlignment="1">
      <alignment horizontal="left" vertical="center"/>
    </xf>
    <xf numFmtId="0" fontId="7" fillId="0" borderId="53" xfId="0" applyFont="1" applyBorder="1" applyAlignment="1">
      <alignment horizontal="left" vertical="center" wrapText="1"/>
    </xf>
    <xf numFmtId="0" fontId="7" fillId="0" borderId="0" xfId="0" applyFont="1" applyAlignment="1">
      <alignment horizontal="left" vertical="center" wrapText="1"/>
    </xf>
    <xf numFmtId="0" fontId="7" fillId="0" borderId="54" xfId="0" applyFont="1" applyBorder="1" applyAlignment="1">
      <alignment horizontal="left" vertical="center" wrapText="1"/>
    </xf>
    <xf numFmtId="0" fontId="19" fillId="0" borderId="22" xfId="0" applyFont="1" applyBorder="1" applyAlignment="1">
      <alignment horizontal="left" vertical="center"/>
    </xf>
    <xf numFmtId="0" fontId="14" fillId="12" borderId="3" xfId="1" applyFont="1" applyFill="1" applyBorder="1" applyAlignment="1">
      <alignment horizontal="center" vertical="center" wrapText="1"/>
    </xf>
    <xf numFmtId="0" fontId="14" fillId="12" borderId="13" xfId="1" applyFont="1" applyFill="1" applyBorder="1" applyAlignment="1">
      <alignment horizontal="center" vertical="center" wrapText="1"/>
    </xf>
    <xf numFmtId="0" fontId="7" fillId="0" borderId="24" xfId="0" applyFont="1" applyBorder="1" applyAlignment="1">
      <alignment horizontal="center" vertical="center"/>
    </xf>
    <xf numFmtId="0" fontId="18" fillId="0" borderId="0" xfId="0" applyFont="1" applyAlignment="1">
      <alignment horizontal="center"/>
    </xf>
    <xf numFmtId="0" fontId="7" fillId="0" borderId="27"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14" fillId="12" borderId="0" xfId="0" applyFont="1" applyFill="1" applyAlignment="1">
      <alignment horizontal="center" vertical="center" wrapText="1"/>
    </xf>
    <xf numFmtId="0" fontId="2" fillId="0" borderId="24"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2" fillId="0" borderId="2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8" fillId="10" borderId="28"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14" fillId="12" borderId="44" xfId="0" applyFont="1" applyFill="1" applyBorder="1" applyAlignment="1">
      <alignment horizontal="center" vertical="center"/>
    </xf>
    <xf numFmtId="0" fontId="7" fillId="0" borderId="27" xfId="0" applyFont="1" applyBorder="1" applyAlignment="1">
      <alignment horizontal="left" vertical="center"/>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0" xfId="0" quotePrefix="1" applyFont="1" applyAlignment="1">
      <alignment horizontal="left" vertical="center" wrapText="1"/>
    </xf>
    <xf numFmtId="0" fontId="20" fillId="0" borderId="0" xfId="0" applyFont="1" applyAlignment="1">
      <alignment horizontal="left" vertical="center"/>
    </xf>
    <xf numFmtId="0" fontId="1" fillId="5" borderId="22" xfId="0" applyFont="1" applyFill="1" applyBorder="1" applyAlignment="1">
      <alignment horizontal="center" vertical="center"/>
    </xf>
    <xf numFmtId="0" fontId="14" fillId="12" borderId="22" xfId="0" applyFont="1" applyFill="1" applyBorder="1" applyAlignment="1">
      <alignment horizontal="center" vertical="center"/>
    </xf>
    <xf numFmtId="0" fontId="26" fillId="0" borderId="32" xfId="0" applyFont="1" applyBorder="1" applyAlignment="1">
      <alignment wrapText="1"/>
    </xf>
    <xf numFmtId="0" fontId="36" fillId="13" borderId="83" xfId="0" applyFont="1" applyFill="1" applyBorder="1" applyAlignment="1">
      <alignment horizontal="center" vertical="center" wrapText="1" readingOrder="1"/>
    </xf>
    <xf numFmtId="0" fontId="36" fillId="13" borderId="84" xfId="0" applyFont="1" applyFill="1" applyBorder="1" applyAlignment="1">
      <alignment horizontal="center" vertical="center" wrapText="1" readingOrder="1"/>
    </xf>
    <xf numFmtId="0" fontId="36" fillId="13" borderId="82" xfId="0" applyFont="1" applyFill="1" applyBorder="1" applyAlignment="1">
      <alignment horizontal="center" vertical="center" wrapText="1" readingOrder="1"/>
    </xf>
    <xf numFmtId="0" fontId="50" fillId="0" borderId="0" xfId="0" applyFont="1" applyAlignment="1">
      <alignment horizontal="center" wrapText="1"/>
    </xf>
    <xf numFmtId="0" fontId="50" fillId="0" borderId="22" xfId="0" applyFont="1" applyBorder="1" applyAlignment="1">
      <alignment horizontal="center" wrapText="1"/>
    </xf>
    <xf numFmtId="0" fontId="25" fillId="0" borderId="81" xfId="0" applyFont="1" applyBorder="1" applyAlignment="1">
      <alignment horizontal="center" vertical="center" wrapText="1"/>
    </xf>
    <xf numFmtId="0" fontId="25" fillId="0" borderId="79" xfId="0" applyFont="1" applyBorder="1" applyAlignment="1">
      <alignment horizontal="center" vertical="center" wrapText="1"/>
    </xf>
    <xf numFmtId="0" fontId="25" fillId="0" borderId="80" xfId="0" applyFont="1" applyBorder="1" applyAlignment="1">
      <alignment horizontal="center" vertical="center" wrapText="1"/>
    </xf>
    <xf numFmtId="0" fontId="23" fillId="0" borderId="0" xfId="0" applyFont="1" applyAlignment="1">
      <alignment horizontal="left" vertical="center" wrapText="1"/>
    </xf>
    <xf numFmtId="0" fontId="23" fillId="0" borderId="0" xfId="0" applyFont="1" applyAlignment="1">
      <alignment horizontal="left" vertical="center"/>
    </xf>
    <xf numFmtId="0" fontId="7" fillId="0" borderId="69" xfId="0" applyFont="1" applyBorder="1" applyAlignment="1">
      <alignment horizontal="center" vertical="center" wrapText="1"/>
    </xf>
    <xf numFmtId="0" fontId="7" fillId="0" borderId="69" xfId="0" applyFont="1" applyBorder="1" applyAlignment="1">
      <alignment horizontal="center" vertical="center"/>
    </xf>
    <xf numFmtId="0" fontId="23" fillId="0" borderId="16" xfId="0" applyFont="1" applyBorder="1" applyAlignment="1">
      <alignment horizontal="left" vertical="center"/>
    </xf>
    <xf numFmtId="0" fontId="7" fillId="0" borderId="74" xfId="0" applyFont="1" applyBorder="1" applyAlignment="1">
      <alignment horizontal="center" vertical="center" wrapText="1"/>
    </xf>
    <xf numFmtId="0" fontId="7" fillId="0" borderId="74" xfId="0" applyFont="1" applyBorder="1" applyAlignment="1">
      <alignment horizontal="center" vertical="center"/>
    </xf>
    <xf numFmtId="0" fontId="7" fillId="0" borderId="75" xfId="0" applyFont="1" applyBorder="1" applyAlignment="1">
      <alignment horizontal="center" vertical="center"/>
    </xf>
    <xf numFmtId="0" fontId="7" fillId="0" borderId="76" xfId="0" applyFont="1" applyBorder="1" applyAlignment="1">
      <alignment horizontal="center" vertical="center"/>
    </xf>
    <xf numFmtId="0" fontId="7" fillId="0" borderId="77" xfId="0" applyFont="1" applyBorder="1" applyAlignment="1">
      <alignment horizontal="center" vertical="center"/>
    </xf>
    <xf numFmtId="0" fontId="25" fillId="0" borderId="78" xfId="0" applyFont="1" applyBorder="1" applyAlignment="1">
      <alignment horizontal="center" vertical="center"/>
    </xf>
    <xf numFmtId="0" fontId="25" fillId="0" borderId="79" xfId="0" applyFont="1" applyBorder="1" applyAlignment="1">
      <alignment horizontal="center" vertical="center"/>
    </xf>
    <xf numFmtId="0" fontId="25" fillId="0" borderId="80" xfId="0" applyFont="1" applyBorder="1" applyAlignment="1">
      <alignment horizontal="center" vertical="center"/>
    </xf>
    <xf numFmtId="0" fontId="45" fillId="10" borderId="15" xfId="0" applyFont="1" applyFill="1" applyBorder="1" applyAlignment="1">
      <alignment horizontal="center" vertical="center"/>
    </xf>
    <xf numFmtId="0" fontId="45" fillId="10" borderId="18" xfId="0" applyFont="1" applyFill="1" applyBorder="1" applyAlignment="1">
      <alignment horizontal="center" vertical="center"/>
    </xf>
    <xf numFmtId="0" fontId="45" fillId="10" borderId="20" xfId="0" applyFont="1" applyFill="1" applyBorder="1" applyAlignment="1">
      <alignment horizontal="center" vertical="center"/>
    </xf>
    <xf numFmtId="0" fontId="41" fillId="16" borderId="162" xfId="0" applyFont="1" applyFill="1" applyBorder="1" applyAlignment="1">
      <alignment horizontal="center" vertical="center"/>
    </xf>
    <xf numFmtId="0" fontId="7" fillId="0" borderId="15" xfId="0" applyFont="1" applyBorder="1" applyAlignment="1">
      <alignment horizontal="center" vertical="center"/>
    </xf>
    <xf numFmtId="0" fontId="7" fillId="0" borderId="18" xfId="0" applyFont="1" applyBorder="1" applyAlignment="1">
      <alignment horizontal="center" vertical="center"/>
    </xf>
    <xf numFmtId="0" fontId="7"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0" xfId="0" applyFont="1" applyAlignment="1">
      <alignment horizontal="center" vertical="center" wrapText="1"/>
    </xf>
    <xf numFmtId="0" fontId="7" fillId="21" borderId="16" xfId="0" quotePrefix="1" applyFont="1" applyFill="1" applyBorder="1" applyAlignment="1">
      <alignment horizontal="center" vertical="center" wrapText="1"/>
    </xf>
    <xf numFmtId="0" fontId="7" fillId="21" borderId="0" xfId="0" quotePrefix="1" applyFont="1" applyFill="1" applyAlignment="1">
      <alignment horizontal="center" vertical="center" wrapText="1"/>
    </xf>
    <xf numFmtId="0" fontId="7" fillId="0" borderId="16" xfId="0" applyFont="1" applyBorder="1" applyAlignment="1">
      <alignment horizontal="center"/>
    </xf>
    <xf numFmtId="0" fontId="41" fillId="16" borderId="0" xfId="0" applyFont="1" applyFill="1" applyAlignment="1">
      <alignment horizontal="center" vertical="center" wrapText="1"/>
    </xf>
    <xf numFmtId="0" fontId="8" fillId="6" borderId="0" xfId="0" applyFont="1" applyFill="1" applyAlignment="1">
      <alignment horizontal="center" vertical="center"/>
    </xf>
    <xf numFmtId="0" fontId="10" fillId="9" borderId="0" xfId="0" applyFont="1" applyFill="1" applyAlignment="1">
      <alignment horizontal="center"/>
    </xf>
    <xf numFmtId="0" fontId="10" fillId="4" borderId="0" xfId="0" applyFont="1" applyFill="1" applyAlignment="1">
      <alignment horizontal="center"/>
    </xf>
    <xf numFmtId="0" fontId="4" fillId="0" borderId="0" xfId="0" applyFont="1" applyAlignment="1">
      <alignment horizontal="center"/>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15" fillId="0" borderId="15" xfId="0" applyFont="1" applyBorder="1" applyAlignment="1">
      <alignment horizontal="center" vertical="center" wrapText="1"/>
    </xf>
    <xf numFmtId="0" fontId="15" fillId="0" borderId="20" xfId="0" applyFont="1" applyBorder="1" applyAlignment="1">
      <alignment horizontal="center" vertical="center" wrapText="1"/>
    </xf>
    <xf numFmtId="0" fontId="25" fillId="0" borderId="3" xfId="0" applyFont="1" applyBorder="1" applyAlignment="1">
      <alignment horizontal="center" vertical="center"/>
    </xf>
    <xf numFmtId="0" fontId="25" fillId="0" borderId="13" xfId="0" applyFont="1" applyBorder="1" applyAlignment="1">
      <alignment horizontal="center" vertical="center"/>
    </xf>
    <xf numFmtId="0" fontId="25" fillId="0" borderId="14" xfId="0" applyFont="1" applyBorder="1" applyAlignment="1">
      <alignment horizontal="center" vertical="center"/>
    </xf>
    <xf numFmtId="0" fontId="11" fillId="12" borderId="162" xfId="0" applyFont="1" applyFill="1" applyBorder="1" applyAlignment="1">
      <alignment horizontal="center" vertical="center" wrapText="1"/>
    </xf>
    <xf numFmtId="0" fontId="7" fillId="0" borderId="0" xfId="0" applyFont="1" applyAlignment="1">
      <alignment horizontal="left" wrapText="1"/>
    </xf>
    <xf numFmtId="0" fontId="14" fillId="12" borderId="21" xfId="0" applyFont="1" applyFill="1" applyBorder="1" applyAlignment="1">
      <alignment horizontal="center" vertical="center" wrapText="1"/>
    </xf>
    <xf numFmtId="0" fontId="14" fillId="12" borderId="22" xfId="0" applyFont="1" applyFill="1" applyBorder="1" applyAlignment="1">
      <alignment horizontal="center" vertical="center" wrapText="1"/>
    </xf>
    <xf numFmtId="0" fontId="20" fillId="10"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8" fillId="0" borderId="22" xfId="0" applyFont="1" applyBorder="1" applyAlignment="1">
      <alignment horizontal="center"/>
    </xf>
    <xf numFmtId="0" fontId="7" fillId="0" borderId="112" xfId="0" applyFont="1" applyBorder="1" applyAlignment="1">
      <alignment horizontal="center" vertical="center" wrapText="1"/>
    </xf>
    <xf numFmtId="0" fontId="7" fillId="0" borderId="108" xfId="0" applyFont="1" applyBorder="1" applyAlignment="1">
      <alignment horizontal="center" vertical="center" wrapText="1"/>
    </xf>
    <xf numFmtId="0" fontId="7" fillId="0" borderId="128" xfId="0" applyFont="1" applyBorder="1" applyAlignment="1">
      <alignment horizontal="center" vertical="center" wrapText="1"/>
    </xf>
    <xf numFmtId="0" fontId="14" fillId="12" borderId="19" xfId="0" applyFont="1" applyFill="1" applyBorder="1" applyAlignment="1">
      <alignment horizontal="center" vertical="center" wrapText="1"/>
    </xf>
    <xf numFmtId="0" fontId="8" fillId="10" borderId="100" xfId="0" applyFont="1" applyFill="1" applyBorder="1" applyAlignment="1">
      <alignment horizontal="center" vertical="center"/>
    </xf>
    <xf numFmtId="0" fontId="8" fillId="10" borderId="100" xfId="0" applyFont="1" applyFill="1" applyBorder="1" applyAlignment="1">
      <alignment horizontal="center" vertical="center" wrapText="1"/>
    </xf>
    <xf numFmtId="0" fontId="7" fillId="0" borderId="100" xfId="0" applyFont="1" applyBorder="1" applyAlignment="1">
      <alignment horizontal="center" vertical="center" wrapText="1"/>
    </xf>
    <xf numFmtId="0" fontId="7" fillId="11" borderId="2" xfId="0" applyFont="1" applyFill="1" applyBorder="1" applyAlignment="1">
      <alignment horizontal="left" vertical="center"/>
    </xf>
    <xf numFmtId="0" fontId="26" fillId="10" borderId="173" xfId="0" applyFont="1" applyFill="1" applyBorder="1" applyAlignment="1">
      <alignment horizontal="center" vertical="center" wrapText="1"/>
    </xf>
    <xf numFmtId="0" fontId="26" fillId="10" borderId="117" xfId="0" applyFont="1" applyFill="1" applyBorder="1" applyAlignment="1">
      <alignment horizontal="center" vertical="center" wrapText="1"/>
    </xf>
    <xf numFmtId="0" fontId="11" fillId="12" borderId="0" xfId="0" applyFont="1" applyFill="1" applyAlignment="1">
      <alignment horizontal="center" vertical="center" wrapText="1"/>
    </xf>
    <xf numFmtId="0" fontId="8" fillId="0" borderId="0" xfId="0" applyFont="1" applyAlignment="1">
      <alignment horizontal="left" vertical="center"/>
    </xf>
    <xf numFmtId="0" fontId="56" fillId="0" borderId="0" xfId="0" applyFont="1" applyAlignment="1">
      <alignment horizontal="left" vertical="center" wrapText="1"/>
    </xf>
    <xf numFmtId="0" fontId="7" fillId="0" borderId="15"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9" xfId="0" applyFont="1" applyBorder="1" applyAlignment="1">
      <alignment horizontal="left" wrapText="1"/>
    </xf>
    <xf numFmtId="0" fontId="9" fillId="0" borderId="0" xfId="5" applyBorder="1" applyAlignment="1">
      <alignment horizontal="left" vertical="center"/>
    </xf>
    <xf numFmtId="0" fontId="24" fillId="0" borderId="158" xfId="0" applyFont="1" applyBorder="1" applyAlignment="1">
      <alignment horizontal="center" vertical="center" wrapText="1"/>
    </xf>
    <xf numFmtId="0" fontId="24" fillId="0" borderId="160" xfId="0" applyFont="1" applyBorder="1" applyAlignment="1">
      <alignment horizontal="center" vertical="center" wrapText="1"/>
    </xf>
    <xf numFmtId="0" fontId="24" fillId="0" borderId="115" xfId="0" applyFont="1" applyBorder="1" applyAlignment="1">
      <alignment horizontal="center" vertical="center" wrapText="1"/>
    </xf>
    <xf numFmtId="0" fontId="24" fillId="0" borderId="108" xfId="0" applyFont="1" applyBorder="1" applyAlignment="1">
      <alignment horizontal="center" vertical="center" wrapText="1"/>
    </xf>
    <xf numFmtId="0" fontId="24" fillId="0" borderId="119" xfId="0" applyFont="1" applyBorder="1" applyAlignment="1">
      <alignment horizontal="center" vertical="center" wrapText="1"/>
    </xf>
    <xf numFmtId="0" fontId="24" fillId="0" borderId="109" xfId="0" applyFont="1" applyBorder="1" applyAlignment="1">
      <alignment horizontal="center" vertical="center" wrapText="1"/>
    </xf>
    <xf numFmtId="0" fontId="24" fillId="0" borderId="113" xfId="0" applyFont="1" applyBorder="1" applyAlignment="1">
      <alignment horizontal="center" vertical="center" wrapText="1"/>
    </xf>
    <xf numFmtId="0" fontId="24" fillId="0" borderId="102" xfId="0" applyFont="1" applyBorder="1" applyAlignment="1">
      <alignment horizontal="center" vertical="center" wrapText="1"/>
    </xf>
    <xf numFmtId="0" fontId="24" fillId="0" borderId="161" xfId="0" applyFont="1" applyBorder="1" applyAlignment="1">
      <alignment horizontal="center" vertical="center" wrapText="1"/>
    </xf>
    <xf numFmtId="0" fontId="24" fillId="0" borderId="104" xfId="0" applyFont="1" applyBorder="1" applyAlignment="1">
      <alignment horizontal="center" vertical="center" wrapText="1"/>
    </xf>
    <xf numFmtId="0" fontId="24" fillId="0" borderId="143" xfId="0" applyFont="1" applyBorder="1" applyAlignment="1">
      <alignment horizontal="center" vertical="center" wrapText="1"/>
    </xf>
    <xf numFmtId="0" fontId="24" fillId="0" borderId="105" xfId="0" applyFont="1" applyBorder="1" applyAlignment="1">
      <alignment horizontal="center" vertical="center" wrapText="1"/>
    </xf>
    <xf numFmtId="0" fontId="24" fillId="0" borderId="153" xfId="0" applyFont="1" applyBorder="1" applyAlignment="1">
      <alignment horizontal="center" vertical="center" wrapText="1"/>
    </xf>
    <xf numFmtId="0" fontId="24" fillId="0" borderId="103" xfId="0" applyFont="1" applyBorder="1" applyAlignment="1">
      <alignment horizontal="center" vertical="center" wrapText="1"/>
    </xf>
    <xf numFmtId="0" fontId="24" fillId="0" borderId="111" xfId="0" applyFont="1" applyBorder="1" applyAlignment="1">
      <alignment horizontal="center" vertical="center" wrapText="1"/>
    </xf>
    <xf numFmtId="0" fontId="24" fillId="0" borderId="147" xfId="0" applyFont="1" applyBorder="1" applyAlignment="1">
      <alignment horizontal="center" vertical="center" wrapText="1"/>
    </xf>
    <xf numFmtId="0" fontId="24" fillId="0" borderId="149" xfId="0" applyFont="1" applyBorder="1" applyAlignment="1">
      <alignment horizontal="center" vertical="center" wrapText="1"/>
    </xf>
    <xf numFmtId="0" fontId="24" fillId="0" borderId="157" xfId="0" applyFont="1" applyBorder="1" applyAlignment="1">
      <alignment horizontal="center" vertical="center" wrapText="1"/>
    </xf>
    <xf numFmtId="0" fontId="24" fillId="0" borderId="103" xfId="0" applyFont="1" applyBorder="1" applyAlignment="1">
      <alignment horizontal="center" vertical="center"/>
    </xf>
    <xf numFmtId="0" fontId="24" fillId="0" borderId="108" xfId="0" applyFont="1" applyBorder="1" applyAlignment="1">
      <alignment horizontal="center" vertical="center"/>
    </xf>
    <xf numFmtId="0" fontId="24" fillId="0" borderId="111" xfId="0" applyFont="1" applyBorder="1" applyAlignment="1">
      <alignment horizontal="center" vertical="center"/>
    </xf>
    <xf numFmtId="0" fontId="24" fillId="0" borderId="168" xfId="0" applyFont="1" applyBorder="1" applyAlignment="1">
      <alignment horizontal="center" vertical="center" wrapText="1"/>
    </xf>
    <xf numFmtId="0" fontId="24" fillId="0" borderId="151" xfId="0" applyFont="1" applyBorder="1" applyAlignment="1">
      <alignment horizontal="center" vertical="center" wrapText="1"/>
    </xf>
    <xf numFmtId="0" fontId="24" fillId="0" borderId="128" xfId="0" applyFont="1" applyBorder="1" applyAlignment="1">
      <alignment horizontal="center" vertical="center" wrapText="1"/>
    </xf>
    <xf numFmtId="0" fontId="24" fillId="0" borderId="100" xfId="0" applyFont="1" applyBorder="1" applyAlignment="1">
      <alignment horizontal="center" vertical="center" wrapText="1"/>
    </xf>
    <xf numFmtId="0" fontId="24" fillId="0" borderId="123" xfId="0" applyFont="1" applyBorder="1" applyAlignment="1">
      <alignment horizontal="center" vertical="center" wrapText="1"/>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29" fillId="0" borderId="11" xfId="0" applyFont="1" applyBorder="1" applyAlignment="1">
      <alignment horizontal="center" vertical="center"/>
    </xf>
    <xf numFmtId="0" fontId="24" fillId="0" borderId="143" xfId="0" applyFont="1" applyBorder="1" applyAlignment="1">
      <alignment horizontal="center" vertical="center"/>
    </xf>
    <xf numFmtId="0" fontId="24" fillId="0" borderId="134" xfId="0" applyFont="1" applyBorder="1" applyAlignment="1">
      <alignment horizontal="center" vertical="center" wrapText="1"/>
    </xf>
    <xf numFmtId="0" fontId="24" fillId="0" borderId="136" xfId="0" applyFont="1" applyBorder="1" applyAlignment="1">
      <alignment horizontal="center" vertical="center" wrapText="1"/>
    </xf>
    <xf numFmtId="0" fontId="24" fillId="0" borderId="138" xfId="0" applyFont="1" applyBorder="1" applyAlignment="1">
      <alignment horizontal="center" vertical="center" wrapText="1"/>
    </xf>
    <xf numFmtId="0" fontId="24" fillId="0" borderId="140" xfId="0" applyFont="1" applyBorder="1" applyAlignment="1">
      <alignment horizontal="center" vertical="center" wrapText="1"/>
    </xf>
    <xf numFmtId="0" fontId="24" fillId="0" borderId="141" xfId="0" applyFont="1" applyBorder="1" applyAlignment="1">
      <alignment horizontal="center" vertical="center" wrapText="1"/>
    </xf>
    <xf numFmtId="0" fontId="24" fillId="0" borderId="144" xfId="0" applyFont="1" applyBorder="1" applyAlignment="1">
      <alignment horizontal="center" vertical="center" wrapText="1"/>
    </xf>
    <xf numFmtId="0" fontId="24" fillId="0" borderId="112" xfId="0" applyFont="1" applyBorder="1" applyAlignment="1">
      <alignment horizontal="center" vertical="center" wrapText="1"/>
    </xf>
    <xf numFmtId="0" fontId="24" fillId="0" borderId="135" xfId="0" applyFont="1" applyBorder="1" applyAlignment="1">
      <alignment horizontal="center" vertical="center" wrapText="1"/>
    </xf>
    <xf numFmtId="0" fontId="24" fillId="0" borderId="137" xfId="0" applyFont="1" applyBorder="1" applyAlignment="1">
      <alignment horizontal="center" vertical="center" wrapText="1"/>
    </xf>
    <xf numFmtId="0" fontId="24" fillId="0" borderId="139" xfId="0" applyFont="1" applyBorder="1" applyAlignment="1">
      <alignment horizontal="center" vertical="center" wrapText="1"/>
    </xf>
    <xf numFmtId="0" fontId="8" fillId="10" borderId="145" xfId="0" applyFont="1" applyFill="1" applyBorder="1" applyAlignment="1">
      <alignment horizontal="center" vertical="center"/>
    </xf>
    <xf numFmtId="0" fontId="8" fillId="10" borderId="0" xfId="0" applyFont="1" applyFill="1" applyAlignment="1">
      <alignment horizontal="center" vertical="center"/>
    </xf>
    <xf numFmtId="0" fontId="8" fillId="10" borderId="146" xfId="0" applyFont="1" applyFill="1" applyBorder="1" applyAlignment="1">
      <alignment horizontal="center" vertical="center"/>
    </xf>
    <xf numFmtId="0" fontId="24" fillId="0" borderId="107" xfId="0" applyFont="1" applyBorder="1" applyAlignment="1">
      <alignment horizontal="center" vertical="center" wrapText="1"/>
    </xf>
    <xf numFmtId="0" fontId="24" fillId="0" borderId="142" xfId="0" applyFont="1" applyBorder="1" applyAlignment="1">
      <alignment horizontal="center" vertical="center" wrapText="1"/>
    </xf>
    <xf numFmtId="0" fontId="24" fillId="0" borderId="124" xfId="0" applyFont="1" applyBorder="1" applyAlignment="1">
      <alignment horizontal="center" vertical="center" wrapText="1"/>
    </xf>
    <xf numFmtId="0" fontId="24" fillId="0" borderId="110" xfId="0" applyFont="1" applyBorder="1" applyAlignment="1">
      <alignment horizontal="center" vertical="center" wrapText="1"/>
    </xf>
    <xf numFmtId="0" fontId="24" fillId="0" borderId="172"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8" xfId="0" applyFont="1" applyBorder="1" applyAlignment="1">
      <alignment horizontal="center" vertical="center" wrapText="1"/>
    </xf>
    <xf numFmtId="0" fontId="28" fillId="0" borderId="40" xfId="0" applyFont="1" applyBorder="1" applyAlignment="1">
      <alignment horizontal="center" vertical="center" wrapText="1"/>
    </xf>
    <xf numFmtId="0" fontId="28" fillId="0" borderId="41" xfId="0" applyFont="1" applyBorder="1" applyAlignment="1">
      <alignment horizontal="center" vertical="center" wrapText="1"/>
    </xf>
    <xf numFmtId="0" fontId="28" fillId="0" borderId="42" xfId="0" applyFont="1" applyBorder="1" applyAlignment="1">
      <alignment horizontal="center" vertical="center" wrapText="1"/>
    </xf>
    <xf numFmtId="0" fontId="24" fillId="0" borderId="34" xfId="0" applyFont="1" applyBorder="1" applyAlignment="1">
      <alignment horizontal="center" vertical="center" wrapText="1"/>
    </xf>
    <xf numFmtId="0" fontId="24" fillId="0" borderId="32"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37" xfId="0" applyFont="1" applyBorder="1" applyAlignment="1">
      <alignment horizontal="center" vertical="center" wrapText="1"/>
    </xf>
    <xf numFmtId="0" fontId="14" fillId="12" borderId="23" xfId="0" applyFont="1" applyFill="1" applyBorder="1" applyAlignment="1">
      <alignment horizontal="center" vertical="center" wrapText="1"/>
    </xf>
    <xf numFmtId="0" fontId="8" fillId="10" borderId="2" xfId="0" applyFont="1" applyFill="1" applyBorder="1" applyAlignment="1">
      <alignment horizontal="center" vertical="center"/>
    </xf>
    <xf numFmtId="0" fontId="8" fillId="10" borderId="15" xfId="0" applyFont="1" applyFill="1" applyBorder="1" applyAlignment="1">
      <alignment horizontal="center" vertical="center"/>
    </xf>
    <xf numFmtId="0" fontId="55" fillId="0" borderId="169" xfId="0" applyFont="1" applyBorder="1" applyAlignment="1">
      <alignment horizontal="center" vertical="center" wrapText="1"/>
    </xf>
    <xf numFmtId="0" fontId="55" fillId="0" borderId="149" xfId="0" applyFont="1" applyBorder="1" applyAlignment="1">
      <alignment horizontal="center" vertical="center" wrapText="1"/>
    </xf>
    <xf numFmtId="0" fontId="55" fillId="0" borderId="151" xfId="0" applyFont="1" applyBorder="1" applyAlignment="1">
      <alignment horizontal="center" vertical="center" wrapText="1"/>
    </xf>
    <xf numFmtId="0" fontId="20" fillId="10" borderId="3" xfId="0" applyFont="1" applyFill="1" applyBorder="1" applyAlignment="1">
      <alignment horizontal="center" vertical="center" wrapText="1"/>
    </xf>
    <xf numFmtId="0" fontId="20" fillId="10" borderId="13" xfId="0" applyFont="1" applyFill="1" applyBorder="1" applyAlignment="1">
      <alignment horizontal="center" vertical="center" wrapText="1"/>
    </xf>
    <xf numFmtId="0" fontId="20" fillId="10" borderId="14" xfId="0" applyFont="1" applyFill="1" applyBorder="1" applyAlignment="1">
      <alignment horizontal="center" vertical="center" wrapText="1"/>
    </xf>
    <xf numFmtId="0" fontId="8" fillId="10" borderId="101" xfId="0" applyFont="1" applyFill="1" applyBorder="1" applyAlignment="1">
      <alignment horizontal="center" vertical="center"/>
    </xf>
    <xf numFmtId="0" fontId="24" fillId="0" borderId="104" xfId="0" applyFont="1" applyBorder="1" applyAlignment="1">
      <alignment horizontal="center" vertical="center"/>
    </xf>
    <xf numFmtId="0" fontId="24" fillId="0" borderId="100" xfId="0" applyFont="1" applyBorder="1" applyAlignment="1">
      <alignment horizontal="center" vertical="center"/>
    </xf>
    <xf numFmtId="0" fontId="24" fillId="0" borderId="150" xfId="0" applyFont="1" applyBorder="1" applyAlignment="1">
      <alignment horizontal="center" vertical="center"/>
    </xf>
    <xf numFmtId="0" fontId="24" fillId="0" borderId="154" xfId="0" applyFont="1" applyBorder="1" applyAlignment="1">
      <alignment horizontal="center" vertical="center" wrapText="1"/>
    </xf>
    <xf numFmtId="0" fontId="24" fillId="0" borderId="155" xfId="0" applyFont="1" applyBorder="1" applyAlignment="1">
      <alignment horizontal="center" vertical="center" wrapText="1"/>
    </xf>
    <xf numFmtId="0" fontId="24" fillId="0" borderId="156" xfId="0" applyFont="1" applyBorder="1" applyAlignment="1">
      <alignment horizontal="center" vertical="center" wrapText="1"/>
    </xf>
    <xf numFmtId="0" fontId="24" fillId="0" borderId="128" xfId="0" applyFont="1" applyBorder="1" applyAlignment="1">
      <alignment horizontal="center" vertical="center"/>
    </xf>
    <xf numFmtId="0" fontId="24" fillId="0" borderId="123" xfId="0" applyFont="1" applyBorder="1" applyAlignment="1">
      <alignment horizontal="center" vertical="center"/>
    </xf>
    <xf numFmtId="0" fontId="24" fillId="0" borderId="150" xfId="0" applyFont="1" applyBorder="1" applyAlignment="1">
      <alignment horizontal="center" vertical="center" wrapText="1"/>
    </xf>
    <xf numFmtId="0" fontId="57" fillId="0" borderId="175" xfId="0" applyFont="1" applyBorder="1" applyAlignment="1">
      <alignment horizontal="center" vertical="center" wrapText="1"/>
    </xf>
    <xf numFmtId="0" fontId="57" fillId="0" borderId="176" xfId="0" applyFont="1" applyBorder="1" applyAlignment="1">
      <alignment horizontal="center" vertical="center" wrapText="1"/>
    </xf>
    <xf numFmtId="0" fontId="57" fillId="0" borderId="177" xfId="0" applyFont="1" applyBorder="1" applyAlignment="1">
      <alignment horizontal="center" vertical="center" wrapText="1"/>
    </xf>
    <xf numFmtId="0" fontId="57" fillId="0" borderId="178" xfId="0" applyFont="1" applyBorder="1" applyAlignment="1">
      <alignment horizontal="center" vertical="center" wrapText="1"/>
    </xf>
    <xf numFmtId="0" fontId="57" fillId="0" borderId="179" xfId="0" applyFont="1" applyBorder="1" applyAlignment="1">
      <alignment horizontal="center" vertical="center" wrapText="1"/>
    </xf>
    <xf numFmtId="0" fontId="57" fillId="0" borderId="180" xfId="0" applyFont="1" applyBorder="1" applyAlignment="1">
      <alignment horizontal="center" vertical="center" wrapText="1"/>
    </xf>
    <xf numFmtId="0" fontId="57" fillId="0" borderId="181" xfId="0" applyFont="1" applyBorder="1" applyAlignment="1">
      <alignment horizontal="center" vertical="center" wrapText="1"/>
    </xf>
    <xf numFmtId="0" fontId="57" fillId="0" borderId="182" xfId="0" applyFont="1" applyBorder="1" applyAlignment="1">
      <alignment horizontal="center" vertical="center" wrapText="1"/>
    </xf>
    <xf numFmtId="0" fontId="57" fillId="0" borderId="183" xfId="0" applyFont="1" applyBorder="1" applyAlignment="1">
      <alignment horizontal="center" vertical="center" wrapText="1"/>
    </xf>
    <xf numFmtId="0" fontId="24" fillId="0" borderId="193" xfId="0" applyFont="1" applyBorder="1" applyAlignment="1">
      <alignment horizontal="center" vertical="center" wrapText="1"/>
    </xf>
    <xf numFmtId="0" fontId="24" fillId="0" borderId="195" xfId="0" applyFont="1" applyBorder="1" applyAlignment="1">
      <alignment horizontal="center" vertical="center" wrapText="1"/>
    </xf>
    <xf numFmtId="0" fontId="24" fillId="0" borderId="196" xfId="0" applyFont="1" applyBorder="1" applyAlignment="1">
      <alignment horizontal="center" vertical="center" wrapText="1"/>
    </xf>
    <xf numFmtId="0" fontId="24" fillId="0" borderId="194" xfId="0" applyFont="1" applyBorder="1" applyAlignment="1">
      <alignment horizontal="center" vertical="center"/>
    </xf>
    <xf numFmtId="0" fontId="24" fillId="0" borderId="197" xfId="0" applyFont="1" applyBorder="1" applyAlignment="1">
      <alignment horizontal="center" vertical="center"/>
    </xf>
    <xf numFmtId="0" fontId="24" fillId="0" borderId="194" xfId="0" applyFont="1" applyBorder="1" applyAlignment="1">
      <alignment horizontal="center" vertical="center" wrapText="1"/>
    </xf>
    <xf numFmtId="0" fontId="24" fillId="0" borderId="198" xfId="0" applyFont="1" applyBorder="1" applyAlignment="1">
      <alignment horizontal="center" vertical="center" wrapText="1"/>
    </xf>
    <xf numFmtId="0" fontId="7" fillId="0" borderId="217" xfId="0" applyFont="1" applyBorder="1" applyAlignment="1">
      <alignment horizontal="center" vertical="center"/>
    </xf>
    <xf numFmtId="0" fontId="7" fillId="0" borderId="218" xfId="0" applyFont="1" applyBorder="1" applyAlignment="1">
      <alignment horizontal="center" vertical="center"/>
    </xf>
    <xf numFmtId="0" fontId="25" fillId="0" borderId="219" xfId="0" applyFont="1" applyBorder="1" applyAlignment="1">
      <alignment horizontal="center" vertical="center"/>
    </xf>
    <xf numFmtId="0" fontId="25" fillId="0" borderId="220" xfId="0" applyFont="1" applyBorder="1" applyAlignment="1">
      <alignment horizontal="center" vertical="center"/>
    </xf>
    <xf numFmtId="0" fontId="41" fillId="16" borderId="0" xfId="0" applyFont="1" applyFill="1" applyAlignment="1">
      <alignment horizontal="center" vertical="center"/>
    </xf>
    <xf numFmtId="0" fontId="40" fillId="12" borderId="22" xfId="0" applyFont="1" applyFill="1" applyBorder="1" applyAlignment="1">
      <alignment horizontal="center" vertical="center" wrapText="1"/>
    </xf>
    <xf numFmtId="0" fontId="8" fillId="0" borderId="16" xfId="0" applyFont="1" applyBorder="1" applyAlignment="1">
      <alignment horizontal="center" vertical="center"/>
    </xf>
    <xf numFmtId="0" fontId="8" fillId="0" borderId="0" xfId="0" applyFont="1" applyAlignment="1">
      <alignment horizontal="center" vertical="center"/>
    </xf>
    <xf numFmtId="0" fontId="26" fillId="10" borderId="2" xfId="0" applyFont="1" applyFill="1" applyBorder="1" applyAlignment="1">
      <alignment horizontal="center" vertical="center"/>
    </xf>
    <xf numFmtId="0" fontId="0" fillId="0" borderId="0" xfId="0" applyAlignment="1">
      <alignment horizontal="center"/>
    </xf>
    <xf numFmtId="0" fontId="24" fillId="0" borderId="147" xfId="0" applyFont="1" applyFill="1" applyBorder="1" applyAlignment="1">
      <alignment horizontal="center" vertical="center" wrapText="1"/>
    </xf>
    <xf numFmtId="0" fontId="24" fillId="0" borderId="148" xfId="0" applyFont="1" applyFill="1" applyBorder="1" applyAlignment="1">
      <alignment horizontal="center" vertical="center"/>
    </xf>
    <xf numFmtId="1" fontId="24" fillId="0" borderId="104" xfId="0" applyNumberFormat="1" applyFont="1" applyFill="1" applyBorder="1" applyAlignment="1">
      <alignment horizontal="center" vertical="center"/>
    </xf>
    <xf numFmtId="1" fontId="24" fillId="0" borderId="105" xfId="0" applyNumberFormat="1" applyFont="1" applyFill="1" applyBorder="1" applyAlignment="1">
      <alignment horizontal="center" vertical="center"/>
    </xf>
    <xf numFmtId="0" fontId="24" fillId="0" borderId="149" xfId="0" applyFont="1" applyFill="1" applyBorder="1" applyAlignment="1">
      <alignment horizontal="center" vertical="center" wrapText="1"/>
    </xf>
    <xf numFmtId="0" fontId="24" fillId="0" borderId="117" xfId="0" applyFont="1" applyFill="1" applyBorder="1" applyAlignment="1">
      <alignment horizontal="center" vertical="center"/>
    </xf>
    <xf numFmtId="1" fontId="24" fillId="0" borderId="100" xfId="0" applyNumberFormat="1" applyFont="1" applyFill="1" applyBorder="1" applyAlignment="1">
      <alignment horizontal="center" vertical="center"/>
    </xf>
    <xf numFmtId="1" fontId="24" fillId="0" borderId="109" xfId="0" applyNumberFormat="1" applyFont="1" applyFill="1" applyBorder="1" applyAlignment="1">
      <alignment horizontal="center" vertical="center"/>
    </xf>
    <xf numFmtId="0" fontId="24" fillId="0" borderId="151" xfId="0" applyFont="1" applyFill="1" applyBorder="1" applyAlignment="1">
      <alignment horizontal="center" vertical="center" wrapText="1"/>
    </xf>
    <xf numFmtId="0" fontId="24" fillId="0" borderId="152" xfId="0" applyFont="1" applyFill="1" applyBorder="1" applyAlignment="1">
      <alignment horizontal="center" vertical="center"/>
    </xf>
    <xf numFmtId="1" fontId="24" fillId="0" borderId="150" xfId="0" applyNumberFormat="1" applyFont="1" applyFill="1" applyBorder="1" applyAlignment="1">
      <alignment horizontal="center" vertical="center"/>
    </xf>
    <xf numFmtId="1" fontId="24" fillId="0" borderId="153" xfId="0" applyNumberFormat="1" applyFont="1" applyFill="1" applyBorder="1" applyAlignment="1">
      <alignment horizontal="center" vertical="center"/>
    </xf>
    <xf numFmtId="0" fontId="24" fillId="0" borderId="129" xfId="0" applyFont="1" applyFill="1" applyBorder="1" applyAlignment="1">
      <alignment horizontal="center" vertical="center"/>
    </xf>
    <xf numFmtId="0" fontId="24" fillId="0" borderId="157" xfId="0" applyFont="1" applyFill="1" applyBorder="1" applyAlignment="1">
      <alignment horizontal="center" vertical="center" wrapText="1"/>
    </xf>
    <xf numFmtId="0" fontId="24" fillId="0" borderId="125" xfId="0" applyFont="1" applyFill="1" applyBorder="1" applyAlignment="1">
      <alignment horizontal="center" vertical="center"/>
    </xf>
    <xf numFmtId="0" fontId="24" fillId="0" borderId="104" xfId="0" applyFont="1" applyFill="1" applyBorder="1" applyAlignment="1">
      <alignment horizontal="center" vertical="center" wrapText="1"/>
    </xf>
    <xf numFmtId="0" fontId="24" fillId="0" borderId="108" xfId="0" applyFont="1" applyFill="1" applyBorder="1" applyAlignment="1">
      <alignment horizontal="center" vertical="center" wrapText="1"/>
    </xf>
    <xf numFmtId="0" fontId="24" fillId="0" borderId="143" xfId="0" applyFont="1" applyFill="1" applyBorder="1" applyAlignment="1">
      <alignment horizontal="center" vertical="center" wrapText="1"/>
    </xf>
    <xf numFmtId="0" fontId="24" fillId="0" borderId="128" xfId="0" applyFont="1" applyFill="1" applyBorder="1" applyAlignment="1">
      <alignment horizontal="center" vertical="center" wrapText="1"/>
    </xf>
    <xf numFmtId="1" fontId="24" fillId="0" borderId="128" xfId="0" applyNumberFormat="1" applyFont="1" applyFill="1" applyBorder="1" applyAlignment="1">
      <alignment horizontal="center" vertical="center"/>
    </xf>
    <xf numFmtId="1" fontId="24" fillId="0" borderId="131" xfId="0" applyNumberFormat="1" applyFont="1" applyFill="1" applyBorder="1" applyAlignment="1">
      <alignment horizontal="center" vertical="center"/>
    </xf>
    <xf numFmtId="1" fontId="24" fillId="0" borderId="132" xfId="0" applyNumberFormat="1" applyFont="1" applyFill="1" applyBorder="1" applyAlignment="1">
      <alignment horizontal="center" vertical="center"/>
    </xf>
    <xf numFmtId="0" fontId="24" fillId="0" borderId="111" xfId="0" applyFont="1" applyFill="1" applyBorder="1" applyAlignment="1">
      <alignment horizontal="center" vertical="center" wrapText="1"/>
    </xf>
    <xf numFmtId="1" fontId="24" fillId="0" borderId="123" xfId="0" applyNumberFormat="1" applyFont="1" applyFill="1" applyBorder="1" applyAlignment="1">
      <alignment horizontal="center" vertical="center"/>
    </xf>
    <xf numFmtId="1" fontId="24" fillId="0" borderId="133" xfId="0" applyNumberFormat="1" applyFont="1" applyFill="1" applyBorder="1" applyAlignment="1">
      <alignment horizontal="center" vertical="center"/>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6" xfId="13" xr:uid="{B6938E22-E147-4611-9559-EF8DD2180335}"/>
    <cellStyle name="Normal_Prototype_Scorecard-LgOffice-2008-03-13" xfId="1" xr:uid="{F839F8A1-86E5-4008-9801-0F032E8A3317}"/>
    <cellStyle name="Percent" xfId="2" builtinId="5"/>
    <cellStyle name="Percent 2" xfId="8" xr:uid="{CB789C3E-741F-4464-8065-385A956411E6}"/>
  </cellStyles>
  <dxfs count="8">
    <dxf>
      <fill>
        <patternFill>
          <bgColor theme="9" tint="0.59996337778862885"/>
        </patternFill>
      </fill>
    </dxf>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7"/>
      <tableStyleElement type="headerRow" dxfId="6"/>
      <tableStyleElement type="totalRow" dxfId="5"/>
      <tableStyleElement type="firstColumn" dxfId="4"/>
      <tableStyleElement type="lastColumn" dxfId="3"/>
      <tableStyleElement type="pageFieldLabels" dxfId="2"/>
      <tableStyleElement type="pageFieldValues" dxfId="1"/>
    </tableStyle>
  </tableStyles>
  <colors>
    <mruColors>
      <color rgb="FFD697F7"/>
      <color rgb="FF002F8E"/>
      <color rgb="FFFF9900"/>
      <color rgb="FFCCCCFF"/>
      <color rgb="FF8238BA"/>
      <color rgb="FFFFEBCD"/>
      <color rgb="FF0000CC"/>
      <color rgb="FF2E9F17"/>
      <color rgb="FFFFFAF3"/>
      <color rgb="FF2DC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Heating</a:t>
            </a:r>
            <a:r>
              <a:rPr lang="en-US" sz="1100"/>
              <a:t> Setpoints schedule- Medium office</a:t>
            </a:r>
          </a:p>
        </c:rich>
      </c:tx>
      <c:layout>
        <c:manualLayout>
          <c:xMode val="edge"/>
          <c:yMode val="edge"/>
          <c:x val="0.22284341946762432"/>
          <c:y val="6.25415096699679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Thermostat!$B$61</c:f>
              <c:strCache>
                <c:ptCount val="1"/>
                <c:pt idx="0">
                  <c:v>CEC-Weekday</c:v>
                </c:pt>
              </c:strCache>
            </c:strRef>
          </c:tx>
          <c:spPr>
            <a:ln w="28575" cap="rnd">
              <a:solidFill>
                <a:schemeClr val="accent1"/>
              </a:solidFill>
              <a:round/>
            </a:ln>
            <a:effectLst/>
          </c:spPr>
          <c:marker>
            <c:symbol val="none"/>
          </c:marker>
          <c:val>
            <c:numRef>
              <c:f>Thermostat!$B$62:$B$85</c:f>
            </c:numRef>
          </c:val>
          <c:smooth val="0"/>
          <c:extLst xmlns:c15="http://schemas.microsoft.com/office/drawing/2012/chart">
            <c:ext xmlns:c16="http://schemas.microsoft.com/office/drawing/2014/chart" uri="{C3380CC4-5D6E-409C-BE32-E72D297353CC}">
              <c16:uniqueId val="{00000000-7581-4C93-A663-D250B6DAD577}"/>
            </c:ext>
          </c:extLst>
        </c:ser>
        <c:ser>
          <c:idx val="1"/>
          <c:order val="1"/>
          <c:tx>
            <c:strRef>
              <c:f>Thermostat!$C$61</c:f>
              <c:strCache>
                <c:ptCount val="1"/>
                <c:pt idx="0">
                  <c:v>CEC-Saturday</c:v>
                </c:pt>
              </c:strCache>
            </c:strRef>
          </c:tx>
          <c:spPr>
            <a:ln w="28575" cap="rnd">
              <a:solidFill>
                <a:schemeClr val="accent2"/>
              </a:solidFill>
              <a:round/>
            </a:ln>
            <a:effectLst/>
          </c:spPr>
          <c:marker>
            <c:symbol val="none"/>
          </c:marker>
          <c:val>
            <c:numRef>
              <c:f>Thermostat!$C$62:$C$85</c:f>
            </c:numRef>
          </c:val>
          <c:smooth val="0"/>
          <c:extLst xmlns:c15="http://schemas.microsoft.com/office/drawing/2012/chart">
            <c:ext xmlns:c16="http://schemas.microsoft.com/office/drawing/2014/chart" uri="{C3380CC4-5D6E-409C-BE32-E72D297353CC}">
              <c16:uniqueId val="{00000001-7581-4C93-A663-D250B6DAD577}"/>
            </c:ext>
          </c:extLst>
        </c:ser>
        <c:ser>
          <c:idx val="2"/>
          <c:order val="2"/>
          <c:tx>
            <c:strRef>
              <c:f>Thermostat!$D$61</c:f>
              <c:strCache>
                <c:ptCount val="1"/>
                <c:pt idx="0">
                  <c:v>CEC-Sunday</c:v>
                </c:pt>
              </c:strCache>
            </c:strRef>
          </c:tx>
          <c:spPr>
            <a:ln w="28575" cap="rnd">
              <a:solidFill>
                <a:schemeClr val="accent3"/>
              </a:solidFill>
              <a:round/>
            </a:ln>
            <a:effectLst/>
          </c:spPr>
          <c:marker>
            <c:symbol val="none"/>
          </c:marker>
          <c:val>
            <c:numRef>
              <c:f>Thermostat!$D$62:$D$85</c:f>
            </c:numRef>
          </c:val>
          <c:smooth val="0"/>
          <c:extLst xmlns:c15="http://schemas.microsoft.com/office/drawing/2012/chart">
            <c:ext xmlns:c16="http://schemas.microsoft.com/office/drawing/2014/chart" uri="{C3380CC4-5D6E-409C-BE32-E72D297353CC}">
              <c16:uniqueId val="{00000002-7581-4C93-A663-D250B6DAD577}"/>
            </c:ext>
          </c:extLst>
        </c:ser>
        <c:ser>
          <c:idx val="6"/>
          <c:order val="3"/>
          <c:tx>
            <c:strRef>
              <c:f>Thermostat!$E$61</c:f>
              <c:strCache>
                <c:ptCount val="1"/>
              </c:strCache>
            </c:strRef>
          </c:tx>
          <c:spPr>
            <a:ln w="28575" cap="rnd">
              <a:solidFill>
                <a:schemeClr val="accent1">
                  <a:lumMod val="60000"/>
                </a:schemeClr>
              </a:solidFill>
              <a:round/>
            </a:ln>
            <a:effectLst/>
          </c:spPr>
          <c:marker>
            <c:symbol val="none"/>
          </c:marker>
          <c:val>
            <c:numRef>
              <c:f>Thermostat!$E$62:$E$85</c:f>
            </c:numRef>
          </c:val>
          <c:smooth val="0"/>
          <c:extLst xmlns:c15="http://schemas.microsoft.com/office/drawing/2012/chart">
            <c:ext xmlns:c16="http://schemas.microsoft.com/office/drawing/2014/chart" uri="{C3380CC4-5D6E-409C-BE32-E72D297353CC}">
              <c16:uniqueId val="{00000004-7581-4C93-A663-D250B6DAD577}"/>
            </c:ext>
          </c:extLst>
        </c:ser>
        <c:ser>
          <c:idx val="8"/>
          <c:order val="4"/>
          <c:tx>
            <c:strRef>
              <c:f>Thermostat!$F$61</c:f>
              <c:strCache>
                <c:ptCount val="1"/>
                <c:pt idx="0">
                  <c:v>PNNL-Weekday</c:v>
                </c:pt>
              </c:strCache>
            </c:strRef>
          </c:tx>
          <c:spPr>
            <a:ln w="28575" cap="rnd">
              <a:solidFill>
                <a:schemeClr val="accent3">
                  <a:lumMod val="60000"/>
                </a:schemeClr>
              </a:solidFill>
              <a:round/>
            </a:ln>
            <a:effectLst/>
          </c:spPr>
          <c:marker>
            <c:symbol val="none"/>
          </c:marker>
          <c:val>
            <c:numRef>
              <c:f>Thermostat!$F$62:$F$85</c:f>
            </c:numRef>
          </c:val>
          <c:smooth val="0"/>
          <c:extLst>
            <c:ext xmlns:c16="http://schemas.microsoft.com/office/drawing/2014/chart" uri="{C3380CC4-5D6E-409C-BE32-E72D297353CC}">
              <c16:uniqueId val="{00000005-7581-4C93-A663-D250B6DAD577}"/>
            </c:ext>
          </c:extLst>
        </c:ser>
        <c:ser>
          <c:idx val="3"/>
          <c:order val="5"/>
          <c:tx>
            <c:strRef>
              <c:f>Thermostat!$G$61</c:f>
              <c:strCache>
                <c:ptCount val="1"/>
                <c:pt idx="0">
                  <c:v>PNNL-Saturday</c:v>
                </c:pt>
              </c:strCache>
            </c:strRef>
          </c:tx>
          <c:spPr>
            <a:ln w="28575" cap="rnd">
              <a:solidFill>
                <a:schemeClr val="accent4"/>
              </a:solidFill>
              <a:round/>
            </a:ln>
            <a:effectLst/>
          </c:spPr>
          <c:marker>
            <c:symbol val="none"/>
          </c:marker>
          <c:val>
            <c:numRef>
              <c:f>Thermostat!$G$62:$G$85</c:f>
            </c:numRef>
          </c:val>
          <c:smooth val="0"/>
          <c:extLst>
            <c:ext xmlns:c16="http://schemas.microsoft.com/office/drawing/2014/chart" uri="{C3380CC4-5D6E-409C-BE32-E72D297353CC}">
              <c16:uniqueId val="{00000000-6FDC-4528-896C-18E8DEC9F380}"/>
            </c:ext>
          </c:extLst>
        </c:ser>
        <c:ser>
          <c:idx val="4"/>
          <c:order val="6"/>
          <c:tx>
            <c:strRef>
              <c:f>Thermostat!$H$61</c:f>
              <c:strCache>
                <c:ptCount val="1"/>
                <c:pt idx="0">
                  <c:v>PNNL-Sunday</c:v>
                </c:pt>
              </c:strCache>
            </c:strRef>
          </c:tx>
          <c:spPr>
            <a:ln w="28575" cap="rnd">
              <a:solidFill>
                <a:schemeClr val="accent5"/>
              </a:solidFill>
              <a:round/>
            </a:ln>
            <a:effectLst/>
          </c:spPr>
          <c:marker>
            <c:symbol val="none"/>
          </c:marker>
          <c:val>
            <c:numRef>
              <c:f>Thermostat!$H$62:$H$85</c:f>
            </c:numRef>
          </c:val>
          <c:smooth val="0"/>
          <c:extLst>
            <c:ext xmlns:c16="http://schemas.microsoft.com/office/drawing/2014/chart" uri="{C3380CC4-5D6E-409C-BE32-E72D297353CC}">
              <c16:uniqueId val="{00000001-6FDC-4528-896C-18E8DEC9F380}"/>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min val="5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layout>
        <c:manualLayout>
          <c:xMode val="edge"/>
          <c:yMode val="edge"/>
          <c:x val="0.1209075481240149"/>
          <c:y val="0.81824773596225608"/>
          <c:w val="0.80723098903354418"/>
          <c:h val="0.13747448227806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Cooling</a:t>
            </a:r>
            <a:r>
              <a:rPr lang="en-US" sz="1100"/>
              <a:t> Setpoints schedule- Medium office</a:t>
            </a:r>
          </a:p>
        </c:rich>
      </c:tx>
      <c:layout>
        <c:manualLayout>
          <c:xMode val="edge"/>
          <c:yMode val="edge"/>
          <c:x val="0.2192523364485981"/>
          <c:y val="3.72453920639617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947457502391642E-2"/>
          <c:y val="0.17480595004191446"/>
          <c:w val="0.86978462972502268"/>
          <c:h val="0.51956598357348382"/>
        </c:manualLayout>
      </c:layout>
      <c:lineChart>
        <c:grouping val="standard"/>
        <c:varyColors val="0"/>
        <c:ser>
          <c:idx val="0"/>
          <c:order val="0"/>
          <c:tx>
            <c:strRef>
              <c:f>Thermostat!$K$61</c:f>
              <c:strCache>
                <c:ptCount val="1"/>
                <c:pt idx="0">
                  <c:v>CEC-Weekday</c:v>
                </c:pt>
              </c:strCache>
            </c:strRef>
          </c:tx>
          <c:spPr>
            <a:ln w="28575" cap="rnd">
              <a:solidFill>
                <a:schemeClr val="accent1"/>
              </a:solidFill>
              <a:round/>
            </a:ln>
            <a:effectLst/>
          </c:spPr>
          <c:marker>
            <c:symbol val="none"/>
          </c:marker>
          <c:cat>
            <c:numRef>
              <c:f>Thermostat!$A$62:$A$85</c:f>
            </c:numRef>
          </c:cat>
          <c:val>
            <c:numRef>
              <c:f>Thermostat!$K$62:$K$85</c:f>
            </c:numRef>
          </c:val>
          <c:smooth val="0"/>
          <c:extLst xmlns:c15="http://schemas.microsoft.com/office/drawing/2012/chart">
            <c:ext xmlns:c16="http://schemas.microsoft.com/office/drawing/2014/chart" uri="{C3380CC4-5D6E-409C-BE32-E72D297353CC}">
              <c16:uniqueId val="{00000000-8A02-4C5F-B436-4C17AE1B17D0}"/>
            </c:ext>
          </c:extLst>
        </c:ser>
        <c:ser>
          <c:idx val="1"/>
          <c:order val="1"/>
          <c:tx>
            <c:strRef>
              <c:f>Thermostat!$L$61</c:f>
              <c:strCache>
                <c:ptCount val="1"/>
                <c:pt idx="0">
                  <c:v>CEC-Saturday</c:v>
                </c:pt>
              </c:strCache>
            </c:strRef>
          </c:tx>
          <c:spPr>
            <a:ln w="28575" cap="rnd">
              <a:solidFill>
                <a:schemeClr val="accent2"/>
              </a:solidFill>
              <a:round/>
            </a:ln>
            <a:effectLst/>
          </c:spPr>
          <c:marker>
            <c:symbol val="none"/>
          </c:marker>
          <c:cat>
            <c:numRef>
              <c:f>Thermostat!$A$62:$A$85</c:f>
            </c:numRef>
          </c:cat>
          <c:val>
            <c:numRef>
              <c:f>Thermostat!$L$62:$L$85</c:f>
            </c:numRef>
          </c:val>
          <c:smooth val="0"/>
          <c:extLst xmlns:c15="http://schemas.microsoft.com/office/drawing/2012/chart">
            <c:ext xmlns:c16="http://schemas.microsoft.com/office/drawing/2014/chart" uri="{C3380CC4-5D6E-409C-BE32-E72D297353CC}">
              <c16:uniqueId val="{00000001-8A02-4C5F-B436-4C17AE1B17D0}"/>
            </c:ext>
          </c:extLst>
        </c:ser>
        <c:ser>
          <c:idx val="2"/>
          <c:order val="2"/>
          <c:tx>
            <c:strRef>
              <c:f>Thermostat!$M$61</c:f>
              <c:strCache>
                <c:ptCount val="1"/>
                <c:pt idx="0">
                  <c:v>CEC-Sunday</c:v>
                </c:pt>
              </c:strCache>
            </c:strRef>
          </c:tx>
          <c:spPr>
            <a:ln w="28575" cap="rnd">
              <a:solidFill>
                <a:schemeClr val="accent3"/>
              </a:solidFill>
              <a:round/>
            </a:ln>
            <a:effectLst/>
          </c:spPr>
          <c:marker>
            <c:symbol val="none"/>
          </c:marker>
          <c:cat>
            <c:numRef>
              <c:f>Thermostat!$A$62:$A$85</c:f>
            </c:numRef>
          </c:cat>
          <c:val>
            <c:numRef>
              <c:f>Thermostat!$M$62:$M$85</c:f>
            </c:numRef>
          </c:val>
          <c:smooth val="0"/>
          <c:extLst xmlns:c15="http://schemas.microsoft.com/office/drawing/2012/chart">
            <c:ext xmlns:c16="http://schemas.microsoft.com/office/drawing/2014/chart" uri="{C3380CC4-5D6E-409C-BE32-E72D297353CC}">
              <c16:uniqueId val="{00000002-8A02-4C5F-B436-4C17AE1B17D0}"/>
            </c:ext>
          </c:extLst>
        </c:ser>
        <c:ser>
          <c:idx val="8"/>
          <c:order val="3"/>
          <c:tx>
            <c:strRef>
              <c:f>Thermostat!$O$61</c:f>
              <c:strCache>
                <c:ptCount val="1"/>
                <c:pt idx="0">
                  <c:v>PNNL-Weekday</c:v>
                </c:pt>
              </c:strCache>
            </c:strRef>
          </c:tx>
          <c:spPr>
            <a:ln w="28575" cap="rnd">
              <a:solidFill>
                <a:schemeClr val="accent3">
                  <a:lumMod val="60000"/>
                </a:schemeClr>
              </a:solidFill>
              <a:round/>
            </a:ln>
            <a:effectLst/>
          </c:spPr>
          <c:marker>
            <c:symbol val="none"/>
          </c:marker>
          <c:cat>
            <c:numRef>
              <c:f>Thermostat!$A$62:$A$85</c:f>
            </c:numRef>
          </c:cat>
          <c:val>
            <c:numRef>
              <c:f>Thermostat!$O$62:$O$85</c:f>
            </c:numRef>
          </c:val>
          <c:smooth val="0"/>
          <c:extLst>
            <c:ext xmlns:c16="http://schemas.microsoft.com/office/drawing/2014/chart" uri="{C3380CC4-5D6E-409C-BE32-E72D297353CC}">
              <c16:uniqueId val="{00000004-8A02-4C5F-B436-4C17AE1B17D0}"/>
            </c:ext>
          </c:extLst>
        </c:ser>
        <c:ser>
          <c:idx val="3"/>
          <c:order val="4"/>
          <c:tx>
            <c:strRef>
              <c:f>Thermostat!$P$61</c:f>
              <c:strCache>
                <c:ptCount val="1"/>
                <c:pt idx="0">
                  <c:v>PNNL-Saturday</c:v>
                </c:pt>
              </c:strCache>
            </c:strRef>
          </c:tx>
          <c:spPr>
            <a:ln w="28575" cap="rnd">
              <a:solidFill>
                <a:schemeClr val="accent4"/>
              </a:solidFill>
              <a:round/>
            </a:ln>
            <a:effectLst/>
          </c:spPr>
          <c:marker>
            <c:symbol val="none"/>
          </c:marker>
          <c:cat>
            <c:numRef>
              <c:f>Thermostat!$A$62:$A$85</c:f>
            </c:numRef>
          </c:cat>
          <c:val>
            <c:numRef>
              <c:f>Thermostat!$P$62:$P$85</c:f>
            </c:numRef>
          </c:val>
          <c:smooth val="0"/>
          <c:extLst>
            <c:ext xmlns:c16="http://schemas.microsoft.com/office/drawing/2014/chart" uri="{C3380CC4-5D6E-409C-BE32-E72D297353CC}">
              <c16:uniqueId val="{00000005-8A02-4C5F-B436-4C17AE1B17D0}"/>
            </c:ext>
          </c:extLst>
        </c:ser>
        <c:ser>
          <c:idx val="4"/>
          <c:order val="5"/>
          <c:tx>
            <c:strRef>
              <c:f>Thermostat!$Q$61</c:f>
              <c:strCache>
                <c:ptCount val="1"/>
                <c:pt idx="0">
                  <c:v>PNNL-Sunday</c:v>
                </c:pt>
              </c:strCache>
            </c:strRef>
          </c:tx>
          <c:spPr>
            <a:ln w="28575" cap="rnd">
              <a:solidFill>
                <a:schemeClr val="accent5"/>
              </a:solidFill>
              <a:round/>
            </a:ln>
            <a:effectLst/>
          </c:spPr>
          <c:marker>
            <c:symbol val="none"/>
          </c:marker>
          <c:cat>
            <c:numRef>
              <c:f>Thermostat!$A$62:$A$85</c:f>
            </c:numRef>
          </c:cat>
          <c:val>
            <c:numRef>
              <c:f>Thermostat!$Q$62:$Q$85</c:f>
            </c:numRef>
          </c:val>
          <c:smooth val="0"/>
          <c:extLst>
            <c:ext xmlns:c16="http://schemas.microsoft.com/office/drawing/2014/chart" uri="{C3380CC4-5D6E-409C-BE32-E72D297353CC}">
              <c16:uniqueId val="{00000000-E30C-42EA-898C-E8A8321FBB6C}"/>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min val="7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layout>
        <c:manualLayout>
          <c:xMode val="edge"/>
          <c:yMode val="edge"/>
          <c:x val="0.12158804915740673"/>
          <c:y val="0.82090502298295909"/>
          <c:w val="0.75682390168518654"/>
          <c:h val="0.14016318800773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13288828026932"/>
          <c:y val="0.29075021872265966"/>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Capacity </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Schedules!$E$90</c:f>
              <c:strCache>
                <c:ptCount val="1"/>
                <c:pt idx="0">
                  <c:v>Weekday</c:v>
                </c:pt>
              </c:strCache>
            </c:strRef>
          </c:tx>
          <c:spPr>
            <a:ln w="28575" cap="rnd">
              <a:solidFill>
                <a:schemeClr val="accent1"/>
              </a:solidFill>
              <a:round/>
            </a:ln>
            <a:effectLst/>
          </c:spPr>
          <c:marker>
            <c:symbol val="none"/>
          </c:marker>
          <c:val>
            <c:numRef>
              <c:f>Schedules!$F$90:$AC$90</c:f>
            </c:numRef>
          </c:val>
          <c:smooth val="0"/>
          <c:extLst>
            <c:ext xmlns:c16="http://schemas.microsoft.com/office/drawing/2014/chart" uri="{C3380CC4-5D6E-409C-BE32-E72D297353CC}">
              <c16:uniqueId val="{00000000-8C2E-4FDC-8DAB-7FCF7BC63644}"/>
            </c:ext>
          </c:extLst>
        </c:ser>
        <c:ser>
          <c:idx val="1"/>
          <c:order val="1"/>
          <c:tx>
            <c:strRef>
              <c:f>Schedules!$E$91</c:f>
              <c:strCache>
                <c:ptCount val="1"/>
                <c:pt idx="0">
                  <c:v>Saturday</c:v>
                </c:pt>
              </c:strCache>
            </c:strRef>
          </c:tx>
          <c:spPr>
            <a:ln w="28575" cap="rnd">
              <a:solidFill>
                <a:schemeClr val="accent2"/>
              </a:solidFill>
              <a:round/>
            </a:ln>
            <a:effectLst/>
          </c:spPr>
          <c:marker>
            <c:symbol val="none"/>
          </c:marker>
          <c:val>
            <c:numRef>
              <c:f>Schedules!$F$91:$AC$91</c:f>
            </c:numRef>
          </c:val>
          <c:smooth val="0"/>
          <c:extLst>
            <c:ext xmlns:c16="http://schemas.microsoft.com/office/drawing/2014/chart" uri="{C3380CC4-5D6E-409C-BE32-E72D297353CC}">
              <c16:uniqueId val="{00000001-8C2E-4FDC-8DAB-7FCF7BC6364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Schedules!$E$93</c:f>
              <c:strCache>
                <c:ptCount val="1"/>
                <c:pt idx="0">
                  <c:v>Weekday</c:v>
                </c:pt>
              </c:strCache>
            </c:strRef>
          </c:tx>
          <c:spPr>
            <a:ln w="28575" cap="rnd">
              <a:solidFill>
                <a:schemeClr val="accent1"/>
              </a:solidFill>
              <a:round/>
            </a:ln>
            <a:effectLst/>
          </c:spPr>
          <c:marker>
            <c:symbol val="none"/>
          </c:marker>
          <c:val>
            <c:numRef>
              <c:f>Schedules!$F$93:$AC$93</c:f>
            </c:numRef>
          </c:val>
          <c:smooth val="0"/>
          <c:extLst>
            <c:ext xmlns:c16="http://schemas.microsoft.com/office/drawing/2014/chart" uri="{C3380CC4-5D6E-409C-BE32-E72D297353CC}">
              <c16:uniqueId val="{00000000-08C4-4E32-A5AC-4CF15D51F2DA}"/>
            </c:ext>
          </c:extLst>
        </c:ser>
        <c:ser>
          <c:idx val="1"/>
          <c:order val="1"/>
          <c:tx>
            <c:strRef>
              <c:f>Schedules!$E$94</c:f>
              <c:strCache>
                <c:ptCount val="1"/>
                <c:pt idx="0">
                  <c:v>Saturday</c:v>
                </c:pt>
              </c:strCache>
            </c:strRef>
          </c:tx>
          <c:spPr>
            <a:ln w="28575" cap="rnd">
              <a:solidFill>
                <a:schemeClr val="accent2"/>
              </a:solidFill>
              <a:round/>
            </a:ln>
            <a:effectLst/>
          </c:spPr>
          <c:marker>
            <c:symbol val="none"/>
          </c:marker>
          <c:val>
            <c:numRef>
              <c:f>Schedules!$F$94:$AC$94</c:f>
            </c:numRef>
          </c:val>
          <c:smooth val="0"/>
          <c:extLst>
            <c:ext xmlns:c16="http://schemas.microsoft.com/office/drawing/2014/chart" uri="{C3380CC4-5D6E-409C-BE32-E72D297353CC}">
              <c16:uniqueId val="{00000001-08C4-4E32-A5AC-4CF15D51F2DA}"/>
            </c:ext>
          </c:extLst>
        </c:ser>
        <c:ser>
          <c:idx val="2"/>
          <c:order val="2"/>
          <c:tx>
            <c:strRef>
              <c:f>Schedules!$E$95</c:f>
              <c:strCache>
                <c:ptCount val="1"/>
                <c:pt idx="0">
                  <c:v>Otherday</c:v>
                </c:pt>
              </c:strCache>
            </c:strRef>
          </c:tx>
          <c:spPr>
            <a:ln w="28575" cap="rnd">
              <a:solidFill>
                <a:schemeClr val="accent3"/>
              </a:solidFill>
              <a:round/>
            </a:ln>
            <a:effectLst/>
          </c:spPr>
          <c:marker>
            <c:symbol val="none"/>
          </c:marker>
          <c:val>
            <c:numRef>
              <c:f>Schedules!$F$95:$AC$95</c:f>
            </c:numRef>
          </c:val>
          <c:smooth val="0"/>
          <c:extLst>
            <c:ext xmlns:c16="http://schemas.microsoft.com/office/drawing/2014/chart" uri="{C3380CC4-5D6E-409C-BE32-E72D297353CC}">
              <c16:uniqueId val="{00000002-08C4-4E32-A5AC-4CF15D51F2DA}"/>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Schedules!$F$13:$AD$13</c:f>
              <c:numCache>
                <c:formatCode>0.00</c:formatCode>
                <c:ptCount val="25"/>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E654-4477-959C-B56EC14C30E8}"/>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Schedules!$F$14:$AD$14</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654-4477-959C-B56EC14C30E8}"/>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Schedules!$F$15:$AD$15</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654-4477-959C-B56EC14C30E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E3D7-4EF7-813F-757439F528B9}"/>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0.05</c:v>
                </c:pt>
                <c:pt idx="1">
                  <c:v>0.05</c:v>
                </c:pt>
                <c:pt idx="2">
                  <c:v>0.05</c:v>
                </c:pt>
                <c:pt idx="3">
                  <c:v>0.05</c:v>
                </c:pt>
                <c:pt idx="4">
                  <c:v>0.05</c:v>
                </c:pt>
                <c:pt idx="5">
                  <c:v>0.08</c:v>
                </c:pt>
                <c:pt idx="6">
                  <c:v>7.0000000000000007E-2</c:v>
                </c:pt>
                <c:pt idx="7">
                  <c:v>0.11</c:v>
                </c:pt>
                <c:pt idx="8">
                  <c:v>0.15</c:v>
                </c:pt>
                <c:pt idx="9">
                  <c:v>0.21</c:v>
                </c:pt>
                <c:pt idx="10">
                  <c:v>0.19</c:v>
                </c:pt>
                <c:pt idx="11">
                  <c:v>0.23</c:v>
                </c:pt>
                <c:pt idx="12">
                  <c:v>0.2</c:v>
                </c:pt>
                <c:pt idx="13">
                  <c:v>0.19</c:v>
                </c:pt>
                <c:pt idx="14">
                  <c:v>0.15</c:v>
                </c:pt>
                <c:pt idx="15">
                  <c:v>0.12</c:v>
                </c:pt>
                <c:pt idx="16">
                  <c:v>0.14000000000000001</c:v>
                </c:pt>
                <c:pt idx="17">
                  <c:v>7.0000000000000007E-2</c:v>
                </c:pt>
                <c:pt idx="18">
                  <c:v>7.0000000000000007E-2</c:v>
                </c:pt>
                <c:pt idx="19">
                  <c:v>7.0000000000000007E-2</c:v>
                </c:pt>
                <c:pt idx="20">
                  <c:v>7.0000000000000007E-2</c:v>
                </c:pt>
                <c:pt idx="21">
                  <c:v>0.09</c:v>
                </c:pt>
                <c:pt idx="22">
                  <c:v>0.05</c:v>
                </c:pt>
                <c:pt idx="23">
                  <c:v>0.05</c:v>
                </c:pt>
              </c:numCache>
            </c:numRef>
          </c:val>
          <c:smooth val="0"/>
          <c:extLst>
            <c:ext xmlns:c16="http://schemas.microsoft.com/office/drawing/2014/chart" uri="{C3380CC4-5D6E-409C-BE32-E72D297353CC}">
              <c16:uniqueId val="{00000001-E3D7-4EF7-813F-757439F528B9}"/>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E3D7-4EF7-813F-757439F528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058-4D71-ACA4-B3122FDFF171}"/>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B058-4D71-ACA4-B3122FDFF171}"/>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B058-4D71-ACA4-B3122FDFF17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7372894461716013"/>
          <c:y val="3.6261079321075841E-2"/>
          <c:w val="0.22325410797773537"/>
          <c:h val="0.48101414406532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13288828026932"/>
          <c:y val="0.29075021872265966"/>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AAAD-423E-83B9-F50157483995}"/>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AAAD-423E-83B9-F50157483995}"/>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AAAD-423E-83B9-F5015748399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Schedules!$F$13:$AD$13</c:f>
              <c:numCache>
                <c:formatCode>0.00</c:formatCode>
                <c:ptCount val="25"/>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9B90-4E7D-AB13-FB0F7656AD93}"/>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Schedules!$F$14:$AD$14</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9B90-4E7D-AB13-FB0F7656AD93}"/>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Schedules!$F$15:$AD$15</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9B90-4E7D-AB13-FB0F7656AD9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6051-4944-A08D-3F53E32C91EC}"/>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0.05</c:v>
                </c:pt>
                <c:pt idx="1">
                  <c:v>0.05</c:v>
                </c:pt>
                <c:pt idx="2">
                  <c:v>0.05</c:v>
                </c:pt>
                <c:pt idx="3">
                  <c:v>0.05</c:v>
                </c:pt>
                <c:pt idx="4">
                  <c:v>0.05</c:v>
                </c:pt>
                <c:pt idx="5">
                  <c:v>0.08</c:v>
                </c:pt>
                <c:pt idx="6">
                  <c:v>7.0000000000000007E-2</c:v>
                </c:pt>
                <c:pt idx="7">
                  <c:v>0.11</c:v>
                </c:pt>
                <c:pt idx="8">
                  <c:v>0.15</c:v>
                </c:pt>
                <c:pt idx="9">
                  <c:v>0.21</c:v>
                </c:pt>
                <c:pt idx="10">
                  <c:v>0.19</c:v>
                </c:pt>
                <c:pt idx="11">
                  <c:v>0.23</c:v>
                </c:pt>
                <c:pt idx="12">
                  <c:v>0.2</c:v>
                </c:pt>
                <c:pt idx="13">
                  <c:v>0.19</c:v>
                </c:pt>
                <c:pt idx="14">
                  <c:v>0.15</c:v>
                </c:pt>
                <c:pt idx="15">
                  <c:v>0.12</c:v>
                </c:pt>
                <c:pt idx="16">
                  <c:v>0.14000000000000001</c:v>
                </c:pt>
                <c:pt idx="17">
                  <c:v>7.0000000000000007E-2</c:v>
                </c:pt>
                <c:pt idx="18">
                  <c:v>7.0000000000000007E-2</c:v>
                </c:pt>
                <c:pt idx="19">
                  <c:v>7.0000000000000007E-2</c:v>
                </c:pt>
                <c:pt idx="20">
                  <c:v>7.0000000000000007E-2</c:v>
                </c:pt>
                <c:pt idx="21">
                  <c:v>0.09</c:v>
                </c:pt>
                <c:pt idx="22">
                  <c:v>0.05</c:v>
                </c:pt>
                <c:pt idx="23">
                  <c:v>0.05</c:v>
                </c:pt>
              </c:numCache>
            </c:numRef>
          </c:val>
          <c:smooth val="0"/>
          <c:extLst>
            <c:ext xmlns:c16="http://schemas.microsoft.com/office/drawing/2014/chart" uri="{C3380CC4-5D6E-409C-BE32-E72D297353CC}">
              <c16:uniqueId val="{00000001-6051-4944-A08D-3F53E32C91EC}"/>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6051-4944-A08D-3F53E32C91E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870-405A-B2A0-097CE9A81C26}"/>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B870-405A-B2A0-097CE9A81C26}"/>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B870-405A-B2A0-097CE9A81C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7372894461716013"/>
          <c:y val="3.6261079321075841E-2"/>
          <c:w val="0.22325410797773537"/>
          <c:h val="0.48101414406532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EB9A-496D-8BA5-7DEAE68F96E4}"/>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B9A-496D-8BA5-7DEAE68F96E4}"/>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B9A-496D-8BA5-7DEAE68F96E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c:formatCode>
                <c:ptCount val="24"/>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numCache>
            </c:numRef>
          </c:val>
          <c:smooth val="0"/>
          <c:extLst>
            <c:ext xmlns:c16="http://schemas.microsoft.com/office/drawing/2014/chart" uri="{C3380CC4-5D6E-409C-BE32-E72D297353CC}">
              <c16:uniqueId val="{00000000-6FAD-4676-87A3-6A3C8F4F0045}"/>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c:formatCode>
                <c:ptCount val="24"/>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numCache>
            </c:numRef>
          </c:val>
          <c:smooth val="0"/>
          <c:extLst>
            <c:ext xmlns:c16="http://schemas.microsoft.com/office/drawing/2014/chart" uri="{C3380CC4-5D6E-409C-BE32-E72D297353CC}">
              <c16:uniqueId val="{00000001-6FAD-4676-87A3-6A3C8F4F0045}"/>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c:formatCode>
                <c:ptCount val="24"/>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numCache>
            </c:numRef>
          </c:val>
          <c:smooth val="0"/>
          <c:extLst>
            <c:ext xmlns:c16="http://schemas.microsoft.com/office/drawing/2014/chart" uri="{C3380CC4-5D6E-409C-BE32-E72D297353CC}">
              <c16:uniqueId val="{00000002-6FAD-4676-87A3-6A3C8F4F004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31F3-4996-8367-36CB726EFC88}"/>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31F3-4996-8367-36CB726EFC88}"/>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31F3-4996-8367-36CB726EFC8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numCache>
            </c:numRef>
          </c:val>
          <c:smooth val="0"/>
          <c:extLst>
            <c:ext xmlns:c16="http://schemas.microsoft.com/office/drawing/2014/chart" uri="{C3380CC4-5D6E-409C-BE32-E72D297353CC}">
              <c16:uniqueId val="{00000000-9F2A-4710-87D8-2C5E35C863F7}"/>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F2A-4710-87D8-2C5E35C863F7}"/>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F2A-4710-87D8-2C5E35C863F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v>National Average</c:v>
          </c:tx>
          <c:spPr>
            <a:ln w="28575" cap="rnd">
              <a:solidFill>
                <a:srgbClr val="203764"/>
              </a:solidFill>
              <a:prstDash val="solid"/>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Usage'!$I$3:$I$18</c:f>
              <c:numCache>
                <c:formatCode>0.0</c:formatCode>
                <c:ptCount val="16"/>
                <c:pt idx="0">
                  <c:v>71.5</c:v>
                </c:pt>
                <c:pt idx="1">
                  <c:v>77.3</c:v>
                </c:pt>
                <c:pt idx="2">
                  <c:v>74</c:v>
                </c:pt>
                <c:pt idx="3">
                  <c:v>79.5</c:v>
                </c:pt>
                <c:pt idx="4">
                  <c:v>71.400000000000006</c:v>
                </c:pt>
                <c:pt idx="5">
                  <c:v>80.8</c:v>
                </c:pt>
                <c:pt idx="6">
                  <c:v>76.7</c:v>
                </c:pt>
                <c:pt idx="7">
                  <c:v>77.599999999999994</c:v>
                </c:pt>
                <c:pt idx="8">
                  <c:v>77.7</c:v>
                </c:pt>
                <c:pt idx="9">
                  <c:v>78.099999999999994</c:v>
                </c:pt>
                <c:pt idx="10">
                  <c:v>80.3</c:v>
                </c:pt>
                <c:pt idx="11">
                  <c:v>79.599999999999994</c:v>
                </c:pt>
                <c:pt idx="12">
                  <c:v>80</c:v>
                </c:pt>
                <c:pt idx="13">
                  <c:v>80.8</c:v>
                </c:pt>
                <c:pt idx="14">
                  <c:v>79.5</c:v>
                </c:pt>
                <c:pt idx="15">
                  <c:v>82.3</c:v>
                </c:pt>
              </c:numCache>
            </c:numRef>
          </c:val>
          <c:smooth val="0"/>
          <c:extLst>
            <c:ext xmlns:c16="http://schemas.microsoft.com/office/drawing/2014/chart" uri="{C3380CC4-5D6E-409C-BE32-E72D297353CC}">
              <c16:uniqueId val="{00000000-9306-4626-9728-574B970757C1}"/>
            </c:ext>
          </c:extLst>
        </c:ser>
        <c:ser>
          <c:idx val="0"/>
          <c:order val="1"/>
          <c:tx>
            <c:v>National Average - Higher</c:v>
          </c:tx>
          <c:spPr>
            <a:ln w="28575" cap="rnd">
              <a:solidFill>
                <a:schemeClr val="accent1"/>
              </a:solidFill>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Usage'!$J$3:$J$18</c:f>
              <c:numCache>
                <c:formatCode>0.0</c:formatCode>
                <c:ptCount val="16"/>
                <c:pt idx="0">
                  <c:v>89.375</c:v>
                </c:pt>
                <c:pt idx="1">
                  <c:v>96.625</c:v>
                </c:pt>
                <c:pt idx="2">
                  <c:v>92.5</c:v>
                </c:pt>
                <c:pt idx="3">
                  <c:v>99.375</c:v>
                </c:pt>
                <c:pt idx="4">
                  <c:v>89.25</c:v>
                </c:pt>
                <c:pt idx="5">
                  <c:v>101</c:v>
                </c:pt>
                <c:pt idx="6">
                  <c:v>95.875</c:v>
                </c:pt>
                <c:pt idx="7">
                  <c:v>97</c:v>
                </c:pt>
                <c:pt idx="8">
                  <c:v>97.125</c:v>
                </c:pt>
                <c:pt idx="9">
                  <c:v>97.625</c:v>
                </c:pt>
                <c:pt idx="10">
                  <c:v>100.375</c:v>
                </c:pt>
                <c:pt idx="11">
                  <c:v>99.5</c:v>
                </c:pt>
                <c:pt idx="12">
                  <c:v>100</c:v>
                </c:pt>
                <c:pt idx="13">
                  <c:v>101</c:v>
                </c:pt>
                <c:pt idx="14">
                  <c:v>99.375</c:v>
                </c:pt>
                <c:pt idx="15">
                  <c:v>102.875</c:v>
                </c:pt>
              </c:numCache>
            </c:numRef>
          </c:val>
          <c:smooth val="0"/>
          <c:extLst>
            <c:ext xmlns:c16="http://schemas.microsoft.com/office/drawing/2014/chart" uri="{C3380CC4-5D6E-409C-BE32-E72D297353CC}">
              <c16:uniqueId val="{00000001-9306-4626-9728-574B970757C1}"/>
            </c:ext>
          </c:extLst>
        </c:ser>
        <c:ser>
          <c:idx val="4"/>
          <c:order val="2"/>
          <c:tx>
            <c:v>National Average - Lower</c:v>
          </c:tx>
          <c:spPr>
            <a:ln w="28575" cap="rnd">
              <a:solidFill>
                <a:srgbClr val="B4C6E7"/>
              </a:solidFill>
              <a:prstDash val="solid"/>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Usage'!$K$3:$K$18</c:f>
              <c:numCache>
                <c:formatCode>0.00</c:formatCode>
                <c:ptCount val="16"/>
                <c:pt idx="0">
                  <c:v>53.625</c:v>
                </c:pt>
                <c:pt idx="1">
                  <c:v>57.974999999999994</c:v>
                </c:pt>
                <c:pt idx="2" formatCode="General">
                  <c:v>55.5</c:v>
                </c:pt>
                <c:pt idx="3" formatCode="General">
                  <c:v>59.625</c:v>
                </c:pt>
                <c:pt idx="4" formatCode="General">
                  <c:v>53.550000000000004</c:v>
                </c:pt>
                <c:pt idx="5" formatCode="General">
                  <c:v>60.599999999999994</c:v>
                </c:pt>
                <c:pt idx="6" formatCode="General">
                  <c:v>57.525000000000006</c:v>
                </c:pt>
                <c:pt idx="7" formatCode="General">
                  <c:v>58.199999999999996</c:v>
                </c:pt>
                <c:pt idx="8" formatCode="General">
                  <c:v>58.275000000000006</c:v>
                </c:pt>
                <c:pt idx="9" formatCode="General">
                  <c:v>58.574999999999996</c:v>
                </c:pt>
                <c:pt idx="10" formatCode="General">
                  <c:v>60.224999999999994</c:v>
                </c:pt>
                <c:pt idx="11" formatCode="General">
                  <c:v>59.699999999999996</c:v>
                </c:pt>
                <c:pt idx="12" formatCode="General">
                  <c:v>60</c:v>
                </c:pt>
                <c:pt idx="13" formatCode="General">
                  <c:v>60.599999999999994</c:v>
                </c:pt>
                <c:pt idx="14" formatCode="General">
                  <c:v>59.625</c:v>
                </c:pt>
                <c:pt idx="15" formatCode="General">
                  <c:v>61.724999999999994</c:v>
                </c:pt>
              </c:numCache>
            </c:numRef>
          </c:val>
          <c:smooth val="0"/>
          <c:extLst>
            <c:ext xmlns:c16="http://schemas.microsoft.com/office/drawing/2014/chart" uri="{C3380CC4-5D6E-409C-BE32-E72D297353CC}">
              <c16:uniqueId val="{00000004-9306-4626-9728-574B970757C1}"/>
            </c:ext>
          </c:extLst>
        </c:ser>
        <c:ser>
          <c:idx val="2"/>
          <c:order val="3"/>
          <c:tx>
            <c:v>CalBEM Total EUI</c:v>
          </c:tx>
          <c:spPr>
            <a:ln w="28575" cap="rnd">
              <a:solidFill>
                <a:schemeClr val="accent3"/>
              </a:solidFill>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Usage'!$E$3:$E$18</c:f>
              <c:numCache>
                <c:formatCode>General</c:formatCode>
                <c:ptCount val="16"/>
                <c:pt idx="0">
                  <c:v>57.4</c:v>
                </c:pt>
                <c:pt idx="1">
                  <c:v>64.5</c:v>
                </c:pt>
                <c:pt idx="2">
                  <c:v>59.6</c:v>
                </c:pt>
                <c:pt idx="3">
                  <c:v>64.099999999999994</c:v>
                </c:pt>
                <c:pt idx="4">
                  <c:v>61</c:v>
                </c:pt>
                <c:pt idx="5">
                  <c:v>58.8</c:v>
                </c:pt>
                <c:pt idx="6">
                  <c:v>60.7</c:v>
                </c:pt>
                <c:pt idx="7">
                  <c:v>60.7</c:v>
                </c:pt>
                <c:pt idx="8">
                  <c:v>61.9</c:v>
                </c:pt>
                <c:pt idx="9">
                  <c:v>61.2</c:v>
                </c:pt>
                <c:pt idx="10">
                  <c:v>58.2</c:v>
                </c:pt>
                <c:pt idx="11">
                  <c:v>61.3</c:v>
                </c:pt>
                <c:pt idx="12">
                  <c:v>61.2</c:v>
                </c:pt>
                <c:pt idx="13">
                  <c:v>60.7</c:v>
                </c:pt>
                <c:pt idx="14">
                  <c:v>62.3</c:v>
                </c:pt>
                <c:pt idx="15">
                  <c:v>57.8</c:v>
                </c:pt>
              </c:numCache>
            </c:numRef>
          </c:val>
          <c:smooth val="0"/>
          <c:extLst>
            <c:ext xmlns:c16="http://schemas.microsoft.com/office/drawing/2014/chart" uri="{C3380CC4-5D6E-409C-BE32-E72D297353CC}">
              <c16:uniqueId val="{00000002-9306-4626-9728-574B970757C1}"/>
            </c:ext>
          </c:extLst>
        </c:ser>
        <c:ser>
          <c:idx val="3"/>
          <c:order val="4"/>
          <c:tx>
            <c:v>New Construction Total EUI</c:v>
          </c:tx>
          <c:spPr>
            <a:ln w="28575" cap="rnd">
              <a:solidFill>
                <a:schemeClr val="accent4"/>
              </a:solidFill>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Usage'!$H$3:$H$18</c:f>
              <c:numCache>
                <c:formatCode>General</c:formatCode>
                <c:ptCount val="16"/>
                <c:pt idx="0">
                  <c:v>53.1</c:v>
                </c:pt>
                <c:pt idx="1">
                  <c:v>55.3</c:v>
                </c:pt>
                <c:pt idx="2">
                  <c:v>53.5</c:v>
                </c:pt>
                <c:pt idx="3">
                  <c:v>56.9</c:v>
                </c:pt>
                <c:pt idx="4">
                  <c:v>55.2</c:v>
                </c:pt>
                <c:pt idx="5">
                  <c:v>54.7</c:v>
                </c:pt>
                <c:pt idx="6">
                  <c:v>54.4</c:v>
                </c:pt>
                <c:pt idx="7">
                  <c:v>56.4</c:v>
                </c:pt>
                <c:pt idx="8">
                  <c:v>56.1</c:v>
                </c:pt>
                <c:pt idx="9">
                  <c:v>56.9</c:v>
                </c:pt>
                <c:pt idx="10">
                  <c:v>57.5</c:v>
                </c:pt>
                <c:pt idx="11">
                  <c:v>56.3</c:v>
                </c:pt>
                <c:pt idx="12">
                  <c:v>57</c:v>
                </c:pt>
                <c:pt idx="13">
                  <c:v>57.4</c:v>
                </c:pt>
                <c:pt idx="14">
                  <c:v>59.1</c:v>
                </c:pt>
                <c:pt idx="15">
                  <c:v>55.5</c:v>
                </c:pt>
              </c:numCache>
            </c:numRef>
          </c:val>
          <c:smooth val="0"/>
          <c:extLst>
            <c:ext xmlns:c16="http://schemas.microsoft.com/office/drawing/2014/chart" uri="{C3380CC4-5D6E-409C-BE32-E72D297353CC}">
              <c16:uniqueId val="{00000003-9306-4626-9728-574B970757C1}"/>
            </c:ext>
          </c:extLst>
        </c:ser>
        <c:dLbls>
          <c:showLegendKey val="0"/>
          <c:showVal val="0"/>
          <c:showCatName val="0"/>
          <c:showSerName val="0"/>
          <c:showPercent val="0"/>
          <c:showBubbleSize val="0"/>
        </c:dLbls>
        <c:smooth val="0"/>
        <c:axId val="871838728"/>
        <c:axId val="871840776"/>
      </c:lineChart>
      <c:catAx>
        <c:axId val="871838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40776"/>
        <c:crosses val="autoZero"/>
        <c:auto val="1"/>
        <c:lblAlgn val="ctr"/>
        <c:lblOffset val="100"/>
        <c:noMultiLvlLbl val="0"/>
      </c:catAx>
      <c:valAx>
        <c:axId val="871840776"/>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38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Large Office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w="25400">
              <a:noFill/>
            </a:ln>
            <a:effectLst/>
          </c:spPr>
          <c:invertIfNegative val="0"/>
          <c:val>
            <c:numRef>
              <c:f>'Energy Usage'!$K$3:$K$18</c:f>
              <c:numCache>
                <c:formatCode>0.00</c:formatCode>
                <c:ptCount val="16"/>
                <c:pt idx="0">
                  <c:v>53.625</c:v>
                </c:pt>
                <c:pt idx="1">
                  <c:v>57.974999999999994</c:v>
                </c:pt>
                <c:pt idx="2" formatCode="General">
                  <c:v>55.5</c:v>
                </c:pt>
                <c:pt idx="3" formatCode="General">
                  <c:v>59.625</c:v>
                </c:pt>
                <c:pt idx="4" formatCode="General">
                  <c:v>53.550000000000004</c:v>
                </c:pt>
                <c:pt idx="5" formatCode="General">
                  <c:v>60.599999999999994</c:v>
                </c:pt>
                <c:pt idx="6" formatCode="General">
                  <c:v>57.525000000000006</c:v>
                </c:pt>
                <c:pt idx="7" formatCode="General">
                  <c:v>58.199999999999996</c:v>
                </c:pt>
                <c:pt idx="8" formatCode="General">
                  <c:v>58.275000000000006</c:v>
                </c:pt>
                <c:pt idx="9" formatCode="General">
                  <c:v>58.574999999999996</c:v>
                </c:pt>
                <c:pt idx="10" formatCode="General">
                  <c:v>60.224999999999994</c:v>
                </c:pt>
                <c:pt idx="11" formatCode="General">
                  <c:v>59.699999999999996</c:v>
                </c:pt>
                <c:pt idx="12" formatCode="General">
                  <c:v>60</c:v>
                </c:pt>
                <c:pt idx="13" formatCode="General">
                  <c:v>60.599999999999994</c:v>
                </c:pt>
                <c:pt idx="14" formatCode="General">
                  <c:v>59.625</c:v>
                </c:pt>
                <c:pt idx="15" formatCode="General">
                  <c:v>61.724999999999994</c:v>
                </c:pt>
              </c:numCache>
            </c:numRef>
          </c:val>
          <c:extLst>
            <c:ext xmlns:c16="http://schemas.microsoft.com/office/drawing/2014/chart" uri="{C3380CC4-5D6E-409C-BE32-E72D297353CC}">
              <c16:uniqueId val="{00000000-F11B-4C1B-9BBB-3F02D3C5EB6E}"/>
            </c:ext>
          </c:extLst>
        </c:ser>
        <c:ser>
          <c:idx val="2"/>
          <c:order val="1"/>
          <c:tx>
            <c:strRef>
              <c:f>'Energy Usage'!$L$2</c:f>
              <c:strCache>
                <c:ptCount val="1"/>
                <c:pt idx="0">
                  <c:v>National Average Acceptable Range</c:v>
                </c:pt>
              </c:strCache>
            </c:strRef>
          </c:tx>
          <c:spPr>
            <a:solidFill>
              <a:srgbClr val="CCCCFF"/>
            </a:solidFill>
            <a:ln>
              <a:solidFill>
                <a:srgbClr val="CCCCFF"/>
              </a:solidFill>
              <a:prstDash val="solid"/>
            </a:ln>
            <a:effectLst/>
          </c:spPr>
          <c:invertIfNegative val="0"/>
          <c:val>
            <c:numRef>
              <c:f>'Energy Usage'!$L$3:$L$18</c:f>
              <c:numCache>
                <c:formatCode>0.00</c:formatCode>
                <c:ptCount val="16"/>
                <c:pt idx="0">
                  <c:v>35.75</c:v>
                </c:pt>
                <c:pt idx="1">
                  <c:v>38.650000000000006</c:v>
                </c:pt>
                <c:pt idx="2">
                  <c:v>37</c:v>
                </c:pt>
                <c:pt idx="3">
                  <c:v>39.75</c:v>
                </c:pt>
                <c:pt idx="4">
                  <c:v>35.699999999999996</c:v>
                </c:pt>
                <c:pt idx="5">
                  <c:v>40.400000000000006</c:v>
                </c:pt>
                <c:pt idx="6">
                  <c:v>38.349999999999994</c:v>
                </c:pt>
                <c:pt idx="7">
                  <c:v>38.800000000000004</c:v>
                </c:pt>
                <c:pt idx="8">
                  <c:v>38.849999999999994</c:v>
                </c:pt>
                <c:pt idx="9">
                  <c:v>39.050000000000004</c:v>
                </c:pt>
                <c:pt idx="10">
                  <c:v>40.150000000000006</c:v>
                </c:pt>
                <c:pt idx="11">
                  <c:v>39.800000000000004</c:v>
                </c:pt>
                <c:pt idx="12">
                  <c:v>40</c:v>
                </c:pt>
                <c:pt idx="13">
                  <c:v>40.400000000000006</c:v>
                </c:pt>
                <c:pt idx="14">
                  <c:v>39.75</c:v>
                </c:pt>
                <c:pt idx="15">
                  <c:v>41.150000000000006</c:v>
                </c:pt>
              </c:numCache>
            </c:numRef>
          </c:val>
          <c:extLst>
            <c:ext xmlns:c16="http://schemas.microsoft.com/office/drawing/2014/chart" uri="{C3380CC4-5D6E-409C-BE32-E72D297353CC}">
              <c16:uniqueId val="{00000001-F11B-4C1B-9BBB-3F02D3C5EB6E}"/>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57.4</c:v>
                </c:pt>
                <c:pt idx="1">
                  <c:v>64.5</c:v>
                </c:pt>
                <c:pt idx="2">
                  <c:v>59.6</c:v>
                </c:pt>
                <c:pt idx="3">
                  <c:v>64.099999999999994</c:v>
                </c:pt>
                <c:pt idx="4">
                  <c:v>61</c:v>
                </c:pt>
                <c:pt idx="5">
                  <c:v>58.8</c:v>
                </c:pt>
                <c:pt idx="6">
                  <c:v>60.7</c:v>
                </c:pt>
                <c:pt idx="7">
                  <c:v>60.7</c:v>
                </c:pt>
                <c:pt idx="8">
                  <c:v>61.9</c:v>
                </c:pt>
                <c:pt idx="9">
                  <c:v>61.2</c:v>
                </c:pt>
                <c:pt idx="10">
                  <c:v>58.2</c:v>
                </c:pt>
                <c:pt idx="11">
                  <c:v>61.3</c:v>
                </c:pt>
                <c:pt idx="12">
                  <c:v>61.2</c:v>
                </c:pt>
                <c:pt idx="13">
                  <c:v>60.7</c:v>
                </c:pt>
                <c:pt idx="14">
                  <c:v>62.3</c:v>
                </c:pt>
                <c:pt idx="15">
                  <c:v>57.8</c:v>
                </c:pt>
              </c:numCache>
            </c:numRef>
          </c:yVal>
          <c:smooth val="0"/>
          <c:extLst>
            <c:ext xmlns:c16="http://schemas.microsoft.com/office/drawing/2014/chart" uri="{C3380CC4-5D6E-409C-BE32-E72D297353CC}">
              <c16:uniqueId val="{00000002-F11B-4C1B-9BBB-3F02D3C5EB6E}"/>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53.1</c:v>
                </c:pt>
                <c:pt idx="1">
                  <c:v>55.3</c:v>
                </c:pt>
                <c:pt idx="2">
                  <c:v>53.5</c:v>
                </c:pt>
                <c:pt idx="3">
                  <c:v>56.9</c:v>
                </c:pt>
                <c:pt idx="4">
                  <c:v>55.2</c:v>
                </c:pt>
                <c:pt idx="5">
                  <c:v>54.7</c:v>
                </c:pt>
                <c:pt idx="6">
                  <c:v>54.4</c:v>
                </c:pt>
                <c:pt idx="7">
                  <c:v>56.4</c:v>
                </c:pt>
                <c:pt idx="8">
                  <c:v>56.1</c:v>
                </c:pt>
                <c:pt idx="9">
                  <c:v>56.9</c:v>
                </c:pt>
                <c:pt idx="10">
                  <c:v>57.5</c:v>
                </c:pt>
                <c:pt idx="11">
                  <c:v>56.3</c:v>
                </c:pt>
                <c:pt idx="12">
                  <c:v>57</c:v>
                </c:pt>
                <c:pt idx="13">
                  <c:v>57.4</c:v>
                </c:pt>
                <c:pt idx="14">
                  <c:v>59.1</c:v>
                </c:pt>
                <c:pt idx="15">
                  <c:v>55.5</c:v>
                </c:pt>
              </c:numCache>
            </c:numRef>
          </c:yVal>
          <c:smooth val="0"/>
          <c:extLst>
            <c:ext xmlns:c16="http://schemas.microsoft.com/office/drawing/2014/chart" uri="{C3380CC4-5D6E-409C-BE32-E72D297353CC}">
              <c16:uniqueId val="{00000003-F11B-4C1B-9BBB-3F02D3C5EB6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10"/>
          <c:min val="4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Large Office CalBEM Prototype vs. CEUS</a:t>
            </a:r>
            <a:r>
              <a:rPr lang="en-US" baseline="0"/>
              <a:t> 2022</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a:noFill/>
            </a:ln>
            <a:effectLst/>
          </c:spPr>
          <c:invertIfNegative val="0"/>
          <c:val>
            <c:numRef>
              <c:f>'Energy Usage'!$U$3:$U$18</c:f>
              <c:numCache>
                <c:formatCode>0.00</c:formatCode>
                <c:ptCount val="16"/>
                <c:pt idx="0">
                  <c:v>55.555890000000005</c:v>
                </c:pt>
                <c:pt idx="1">
                  <c:v>54.864959999999996</c:v>
                </c:pt>
                <c:pt idx="2">
                  <c:v>48.953670000000002</c:v>
                </c:pt>
                <c:pt idx="3">
                  <c:v>49.030439999999999</c:v>
                </c:pt>
                <c:pt idx="4">
                  <c:v>45.857280000000003</c:v>
                </c:pt>
                <c:pt idx="5">
                  <c:v>40.381019999999999</c:v>
                </c:pt>
                <c:pt idx="6">
                  <c:v>61.82544</c:v>
                </c:pt>
                <c:pt idx="7">
                  <c:v>37.463760000000001</c:v>
                </c:pt>
                <c:pt idx="8">
                  <c:v>39.101520000000008</c:v>
                </c:pt>
                <c:pt idx="9">
                  <c:v>48.902489999999993</c:v>
                </c:pt>
                <c:pt idx="10">
                  <c:v>40.150710000000004</c:v>
                </c:pt>
                <c:pt idx="11">
                  <c:v>52.510680000000001</c:v>
                </c:pt>
                <c:pt idx="12">
                  <c:v>50.181989999999999</c:v>
                </c:pt>
                <c:pt idx="13">
                  <c:v>36.337800000000001</c:v>
                </c:pt>
                <c:pt idx="14">
                  <c:v>37.975560000000002</c:v>
                </c:pt>
                <c:pt idx="15">
                  <c:v>40.995179999999998</c:v>
                </c:pt>
              </c:numCache>
            </c:numRef>
          </c:val>
          <c:extLst>
            <c:ext xmlns:c16="http://schemas.microsoft.com/office/drawing/2014/chart" uri="{C3380CC4-5D6E-409C-BE32-E72D297353CC}">
              <c16:uniqueId val="{00000000-51FD-428C-B4E5-3D8C9450C48D}"/>
            </c:ext>
          </c:extLst>
        </c:ser>
        <c:ser>
          <c:idx val="2"/>
          <c:order val="1"/>
          <c:tx>
            <c:strRef>
              <c:f>'Energy Usage'!$V$2</c:f>
              <c:strCache>
                <c:ptCount val="1"/>
                <c:pt idx="0">
                  <c:v>CEUS 2022 Acceptable Range</c:v>
                </c:pt>
              </c:strCache>
            </c:strRef>
          </c:tx>
          <c:spPr>
            <a:solidFill>
              <a:srgbClr val="FFE699"/>
            </a:solidFill>
            <a:ln>
              <a:solidFill>
                <a:srgbClr val="FFE699"/>
              </a:solidFill>
              <a:prstDash val="solid"/>
            </a:ln>
            <a:effectLst/>
          </c:spPr>
          <c:invertIfNegative val="0"/>
          <c:val>
            <c:numRef>
              <c:f>'Energy Usage'!$V$3:$V$18</c:f>
              <c:numCache>
                <c:formatCode>0.00</c:formatCode>
                <c:ptCount val="16"/>
                <c:pt idx="0">
                  <c:v>37.037260000000003</c:v>
                </c:pt>
                <c:pt idx="1">
                  <c:v>36.576639999999998</c:v>
                </c:pt>
                <c:pt idx="2">
                  <c:v>32.635780000000011</c:v>
                </c:pt>
                <c:pt idx="3">
                  <c:v>32.686959999999999</c:v>
                </c:pt>
                <c:pt idx="4">
                  <c:v>30.571520000000007</c:v>
                </c:pt>
                <c:pt idx="5">
                  <c:v>26.920679999999997</c:v>
                </c:pt>
                <c:pt idx="6">
                  <c:v>41.21696</c:v>
                </c:pt>
                <c:pt idx="7">
                  <c:v>24.975840000000005</c:v>
                </c:pt>
                <c:pt idx="8">
                  <c:v>26.067679999999996</c:v>
                </c:pt>
                <c:pt idx="9">
                  <c:v>32.601659999999988</c:v>
                </c:pt>
                <c:pt idx="10">
                  <c:v>26.767139999999998</c:v>
                </c:pt>
                <c:pt idx="11">
                  <c:v>35.007119999999993</c:v>
                </c:pt>
                <c:pt idx="12">
                  <c:v>33.45465999999999</c:v>
                </c:pt>
                <c:pt idx="13">
                  <c:v>24.225200000000001</c:v>
                </c:pt>
                <c:pt idx="14">
                  <c:v>25.317039999999992</c:v>
                </c:pt>
                <c:pt idx="15">
                  <c:v>27.330120000000001</c:v>
                </c:pt>
              </c:numCache>
            </c:numRef>
          </c:val>
          <c:extLst>
            <c:ext xmlns:c16="http://schemas.microsoft.com/office/drawing/2014/chart" uri="{C3380CC4-5D6E-409C-BE32-E72D297353CC}">
              <c16:uniqueId val="{00000001-51FD-428C-B4E5-3D8C9450C48D}"/>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57.4</c:v>
                </c:pt>
                <c:pt idx="1">
                  <c:v>64.5</c:v>
                </c:pt>
                <c:pt idx="2">
                  <c:v>59.6</c:v>
                </c:pt>
                <c:pt idx="3">
                  <c:v>64.099999999999994</c:v>
                </c:pt>
                <c:pt idx="4">
                  <c:v>61</c:v>
                </c:pt>
                <c:pt idx="5">
                  <c:v>58.8</c:v>
                </c:pt>
                <c:pt idx="6">
                  <c:v>60.7</c:v>
                </c:pt>
                <c:pt idx="7">
                  <c:v>60.7</c:v>
                </c:pt>
                <c:pt idx="8">
                  <c:v>61.9</c:v>
                </c:pt>
                <c:pt idx="9">
                  <c:v>61.2</c:v>
                </c:pt>
                <c:pt idx="10">
                  <c:v>58.2</c:v>
                </c:pt>
                <c:pt idx="11">
                  <c:v>61.3</c:v>
                </c:pt>
                <c:pt idx="12">
                  <c:v>61.2</c:v>
                </c:pt>
                <c:pt idx="13">
                  <c:v>60.7</c:v>
                </c:pt>
                <c:pt idx="14">
                  <c:v>62.3</c:v>
                </c:pt>
                <c:pt idx="15">
                  <c:v>57.8</c:v>
                </c:pt>
              </c:numCache>
            </c:numRef>
          </c:yVal>
          <c:smooth val="0"/>
          <c:extLst>
            <c:ext xmlns:c16="http://schemas.microsoft.com/office/drawing/2014/chart" uri="{C3380CC4-5D6E-409C-BE32-E72D297353CC}">
              <c16:uniqueId val="{00000002-51FD-428C-B4E5-3D8C9450C48D}"/>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53.1</c:v>
                </c:pt>
                <c:pt idx="1">
                  <c:v>55.3</c:v>
                </c:pt>
                <c:pt idx="2">
                  <c:v>53.5</c:v>
                </c:pt>
                <c:pt idx="3">
                  <c:v>56.9</c:v>
                </c:pt>
                <c:pt idx="4">
                  <c:v>55.2</c:v>
                </c:pt>
                <c:pt idx="5">
                  <c:v>54.7</c:v>
                </c:pt>
                <c:pt idx="6">
                  <c:v>54.4</c:v>
                </c:pt>
                <c:pt idx="7">
                  <c:v>56.4</c:v>
                </c:pt>
                <c:pt idx="8">
                  <c:v>56.1</c:v>
                </c:pt>
                <c:pt idx="9">
                  <c:v>56.9</c:v>
                </c:pt>
                <c:pt idx="10">
                  <c:v>57.5</c:v>
                </c:pt>
                <c:pt idx="11">
                  <c:v>56.3</c:v>
                </c:pt>
                <c:pt idx="12">
                  <c:v>57</c:v>
                </c:pt>
                <c:pt idx="13">
                  <c:v>57.4</c:v>
                </c:pt>
                <c:pt idx="14">
                  <c:v>59.1</c:v>
                </c:pt>
                <c:pt idx="15">
                  <c:v>55.5</c:v>
                </c:pt>
              </c:numCache>
            </c:numRef>
          </c:yVal>
          <c:smooth val="0"/>
          <c:extLst>
            <c:ext xmlns:c16="http://schemas.microsoft.com/office/drawing/2014/chart" uri="{C3380CC4-5D6E-409C-BE32-E72D297353CC}">
              <c16:uniqueId val="{00000003-51FD-428C-B4E5-3D8C9450C48D}"/>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10"/>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6" Type="http://schemas.openxmlformats.org/officeDocument/2006/relationships/chart" Target="../charts/chart18.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883920</xdr:colOff>
      <xdr:row>23</xdr:row>
      <xdr:rowOff>45720</xdr:rowOff>
    </xdr:from>
    <xdr:to>
      <xdr:col>5</xdr:col>
      <xdr:colOff>15812</xdr:colOff>
      <xdr:row>33</xdr:row>
      <xdr:rowOff>136735</xdr:rowOff>
    </xdr:to>
    <xdr:pic>
      <xdr:nvPicPr>
        <xdr:cNvPr id="3" name="Picture 2">
          <a:extLst>
            <a:ext uri="{FF2B5EF4-FFF2-40B4-BE49-F238E27FC236}">
              <a16:creationId xmlns:a16="http://schemas.microsoft.com/office/drawing/2014/main" id="{B19B08FF-C98D-AD34-B6A6-9159E65AC2D9}"/>
            </a:ext>
          </a:extLst>
        </xdr:cNvPr>
        <xdr:cNvPicPr>
          <a:picLocks noChangeAspect="1"/>
        </xdr:cNvPicPr>
      </xdr:nvPicPr>
      <xdr:blipFill>
        <a:blip xmlns:r="http://schemas.openxmlformats.org/officeDocument/2006/relationships" r:embed="rId1"/>
        <a:stretch>
          <a:fillRect/>
        </a:stretch>
      </xdr:blipFill>
      <xdr:spPr>
        <a:xfrm>
          <a:off x="883920" y="3131820"/>
          <a:ext cx="7719632" cy="1776940"/>
        </a:xfrm>
        <a:prstGeom prst="rect">
          <a:avLst/>
        </a:prstGeom>
      </xdr:spPr>
    </xdr:pic>
    <xdr:clientData/>
  </xdr:twoCellAnchor>
  <xdr:twoCellAnchor editAs="oneCell">
    <xdr:from>
      <xdr:col>1</xdr:col>
      <xdr:colOff>15240</xdr:colOff>
      <xdr:row>54</xdr:row>
      <xdr:rowOff>15240</xdr:rowOff>
    </xdr:from>
    <xdr:to>
      <xdr:col>5</xdr:col>
      <xdr:colOff>19242</xdr:colOff>
      <xdr:row>66</xdr:row>
      <xdr:rowOff>129540</xdr:rowOff>
    </xdr:to>
    <xdr:pic>
      <xdr:nvPicPr>
        <xdr:cNvPr id="8" name="Picture 7">
          <a:extLst>
            <a:ext uri="{FF2B5EF4-FFF2-40B4-BE49-F238E27FC236}">
              <a16:creationId xmlns:a16="http://schemas.microsoft.com/office/drawing/2014/main" id="{62D63AF8-E097-0A32-C7B9-D3225DF9F5A9}"/>
            </a:ext>
          </a:extLst>
        </xdr:cNvPr>
        <xdr:cNvPicPr>
          <a:picLocks noChangeAspect="1"/>
        </xdr:cNvPicPr>
      </xdr:nvPicPr>
      <xdr:blipFill>
        <a:blip xmlns:r="http://schemas.openxmlformats.org/officeDocument/2006/relationships" r:embed="rId2"/>
        <a:stretch>
          <a:fillRect/>
        </a:stretch>
      </xdr:blipFill>
      <xdr:spPr>
        <a:xfrm>
          <a:off x="1021080" y="8785860"/>
          <a:ext cx="7578282" cy="2125980"/>
        </a:xfrm>
        <a:prstGeom prst="rect">
          <a:avLst/>
        </a:prstGeom>
        <a:ln w="6350">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xdr:col>
      <xdr:colOff>614</xdr:colOff>
      <xdr:row>6</xdr:row>
      <xdr:rowOff>191590</xdr:rowOff>
    </xdr:to>
    <xdr:pic>
      <xdr:nvPicPr>
        <xdr:cNvPr id="2" name="Picture 1" descr="Screen Clipping">
          <a:extLst>
            <a:ext uri="{FF2B5EF4-FFF2-40B4-BE49-F238E27FC236}">
              <a16:creationId xmlns:a16="http://schemas.microsoft.com/office/drawing/2014/main" id="{92496945-B017-459A-8549-AEF9CE8CFA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0" y="1577340"/>
          <a:ext cx="614" cy="191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883920</xdr:colOff>
      <xdr:row>6</xdr:row>
      <xdr:rowOff>76200</xdr:rowOff>
    </xdr:from>
    <xdr:to>
      <xdr:col>1</xdr:col>
      <xdr:colOff>2502069</xdr:colOff>
      <xdr:row>6</xdr:row>
      <xdr:rowOff>1394460</xdr:rowOff>
    </xdr:to>
    <xdr:pic>
      <xdr:nvPicPr>
        <xdr:cNvPr id="6" name="Picture 5">
          <a:extLst>
            <a:ext uri="{FF2B5EF4-FFF2-40B4-BE49-F238E27FC236}">
              <a16:creationId xmlns:a16="http://schemas.microsoft.com/office/drawing/2014/main" id="{07643777-7FAE-9248-178A-146C439852E0}"/>
            </a:ext>
          </a:extLst>
        </xdr:cNvPr>
        <xdr:cNvPicPr>
          <a:picLocks noChangeAspect="1"/>
        </xdr:cNvPicPr>
      </xdr:nvPicPr>
      <xdr:blipFill>
        <a:blip xmlns:r="http://schemas.openxmlformats.org/officeDocument/2006/relationships" r:embed="rId2"/>
        <a:stretch>
          <a:fillRect/>
        </a:stretch>
      </xdr:blipFill>
      <xdr:spPr>
        <a:xfrm>
          <a:off x="2598420" y="1653540"/>
          <a:ext cx="1618149" cy="13182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380999</xdr:colOff>
      <xdr:row>1</xdr:row>
      <xdr:rowOff>217715</xdr:rowOff>
    </xdr:from>
    <xdr:to>
      <xdr:col>22</xdr:col>
      <xdr:colOff>514619</xdr:colOff>
      <xdr:row>16</xdr:row>
      <xdr:rowOff>173678</xdr:rowOff>
    </xdr:to>
    <xdr:pic>
      <xdr:nvPicPr>
        <xdr:cNvPr id="21" name="Picture 20">
          <a:extLst>
            <a:ext uri="{FF2B5EF4-FFF2-40B4-BE49-F238E27FC236}">
              <a16:creationId xmlns:a16="http://schemas.microsoft.com/office/drawing/2014/main" id="{952382FC-23B0-2B52-D70F-2D2A38E73C07}"/>
            </a:ext>
          </a:extLst>
        </xdr:cNvPr>
        <xdr:cNvPicPr>
          <a:picLocks noChangeAspect="1"/>
        </xdr:cNvPicPr>
      </xdr:nvPicPr>
      <xdr:blipFill>
        <a:blip xmlns:r="http://schemas.openxmlformats.org/officeDocument/2006/relationships" r:embed="rId1"/>
        <a:stretch>
          <a:fillRect/>
        </a:stretch>
      </xdr:blipFill>
      <xdr:spPr>
        <a:xfrm>
          <a:off x="23447828" y="544286"/>
          <a:ext cx="5830114" cy="3924848"/>
        </a:xfrm>
        <a:prstGeom prst="rect">
          <a:avLst/>
        </a:prstGeom>
      </xdr:spPr>
    </xdr:pic>
    <xdr:clientData/>
  </xdr:twoCellAnchor>
  <xdr:twoCellAnchor editAs="oneCell">
    <xdr:from>
      <xdr:col>23</xdr:col>
      <xdr:colOff>388844</xdr:colOff>
      <xdr:row>1</xdr:row>
      <xdr:rowOff>178173</xdr:rowOff>
    </xdr:from>
    <xdr:to>
      <xdr:col>27</xdr:col>
      <xdr:colOff>473470</xdr:colOff>
      <xdr:row>16</xdr:row>
      <xdr:rowOff>136596</xdr:rowOff>
    </xdr:to>
    <xdr:pic>
      <xdr:nvPicPr>
        <xdr:cNvPr id="7" name="Picture 6">
          <a:extLst>
            <a:ext uri="{FF2B5EF4-FFF2-40B4-BE49-F238E27FC236}">
              <a16:creationId xmlns:a16="http://schemas.microsoft.com/office/drawing/2014/main" id="{3785B46D-A9CD-D20A-BD38-C4B3959FBF74}"/>
            </a:ext>
          </a:extLst>
        </xdr:cNvPr>
        <xdr:cNvPicPr>
          <a:picLocks noChangeAspect="1"/>
        </xdr:cNvPicPr>
      </xdr:nvPicPr>
      <xdr:blipFill>
        <a:blip xmlns:r="http://schemas.openxmlformats.org/officeDocument/2006/relationships" r:embed="rId2"/>
        <a:stretch>
          <a:fillRect/>
        </a:stretch>
      </xdr:blipFill>
      <xdr:spPr>
        <a:xfrm>
          <a:off x="30689550" y="503144"/>
          <a:ext cx="5794246" cy="4046217"/>
        </a:xfrm>
        <a:prstGeom prst="rect">
          <a:avLst/>
        </a:prstGeom>
      </xdr:spPr>
    </xdr:pic>
    <xdr:clientData/>
  </xdr:twoCellAnchor>
  <xdr:twoCellAnchor editAs="oneCell">
    <xdr:from>
      <xdr:col>12</xdr:col>
      <xdr:colOff>316736</xdr:colOff>
      <xdr:row>1</xdr:row>
      <xdr:rowOff>216725</xdr:rowOff>
    </xdr:from>
    <xdr:to>
      <xdr:col>17</xdr:col>
      <xdr:colOff>322456</xdr:colOff>
      <xdr:row>16</xdr:row>
      <xdr:rowOff>130539</xdr:rowOff>
    </xdr:to>
    <xdr:pic>
      <xdr:nvPicPr>
        <xdr:cNvPr id="3" name="Picture 2">
          <a:extLst>
            <a:ext uri="{FF2B5EF4-FFF2-40B4-BE49-F238E27FC236}">
              <a16:creationId xmlns:a16="http://schemas.microsoft.com/office/drawing/2014/main" id="{33E0FD21-ADAF-06EE-B6C1-8439B7D0C86C}"/>
            </a:ext>
          </a:extLst>
        </xdr:cNvPr>
        <xdr:cNvPicPr>
          <a:picLocks noChangeAspect="1"/>
        </xdr:cNvPicPr>
      </xdr:nvPicPr>
      <xdr:blipFill>
        <a:blip xmlns:r="http://schemas.openxmlformats.org/officeDocument/2006/relationships" r:embed="rId3"/>
        <a:stretch>
          <a:fillRect/>
        </a:stretch>
      </xdr:blipFill>
      <xdr:spPr>
        <a:xfrm>
          <a:off x="17103148" y="541696"/>
          <a:ext cx="5819892" cy="4005418"/>
        </a:xfrm>
        <a:prstGeom prst="rect">
          <a:avLst/>
        </a:prstGeom>
      </xdr:spPr>
    </xdr:pic>
    <xdr:clientData/>
  </xdr:twoCellAnchor>
  <xdr:twoCellAnchor>
    <xdr:from>
      <xdr:col>14</xdr:col>
      <xdr:colOff>1282561</xdr:colOff>
      <xdr:row>0</xdr:row>
      <xdr:rowOff>35035</xdr:rowOff>
    </xdr:from>
    <xdr:to>
      <xdr:col>14</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1325218</xdr:colOff>
      <xdr:row>0</xdr:row>
      <xdr:rowOff>67505</xdr:rowOff>
    </xdr:from>
    <xdr:to>
      <xdr:col>14</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oneCellAnchor>
    <xdr:from>
      <xdr:col>19</xdr:col>
      <xdr:colOff>421374</xdr:colOff>
      <xdr:row>2</xdr:row>
      <xdr:rowOff>89065</xdr:rowOff>
    </xdr:from>
    <xdr:ext cx="745525" cy="233205"/>
    <xdr:sp macro="" textlink="">
      <xdr:nvSpPr>
        <xdr:cNvPr id="147" name="TextBox 146">
          <a:extLst>
            <a:ext uri="{FF2B5EF4-FFF2-40B4-BE49-F238E27FC236}">
              <a16:creationId xmlns:a16="http://schemas.microsoft.com/office/drawing/2014/main" id="{20F43BD8-A73A-4DF9-80B1-9A64020D0B0E}"/>
            </a:ext>
          </a:extLst>
        </xdr:cNvPr>
        <xdr:cNvSpPr txBox="1"/>
      </xdr:nvSpPr>
      <xdr:spPr>
        <a:xfrm>
          <a:off x="23164833" y="958641"/>
          <a:ext cx="74552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Open Office</a:t>
          </a:r>
        </a:p>
      </xdr:txBody>
    </xdr:sp>
    <xdr:clientData/>
  </xdr:oneCellAnchor>
  <xdr:oneCellAnchor>
    <xdr:from>
      <xdr:col>19</xdr:col>
      <xdr:colOff>515727</xdr:colOff>
      <xdr:row>15</xdr:row>
      <xdr:rowOff>90149</xdr:rowOff>
    </xdr:from>
    <xdr:ext cx="467629" cy="233205"/>
    <xdr:sp macro="" textlink="">
      <xdr:nvSpPr>
        <xdr:cNvPr id="148" name="TextBox 147">
          <a:extLst>
            <a:ext uri="{FF2B5EF4-FFF2-40B4-BE49-F238E27FC236}">
              <a16:creationId xmlns:a16="http://schemas.microsoft.com/office/drawing/2014/main" id="{CCB46B2B-2FB4-433B-8F96-58899376DB4C}"/>
            </a:ext>
          </a:extLst>
        </xdr:cNvPr>
        <xdr:cNvSpPr txBox="1"/>
      </xdr:nvSpPr>
      <xdr:spPr>
        <a:xfrm>
          <a:off x="25695345" y="4157884"/>
          <a:ext cx="46762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Lobby</a:t>
          </a:r>
        </a:p>
      </xdr:txBody>
    </xdr:sp>
    <xdr:clientData/>
  </xdr:oneCellAnchor>
  <xdr:oneCellAnchor>
    <xdr:from>
      <xdr:col>20</xdr:col>
      <xdr:colOff>236365</xdr:colOff>
      <xdr:row>9</xdr:row>
      <xdr:rowOff>157533</xdr:rowOff>
    </xdr:from>
    <xdr:ext cx="906723" cy="233205"/>
    <xdr:sp macro="" textlink="">
      <xdr:nvSpPr>
        <xdr:cNvPr id="149" name="TextBox 148">
          <a:extLst>
            <a:ext uri="{FF2B5EF4-FFF2-40B4-BE49-F238E27FC236}">
              <a16:creationId xmlns:a16="http://schemas.microsoft.com/office/drawing/2014/main" id="{16694283-F21C-4A52-AF7A-30C791CA45EF}"/>
            </a:ext>
          </a:extLst>
        </xdr:cNvPr>
        <xdr:cNvSpPr txBox="1"/>
      </xdr:nvSpPr>
      <xdr:spPr>
        <a:xfrm>
          <a:off x="25785777" y="2524215"/>
          <a:ext cx="90672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Enclosed Office</a:t>
          </a:r>
        </a:p>
      </xdr:txBody>
    </xdr:sp>
    <xdr:clientData/>
  </xdr:oneCellAnchor>
  <xdr:oneCellAnchor>
    <xdr:from>
      <xdr:col>19</xdr:col>
      <xdr:colOff>1491074</xdr:colOff>
      <xdr:row>8</xdr:row>
      <xdr:rowOff>154477</xdr:rowOff>
    </xdr:from>
    <xdr:ext cx="233205" cy="467629"/>
    <xdr:sp macro="" textlink="">
      <xdr:nvSpPr>
        <xdr:cNvPr id="150" name="TextBox 149">
          <a:extLst>
            <a:ext uri="{FF2B5EF4-FFF2-40B4-BE49-F238E27FC236}">
              <a16:creationId xmlns:a16="http://schemas.microsoft.com/office/drawing/2014/main" id="{79C434F5-FEE8-49E4-B105-3330318695F3}"/>
            </a:ext>
          </a:extLst>
        </xdr:cNvPr>
        <xdr:cNvSpPr txBox="1"/>
      </xdr:nvSpPr>
      <xdr:spPr>
        <a:xfrm rot="16200000">
          <a:off x="26204176" y="2427060"/>
          <a:ext cx="46762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Lobby</a:t>
          </a:r>
        </a:p>
      </xdr:txBody>
    </xdr:sp>
    <xdr:clientData/>
  </xdr:oneCellAnchor>
  <xdr:oneCellAnchor>
    <xdr:from>
      <xdr:col>19</xdr:col>
      <xdr:colOff>464039</xdr:colOff>
      <xdr:row>11</xdr:row>
      <xdr:rowOff>329599</xdr:rowOff>
    </xdr:from>
    <xdr:ext cx="830420" cy="233205"/>
    <xdr:sp macro="" textlink="">
      <xdr:nvSpPr>
        <xdr:cNvPr id="151" name="TextBox 150">
          <a:extLst>
            <a:ext uri="{FF2B5EF4-FFF2-40B4-BE49-F238E27FC236}">
              <a16:creationId xmlns:a16="http://schemas.microsoft.com/office/drawing/2014/main" id="{9C27CDBD-9EA6-40AD-92E1-7E32F924F1D3}"/>
            </a:ext>
          </a:extLst>
        </xdr:cNvPr>
        <xdr:cNvSpPr txBox="1"/>
      </xdr:nvSpPr>
      <xdr:spPr>
        <a:xfrm>
          <a:off x="25643657" y="3209511"/>
          <a:ext cx="83042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Stair/Elevator</a:t>
          </a:r>
        </a:p>
      </xdr:txBody>
    </xdr:sp>
    <xdr:clientData/>
  </xdr:oneCellAnchor>
  <xdr:oneCellAnchor>
    <xdr:from>
      <xdr:col>20</xdr:col>
      <xdr:colOff>614451</xdr:colOff>
      <xdr:row>12</xdr:row>
      <xdr:rowOff>28105</xdr:rowOff>
    </xdr:from>
    <xdr:ext cx="752475" cy="233205"/>
    <xdr:sp macro="" textlink="">
      <xdr:nvSpPr>
        <xdr:cNvPr id="152" name="TextBox 151">
          <a:extLst>
            <a:ext uri="{FF2B5EF4-FFF2-40B4-BE49-F238E27FC236}">
              <a16:creationId xmlns:a16="http://schemas.microsoft.com/office/drawing/2014/main" id="{7142ABE8-9187-4012-A946-510C887F2D71}"/>
            </a:ext>
          </a:extLst>
        </xdr:cNvPr>
        <xdr:cNvSpPr txBox="1"/>
      </xdr:nvSpPr>
      <xdr:spPr>
        <a:xfrm>
          <a:off x="27351686" y="3423487"/>
          <a:ext cx="75247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Corridor</a:t>
          </a:r>
        </a:p>
      </xdr:txBody>
    </xdr:sp>
    <xdr:clientData/>
  </xdr:oneCellAnchor>
  <xdr:oneCellAnchor>
    <xdr:from>
      <xdr:col>19</xdr:col>
      <xdr:colOff>856050</xdr:colOff>
      <xdr:row>9</xdr:row>
      <xdr:rowOff>190927</xdr:rowOff>
    </xdr:from>
    <xdr:ext cx="642740" cy="233205"/>
    <xdr:sp macro="" textlink="">
      <xdr:nvSpPr>
        <xdr:cNvPr id="153" name="TextBox 152">
          <a:extLst>
            <a:ext uri="{FF2B5EF4-FFF2-40B4-BE49-F238E27FC236}">
              <a16:creationId xmlns:a16="http://schemas.microsoft.com/office/drawing/2014/main" id="{05E6F5B6-E5E9-4258-AE9A-41E41507C0FB}"/>
            </a:ext>
          </a:extLst>
        </xdr:cNvPr>
        <xdr:cNvSpPr txBox="1"/>
      </xdr:nvSpPr>
      <xdr:spPr>
        <a:xfrm>
          <a:off x="24854568" y="2557609"/>
          <a:ext cx="64274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Restroom</a:t>
          </a:r>
        </a:p>
      </xdr:txBody>
    </xdr:sp>
    <xdr:clientData/>
  </xdr:oneCellAnchor>
  <xdr:oneCellAnchor>
    <xdr:from>
      <xdr:col>21</xdr:col>
      <xdr:colOff>775142</xdr:colOff>
      <xdr:row>15</xdr:row>
      <xdr:rowOff>95788</xdr:rowOff>
    </xdr:from>
    <xdr:ext cx="664156" cy="233205"/>
    <xdr:sp macro="" textlink="">
      <xdr:nvSpPr>
        <xdr:cNvPr id="154" name="TextBox 153">
          <a:extLst>
            <a:ext uri="{FF2B5EF4-FFF2-40B4-BE49-F238E27FC236}">
              <a16:creationId xmlns:a16="http://schemas.microsoft.com/office/drawing/2014/main" id="{8436F90F-9DDC-4DB4-932F-DA866D2B5D16}"/>
            </a:ext>
          </a:extLst>
        </xdr:cNvPr>
        <xdr:cNvSpPr txBox="1"/>
      </xdr:nvSpPr>
      <xdr:spPr>
        <a:xfrm>
          <a:off x="28632966" y="4163523"/>
          <a:ext cx="66415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Food Prep</a:t>
          </a:r>
        </a:p>
      </xdr:txBody>
    </xdr:sp>
    <xdr:clientData/>
  </xdr:oneCellAnchor>
  <xdr:oneCellAnchor>
    <xdr:from>
      <xdr:col>21</xdr:col>
      <xdr:colOff>695357</xdr:colOff>
      <xdr:row>1</xdr:row>
      <xdr:rowOff>390617</xdr:rowOff>
    </xdr:from>
    <xdr:ext cx="906723" cy="233205"/>
    <xdr:sp macro="" textlink="">
      <xdr:nvSpPr>
        <xdr:cNvPr id="155" name="TextBox 154">
          <a:extLst>
            <a:ext uri="{FF2B5EF4-FFF2-40B4-BE49-F238E27FC236}">
              <a16:creationId xmlns:a16="http://schemas.microsoft.com/office/drawing/2014/main" id="{6799A0EE-36CA-4AE7-A576-6A9750C02D0C}"/>
            </a:ext>
          </a:extLst>
        </xdr:cNvPr>
        <xdr:cNvSpPr txBox="1"/>
      </xdr:nvSpPr>
      <xdr:spPr>
        <a:xfrm>
          <a:off x="27365357" y="722311"/>
          <a:ext cx="90672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Enclosed Office</a:t>
          </a:r>
        </a:p>
      </xdr:txBody>
    </xdr:sp>
    <xdr:clientData/>
  </xdr:oneCellAnchor>
  <xdr:oneCellAnchor>
    <xdr:from>
      <xdr:col>18</xdr:col>
      <xdr:colOff>642066</xdr:colOff>
      <xdr:row>1</xdr:row>
      <xdr:rowOff>301923</xdr:rowOff>
    </xdr:from>
    <xdr:ext cx="233205" cy="906723"/>
    <xdr:sp macro="" textlink="">
      <xdr:nvSpPr>
        <xdr:cNvPr id="156" name="TextBox 155">
          <a:extLst>
            <a:ext uri="{FF2B5EF4-FFF2-40B4-BE49-F238E27FC236}">
              <a16:creationId xmlns:a16="http://schemas.microsoft.com/office/drawing/2014/main" id="{33A22B37-B29B-44DB-8FE3-65CBCE73E1DE}"/>
            </a:ext>
          </a:extLst>
        </xdr:cNvPr>
        <xdr:cNvSpPr txBox="1"/>
      </xdr:nvSpPr>
      <xdr:spPr>
        <a:xfrm rot="16200000">
          <a:off x="22546742" y="970376"/>
          <a:ext cx="90672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Enclosed Office</a:t>
          </a:r>
        </a:p>
      </xdr:txBody>
    </xdr:sp>
    <xdr:clientData/>
  </xdr:oneCellAnchor>
  <xdr:oneCellAnchor>
    <xdr:from>
      <xdr:col>20</xdr:col>
      <xdr:colOff>235440</xdr:colOff>
      <xdr:row>5</xdr:row>
      <xdr:rowOff>194849</xdr:rowOff>
    </xdr:from>
    <xdr:ext cx="838199" cy="233205"/>
    <xdr:sp macro="" textlink="">
      <xdr:nvSpPr>
        <xdr:cNvPr id="157" name="TextBox 156">
          <a:extLst>
            <a:ext uri="{FF2B5EF4-FFF2-40B4-BE49-F238E27FC236}">
              <a16:creationId xmlns:a16="http://schemas.microsoft.com/office/drawing/2014/main" id="{0AC7AD1F-7D1D-4A82-9C13-A5F3B61605AC}"/>
            </a:ext>
          </a:extLst>
        </xdr:cNvPr>
        <xdr:cNvSpPr txBox="1"/>
      </xdr:nvSpPr>
      <xdr:spPr>
        <a:xfrm>
          <a:off x="25784852" y="1682990"/>
          <a:ext cx="83819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Break </a:t>
          </a:r>
        </a:p>
      </xdr:txBody>
    </xdr:sp>
    <xdr:clientData/>
  </xdr:oneCellAnchor>
  <xdr:oneCellAnchor>
    <xdr:from>
      <xdr:col>18</xdr:col>
      <xdr:colOff>631679</xdr:colOff>
      <xdr:row>11</xdr:row>
      <xdr:rowOff>23174</xdr:rowOff>
    </xdr:from>
    <xdr:ext cx="745525" cy="233205"/>
    <xdr:sp macro="" textlink="">
      <xdr:nvSpPr>
        <xdr:cNvPr id="158" name="TextBox 157">
          <a:extLst>
            <a:ext uri="{FF2B5EF4-FFF2-40B4-BE49-F238E27FC236}">
              <a16:creationId xmlns:a16="http://schemas.microsoft.com/office/drawing/2014/main" id="{65AB6CD5-63C5-4EA6-BFD3-6E058F91A0FB}"/>
            </a:ext>
          </a:extLst>
        </xdr:cNvPr>
        <xdr:cNvSpPr txBox="1"/>
      </xdr:nvSpPr>
      <xdr:spPr>
        <a:xfrm>
          <a:off x="22873114" y="2838092"/>
          <a:ext cx="74552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Open Office</a:t>
          </a:r>
        </a:p>
      </xdr:txBody>
    </xdr:sp>
    <xdr:clientData/>
  </xdr:oneCellAnchor>
  <xdr:oneCellAnchor>
    <xdr:from>
      <xdr:col>21</xdr:col>
      <xdr:colOff>829799</xdr:colOff>
      <xdr:row>8</xdr:row>
      <xdr:rowOff>60377</xdr:rowOff>
    </xdr:from>
    <xdr:ext cx="745525" cy="233205"/>
    <xdr:sp macro="" textlink="">
      <xdr:nvSpPr>
        <xdr:cNvPr id="159" name="TextBox 158">
          <a:extLst>
            <a:ext uri="{FF2B5EF4-FFF2-40B4-BE49-F238E27FC236}">
              <a16:creationId xmlns:a16="http://schemas.microsoft.com/office/drawing/2014/main" id="{8A284824-6212-44F6-BC31-5B4EF06826BB}"/>
            </a:ext>
          </a:extLst>
        </xdr:cNvPr>
        <xdr:cNvSpPr txBox="1"/>
      </xdr:nvSpPr>
      <xdr:spPr>
        <a:xfrm>
          <a:off x="27499799" y="2238801"/>
          <a:ext cx="74552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Open Office</a:t>
          </a:r>
        </a:p>
      </xdr:txBody>
    </xdr:sp>
    <xdr:clientData/>
  </xdr:oneCellAnchor>
  <xdr:oneCellAnchor>
    <xdr:from>
      <xdr:col>19</xdr:col>
      <xdr:colOff>249223</xdr:colOff>
      <xdr:row>9</xdr:row>
      <xdr:rowOff>18469</xdr:rowOff>
    </xdr:from>
    <xdr:ext cx="490701" cy="374077"/>
    <xdr:sp macro="" textlink="">
      <xdr:nvSpPr>
        <xdr:cNvPr id="160" name="TextBox 159">
          <a:extLst>
            <a:ext uri="{FF2B5EF4-FFF2-40B4-BE49-F238E27FC236}">
              <a16:creationId xmlns:a16="http://schemas.microsoft.com/office/drawing/2014/main" id="{E37DE024-4CD3-42CA-8463-B17BCD300AAA}"/>
            </a:ext>
          </a:extLst>
        </xdr:cNvPr>
        <xdr:cNvSpPr txBox="1"/>
      </xdr:nvSpPr>
      <xdr:spPr>
        <a:xfrm>
          <a:off x="25428841" y="2450145"/>
          <a:ext cx="49070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Mech/Elec</a:t>
          </a:r>
        </a:p>
      </xdr:txBody>
    </xdr:sp>
    <xdr:clientData/>
  </xdr:oneCellAnchor>
  <xdr:oneCellAnchor>
    <xdr:from>
      <xdr:col>19</xdr:col>
      <xdr:colOff>526869</xdr:colOff>
      <xdr:row>6</xdr:row>
      <xdr:rowOff>69119</xdr:rowOff>
    </xdr:from>
    <xdr:ext cx="782318" cy="280205"/>
    <xdr:sp macro="" textlink="">
      <xdr:nvSpPr>
        <xdr:cNvPr id="161" name="TextBox 160">
          <a:extLst>
            <a:ext uri="{FF2B5EF4-FFF2-40B4-BE49-F238E27FC236}">
              <a16:creationId xmlns:a16="http://schemas.microsoft.com/office/drawing/2014/main" id="{0ED0A5F8-C7DA-4EAE-88E7-E4EAA4F6D7A4}"/>
            </a:ext>
          </a:extLst>
        </xdr:cNvPr>
        <xdr:cNvSpPr txBox="1"/>
      </xdr:nvSpPr>
      <xdr:spPr>
        <a:xfrm>
          <a:off x="19469293" y="1781378"/>
          <a:ext cx="78231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Storage </a:t>
          </a:r>
        </a:p>
      </xdr:txBody>
    </xdr:sp>
    <xdr:clientData/>
  </xdr:oneCellAnchor>
  <xdr:twoCellAnchor>
    <xdr:from>
      <xdr:col>20</xdr:col>
      <xdr:colOff>723120</xdr:colOff>
      <xdr:row>15</xdr:row>
      <xdr:rowOff>105987</xdr:rowOff>
    </xdr:from>
    <xdr:to>
      <xdr:col>21</xdr:col>
      <xdr:colOff>255946</xdr:colOff>
      <xdr:row>16</xdr:row>
      <xdr:rowOff>204039</xdr:rowOff>
    </xdr:to>
    <xdr:sp macro="" textlink="">
      <xdr:nvSpPr>
        <xdr:cNvPr id="162" name="Text Box 1">
          <a:extLst>
            <a:ext uri="{FF2B5EF4-FFF2-40B4-BE49-F238E27FC236}">
              <a16:creationId xmlns:a16="http://schemas.microsoft.com/office/drawing/2014/main" id="{CB0A93BD-1C16-4FAA-A949-99AA7B77E34A}"/>
            </a:ext>
          </a:extLst>
        </xdr:cNvPr>
        <xdr:cNvSpPr txBox="1">
          <a:spLocks noChangeArrowheads="1"/>
        </xdr:cNvSpPr>
      </xdr:nvSpPr>
      <xdr:spPr bwMode="auto">
        <a:xfrm>
          <a:off x="27460355" y="4173722"/>
          <a:ext cx="653415" cy="32217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900">
              <a:solidFill>
                <a:schemeClr val="tx1"/>
              </a:solidFill>
              <a:latin typeface="+mn-lt"/>
              <a:ea typeface="+mn-ea"/>
              <a:cs typeface="+mn-cs"/>
            </a:rPr>
            <a:t>Locker</a:t>
          </a:r>
        </a:p>
      </xdr:txBody>
    </xdr:sp>
    <xdr:clientData/>
  </xdr:twoCellAnchor>
  <xdr:oneCellAnchor>
    <xdr:from>
      <xdr:col>18</xdr:col>
      <xdr:colOff>1703432</xdr:colOff>
      <xdr:row>8</xdr:row>
      <xdr:rowOff>70090</xdr:rowOff>
    </xdr:from>
    <xdr:ext cx="233205" cy="787908"/>
    <xdr:sp macro="" textlink="">
      <xdr:nvSpPr>
        <xdr:cNvPr id="163" name="TextBox 162">
          <a:extLst>
            <a:ext uri="{FF2B5EF4-FFF2-40B4-BE49-F238E27FC236}">
              <a16:creationId xmlns:a16="http://schemas.microsoft.com/office/drawing/2014/main" id="{E1D91C3C-7861-4A6E-AC07-74B5A1E75643}"/>
            </a:ext>
          </a:extLst>
        </xdr:cNvPr>
        <xdr:cNvSpPr txBox="1"/>
      </xdr:nvSpPr>
      <xdr:spPr>
        <a:xfrm rot="16200000">
          <a:off x="23667516" y="2525865"/>
          <a:ext cx="78790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Server Room</a:t>
          </a:r>
        </a:p>
      </xdr:txBody>
    </xdr:sp>
    <xdr:clientData/>
  </xdr:oneCellAnchor>
  <xdr:oneCellAnchor>
    <xdr:from>
      <xdr:col>20</xdr:col>
      <xdr:colOff>884485</xdr:colOff>
      <xdr:row>1</xdr:row>
      <xdr:rowOff>425690</xdr:rowOff>
    </xdr:from>
    <xdr:ext cx="725007" cy="233205"/>
    <xdr:sp macro="" textlink="">
      <xdr:nvSpPr>
        <xdr:cNvPr id="164" name="TextBox 163">
          <a:extLst>
            <a:ext uri="{FF2B5EF4-FFF2-40B4-BE49-F238E27FC236}">
              <a16:creationId xmlns:a16="http://schemas.microsoft.com/office/drawing/2014/main" id="{A1575850-45BD-48E6-A2BF-A936CCCE8530}"/>
            </a:ext>
          </a:extLst>
        </xdr:cNvPr>
        <xdr:cNvSpPr txBox="1"/>
      </xdr:nvSpPr>
      <xdr:spPr>
        <a:xfrm>
          <a:off x="26433897" y="757384"/>
          <a:ext cx="72500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Conference</a:t>
          </a:r>
        </a:p>
      </xdr:txBody>
    </xdr:sp>
    <xdr:clientData/>
  </xdr:oneCellAnchor>
  <xdr:twoCellAnchor>
    <xdr:from>
      <xdr:col>25</xdr:col>
      <xdr:colOff>734431</xdr:colOff>
      <xdr:row>15</xdr:row>
      <xdr:rowOff>107532</xdr:rowOff>
    </xdr:from>
    <xdr:to>
      <xdr:col>26</xdr:col>
      <xdr:colOff>451316</xdr:colOff>
      <xdr:row>17</xdr:row>
      <xdr:rowOff>181734</xdr:rowOff>
    </xdr:to>
    <xdr:sp macro="" textlink="">
      <xdr:nvSpPr>
        <xdr:cNvPr id="165" name="TextBox 164">
          <a:extLst>
            <a:ext uri="{FF2B5EF4-FFF2-40B4-BE49-F238E27FC236}">
              <a16:creationId xmlns:a16="http://schemas.microsoft.com/office/drawing/2014/main" id="{8DE7B953-294C-4A15-94B2-FEC4BAFBB316}"/>
            </a:ext>
          </a:extLst>
        </xdr:cNvPr>
        <xdr:cNvSpPr txBox="1"/>
      </xdr:nvSpPr>
      <xdr:spPr>
        <a:xfrm>
          <a:off x="21407043" y="3872708"/>
          <a:ext cx="909191" cy="5224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Open Office</a:t>
          </a:r>
        </a:p>
      </xdr:txBody>
    </xdr:sp>
    <xdr:clientData/>
  </xdr:twoCellAnchor>
  <xdr:twoCellAnchor>
    <xdr:from>
      <xdr:col>26</xdr:col>
      <xdr:colOff>1143708</xdr:colOff>
      <xdr:row>6</xdr:row>
      <xdr:rowOff>197224</xdr:rowOff>
    </xdr:from>
    <xdr:to>
      <xdr:col>28</xdr:col>
      <xdr:colOff>267031</xdr:colOff>
      <xdr:row>9</xdr:row>
      <xdr:rowOff>106245</xdr:rowOff>
    </xdr:to>
    <xdr:sp macro="" textlink="">
      <xdr:nvSpPr>
        <xdr:cNvPr id="166" name="TextBox 165">
          <a:extLst>
            <a:ext uri="{FF2B5EF4-FFF2-40B4-BE49-F238E27FC236}">
              <a16:creationId xmlns:a16="http://schemas.microsoft.com/office/drawing/2014/main" id="{56D91B61-9CB4-46F9-819D-A02D622F65E5}"/>
            </a:ext>
          </a:extLst>
        </xdr:cNvPr>
        <xdr:cNvSpPr txBox="1"/>
      </xdr:nvSpPr>
      <xdr:spPr>
        <a:xfrm>
          <a:off x="23008626" y="1963271"/>
          <a:ext cx="907299" cy="563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Open Office</a:t>
          </a:r>
        </a:p>
      </xdr:txBody>
    </xdr:sp>
    <xdr:clientData/>
  </xdr:twoCellAnchor>
  <xdr:twoCellAnchor>
    <xdr:from>
      <xdr:col>27</xdr:col>
      <xdr:colOff>450913</xdr:colOff>
      <xdr:row>11</xdr:row>
      <xdr:rowOff>506170</xdr:rowOff>
    </xdr:from>
    <xdr:to>
      <xdr:col>28</xdr:col>
      <xdr:colOff>212579</xdr:colOff>
      <xdr:row>16</xdr:row>
      <xdr:rowOff>114162</xdr:rowOff>
    </xdr:to>
    <xdr:sp macro="" textlink="">
      <xdr:nvSpPr>
        <xdr:cNvPr id="167" name="TextBox 166">
          <a:extLst>
            <a:ext uri="{FF2B5EF4-FFF2-40B4-BE49-F238E27FC236}">
              <a16:creationId xmlns:a16="http://schemas.microsoft.com/office/drawing/2014/main" id="{DE424C17-2A05-4B0F-9579-20376FEB4C24}"/>
            </a:ext>
          </a:extLst>
        </xdr:cNvPr>
        <xdr:cNvSpPr txBox="1"/>
      </xdr:nvSpPr>
      <xdr:spPr>
        <a:xfrm rot="16200000">
          <a:off x="35809470" y="3718260"/>
          <a:ext cx="1019933" cy="355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Enclosed Office</a:t>
          </a:r>
          <a:r>
            <a:rPr lang="en-US" sz="1100" b="0" i="0" u="none" strike="noStrike">
              <a:solidFill>
                <a:schemeClr val="tx1"/>
              </a:solidFill>
              <a:effectLst/>
              <a:latin typeface="+mn-lt"/>
              <a:ea typeface="+mn-ea"/>
              <a:cs typeface="+mn-cs"/>
            </a:rPr>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 </a:t>
          </a:r>
          <a:r>
            <a:rPr lang="en-US" sz="900"/>
            <a:t> </a:t>
          </a:r>
          <a:r>
            <a:rPr lang="en-US" sz="1100" b="0" i="0" u="none" strike="noStrike">
              <a:solidFill>
                <a:schemeClr val="tx1"/>
              </a:solidFill>
              <a:effectLst/>
              <a:latin typeface="+mn-lt"/>
              <a:ea typeface="+mn-ea"/>
              <a:cs typeface="+mn-cs"/>
            </a:rPr>
            <a:t> </a:t>
          </a:r>
          <a:r>
            <a:rPr lang="en-US" sz="900"/>
            <a:t> </a:t>
          </a:r>
          <a:r>
            <a:rPr lang="en-US" sz="1100" b="0" i="0" u="none" strike="noStrike">
              <a:solidFill>
                <a:schemeClr val="tx1"/>
              </a:solidFill>
              <a:effectLst/>
              <a:latin typeface="+mn-lt"/>
              <a:ea typeface="+mn-ea"/>
              <a:cs typeface="+mn-cs"/>
            </a:rPr>
            <a:t> </a:t>
          </a:r>
          <a:r>
            <a:rPr lang="en-US" sz="900"/>
            <a:t> </a:t>
          </a:r>
          <a:r>
            <a:rPr lang="en-US" sz="1100" b="0" i="0" u="none" strike="noStrike">
              <a:solidFill>
                <a:schemeClr val="tx1"/>
              </a:solidFill>
              <a:effectLst/>
              <a:latin typeface="+mn-lt"/>
              <a:ea typeface="+mn-ea"/>
              <a:cs typeface="+mn-cs"/>
            </a:rPr>
            <a:t> </a:t>
          </a:r>
          <a:r>
            <a:rPr lang="en-US" sz="900"/>
            <a:t> </a:t>
          </a:r>
          <a:r>
            <a:rPr lang="en-US" sz="1100" b="0" i="0" u="none" strike="noStrike">
              <a:solidFill>
                <a:schemeClr val="tx1"/>
              </a:solidFill>
              <a:effectLst/>
              <a:latin typeface="+mn-lt"/>
              <a:ea typeface="+mn-ea"/>
              <a:cs typeface="+mn-cs"/>
            </a:rPr>
            <a:t> </a:t>
          </a:r>
          <a:r>
            <a:rPr lang="en-US" sz="900"/>
            <a:t> </a:t>
          </a:r>
          <a:r>
            <a:rPr lang="en-US" sz="1100" b="0" i="0" u="none" strike="noStrike">
              <a:solidFill>
                <a:schemeClr val="tx1"/>
              </a:solidFill>
              <a:effectLst/>
              <a:latin typeface="+mn-lt"/>
              <a:ea typeface="+mn-ea"/>
              <a:cs typeface="+mn-cs"/>
            </a:rPr>
            <a:t> </a:t>
          </a:r>
          <a:r>
            <a:rPr lang="en-US" sz="900"/>
            <a:t> </a:t>
          </a:r>
          <a:r>
            <a:rPr lang="en-US" sz="1100" b="0" i="0" u="none" strike="noStrike">
              <a:solidFill>
                <a:schemeClr val="tx1"/>
              </a:solidFill>
              <a:effectLst/>
              <a:latin typeface="+mn-lt"/>
              <a:ea typeface="+mn-ea"/>
              <a:cs typeface="+mn-cs"/>
            </a:rPr>
            <a:t> </a:t>
          </a:r>
          <a:r>
            <a:rPr lang="en-US" sz="900"/>
            <a:t> </a:t>
          </a:r>
          <a:r>
            <a:rPr lang="en-US" sz="1100" b="0" i="0" u="none" strike="noStrike">
              <a:solidFill>
                <a:schemeClr val="tx1"/>
              </a:solidFill>
              <a:effectLst/>
              <a:latin typeface="+mn-lt"/>
              <a:ea typeface="+mn-ea"/>
              <a:cs typeface="+mn-cs"/>
            </a:rPr>
            <a:t> </a:t>
          </a:r>
          <a:r>
            <a:rPr lang="en-US" sz="900"/>
            <a:t> </a:t>
          </a:r>
          <a:r>
            <a:rPr lang="en-US" sz="1100" b="0" i="0" u="none" strike="noStrike">
              <a:solidFill>
                <a:schemeClr val="tx1"/>
              </a:solidFill>
              <a:effectLst/>
              <a:latin typeface="+mn-lt"/>
              <a:ea typeface="+mn-ea"/>
              <a:cs typeface="+mn-cs"/>
            </a:rPr>
            <a:t> </a:t>
          </a:r>
          <a:r>
            <a:rPr lang="en-US" sz="900"/>
            <a:t> </a:t>
          </a:r>
          <a:r>
            <a:rPr lang="en-US" sz="1100" b="1" i="0" u="none" strike="noStrike">
              <a:solidFill>
                <a:schemeClr val="tx1"/>
              </a:solidFill>
              <a:effectLst/>
              <a:latin typeface="+mn-lt"/>
              <a:ea typeface="+mn-ea"/>
              <a:cs typeface="+mn-cs"/>
            </a:rPr>
            <a:t>Middle/Top Floors</a:t>
          </a:r>
          <a:r>
            <a:rPr lang="en-US" sz="900"/>
            <a:t> </a:t>
          </a:r>
          <a:r>
            <a:rPr lang="en-US" sz="1100" b="0" i="0" u="none" strike="noStrike">
              <a:solidFill>
                <a:schemeClr val="tx1"/>
              </a:solidFill>
              <a:effectLst/>
              <a:latin typeface="+mn-lt"/>
              <a:ea typeface="+mn-ea"/>
              <a:cs typeface="+mn-cs"/>
            </a:rPr>
            <a:t> </a:t>
          </a:r>
          <a:r>
            <a:rPr lang="en-US" sz="900"/>
            <a:t> </a:t>
          </a:r>
          <a:r>
            <a:rPr lang="en-US" sz="1100" b="0" i="0" u="none" strike="noStrike">
              <a:solidFill>
                <a:schemeClr val="tx1"/>
              </a:solidFill>
              <a:effectLst/>
              <a:latin typeface="+mn-lt"/>
              <a:ea typeface="+mn-ea"/>
              <a:cs typeface="+mn-cs"/>
            </a:rPr>
            <a:t> </a:t>
          </a:r>
          <a:r>
            <a:rPr lang="en-US" sz="900"/>
            <a:t> ed Office</a:t>
          </a:r>
        </a:p>
      </xdr:txBody>
    </xdr:sp>
    <xdr:clientData/>
  </xdr:twoCellAnchor>
  <xdr:twoCellAnchor>
    <xdr:from>
      <xdr:col>23</xdr:col>
      <xdr:colOff>502311</xdr:colOff>
      <xdr:row>15</xdr:row>
      <xdr:rowOff>172256</xdr:rowOff>
    </xdr:from>
    <xdr:to>
      <xdr:col>24</xdr:col>
      <xdr:colOff>465451</xdr:colOff>
      <xdr:row>16</xdr:row>
      <xdr:rowOff>196537</xdr:rowOff>
    </xdr:to>
    <xdr:sp macro="" textlink="">
      <xdr:nvSpPr>
        <xdr:cNvPr id="168" name="TextBox 167">
          <a:extLst>
            <a:ext uri="{FF2B5EF4-FFF2-40B4-BE49-F238E27FC236}">
              <a16:creationId xmlns:a16="http://schemas.microsoft.com/office/drawing/2014/main" id="{663703A1-C1C2-44EA-BD63-9AA9ADD37E42}"/>
            </a:ext>
          </a:extLst>
        </xdr:cNvPr>
        <xdr:cNvSpPr txBox="1"/>
      </xdr:nvSpPr>
      <xdr:spPr>
        <a:xfrm>
          <a:off x="30803017" y="4239991"/>
          <a:ext cx="1150963" cy="248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Enclosed Office</a:t>
          </a:r>
        </a:p>
      </xdr:txBody>
    </xdr:sp>
    <xdr:clientData/>
  </xdr:twoCellAnchor>
  <xdr:twoCellAnchor>
    <xdr:from>
      <xdr:col>24</xdr:col>
      <xdr:colOff>516691</xdr:colOff>
      <xdr:row>15</xdr:row>
      <xdr:rowOff>79763</xdr:rowOff>
    </xdr:from>
    <xdr:to>
      <xdr:col>25</xdr:col>
      <xdr:colOff>206521</xdr:colOff>
      <xdr:row>16</xdr:row>
      <xdr:rowOff>118004</xdr:rowOff>
    </xdr:to>
    <xdr:sp macro="" textlink="">
      <xdr:nvSpPr>
        <xdr:cNvPr id="169" name="TextBox 168">
          <a:extLst>
            <a:ext uri="{FF2B5EF4-FFF2-40B4-BE49-F238E27FC236}">
              <a16:creationId xmlns:a16="http://schemas.microsoft.com/office/drawing/2014/main" id="{9565C934-BFCB-4B44-B718-36DD6FBBE445}"/>
            </a:ext>
          </a:extLst>
        </xdr:cNvPr>
        <xdr:cNvSpPr txBox="1"/>
      </xdr:nvSpPr>
      <xdr:spPr>
        <a:xfrm>
          <a:off x="32005220" y="4147498"/>
          <a:ext cx="1516389" cy="262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Conference</a:t>
          </a:r>
        </a:p>
      </xdr:txBody>
    </xdr:sp>
    <xdr:clientData/>
  </xdr:twoCellAnchor>
  <xdr:twoCellAnchor>
    <xdr:from>
      <xdr:col>27</xdr:col>
      <xdr:colOff>313592</xdr:colOff>
      <xdr:row>11</xdr:row>
      <xdr:rowOff>24625</xdr:rowOff>
    </xdr:from>
    <xdr:to>
      <xdr:col>28</xdr:col>
      <xdr:colOff>468537</xdr:colOff>
      <xdr:row>13</xdr:row>
      <xdr:rowOff>24862</xdr:rowOff>
    </xdr:to>
    <xdr:sp macro="" textlink="">
      <xdr:nvSpPr>
        <xdr:cNvPr id="170" name="TextBox 169">
          <a:extLst>
            <a:ext uri="{FF2B5EF4-FFF2-40B4-BE49-F238E27FC236}">
              <a16:creationId xmlns:a16="http://schemas.microsoft.com/office/drawing/2014/main" id="{ECCFAE93-C5B0-47C0-9E60-1808C6769653}"/>
            </a:ext>
          </a:extLst>
        </xdr:cNvPr>
        <xdr:cNvSpPr txBox="1"/>
      </xdr:nvSpPr>
      <xdr:spPr>
        <a:xfrm>
          <a:off x="23370816" y="2893331"/>
          <a:ext cx="746615" cy="448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Conference</a:t>
          </a:r>
        </a:p>
      </xdr:txBody>
    </xdr:sp>
    <xdr:clientData/>
  </xdr:twoCellAnchor>
  <xdr:twoCellAnchor>
    <xdr:from>
      <xdr:col>26</xdr:col>
      <xdr:colOff>922009</xdr:colOff>
      <xdr:row>1</xdr:row>
      <xdr:rowOff>344560</xdr:rowOff>
    </xdr:from>
    <xdr:to>
      <xdr:col>28</xdr:col>
      <xdr:colOff>293479</xdr:colOff>
      <xdr:row>2</xdr:row>
      <xdr:rowOff>99242</xdr:rowOff>
    </xdr:to>
    <xdr:sp macro="" textlink="">
      <xdr:nvSpPr>
        <xdr:cNvPr id="171" name="TextBox 170">
          <a:extLst>
            <a:ext uri="{FF2B5EF4-FFF2-40B4-BE49-F238E27FC236}">
              <a16:creationId xmlns:a16="http://schemas.microsoft.com/office/drawing/2014/main" id="{F423C6F1-126C-4B83-AFF7-DF18CE02900D}"/>
            </a:ext>
          </a:extLst>
        </xdr:cNvPr>
        <xdr:cNvSpPr txBox="1"/>
      </xdr:nvSpPr>
      <xdr:spPr>
        <a:xfrm>
          <a:off x="22786927" y="676254"/>
          <a:ext cx="1155446" cy="292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Enclosed Office</a:t>
          </a:r>
        </a:p>
      </xdr:txBody>
    </xdr:sp>
    <xdr:clientData/>
  </xdr:twoCellAnchor>
  <xdr:twoCellAnchor>
    <xdr:from>
      <xdr:col>26</xdr:col>
      <xdr:colOff>10792</xdr:colOff>
      <xdr:row>1</xdr:row>
      <xdr:rowOff>350610</xdr:rowOff>
    </xdr:from>
    <xdr:to>
      <xdr:col>26</xdr:col>
      <xdr:colOff>885308</xdr:colOff>
      <xdr:row>2</xdr:row>
      <xdr:rowOff>110943</xdr:rowOff>
    </xdr:to>
    <xdr:sp macro="" textlink="">
      <xdr:nvSpPr>
        <xdr:cNvPr id="172" name="TextBox 171">
          <a:extLst>
            <a:ext uri="{FF2B5EF4-FFF2-40B4-BE49-F238E27FC236}">
              <a16:creationId xmlns:a16="http://schemas.microsoft.com/office/drawing/2014/main" id="{FE3EEEC6-A179-49C6-AB3C-A9E524D69D0C}"/>
            </a:ext>
          </a:extLst>
        </xdr:cNvPr>
        <xdr:cNvSpPr txBox="1"/>
      </xdr:nvSpPr>
      <xdr:spPr>
        <a:xfrm>
          <a:off x="21875710" y="682304"/>
          <a:ext cx="874516" cy="298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Conference</a:t>
          </a:r>
        </a:p>
      </xdr:txBody>
    </xdr:sp>
    <xdr:clientData/>
  </xdr:twoCellAnchor>
  <xdr:twoCellAnchor>
    <xdr:from>
      <xdr:col>24</xdr:col>
      <xdr:colOff>1699936</xdr:colOff>
      <xdr:row>7</xdr:row>
      <xdr:rowOff>114913</xdr:rowOff>
    </xdr:from>
    <xdr:to>
      <xdr:col>25</xdr:col>
      <xdr:colOff>187700</xdr:colOff>
      <xdr:row>10</xdr:row>
      <xdr:rowOff>122142</xdr:rowOff>
    </xdr:to>
    <xdr:sp macro="" textlink="">
      <xdr:nvSpPr>
        <xdr:cNvPr id="189" name="TextBox 188">
          <a:extLst>
            <a:ext uri="{FF2B5EF4-FFF2-40B4-BE49-F238E27FC236}">
              <a16:creationId xmlns:a16="http://schemas.microsoft.com/office/drawing/2014/main" id="{AA8DBE73-B206-4E46-83B9-EC23841640A4}"/>
            </a:ext>
            <a:ext uri="{147F2762-F138-4A5C-976F-8EAC2B608ADB}">
              <a16:predDERef xmlns:a16="http://schemas.microsoft.com/office/drawing/2014/main" pred="{FE3EEEC6-A179-49C6-AB3C-A9E524D69D0C}"/>
            </a:ext>
          </a:extLst>
        </xdr:cNvPr>
        <xdr:cNvSpPr txBox="1"/>
      </xdr:nvSpPr>
      <xdr:spPr>
        <a:xfrm rot="16200000">
          <a:off x="33749066" y="2260533"/>
          <a:ext cx="673979" cy="268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Lobby</a:t>
          </a:r>
        </a:p>
      </xdr:txBody>
    </xdr:sp>
    <xdr:clientData/>
  </xdr:twoCellAnchor>
  <xdr:twoCellAnchor>
    <xdr:from>
      <xdr:col>24</xdr:col>
      <xdr:colOff>918259</xdr:colOff>
      <xdr:row>11</xdr:row>
      <xdr:rowOff>215005</xdr:rowOff>
    </xdr:from>
    <xdr:to>
      <xdr:col>25</xdr:col>
      <xdr:colOff>776457</xdr:colOff>
      <xdr:row>13</xdr:row>
      <xdr:rowOff>153460</xdr:rowOff>
    </xdr:to>
    <xdr:sp macro="" textlink="">
      <xdr:nvSpPr>
        <xdr:cNvPr id="190" name="TextBox 189">
          <a:extLst>
            <a:ext uri="{FF2B5EF4-FFF2-40B4-BE49-F238E27FC236}">
              <a16:creationId xmlns:a16="http://schemas.microsoft.com/office/drawing/2014/main" id="{5570CCAB-AF4B-4D4E-8EF3-B19FF8FE7DEC}"/>
            </a:ext>
          </a:extLst>
        </xdr:cNvPr>
        <xdr:cNvSpPr txBox="1"/>
      </xdr:nvSpPr>
      <xdr:spPr>
        <a:xfrm>
          <a:off x="19753106" y="3083711"/>
          <a:ext cx="1695963" cy="386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Stair/Elevator</a:t>
          </a:r>
        </a:p>
      </xdr:txBody>
    </xdr:sp>
    <xdr:clientData/>
  </xdr:twoCellAnchor>
  <xdr:twoCellAnchor>
    <xdr:from>
      <xdr:col>25</xdr:col>
      <xdr:colOff>958117</xdr:colOff>
      <xdr:row>12</xdr:row>
      <xdr:rowOff>7130</xdr:rowOff>
    </xdr:from>
    <xdr:to>
      <xdr:col>26</xdr:col>
      <xdr:colOff>533283</xdr:colOff>
      <xdr:row>13</xdr:row>
      <xdr:rowOff>46964</xdr:rowOff>
    </xdr:to>
    <xdr:sp macro="" textlink="">
      <xdr:nvSpPr>
        <xdr:cNvPr id="191" name="TextBox 190">
          <a:extLst>
            <a:ext uri="{FF2B5EF4-FFF2-40B4-BE49-F238E27FC236}">
              <a16:creationId xmlns:a16="http://schemas.microsoft.com/office/drawing/2014/main" id="{EB8ED126-E136-458D-B967-64764E8B8DD7}"/>
            </a:ext>
          </a:extLst>
        </xdr:cNvPr>
        <xdr:cNvSpPr txBox="1"/>
      </xdr:nvSpPr>
      <xdr:spPr>
        <a:xfrm>
          <a:off x="34273205" y="3402512"/>
          <a:ext cx="762990" cy="263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Corridor</a:t>
          </a:r>
        </a:p>
      </xdr:txBody>
    </xdr:sp>
    <xdr:clientData/>
  </xdr:twoCellAnchor>
  <xdr:twoCellAnchor>
    <xdr:from>
      <xdr:col>25</xdr:col>
      <xdr:colOff>1119239</xdr:colOff>
      <xdr:row>5</xdr:row>
      <xdr:rowOff>116541</xdr:rowOff>
    </xdr:from>
    <xdr:to>
      <xdr:col>26</xdr:col>
      <xdr:colOff>763713</xdr:colOff>
      <xdr:row>7</xdr:row>
      <xdr:rowOff>123325</xdr:rowOff>
    </xdr:to>
    <xdr:sp macro="" textlink="">
      <xdr:nvSpPr>
        <xdr:cNvPr id="192" name="TextBox 191">
          <a:extLst>
            <a:ext uri="{FF2B5EF4-FFF2-40B4-BE49-F238E27FC236}">
              <a16:creationId xmlns:a16="http://schemas.microsoft.com/office/drawing/2014/main" id="{DA5652C7-AB6A-41DB-9C34-A69BC271C825}"/>
            </a:ext>
          </a:extLst>
        </xdr:cNvPr>
        <xdr:cNvSpPr txBox="1"/>
      </xdr:nvSpPr>
      <xdr:spPr>
        <a:xfrm>
          <a:off x="21791851" y="1658470"/>
          <a:ext cx="836780" cy="437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Break </a:t>
          </a:r>
        </a:p>
      </xdr:txBody>
    </xdr:sp>
    <xdr:clientData/>
  </xdr:twoCellAnchor>
  <xdr:twoCellAnchor>
    <xdr:from>
      <xdr:col>24</xdr:col>
      <xdr:colOff>363632</xdr:colOff>
      <xdr:row>7</xdr:row>
      <xdr:rowOff>155134</xdr:rowOff>
    </xdr:from>
    <xdr:to>
      <xdr:col>24</xdr:col>
      <xdr:colOff>874620</xdr:colOff>
      <xdr:row>9</xdr:row>
      <xdr:rowOff>197225</xdr:rowOff>
    </xdr:to>
    <xdr:sp macro="" textlink="">
      <xdr:nvSpPr>
        <xdr:cNvPr id="193" name="TextBox 192">
          <a:extLst>
            <a:ext uri="{FF2B5EF4-FFF2-40B4-BE49-F238E27FC236}">
              <a16:creationId xmlns:a16="http://schemas.microsoft.com/office/drawing/2014/main" id="{6BC4CFF2-6F97-4F92-8588-8C26C7B5E2D5}"/>
            </a:ext>
            <a:ext uri="{147F2762-F138-4A5C-976F-8EAC2B608ADB}">
              <a16:predDERef xmlns:a16="http://schemas.microsoft.com/office/drawing/2014/main" pred="{DA5652C7-AB6A-41DB-9C34-A69BC271C825}"/>
            </a:ext>
          </a:extLst>
        </xdr:cNvPr>
        <xdr:cNvSpPr txBox="1"/>
      </xdr:nvSpPr>
      <xdr:spPr>
        <a:xfrm>
          <a:off x="32615282" y="2098234"/>
          <a:ext cx="510988" cy="489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Mech/Elec</a:t>
          </a:r>
        </a:p>
      </xdr:txBody>
    </xdr:sp>
    <xdr:clientData/>
  </xdr:twoCellAnchor>
  <xdr:twoCellAnchor>
    <xdr:from>
      <xdr:col>24</xdr:col>
      <xdr:colOff>1118563</xdr:colOff>
      <xdr:row>6</xdr:row>
      <xdr:rowOff>93126</xdr:rowOff>
    </xdr:from>
    <xdr:to>
      <xdr:col>25</xdr:col>
      <xdr:colOff>63733</xdr:colOff>
      <xdr:row>8</xdr:row>
      <xdr:rowOff>160216</xdr:rowOff>
    </xdr:to>
    <xdr:sp macro="" textlink="">
      <xdr:nvSpPr>
        <xdr:cNvPr id="194" name="TextBox 193">
          <a:extLst>
            <a:ext uri="{FF2B5EF4-FFF2-40B4-BE49-F238E27FC236}">
              <a16:creationId xmlns:a16="http://schemas.microsoft.com/office/drawing/2014/main" id="{4CCCF512-4B77-4DC6-A6A9-D8E8C8143DFC}"/>
            </a:ext>
            <a:ext uri="{147F2762-F138-4A5C-976F-8EAC2B608ADB}">
              <a16:predDERef xmlns:a16="http://schemas.microsoft.com/office/drawing/2014/main" pred="{6BC4CFF2-6F97-4F92-8588-8C26C7B5E2D5}"/>
            </a:ext>
          </a:extLst>
        </xdr:cNvPr>
        <xdr:cNvSpPr txBox="1"/>
      </xdr:nvSpPr>
      <xdr:spPr>
        <a:xfrm>
          <a:off x="33370213" y="1826676"/>
          <a:ext cx="726345" cy="486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Storage </a:t>
          </a:r>
        </a:p>
      </xdr:txBody>
    </xdr:sp>
    <xdr:clientData/>
  </xdr:twoCellAnchor>
  <xdr:twoCellAnchor>
    <xdr:from>
      <xdr:col>24</xdr:col>
      <xdr:colOff>185926</xdr:colOff>
      <xdr:row>6</xdr:row>
      <xdr:rowOff>23307</xdr:rowOff>
    </xdr:from>
    <xdr:to>
      <xdr:col>24</xdr:col>
      <xdr:colOff>433125</xdr:colOff>
      <xdr:row>11</xdr:row>
      <xdr:rowOff>169862</xdr:rowOff>
    </xdr:to>
    <xdr:sp macro="" textlink="">
      <xdr:nvSpPr>
        <xdr:cNvPr id="195" name="TextBox 194">
          <a:extLst>
            <a:ext uri="{FF2B5EF4-FFF2-40B4-BE49-F238E27FC236}">
              <a16:creationId xmlns:a16="http://schemas.microsoft.com/office/drawing/2014/main" id="{3E922C12-94CD-44D7-A3A2-B0BB1F031E15}"/>
            </a:ext>
            <a:ext uri="{147F2762-F138-4A5C-976F-8EAC2B608ADB}">
              <a16:predDERef xmlns:a16="http://schemas.microsoft.com/office/drawing/2014/main" pred="{4CCCF512-4B77-4DC6-A6A9-D8E8C8143DFC}"/>
            </a:ext>
          </a:extLst>
        </xdr:cNvPr>
        <xdr:cNvSpPr txBox="1"/>
      </xdr:nvSpPr>
      <xdr:spPr>
        <a:xfrm rot="16200000">
          <a:off x="31940211" y="2254222"/>
          <a:ext cx="1241930" cy="247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Server Room</a:t>
          </a:r>
        </a:p>
      </xdr:txBody>
    </xdr:sp>
    <xdr:clientData/>
  </xdr:twoCellAnchor>
  <xdr:twoCellAnchor>
    <xdr:from>
      <xdr:col>25</xdr:col>
      <xdr:colOff>307460</xdr:colOff>
      <xdr:row>9</xdr:row>
      <xdr:rowOff>54248</xdr:rowOff>
    </xdr:from>
    <xdr:to>
      <xdr:col>26</xdr:col>
      <xdr:colOff>255474</xdr:colOff>
      <xdr:row>11</xdr:row>
      <xdr:rowOff>23258</xdr:rowOff>
    </xdr:to>
    <xdr:sp macro="" textlink="">
      <xdr:nvSpPr>
        <xdr:cNvPr id="196" name="TextBox 195">
          <a:extLst>
            <a:ext uri="{FF2B5EF4-FFF2-40B4-BE49-F238E27FC236}">
              <a16:creationId xmlns:a16="http://schemas.microsoft.com/office/drawing/2014/main" id="{12CBDCD7-A706-4352-AA6A-158E10089DAA}"/>
            </a:ext>
            <a:ext uri="{147F2762-F138-4A5C-976F-8EAC2B608ADB}">
              <a16:predDERef xmlns:a16="http://schemas.microsoft.com/office/drawing/2014/main" pred="{3E922C12-94CD-44D7-A3A2-B0BB1F031E15}"/>
            </a:ext>
          </a:extLst>
        </xdr:cNvPr>
        <xdr:cNvSpPr txBox="1"/>
      </xdr:nvSpPr>
      <xdr:spPr>
        <a:xfrm>
          <a:off x="34340285" y="2445023"/>
          <a:ext cx="1100539" cy="407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Enclosed Office</a:t>
          </a:r>
        </a:p>
      </xdr:txBody>
    </xdr:sp>
    <xdr:clientData/>
  </xdr:twoCellAnchor>
  <xdr:twoCellAnchor>
    <xdr:from>
      <xdr:col>24</xdr:col>
      <xdr:colOff>1036544</xdr:colOff>
      <xdr:row>9</xdr:row>
      <xdr:rowOff>80681</xdr:rowOff>
    </xdr:from>
    <xdr:to>
      <xdr:col>24</xdr:col>
      <xdr:colOff>1762889</xdr:colOff>
      <xdr:row>11</xdr:row>
      <xdr:rowOff>111913</xdr:rowOff>
    </xdr:to>
    <xdr:sp macro="" textlink="">
      <xdr:nvSpPr>
        <xdr:cNvPr id="237" name="TextBox 236">
          <a:extLst>
            <a:ext uri="{FF2B5EF4-FFF2-40B4-BE49-F238E27FC236}">
              <a16:creationId xmlns:a16="http://schemas.microsoft.com/office/drawing/2014/main" id="{034D4E6D-3622-46F1-A5DA-FBBFCECF209F}"/>
            </a:ext>
            <a:ext uri="{147F2762-F138-4A5C-976F-8EAC2B608ADB}">
              <a16:predDERef xmlns:a16="http://schemas.microsoft.com/office/drawing/2014/main" pred="{12CBDCD7-A706-4352-AA6A-158E10089DAA}"/>
            </a:ext>
          </a:extLst>
        </xdr:cNvPr>
        <xdr:cNvSpPr txBox="1"/>
      </xdr:nvSpPr>
      <xdr:spPr>
        <a:xfrm>
          <a:off x="33288194" y="2471456"/>
          <a:ext cx="726345" cy="4693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solidFill>
                <a:schemeClr val="tx1"/>
              </a:solidFill>
              <a:effectLst/>
              <a:latin typeface="+mn-lt"/>
              <a:ea typeface="+mn-ea"/>
              <a:cs typeface="+mn-cs"/>
            </a:rPr>
            <a:t>Restroom</a:t>
          </a:r>
          <a:endParaRPr lang="en-US" sz="900"/>
        </a:p>
      </xdr:txBody>
    </xdr:sp>
    <xdr:clientData/>
  </xdr:twoCellAnchor>
  <xdr:oneCellAnchor>
    <xdr:from>
      <xdr:col>24</xdr:col>
      <xdr:colOff>914432</xdr:colOff>
      <xdr:row>2</xdr:row>
      <xdr:rowOff>80101</xdr:rowOff>
    </xdr:from>
    <xdr:ext cx="745525" cy="233205"/>
    <xdr:sp macro="" textlink="">
      <xdr:nvSpPr>
        <xdr:cNvPr id="238" name="TextBox 237">
          <a:extLst>
            <a:ext uri="{FF2B5EF4-FFF2-40B4-BE49-F238E27FC236}">
              <a16:creationId xmlns:a16="http://schemas.microsoft.com/office/drawing/2014/main" id="{BA8E4FBE-1223-42B7-80C5-94B4278E8E57}"/>
            </a:ext>
          </a:extLst>
        </xdr:cNvPr>
        <xdr:cNvSpPr txBox="1"/>
      </xdr:nvSpPr>
      <xdr:spPr>
        <a:xfrm>
          <a:off x="29969044" y="949677"/>
          <a:ext cx="74552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Open Office</a:t>
          </a:r>
        </a:p>
      </xdr:txBody>
    </xdr:sp>
    <xdr:clientData/>
  </xdr:oneCellAnchor>
  <xdr:oneCellAnchor>
    <xdr:from>
      <xdr:col>23</xdr:col>
      <xdr:colOff>570348</xdr:colOff>
      <xdr:row>1</xdr:row>
      <xdr:rowOff>292959</xdr:rowOff>
    </xdr:from>
    <xdr:ext cx="233205" cy="906723"/>
    <xdr:sp macro="" textlink="">
      <xdr:nvSpPr>
        <xdr:cNvPr id="239" name="TextBox 238">
          <a:extLst>
            <a:ext uri="{FF2B5EF4-FFF2-40B4-BE49-F238E27FC236}">
              <a16:creationId xmlns:a16="http://schemas.microsoft.com/office/drawing/2014/main" id="{1AABDA75-1220-47A3-A1FC-C468895A58C3}"/>
            </a:ext>
          </a:extLst>
        </xdr:cNvPr>
        <xdr:cNvSpPr txBox="1"/>
      </xdr:nvSpPr>
      <xdr:spPr>
        <a:xfrm rot="16200000">
          <a:off x="29198554" y="961412"/>
          <a:ext cx="90672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Enclosed Office</a:t>
          </a:r>
        </a:p>
      </xdr:txBody>
    </xdr:sp>
    <xdr:clientData/>
  </xdr:oneCellAnchor>
  <xdr:oneCellAnchor>
    <xdr:from>
      <xdr:col>23</xdr:col>
      <xdr:colOff>425491</xdr:colOff>
      <xdr:row>10</xdr:row>
      <xdr:rowOff>193506</xdr:rowOff>
    </xdr:from>
    <xdr:ext cx="745525" cy="233205"/>
    <xdr:sp macro="" textlink="">
      <xdr:nvSpPr>
        <xdr:cNvPr id="240" name="TextBox 239">
          <a:extLst>
            <a:ext uri="{FF2B5EF4-FFF2-40B4-BE49-F238E27FC236}">
              <a16:creationId xmlns:a16="http://schemas.microsoft.com/office/drawing/2014/main" id="{E2ED564D-D5C2-41BD-88D7-836B99D0E730}"/>
            </a:ext>
          </a:extLst>
        </xdr:cNvPr>
        <xdr:cNvSpPr txBox="1"/>
      </xdr:nvSpPr>
      <xdr:spPr>
        <a:xfrm>
          <a:off x="29390456" y="2784306"/>
          <a:ext cx="74552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Open Office</a:t>
          </a:r>
        </a:p>
      </xdr:txBody>
    </xdr:sp>
    <xdr:clientData/>
  </xdr:oneCellAnchor>
  <xdr:twoCellAnchor>
    <xdr:from>
      <xdr:col>23</xdr:col>
      <xdr:colOff>367553</xdr:colOff>
      <xdr:row>5</xdr:row>
      <xdr:rowOff>170329</xdr:rowOff>
    </xdr:from>
    <xdr:to>
      <xdr:col>23</xdr:col>
      <xdr:colOff>1111623</xdr:colOff>
      <xdr:row>7</xdr:row>
      <xdr:rowOff>62752</xdr:rowOff>
    </xdr:to>
    <xdr:sp macro="" textlink="">
      <xdr:nvSpPr>
        <xdr:cNvPr id="241" name="TextBox 240">
          <a:extLst>
            <a:ext uri="{FF2B5EF4-FFF2-40B4-BE49-F238E27FC236}">
              <a16:creationId xmlns:a16="http://schemas.microsoft.com/office/drawing/2014/main" id="{8D338F95-AA87-4E5D-A862-2446343B82FA}"/>
            </a:ext>
          </a:extLst>
        </xdr:cNvPr>
        <xdr:cNvSpPr txBox="1"/>
      </xdr:nvSpPr>
      <xdr:spPr>
        <a:xfrm>
          <a:off x="29332518" y="1658470"/>
          <a:ext cx="744070"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Conference</a:t>
          </a:r>
        </a:p>
      </xdr:txBody>
    </xdr:sp>
    <xdr:clientData/>
  </xdr:twoCellAnchor>
  <xdr:twoCellAnchor>
    <xdr:from>
      <xdr:col>13</xdr:col>
      <xdr:colOff>93623</xdr:colOff>
      <xdr:row>2</xdr:row>
      <xdr:rowOff>209332</xdr:rowOff>
    </xdr:from>
    <xdr:to>
      <xdr:col>16</xdr:col>
      <xdr:colOff>1044131</xdr:colOff>
      <xdr:row>16</xdr:row>
      <xdr:rowOff>10237</xdr:rowOff>
    </xdr:to>
    <xdr:grpSp>
      <xdr:nvGrpSpPr>
        <xdr:cNvPr id="35" name="Group 5">
          <a:extLst>
            <a:ext uri="{FF2B5EF4-FFF2-40B4-BE49-F238E27FC236}">
              <a16:creationId xmlns:a16="http://schemas.microsoft.com/office/drawing/2014/main" id="{F7898C0E-2969-4E53-9814-05E8E48F93E6}"/>
            </a:ext>
            <a:ext uri="{147F2762-F138-4A5C-976F-8EAC2B608ADB}">
              <a16:predDERef xmlns:a16="http://schemas.microsoft.com/office/drawing/2014/main" pred="{8D338F95-AA87-4E5D-A862-2446343B82FA}"/>
            </a:ext>
          </a:extLst>
        </xdr:cNvPr>
        <xdr:cNvGrpSpPr/>
      </xdr:nvGrpSpPr>
      <xdr:grpSpPr>
        <a:xfrm>
          <a:off x="21691168" y="1075995"/>
          <a:ext cx="5085479" cy="3340059"/>
          <a:chOff x="11488830" y="1015557"/>
          <a:chExt cx="4937356" cy="2644810"/>
        </a:xfrm>
      </xdr:grpSpPr>
      <xdr:sp macro="" textlink="">
        <xdr:nvSpPr>
          <xdr:cNvPr id="36" name="TextBox 8">
            <a:extLst>
              <a:ext uri="{FF2B5EF4-FFF2-40B4-BE49-F238E27FC236}">
                <a16:creationId xmlns:a16="http://schemas.microsoft.com/office/drawing/2014/main" id="{4898F5FE-7097-2D9F-0A62-8FD8F0D07EA4}"/>
              </a:ext>
            </a:extLst>
          </xdr:cNvPr>
          <xdr:cNvSpPr txBox="1"/>
        </xdr:nvSpPr>
        <xdr:spPr>
          <a:xfrm>
            <a:off x="14242932" y="1015557"/>
            <a:ext cx="724209" cy="209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Open Office</a:t>
            </a:r>
          </a:p>
        </xdr:txBody>
      </xdr:sp>
      <xdr:sp macro="" textlink="">
        <xdr:nvSpPr>
          <xdr:cNvPr id="37" name="TextBox 9">
            <a:extLst>
              <a:ext uri="{FF2B5EF4-FFF2-40B4-BE49-F238E27FC236}">
                <a16:creationId xmlns:a16="http://schemas.microsoft.com/office/drawing/2014/main" id="{2C2D21EB-C7E7-2234-C497-CB1B404058A0}"/>
              </a:ext>
            </a:extLst>
          </xdr:cNvPr>
          <xdr:cNvSpPr txBox="1"/>
        </xdr:nvSpPr>
        <xdr:spPr>
          <a:xfrm>
            <a:off x="13255856" y="3450587"/>
            <a:ext cx="724209" cy="209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Open Office</a:t>
            </a:r>
          </a:p>
        </xdr:txBody>
      </xdr:sp>
      <xdr:sp macro="" textlink="">
        <xdr:nvSpPr>
          <xdr:cNvPr id="39" name="TextBox 10">
            <a:extLst>
              <a:ext uri="{FF2B5EF4-FFF2-40B4-BE49-F238E27FC236}">
                <a16:creationId xmlns:a16="http://schemas.microsoft.com/office/drawing/2014/main" id="{5B5C8A8A-9047-FAD2-6FC8-A2F59387AED5}"/>
              </a:ext>
            </a:extLst>
          </xdr:cNvPr>
          <xdr:cNvSpPr txBox="1"/>
        </xdr:nvSpPr>
        <xdr:spPr>
          <a:xfrm>
            <a:off x="15761835" y="2854403"/>
            <a:ext cx="664351" cy="209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Mech/Elec</a:t>
            </a:r>
          </a:p>
        </xdr:txBody>
      </xdr:sp>
      <xdr:sp macro="" textlink="">
        <xdr:nvSpPr>
          <xdr:cNvPr id="40" name="TextBox 11">
            <a:extLst>
              <a:ext uri="{FF2B5EF4-FFF2-40B4-BE49-F238E27FC236}">
                <a16:creationId xmlns:a16="http://schemas.microsoft.com/office/drawing/2014/main" id="{588C7475-C552-DE1D-E111-291CD386CC3F}"/>
              </a:ext>
            </a:extLst>
          </xdr:cNvPr>
          <xdr:cNvSpPr txBox="1"/>
        </xdr:nvSpPr>
        <xdr:spPr>
          <a:xfrm>
            <a:off x="11488830" y="2154843"/>
            <a:ext cx="765381" cy="209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Server Room</a:t>
            </a:r>
          </a:p>
        </xdr:txBody>
      </xdr:sp>
      <xdr:sp macro="" textlink="">
        <xdr:nvSpPr>
          <xdr:cNvPr id="41" name="TextBox 12">
            <a:extLst>
              <a:ext uri="{FF2B5EF4-FFF2-40B4-BE49-F238E27FC236}">
                <a16:creationId xmlns:a16="http://schemas.microsoft.com/office/drawing/2014/main" id="{344691D4-ED30-3F2F-41E1-50B4886564A0}"/>
              </a:ext>
            </a:extLst>
          </xdr:cNvPr>
          <xdr:cNvSpPr txBox="1"/>
        </xdr:nvSpPr>
        <xdr:spPr>
          <a:xfrm>
            <a:off x="14433263" y="2289336"/>
            <a:ext cx="880798" cy="209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Enclosed Office</a:t>
            </a:r>
          </a:p>
        </xdr:txBody>
      </xdr:sp>
      <xdr:sp macro="" textlink="">
        <xdr:nvSpPr>
          <xdr:cNvPr id="42" name="TextBox 13">
            <a:extLst>
              <a:ext uri="{FF2B5EF4-FFF2-40B4-BE49-F238E27FC236}">
                <a16:creationId xmlns:a16="http://schemas.microsoft.com/office/drawing/2014/main" id="{E19C82A1-27C3-F178-12AE-A776809AF67C}"/>
              </a:ext>
            </a:extLst>
          </xdr:cNvPr>
          <xdr:cNvSpPr txBox="1"/>
        </xdr:nvSpPr>
        <xdr:spPr>
          <a:xfrm rot="16200000">
            <a:off x="13975422" y="2267626"/>
            <a:ext cx="554639"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t>Lobby</a:t>
            </a:r>
          </a:p>
        </xdr:txBody>
      </xdr:sp>
      <xdr:sp macro="" textlink="">
        <xdr:nvSpPr>
          <xdr:cNvPr id="43" name="TextBox 14">
            <a:extLst>
              <a:ext uri="{FF2B5EF4-FFF2-40B4-BE49-F238E27FC236}">
                <a16:creationId xmlns:a16="http://schemas.microsoft.com/office/drawing/2014/main" id="{61C17D5E-F61A-FED5-BE6A-66DB1F42CF45}"/>
              </a:ext>
            </a:extLst>
          </xdr:cNvPr>
          <xdr:cNvSpPr txBox="1"/>
        </xdr:nvSpPr>
        <xdr:spPr>
          <a:xfrm>
            <a:off x="13010967" y="2725776"/>
            <a:ext cx="806677" cy="209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Stair/Elevator</a:t>
            </a:r>
          </a:p>
        </xdr:txBody>
      </xdr:sp>
      <xdr:sp macro="" textlink="">
        <xdr:nvSpPr>
          <xdr:cNvPr id="44" name="TextBox 15">
            <a:extLst>
              <a:ext uri="{FF2B5EF4-FFF2-40B4-BE49-F238E27FC236}">
                <a16:creationId xmlns:a16="http://schemas.microsoft.com/office/drawing/2014/main" id="{26CD242B-DC29-6BC1-338E-01A92A4E8F2C}"/>
              </a:ext>
            </a:extLst>
          </xdr:cNvPr>
          <xdr:cNvSpPr txBox="1"/>
        </xdr:nvSpPr>
        <xdr:spPr>
          <a:xfrm>
            <a:off x="14696083" y="1434201"/>
            <a:ext cx="752475" cy="209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Corridor</a:t>
            </a:r>
          </a:p>
        </xdr:txBody>
      </xdr:sp>
      <xdr:sp macro="" textlink="">
        <xdr:nvSpPr>
          <xdr:cNvPr id="45" name="TextBox 16">
            <a:extLst>
              <a:ext uri="{FF2B5EF4-FFF2-40B4-BE49-F238E27FC236}">
                <a16:creationId xmlns:a16="http://schemas.microsoft.com/office/drawing/2014/main" id="{70E826F5-A79F-429B-59D6-BDCFECAF0050}"/>
              </a:ext>
            </a:extLst>
          </xdr:cNvPr>
          <xdr:cNvSpPr txBox="1"/>
        </xdr:nvSpPr>
        <xdr:spPr>
          <a:xfrm>
            <a:off x="12644836" y="1643038"/>
            <a:ext cx="704278" cy="209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Conference</a:t>
            </a:r>
          </a:p>
        </xdr:txBody>
      </xdr:sp>
      <xdr:sp macro="" textlink="">
        <xdr:nvSpPr>
          <xdr:cNvPr id="46" name="TextBox 17">
            <a:extLst>
              <a:ext uri="{FF2B5EF4-FFF2-40B4-BE49-F238E27FC236}">
                <a16:creationId xmlns:a16="http://schemas.microsoft.com/office/drawing/2014/main" id="{3F15C67D-3CBD-6ABF-5302-68B9B15ED05E}"/>
              </a:ext>
            </a:extLst>
          </xdr:cNvPr>
          <xdr:cNvSpPr txBox="1"/>
        </xdr:nvSpPr>
        <xdr:spPr>
          <a:xfrm>
            <a:off x="13437581" y="1656822"/>
            <a:ext cx="838199" cy="336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Break &amp; Food Prep</a:t>
            </a:r>
          </a:p>
        </xdr:txBody>
      </xdr:sp>
      <xdr:sp macro="" textlink="">
        <xdr:nvSpPr>
          <xdr:cNvPr id="47" name="TextBox 18">
            <a:extLst>
              <a:ext uri="{FF2B5EF4-FFF2-40B4-BE49-F238E27FC236}">
                <a16:creationId xmlns:a16="http://schemas.microsoft.com/office/drawing/2014/main" id="{4FFC2B1D-6300-7AD4-364F-DF20CD67A18A}"/>
              </a:ext>
            </a:extLst>
          </xdr:cNvPr>
          <xdr:cNvSpPr txBox="1"/>
        </xdr:nvSpPr>
        <xdr:spPr>
          <a:xfrm>
            <a:off x="13403516" y="2419206"/>
            <a:ext cx="624363" cy="209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Restroom</a:t>
            </a:r>
          </a:p>
        </xdr:txBody>
      </xdr:sp>
      <xdr:sp macro="" textlink="">
        <xdr:nvSpPr>
          <xdr:cNvPr id="48" name="TextBox 19">
            <a:extLst>
              <a:ext uri="{FF2B5EF4-FFF2-40B4-BE49-F238E27FC236}">
                <a16:creationId xmlns:a16="http://schemas.microsoft.com/office/drawing/2014/main" id="{64373670-5C85-5712-5EC9-5AE4DD0BBD22}"/>
              </a:ext>
            </a:extLst>
          </xdr:cNvPr>
          <xdr:cNvSpPr txBox="1"/>
        </xdr:nvSpPr>
        <xdr:spPr>
          <a:xfrm>
            <a:off x="12603492" y="2250093"/>
            <a:ext cx="782318" cy="336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Storage &amp; Locker</a:t>
            </a:r>
          </a:p>
        </xdr:txBody>
      </xdr:sp>
    </xdr:grpSp>
    <xdr:clientData/>
  </xdr:twoCellAnchor>
  <xdr:twoCellAnchor>
    <xdr:from>
      <xdr:col>24</xdr:col>
      <xdr:colOff>1039775</xdr:colOff>
      <xdr:row>12</xdr:row>
      <xdr:rowOff>2953</xdr:rowOff>
    </xdr:from>
    <xdr:to>
      <xdr:col>25</xdr:col>
      <xdr:colOff>614941</xdr:colOff>
      <xdr:row>13</xdr:row>
      <xdr:rowOff>34478</xdr:rowOff>
    </xdr:to>
    <xdr:sp macro="" textlink="">
      <xdr:nvSpPr>
        <xdr:cNvPr id="29" name="TextBox 28">
          <a:extLst>
            <a:ext uri="{FF2B5EF4-FFF2-40B4-BE49-F238E27FC236}">
              <a16:creationId xmlns:a16="http://schemas.microsoft.com/office/drawing/2014/main" id="{A09706AD-7337-4780-A1E2-A76F9EAECC9B}"/>
            </a:ext>
          </a:extLst>
        </xdr:cNvPr>
        <xdr:cNvSpPr txBox="1"/>
      </xdr:nvSpPr>
      <xdr:spPr>
        <a:xfrm>
          <a:off x="32528304" y="3398335"/>
          <a:ext cx="1401725" cy="255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Corridor</a:t>
          </a:r>
        </a:p>
      </xdr:txBody>
    </xdr:sp>
    <xdr:clientData/>
  </xdr:twoCellAnchor>
  <xdr:twoCellAnchor>
    <xdr:from>
      <xdr:col>19</xdr:col>
      <xdr:colOff>473014</xdr:colOff>
      <xdr:row>12</xdr:row>
      <xdr:rowOff>26036</xdr:rowOff>
    </xdr:from>
    <xdr:to>
      <xdr:col>19</xdr:col>
      <xdr:colOff>1234771</xdr:colOff>
      <xdr:row>13</xdr:row>
      <xdr:rowOff>65870</xdr:rowOff>
    </xdr:to>
    <xdr:sp macro="" textlink="">
      <xdr:nvSpPr>
        <xdr:cNvPr id="30" name="TextBox 29">
          <a:extLst>
            <a:ext uri="{FF2B5EF4-FFF2-40B4-BE49-F238E27FC236}">
              <a16:creationId xmlns:a16="http://schemas.microsoft.com/office/drawing/2014/main" id="{FB2DE393-5AC1-40B0-B110-DDA35ED4DBF4}"/>
            </a:ext>
          </a:extLst>
        </xdr:cNvPr>
        <xdr:cNvSpPr txBox="1"/>
      </xdr:nvSpPr>
      <xdr:spPr>
        <a:xfrm>
          <a:off x="25652632" y="3421418"/>
          <a:ext cx="761757" cy="263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Corridor</a:t>
          </a:r>
        </a:p>
      </xdr:txBody>
    </xdr:sp>
    <xdr:clientData/>
  </xdr:twoCellAnchor>
  <xdr:twoCellAnchor>
    <xdr:from>
      <xdr:col>14</xdr:col>
      <xdr:colOff>823822</xdr:colOff>
      <xdr:row>11</xdr:row>
      <xdr:rowOff>509084</xdr:rowOff>
    </xdr:from>
    <xdr:to>
      <xdr:col>14</xdr:col>
      <xdr:colOff>1585579</xdr:colOff>
      <xdr:row>13</xdr:row>
      <xdr:rowOff>23923</xdr:rowOff>
    </xdr:to>
    <xdr:sp macro="" textlink="">
      <xdr:nvSpPr>
        <xdr:cNvPr id="38" name="TextBox 37">
          <a:extLst>
            <a:ext uri="{FF2B5EF4-FFF2-40B4-BE49-F238E27FC236}">
              <a16:creationId xmlns:a16="http://schemas.microsoft.com/office/drawing/2014/main" id="{120CF60C-30AE-45C3-A3BE-14460BA9AA37}"/>
            </a:ext>
          </a:extLst>
        </xdr:cNvPr>
        <xdr:cNvSpPr txBox="1"/>
      </xdr:nvSpPr>
      <xdr:spPr>
        <a:xfrm>
          <a:off x="18887704" y="3388996"/>
          <a:ext cx="761757" cy="2544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Corridor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231321</xdr:colOff>
      <xdr:row>99</xdr:row>
      <xdr:rowOff>45898</xdr:rowOff>
    </xdr:from>
    <xdr:to>
      <xdr:col>3</xdr:col>
      <xdr:colOff>1221921</xdr:colOff>
      <xdr:row>113</xdr:row>
      <xdr:rowOff>91915</xdr:rowOff>
    </xdr:to>
    <xdr:pic>
      <xdr:nvPicPr>
        <xdr:cNvPr id="3" name="Picture 1">
          <a:extLst>
            <a:ext uri="{FF2B5EF4-FFF2-40B4-BE49-F238E27FC236}">
              <a16:creationId xmlns:a16="http://schemas.microsoft.com/office/drawing/2014/main" id="{34A82311-6E13-10D2-1F49-82447D7A92A9}"/>
            </a:ext>
          </a:extLst>
        </xdr:cNvPr>
        <xdr:cNvPicPr>
          <a:picLocks noChangeAspect="1"/>
        </xdr:cNvPicPr>
      </xdr:nvPicPr>
      <xdr:blipFill>
        <a:blip xmlns:r="http://schemas.openxmlformats.org/officeDocument/2006/relationships" r:embed="rId1"/>
        <a:stretch>
          <a:fillRect/>
        </a:stretch>
      </xdr:blipFill>
      <xdr:spPr>
        <a:xfrm>
          <a:off x="231321" y="12632505"/>
          <a:ext cx="6487886" cy="2522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190198</xdr:colOff>
      <xdr:row>38</xdr:row>
      <xdr:rowOff>160020</xdr:rowOff>
    </xdr:from>
    <xdr:to>
      <xdr:col>7</xdr:col>
      <xdr:colOff>601980</xdr:colOff>
      <xdr:row>56</xdr:row>
      <xdr:rowOff>58937</xdr:rowOff>
    </xdr:to>
    <xdr:graphicFrame macro="">
      <xdr:nvGraphicFramePr>
        <xdr:cNvPr id="2" name="Chart 1">
          <a:extLst>
            <a:ext uri="{FF2B5EF4-FFF2-40B4-BE49-F238E27FC236}">
              <a16:creationId xmlns:a16="http://schemas.microsoft.com/office/drawing/2014/main" id="{46F9D3B4-FBD4-4DCD-B159-3B3B9C73E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39</xdr:row>
      <xdr:rowOff>68580</xdr:rowOff>
    </xdr:from>
    <xdr:to>
      <xdr:col>16</xdr:col>
      <xdr:colOff>419100</xdr:colOff>
      <xdr:row>56</xdr:row>
      <xdr:rowOff>74176</xdr:rowOff>
    </xdr:to>
    <xdr:graphicFrame macro="">
      <xdr:nvGraphicFramePr>
        <xdr:cNvPr id="3" name="Chart 2">
          <a:extLst>
            <a:ext uri="{FF2B5EF4-FFF2-40B4-BE49-F238E27FC236}">
              <a16:creationId xmlns:a16="http://schemas.microsoft.com/office/drawing/2014/main" id="{F965F2B2-4F67-4D19-B93E-691B522DF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76201</xdr:rowOff>
    </xdr:from>
    <xdr:to>
      <xdr:col>6</xdr:col>
      <xdr:colOff>295275</xdr:colOff>
      <xdr:row>35</xdr:row>
      <xdr:rowOff>57151</xdr:rowOff>
    </xdr:to>
    <xdr:pic>
      <xdr:nvPicPr>
        <xdr:cNvPr id="5" name="Picture 4">
          <a:extLst>
            <a:ext uri="{FF2B5EF4-FFF2-40B4-BE49-F238E27FC236}">
              <a16:creationId xmlns:a16="http://schemas.microsoft.com/office/drawing/2014/main" id="{B654508F-3A47-416C-B7DC-8E6D2D09F61C}"/>
            </a:ext>
          </a:extLst>
        </xdr:cNvPr>
        <xdr:cNvPicPr>
          <a:picLocks noChangeAspect="1"/>
        </xdr:cNvPicPr>
      </xdr:nvPicPr>
      <xdr:blipFill>
        <a:blip xmlns:r="http://schemas.openxmlformats.org/officeDocument/2006/relationships" r:embed="rId3"/>
        <a:stretch>
          <a:fillRect/>
        </a:stretch>
      </xdr:blipFill>
      <xdr:spPr>
        <a:xfrm>
          <a:off x="0" y="4629151"/>
          <a:ext cx="5924550" cy="2695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171451</xdr:colOff>
      <xdr:row>32</xdr:row>
      <xdr:rowOff>28575</xdr:rowOff>
    </xdr:from>
    <xdr:to>
      <xdr:col>2</xdr:col>
      <xdr:colOff>505032</xdr:colOff>
      <xdr:row>50</xdr:row>
      <xdr:rowOff>114299</xdr:rowOff>
    </xdr:to>
    <xdr:pic>
      <xdr:nvPicPr>
        <xdr:cNvPr id="2" name="Picture 1">
          <a:extLst>
            <a:ext uri="{FF2B5EF4-FFF2-40B4-BE49-F238E27FC236}">
              <a16:creationId xmlns:a16="http://schemas.microsoft.com/office/drawing/2014/main" id="{806D241C-3B95-4808-BD01-4A0BB05BA50F}"/>
            </a:ext>
          </a:extLst>
        </xdr:cNvPr>
        <xdr:cNvPicPr>
          <a:picLocks noChangeAspect="1"/>
        </xdr:cNvPicPr>
      </xdr:nvPicPr>
      <xdr:blipFill>
        <a:blip xmlns:r="http://schemas.openxmlformats.org/officeDocument/2006/relationships" r:embed="rId1"/>
        <a:stretch>
          <a:fillRect/>
        </a:stretch>
      </xdr:blipFill>
      <xdr:spPr>
        <a:xfrm>
          <a:off x="171451" y="11534775"/>
          <a:ext cx="3838781" cy="31718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326572</xdr:colOff>
      <xdr:row>88</xdr:row>
      <xdr:rowOff>54429</xdr:rowOff>
    </xdr:from>
    <xdr:to>
      <xdr:col>36</xdr:col>
      <xdr:colOff>37012</xdr:colOff>
      <xdr:row>91</xdr:row>
      <xdr:rowOff>119744</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91</xdr:row>
      <xdr:rowOff>337457</xdr:rowOff>
    </xdr:from>
    <xdr:to>
      <xdr:col>36</xdr:col>
      <xdr:colOff>0</xdr:colOff>
      <xdr:row>95</xdr:row>
      <xdr:rowOff>0</xdr:rowOff>
    </xdr:to>
    <xdr:graphicFrame macro="">
      <xdr:nvGraphicFramePr>
        <xdr:cNvPr id="21" name="Chart 5">
          <a:extLst>
            <a:ext uri="{FF2B5EF4-FFF2-40B4-BE49-F238E27FC236}">
              <a16:creationId xmlns:a16="http://schemas.microsoft.com/office/drawing/2014/main" id="{2E6CA2C7-E4AB-4DC1-A50A-FEBB0B9CA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12</xdr:row>
      <xdr:rowOff>0</xdr:rowOff>
    </xdr:from>
    <xdr:to>
      <xdr:col>36</xdr:col>
      <xdr:colOff>26126</xdr:colOff>
      <xdr:row>15</xdr:row>
      <xdr:rowOff>0</xdr:rowOff>
    </xdr:to>
    <xdr:graphicFrame macro="">
      <xdr:nvGraphicFramePr>
        <xdr:cNvPr id="2" name="Chart 5">
          <a:extLst>
            <a:ext uri="{FF2B5EF4-FFF2-40B4-BE49-F238E27FC236}">
              <a16:creationId xmlns:a16="http://schemas.microsoft.com/office/drawing/2014/main" id="{97E67914-D1CB-4363-9072-51C258AEB30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315686</xdr:colOff>
      <xdr:row>15</xdr:row>
      <xdr:rowOff>0</xdr:rowOff>
    </xdr:from>
    <xdr:to>
      <xdr:col>36</xdr:col>
      <xdr:colOff>26126</xdr:colOff>
      <xdr:row>18</xdr:row>
      <xdr:rowOff>0</xdr:rowOff>
    </xdr:to>
    <xdr:graphicFrame macro="">
      <xdr:nvGraphicFramePr>
        <xdr:cNvPr id="3" name="Chart 5">
          <a:extLst>
            <a:ext uri="{FF2B5EF4-FFF2-40B4-BE49-F238E27FC236}">
              <a16:creationId xmlns:a16="http://schemas.microsoft.com/office/drawing/2014/main" id="{E05898F8-B3D7-4E49-8CE4-80334890D32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371C284F-4F51-4190-B528-8BCA12836F5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289560</xdr:colOff>
      <xdr:row>31</xdr:row>
      <xdr:rowOff>0</xdr:rowOff>
    </xdr:from>
    <xdr:to>
      <xdr:col>36</xdr:col>
      <xdr:colOff>0</xdr:colOff>
      <xdr:row>33</xdr:row>
      <xdr:rowOff>391886</xdr:rowOff>
    </xdr:to>
    <xdr:graphicFrame macro="">
      <xdr:nvGraphicFramePr>
        <xdr:cNvPr id="7" name="Chart 5">
          <a:extLst>
            <a:ext uri="{FF2B5EF4-FFF2-40B4-BE49-F238E27FC236}">
              <a16:creationId xmlns:a16="http://schemas.microsoft.com/office/drawing/2014/main" id="{32B0BFFC-AC1F-4D36-BEED-825D50F5B3B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315686</xdr:colOff>
      <xdr:row>34</xdr:row>
      <xdr:rowOff>0</xdr:rowOff>
    </xdr:from>
    <xdr:to>
      <xdr:col>36</xdr:col>
      <xdr:colOff>26126</xdr:colOff>
      <xdr:row>37</xdr:row>
      <xdr:rowOff>0</xdr:rowOff>
    </xdr:to>
    <xdr:graphicFrame macro="">
      <xdr:nvGraphicFramePr>
        <xdr:cNvPr id="11" name="Chart 5">
          <a:extLst>
            <a:ext uri="{FF2B5EF4-FFF2-40B4-BE49-F238E27FC236}">
              <a16:creationId xmlns:a16="http://schemas.microsoft.com/office/drawing/2014/main" id="{B39F69D7-1333-494B-89D0-F314682AC2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315686</xdr:colOff>
      <xdr:row>37</xdr:row>
      <xdr:rowOff>0</xdr:rowOff>
    </xdr:from>
    <xdr:to>
      <xdr:col>36</xdr:col>
      <xdr:colOff>26126</xdr:colOff>
      <xdr:row>40</xdr:row>
      <xdr:rowOff>0</xdr:rowOff>
    </xdr:to>
    <xdr:graphicFrame macro="">
      <xdr:nvGraphicFramePr>
        <xdr:cNvPr id="12" name="Chart 5">
          <a:extLst>
            <a:ext uri="{FF2B5EF4-FFF2-40B4-BE49-F238E27FC236}">
              <a16:creationId xmlns:a16="http://schemas.microsoft.com/office/drawing/2014/main" id="{0C0CCC32-2A40-4A01-80A5-5E834C21237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315686</xdr:colOff>
      <xdr:row>40</xdr:row>
      <xdr:rowOff>0</xdr:rowOff>
    </xdr:from>
    <xdr:to>
      <xdr:col>36</xdr:col>
      <xdr:colOff>26126</xdr:colOff>
      <xdr:row>43</xdr:row>
      <xdr:rowOff>0</xdr:rowOff>
    </xdr:to>
    <xdr:graphicFrame macro="">
      <xdr:nvGraphicFramePr>
        <xdr:cNvPr id="13" name="Chart 5">
          <a:extLst>
            <a:ext uri="{FF2B5EF4-FFF2-40B4-BE49-F238E27FC236}">
              <a16:creationId xmlns:a16="http://schemas.microsoft.com/office/drawing/2014/main" id="{547C7F49-FC6A-463D-93B0-690857C7D10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299357</xdr:colOff>
      <xdr:row>27</xdr:row>
      <xdr:rowOff>204107</xdr:rowOff>
    </xdr:from>
    <xdr:to>
      <xdr:col>36</xdr:col>
      <xdr:colOff>15512</xdr:colOff>
      <xdr:row>30</xdr:row>
      <xdr:rowOff>374989</xdr:rowOff>
    </xdr:to>
    <xdr:graphicFrame macro="">
      <xdr:nvGraphicFramePr>
        <xdr:cNvPr id="17" name="Chart 5">
          <a:extLst>
            <a:ext uri="{FF2B5EF4-FFF2-40B4-BE49-F238E27FC236}">
              <a16:creationId xmlns:a16="http://schemas.microsoft.com/office/drawing/2014/main" id="{069CE89C-D6F0-422A-9B65-ADF631CBAD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353786</xdr:colOff>
      <xdr:row>43</xdr:row>
      <xdr:rowOff>122464</xdr:rowOff>
    </xdr:from>
    <xdr:to>
      <xdr:col>36</xdr:col>
      <xdr:colOff>58511</xdr:colOff>
      <xdr:row>46</xdr:row>
      <xdr:rowOff>0</xdr:rowOff>
    </xdr:to>
    <xdr:graphicFrame macro="">
      <xdr:nvGraphicFramePr>
        <xdr:cNvPr id="22" name="Chart 5">
          <a:extLst>
            <a:ext uri="{FF2B5EF4-FFF2-40B4-BE49-F238E27FC236}">
              <a16:creationId xmlns:a16="http://schemas.microsoft.com/office/drawing/2014/main" id="{FFDEE309-BE3F-48E1-8AA0-E2F3460F1B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285750</xdr:colOff>
      <xdr:row>21</xdr:row>
      <xdr:rowOff>40821</xdr:rowOff>
    </xdr:from>
    <xdr:to>
      <xdr:col>35</xdr:col>
      <xdr:colOff>622391</xdr:colOff>
      <xdr:row>24</xdr:row>
      <xdr:rowOff>40822</xdr:rowOff>
    </xdr:to>
    <xdr:graphicFrame macro="">
      <xdr:nvGraphicFramePr>
        <xdr:cNvPr id="23" name="Chart 5">
          <a:extLst>
            <a:ext uri="{FF2B5EF4-FFF2-40B4-BE49-F238E27FC236}">
              <a16:creationId xmlns:a16="http://schemas.microsoft.com/office/drawing/2014/main" id="{7ADD1A5E-61F4-405B-81DD-26F8025309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335552</xdr:colOff>
      <xdr:row>24</xdr:row>
      <xdr:rowOff>105047</xdr:rowOff>
    </xdr:from>
    <xdr:to>
      <xdr:col>36</xdr:col>
      <xdr:colOff>34562</xdr:colOff>
      <xdr:row>27</xdr:row>
      <xdr:rowOff>105047</xdr:rowOff>
    </xdr:to>
    <xdr:graphicFrame macro="">
      <xdr:nvGraphicFramePr>
        <xdr:cNvPr id="24" name="Chart 5">
          <a:extLst>
            <a:ext uri="{FF2B5EF4-FFF2-40B4-BE49-F238E27FC236}">
              <a16:creationId xmlns:a16="http://schemas.microsoft.com/office/drawing/2014/main" id="{9ED5344D-5907-4A2A-BB68-71796F79B55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47</xdr:col>
      <xdr:colOff>333375</xdr:colOff>
      <xdr:row>1</xdr:row>
      <xdr:rowOff>304800</xdr:rowOff>
    </xdr:from>
    <xdr:to>
      <xdr:col>62</xdr:col>
      <xdr:colOff>190500</xdr:colOff>
      <xdr:row>16</xdr:row>
      <xdr:rowOff>190500</xdr:rowOff>
    </xdr:to>
    <xdr:graphicFrame macro="">
      <xdr:nvGraphicFramePr>
        <xdr:cNvPr id="2" name="Chart 1">
          <a:extLst>
            <a:ext uri="{FF2B5EF4-FFF2-40B4-BE49-F238E27FC236}">
              <a16:creationId xmlns:a16="http://schemas.microsoft.com/office/drawing/2014/main" id="{DFA35EE0-E9E7-4CCD-A912-0D18609C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390525</xdr:colOff>
      <xdr:row>0</xdr:row>
      <xdr:rowOff>47625</xdr:rowOff>
    </xdr:from>
    <xdr:to>
      <xdr:col>41</xdr:col>
      <xdr:colOff>118336</xdr:colOff>
      <xdr:row>19</xdr:row>
      <xdr:rowOff>53228</xdr:rowOff>
    </xdr:to>
    <xdr:graphicFrame macro="">
      <xdr:nvGraphicFramePr>
        <xdr:cNvPr id="6" name="Chart 2">
          <a:extLst>
            <a:ext uri="{FF2B5EF4-FFF2-40B4-BE49-F238E27FC236}">
              <a16:creationId xmlns:a16="http://schemas.microsoft.com/office/drawing/2014/main" id="{1C4B321F-B912-4DA3-9131-4711F8F61767}"/>
            </a:ext>
            <a:ext uri="{147F2762-F138-4A5C-976F-8EAC2B608ADB}">
              <a16:predDERef xmlns:a16="http://schemas.microsoft.com/office/drawing/2014/main" pred="{DFA35EE0-E9E7-4CCD-A912-0D18609C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409575</xdr:colOff>
      <xdr:row>23</xdr:row>
      <xdr:rowOff>0</xdr:rowOff>
    </xdr:from>
    <xdr:to>
      <xdr:col>41</xdr:col>
      <xdr:colOff>137386</xdr:colOff>
      <xdr:row>55</xdr:row>
      <xdr:rowOff>91328</xdr:rowOff>
    </xdr:to>
    <xdr:graphicFrame macro="">
      <xdr:nvGraphicFramePr>
        <xdr:cNvPr id="42" name="Chart 2">
          <a:extLst>
            <a:ext uri="{FF2B5EF4-FFF2-40B4-BE49-F238E27FC236}">
              <a16:creationId xmlns:a16="http://schemas.microsoft.com/office/drawing/2014/main" id="{0491DC35-93BE-45C9-B1B3-4498335A37C1}"/>
            </a:ext>
            <a:ext uri="{147F2762-F138-4A5C-976F-8EAC2B608ADB}">
              <a16:predDERef xmlns:a16="http://schemas.microsoft.com/office/drawing/2014/main" pred="{1C4B321F-B912-4DA3-9131-4711F8F61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nnl.gov/main/publications/external/technical_reports/PNNL-20405.pdf" TargetMode="External"/><Relationship Id="rId13" Type="http://schemas.openxmlformats.org/officeDocument/2006/relationships/drawing" Target="../drawings/drawing1.xml"/><Relationship Id="rId3" Type="http://schemas.openxmlformats.org/officeDocument/2006/relationships/hyperlink" Target="https://github.com/sound-data/DEER-Prototypes-EnergyPlus" TargetMode="External"/><Relationship Id="rId7" Type="http://schemas.openxmlformats.org/officeDocument/2006/relationships/hyperlink" Target="https://title24stakeholders.com/wp-content/uploads/2016/10/T24-2019-CASE-Study-Results-Report-Outdoor-Sources_Final_with-Attachments.pdf" TargetMode="External"/><Relationship Id="rId12"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publications.ibpsa.org/proceedings/simbuild/2020/papers/simbuild2020_C064.pdf" TargetMode="External"/><Relationship Id="rId11" Type="http://schemas.openxmlformats.org/officeDocument/2006/relationships/hyperlink" Target="https://title24stakeholders.com/wp-content/uploads/2016/10/T24-2019-CASE-Study-Results-Report-Outdoor-Sources_Final_with-Attachments.pdf" TargetMode="External"/><Relationship Id="rId5" Type="http://schemas.openxmlformats.org/officeDocument/2006/relationships/hyperlink" Target="https://www.sciencedirect.com/science/article/abs/pii/S0306261920312186" TargetMode="External"/><Relationship Id="rId10" Type="http://schemas.openxmlformats.org/officeDocument/2006/relationships/hyperlink" Target="https://efiling.energy.ca.gov/GetDocument.aspx?tn=265693&amp;DocumentContentId=102545" TargetMode="External"/><Relationship Id="rId4" Type="http://schemas.openxmlformats.org/officeDocument/2006/relationships/hyperlink" Target="https://www.mass.gov/doc/large-office-prototype-basis-of-design-report/download" TargetMode="External"/><Relationship Id="rId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ublications.ibpsa.org/proceedings/simbuild/2020/papers/simbuild2020_C064.pdf" TargetMode="External"/><Relationship Id="rId1" Type="http://schemas.openxmlformats.org/officeDocument/2006/relationships/hyperlink" Target="../../../../../../../../../../../../: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pnnl.gov/main/publications/external/technical_reports/PNNL-20405.pdf" TargetMode="External"/><Relationship Id="rId2" Type="http://schemas.openxmlformats.org/officeDocument/2006/relationships/hyperlink" Target="https://www.govinfo.gov/content/pkg/CFR-2024-title10-vol3/pdf/CFR-2024-title10-vol3-part431-subpartF.pdf" TargetMode="External"/><Relationship Id="rId1" Type="http://schemas.openxmlformats.org/officeDocument/2006/relationships/hyperlink" Target="https://www.govinfo.gov/content/pkg/FR-2009-03-23/pdf/FR-2009-03-23.pdf" TargetMode="External"/><Relationship Id="rId5" Type="http://schemas.openxmlformats.org/officeDocument/2006/relationships/drawing" Target="../drawings/drawing4.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hyperlink" Target="https://buildingandinteriors.com/find-the-magic-number-elevators-per-building/"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L68"/>
  <sheetViews>
    <sheetView zoomScaleNormal="100" workbookViewId="0">
      <selection sqref="A1:F1"/>
    </sheetView>
  </sheetViews>
  <sheetFormatPr defaultColWidth="9.33203125" defaultRowHeight="13.2" x14ac:dyDescent="0.25"/>
  <cols>
    <col min="1" max="1" width="14.6640625" style="6" customWidth="1"/>
    <col min="2" max="2" width="82.44140625" style="6" customWidth="1"/>
    <col min="3" max="3" width="9.33203125" style="6" customWidth="1"/>
    <col min="4" max="5" width="9.33203125" style="6"/>
    <col min="6" max="6" width="10" style="6" customWidth="1"/>
    <col min="7" max="7" width="9.6640625" style="6" customWidth="1"/>
    <col min="8" max="8" width="23" style="6" customWidth="1"/>
    <col min="9" max="9" width="10.6640625" style="6" customWidth="1"/>
    <col min="10" max="10" width="9.6640625" style="6" customWidth="1"/>
    <col min="11" max="12" width="10.44140625" style="6" bestFit="1" customWidth="1"/>
    <col min="13" max="16384" width="9.33203125" style="6"/>
  </cols>
  <sheetData>
    <row r="1" spans="1:11" ht="20.399999999999999" customHeight="1" x14ac:dyDescent="0.25">
      <c r="A1" s="522" t="s">
        <v>0</v>
      </c>
      <c r="B1" s="522"/>
      <c r="C1" s="522"/>
      <c r="D1" s="522"/>
      <c r="E1" s="522"/>
      <c r="F1" s="522"/>
    </row>
    <row r="2" spans="1:11" x14ac:dyDescent="0.25">
      <c r="A2" s="524" t="s">
        <v>1</v>
      </c>
      <c r="B2" s="6" t="s">
        <v>2</v>
      </c>
      <c r="C2" s="523"/>
      <c r="D2" s="523"/>
      <c r="E2" s="523"/>
      <c r="F2" s="523"/>
    </row>
    <row r="3" spans="1:11" x14ac:dyDescent="0.25">
      <c r="A3" s="524"/>
      <c r="B3" s="6" t="s">
        <v>3</v>
      </c>
      <c r="C3" s="523"/>
      <c r="D3" s="523"/>
      <c r="E3" s="523"/>
      <c r="F3" s="523"/>
    </row>
    <row r="4" spans="1:11" x14ac:dyDescent="0.25">
      <c r="A4" s="524"/>
      <c r="B4" s="6" t="s">
        <v>4</v>
      </c>
      <c r="C4" s="523"/>
      <c r="D4" s="523"/>
      <c r="E4" s="523"/>
      <c r="F4" s="523"/>
    </row>
    <row r="5" spans="1:11" x14ac:dyDescent="0.25">
      <c r="A5" s="524"/>
      <c r="B5" s="6" t="s">
        <v>5</v>
      </c>
      <c r="C5" s="523"/>
      <c r="D5" s="523"/>
      <c r="E5" s="523"/>
      <c r="F5" s="523"/>
    </row>
    <row r="6" spans="1:11" ht="14.4" x14ac:dyDescent="0.3">
      <c r="A6" s="525" t="s">
        <v>6</v>
      </c>
      <c r="B6" s="6" t="s">
        <v>7</v>
      </c>
      <c r="C6" s="526" t="s">
        <v>8</v>
      </c>
      <c r="D6" s="527"/>
      <c r="E6" s="527"/>
      <c r="F6" s="527"/>
    </row>
    <row r="7" spans="1:11" ht="14.4" x14ac:dyDescent="0.3">
      <c r="A7" s="525"/>
      <c r="B7" s="6" t="s">
        <v>9</v>
      </c>
      <c r="C7" s="526" t="s">
        <v>10</v>
      </c>
      <c r="D7" s="527"/>
      <c r="E7" s="527"/>
      <c r="F7" s="527"/>
    </row>
    <row r="8" spans="1:11" ht="14.4" x14ac:dyDescent="0.3">
      <c r="A8" s="525"/>
      <c r="B8" s="6" t="s">
        <v>11</v>
      </c>
      <c r="C8" s="526" t="s">
        <v>12</v>
      </c>
      <c r="D8" s="527"/>
      <c r="E8" s="527"/>
      <c r="F8" s="527"/>
    </row>
    <row r="9" spans="1:11" ht="14.4" x14ac:dyDescent="0.3">
      <c r="A9" s="525"/>
      <c r="B9" s="524" t="s">
        <v>13</v>
      </c>
      <c r="C9" s="526" t="s">
        <v>14</v>
      </c>
      <c r="D9" s="526"/>
      <c r="E9" s="526"/>
      <c r="F9" s="526"/>
    </row>
    <row r="10" spans="1:11" ht="14.4" x14ac:dyDescent="0.3">
      <c r="A10" s="525"/>
      <c r="B10" s="524"/>
      <c r="C10" s="526" t="s">
        <v>15</v>
      </c>
      <c r="D10" s="526"/>
      <c r="E10" s="526"/>
      <c r="F10" s="526"/>
      <c r="J10" s="490"/>
      <c r="K10" s="490"/>
    </row>
    <row r="11" spans="1:11" ht="14.4" x14ac:dyDescent="0.3">
      <c r="A11" s="525"/>
      <c r="B11" s="166" t="s">
        <v>16</v>
      </c>
      <c r="C11" s="1" t="s">
        <v>17</v>
      </c>
      <c r="D11" s="490"/>
      <c r="E11" s="490"/>
      <c r="F11" s="490"/>
      <c r="G11" s="6" t="s">
        <v>18</v>
      </c>
      <c r="J11" s="490"/>
      <c r="K11" s="490"/>
    </row>
    <row r="12" spans="1:11" x14ac:dyDescent="0.25">
      <c r="A12" s="525" t="s">
        <v>19</v>
      </c>
      <c r="B12" s="6" t="s">
        <v>20</v>
      </c>
      <c r="C12" s="523"/>
      <c r="D12" s="523"/>
      <c r="E12" s="523"/>
      <c r="F12" s="523"/>
    </row>
    <row r="13" spans="1:11" x14ac:dyDescent="0.25">
      <c r="A13" s="525"/>
      <c r="B13" s="6" t="s">
        <v>21</v>
      </c>
      <c r="C13" s="523"/>
      <c r="D13" s="523"/>
      <c r="E13" s="523"/>
      <c r="F13" s="523"/>
    </row>
    <row r="14" spans="1:11" x14ac:dyDescent="0.25">
      <c r="A14" s="525"/>
      <c r="B14" s="6" t="s">
        <v>22</v>
      </c>
      <c r="C14" s="523"/>
      <c r="D14" s="523"/>
      <c r="E14" s="523"/>
      <c r="F14" s="523"/>
    </row>
    <row r="15" spans="1:11" ht="14.4" customHeight="1" x14ac:dyDescent="0.25">
      <c r="A15" s="525" t="s">
        <v>23</v>
      </c>
      <c r="B15" s="6" t="s">
        <v>24</v>
      </c>
      <c r="C15" s="523"/>
      <c r="D15" s="523"/>
      <c r="E15" s="523"/>
      <c r="F15" s="523"/>
    </row>
    <row r="16" spans="1:11" ht="14.4" x14ac:dyDescent="0.3">
      <c r="A16" s="525"/>
      <c r="B16" s="6" t="s">
        <v>25</v>
      </c>
      <c r="C16" s="490" t="s">
        <v>26</v>
      </c>
      <c r="D16" s="488"/>
      <c r="E16" s="488"/>
      <c r="F16" s="488"/>
      <c r="G16" s="6" t="s">
        <v>18</v>
      </c>
    </row>
    <row r="17" spans="1:12" ht="14.4" x14ac:dyDescent="0.3">
      <c r="A17" s="525"/>
      <c r="B17" s="166" t="s">
        <v>27</v>
      </c>
      <c r="C17" s="490" t="s">
        <v>28</v>
      </c>
      <c r="D17" s="488"/>
      <c r="E17" s="488"/>
      <c r="F17" s="488"/>
      <c r="G17" s="6" t="s">
        <v>18</v>
      </c>
    </row>
    <row r="18" spans="1:12" ht="14.4" x14ac:dyDescent="0.3">
      <c r="A18" s="525"/>
      <c r="B18" s="6" t="s">
        <v>29</v>
      </c>
      <c r="C18" s="490" t="s">
        <v>30</v>
      </c>
      <c r="D18" s="488"/>
      <c r="E18" s="488"/>
      <c r="F18" s="488"/>
      <c r="G18" s="6" t="s">
        <v>18</v>
      </c>
    </row>
    <row r="19" spans="1:12" ht="14.4" x14ac:dyDescent="0.3">
      <c r="A19" s="525"/>
      <c r="B19" s="6" t="s">
        <v>31</v>
      </c>
      <c r="C19" s="490" t="s">
        <v>32</v>
      </c>
      <c r="D19" s="488"/>
      <c r="E19" s="488"/>
      <c r="F19" s="488"/>
      <c r="G19" s="6" t="s">
        <v>18</v>
      </c>
    </row>
    <row r="20" spans="1:12" ht="14.4" x14ac:dyDescent="0.3">
      <c r="A20" s="525"/>
      <c r="B20" s="6" t="s">
        <v>33</v>
      </c>
      <c r="C20" s="490" t="s">
        <v>34</v>
      </c>
      <c r="D20" s="488"/>
      <c r="E20" s="488"/>
      <c r="F20" s="488"/>
      <c r="G20" s="6" t="s">
        <v>18</v>
      </c>
    </row>
    <row r="21" spans="1:12" ht="39.6" x14ac:dyDescent="0.25">
      <c r="A21" s="525"/>
      <c r="B21" s="166" t="s">
        <v>35</v>
      </c>
      <c r="C21" s="71" t="s">
        <v>36</v>
      </c>
      <c r="D21" s="265"/>
      <c r="E21" s="265"/>
      <c r="F21" s="265"/>
      <c r="G21" s="6" t="s">
        <v>18</v>
      </c>
    </row>
    <row r="22" spans="1:12" x14ac:dyDescent="0.25">
      <c r="C22" s="523"/>
      <c r="D22" s="523"/>
      <c r="E22" s="523"/>
      <c r="F22" s="523"/>
      <c r="G22" s="6" t="s">
        <v>18</v>
      </c>
    </row>
    <row r="23" spans="1:12" ht="18.600000000000001" customHeight="1" x14ac:dyDescent="0.25">
      <c r="A23" s="522" t="s">
        <v>37</v>
      </c>
      <c r="B23" s="522"/>
      <c r="C23" s="522"/>
      <c r="D23" s="522"/>
      <c r="E23" s="522"/>
      <c r="F23" s="522"/>
    </row>
    <row r="24" spans="1:12" x14ac:dyDescent="0.25">
      <c r="C24" s="488"/>
      <c r="D24" s="488"/>
      <c r="E24" s="488"/>
      <c r="F24" s="488"/>
    </row>
    <row r="25" spans="1:12" x14ac:dyDescent="0.25">
      <c r="C25" s="488"/>
      <c r="D25" s="488"/>
      <c r="E25" s="488"/>
      <c r="F25" s="488"/>
      <c r="I25" s="536" t="s">
        <v>38</v>
      </c>
      <c r="J25" s="537"/>
      <c r="K25" s="537"/>
      <c r="L25" s="538"/>
    </row>
    <row r="26" spans="1:12" x14ac:dyDescent="0.25">
      <c r="C26" s="488"/>
      <c r="D26" s="488"/>
      <c r="E26" s="488"/>
      <c r="F26" s="488"/>
      <c r="H26" s="138" t="s">
        <v>39</v>
      </c>
      <c r="I26" s="80" t="s">
        <v>40</v>
      </c>
      <c r="J26" s="80" t="s">
        <v>41</v>
      </c>
      <c r="K26" s="80" t="s">
        <v>42</v>
      </c>
      <c r="L26" s="80" t="s">
        <v>43</v>
      </c>
    </row>
    <row r="27" spans="1:12" x14ac:dyDescent="0.25">
      <c r="C27" s="488"/>
      <c r="D27" s="488"/>
      <c r="E27" s="488"/>
      <c r="F27" s="488"/>
      <c r="H27" s="138" t="s">
        <v>44</v>
      </c>
      <c r="I27" s="79">
        <v>248465.9</v>
      </c>
      <c r="J27" s="79">
        <v>93016.2</v>
      </c>
      <c r="K27" s="79">
        <v>62305.700000000012</v>
      </c>
      <c r="L27" s="79">
        <v>27851.1</v>
      </c>
    </row>
    <row r="28" spans="1:12" x14ac:dyDescent="0.25">
      <c r="C28" s="488"/>
      <c r="D28" s="488"/>
      <c r="E28" s="488"/>
      <c r="F28" s="488"/>
    </row>
    <row r="29" spans="1:12" x14ac:dyDescent="0.25">
      <c r="C29" s="488"/>
      <c r="D29" s="488"/>
      <c r="E29" s="488"/>
      <c r="F29" s="488"/>
    </row>
    <row r="30" spans="1:12" x14ac:dyDescent="0.25">
      <c r="C30" s="488"/>
      <c r="D30" s="488"/>
      <c r="E30" s="488"/>
      <c r="F30" s="488"/>
    </row>
    <row r="31" spans="1:12" x14ac:dyDescent="0.25">
      <c r="C31" s="488"/>
      <c r="D31" s="488"/>
      <c r="E31" s="488"/>
      <c r="F31" s="488"/>
    </row>
    <row r="32" spans="1:12" x14ac:dyDescent="0.25">
      <c r="C32" s="488"/>
      <c r="D32" s="488"/>
      <c r="E32" s="488"/>
      <c r="F32" s="488"/>
    </row>
    <row r="33" spans="1:11" x14ac:dyDescent="0.25">
      <c r="C33" s="488"/>
      <c r="D33" s="488"/>
      <c r="E33" s="488"/>
      <c r="F33" s="488"/>
    </row>
    <row r="34" spans="1:11" x14ac:dyDescent="0.25">
      <c r="C34" s="488"/>
      <c r="D34" s="488"/>
      <c r="E34" s="488"/>
      <c r="F34" s="488"/>
    </row>
    <row r="35" spans="1:11" x14ac:dyDescent="0.25">
      <c r="B35" s="6" t="s">
        <v>45</v>
      </c>
      <c r="C35" s="488"/>
      <c r="D35" s="488"/>
      <c r="E35" s="488"/>
      <c r="F35" s="488"/>
    </row>
    <row r="36" spans="1:11" ht="19.2" customHeight="1" x14ac:dyDescent="0.25">
      <c r="A36" s="528" t="s">
        <v>46</v>
      </c>
      <c r="B36" s="529"/>
      <c r="C36" s="529"/>
      <c r="D36" s="529"/>
      <c r="E36" s="529"/>
      <c r="F36" s="530"/>
    </row>
    <row r="37" spans="1:11" ht="28.95" customHeight="1" x14ac:dyDescent="0.25">
      <c r="A37" s="531" t="s">
        <v>47</v>
      </c>
      <c r="B37" s="532"/>
      <c r="C37" s="532"/>
      <c r="D37" s="532"/>
      <c r="E37" s="532"/>
      <c r="F37" s="533"/>
      <c r="H37" s="9"/>
      <c r="I37" s="262"/>
      <c r="J37" s="262"/>
      <c r="K37" s="262"/>
    </row>
    <row r="38" spans="1:11" ht="23.4" customHeight="1" x14ac:dyDescent="0.25">
      <c r="A38" s="534" t="s">
        <v>48</v>
      </c>
      <c r="B38" s="524"/>
      <c r="C38" s="524"/>
      <c r="D38" s="524"/>
      <c r="E38" s="524"/>
      <c r="F38" s="535"/>
      <c r="H38" s="9"/>
      <c r="I38" s="262"/>
      <c r="J38" s="262"/>
      <c r="K38" s="262"/>
    </row>
    <row r="39" spans="1:11" ht="25.2" customHeight="1" x14ac:dyDescent="0.25">
      <c r="A39" s="534" t="s">
        <v>49</v>
      </c>
      <c r="B39" s="524"/>
      <c r="C39" s="524"/>
      <c r="D39" s="524"/>
      <c r="E39" s="524"/>
      <c r="F39" s="535"/>
      <c r="H39" s="9"/>
      <c r="I39" s="262"/>
      <c r="J39" s="262"/>
      <c r="K39" s="262"/>
    </row>
    <row r="40" spans="1:11" ht="52.2" customHeight="1" x14ac:dyDescent="0.25">
      <c r="A40" s="545" t="s">
        <v>50</v>
      </c>
      <c r="B40" s="546"/>
      <c r="C40" s="546"/>
      <c r="D40" s="546"/>
      <c r="E40" s="546"/>
      <c r="F40" s="547"/>
      <c r="H40" s="9"/>
      <c r="I40" s="262"/>
      <c r="J40" s="262"/>
      <c r="K40" s="262"/>
    </row>
    <row r="41" spans="1:11" ht="23.4" customHeight="1" x14ac:dyDescent="0.25">
      <c r="A41" s="542" t="s">
        <v>51</v>
      </c>
      <c r="B41" s="543"/>
      <c r="C41" s="543"/>
      <c r="D41" s="543"/>
      <c r="E41" s="543"/>
      <c r="F41" s="544"/>
      <c r="H41" s="9"/>
      <c r="I41" s="262"/>
      <c r="J41" s="262"/>
      <c r="K41" s="262"/>
    </row>
    <row r="42" spans="1:11" ht="22.2" customHeight="1" x14ac:dyDescent="0.25">
      <c r="A42" s="539" t="s">
        <v>52</v>
      </c>
      <c r="B42" s="540"/>
      <c r="C42" s="540"/>
      <c r="D42" s="540"/>
      <c r="E42" s="540"/>
      <c r="F42" s="541"/>
      <c r="H42" s="9"/>
      <c r="I42" s="262"/>
      <c r="J42" s="262"/>
      <c r="K42" s="262"/>
    </row>
    <row r="43" spans="1:11" ht="14.7" customHeight="1" x14ac:dyDescent="0.25">
      <c r="A43" s="85"/>
      <c r="B43" s="83"/>
      <c r="C43" s="83"/>
      <c r="D43" s="83"/>
      <c r="E43" s="83"/>
      <c r="F43" s="86"/>
      <c r="H43" s="9"/>
      <c r="I43" s="262"/>
      <c r="J43" s="262"/>
      <c r="K43" s="262"/>
    </row>
    <row r="44" spans="1:11" ht="14.7" customHeight="1" x14ac:dyDescent="0.25">
      <c r="A44" s="85"/>
      <c r="B44" s="83"/>
      <c r="C44" s="83"/>
      <c r="D44" s="83"/>
      <c r="E44" s="83"/>
      <c r="F44" s="86"/>
      <c r="H44" s="9"/>
      <c r="I44" s="262"/>
      <c r="J44" s="262"/>
      <c r="K44" s="262"/>
    </row>
    <row r="45" spans="1:11" ht="24" x14ac:dyDescent="0.25">
      <c r="A45" s="87"/>
      <c r="B45" s="218" t="s">
        <v>53</v>
      </c>
      <c r="C45" s="218" t="s">
        <v>54</v>
      </c>
      <c r="D45" s="218" t="s">
        <v>55</v>
      </c>
      <c r="E45" s="218" t="s">
        <v>56</v>
      </c>
      <c r="F45" s="88"/>
      <c r="H45" s="9"/>
      <c r="I45" s="32"/>
      <c r="J45" s="32"/>
      <c r="K45" s="32"/>
    </row>
    <row r="46" spans="1:11" x14ac:dyDescent="0.25">
      <c r="A46" s="87"/>
      <c r="B46" s="92" t="s">
        <v>57</v>
      </c>
      <c r="C46" s="92">
        <v>6</v>
      </c>
      <c r="D46" s="159">
        <v>40000</v>
      </c>
      <c r="E46" s="159">
        <v>250000</v>
      </c>
      <c r="F46" s="88"/>
    </row>
    <row r="47" spans="1:11" x14ac:dyDescent="0.25">
      <c r="A47" s="87"/>
      <c r="B47" s="92" t="s">
        <v>58</v>
      </c>
      <c r="C47" s="92">
        <v>9</v>
      </c>
      <c r="D47" s="159">
        <v>35555</v>
      </c>
      <c r="E47" s="159">
        <v>320000</v>
      </c>
      <c r="F47" s="88"/>
    </row>
    <row r="48" spans="1:11" x14ac:dyDescent="0.25">
      <c r="A48" s="85"/>
      <c r="B48" s="84" t="s">
        <v>59</v>
      </c>
      <c r="C48" s="83"/>
      <c r="D48" s="83"/>
      <c r="E48" s="83"/>
      <c r="F48" s="86"/>
    </row>
    <row r="49" spans="1:6" x14ac:dyDescent="0.25">
      <c r="A49" s="85"/>
      <c r="B49" s="83"/>
      <c r="C49" s="83"/>
      <c r="D49" s="83"/>
      <c r="E49" s="83"/>
      <c r="F49" s="86"/>
    </row>
    <row r="50" spans="1:6" ht="24" x14ac:dyDescent="0.25">
      <c r="A50" s="85"/>
      <c r="B50" s="218" t="s">
        <v>60</v>
      </c>
      <c r="C50" s="218" t="s">
        <v>54</v>
      </c>
      <c r="D50" s="218" t="s">
        <v>61</v>
      </c>
      <c r="E50" s="218" t="s">
        <v>56</v>
      </c>
      <c r="F50" s="86"/>
    </row>
    <row r="51" spans="1:6" x14ac:dyDescent="0.25">
      <c r="A51" s="85"/>
      <c r="B51" s="92" t="s">
        <v>62</v>
      </c>
      <c r="C51" s="92">
        <v>13</v>
      </c>
      <c r="D51" s="92">
        <v>38400</v>
      </c>
      <c r="E51" s="92">
        <v>498000</v>
      </c>
      <c r="F51" s="86"/>
    </row>
    <row r="52" spans="1:6" x14ac:dyDescent="0.25">
      <c r="A52" s="85"/>
      <c r="B52" s="92" t="s">
        <v>63</v>
      </c>
      <c r="C52" s="92">
        <v>13</v>
      </c>
      <c r="D52" s="92">
        <v>38400</v>
      </c>
      <c r="E52" s="92">
        <v>498000</v>
      </c>
      <c r="F52" s="86"/>
    </row>
    <row r="53" spans="1:6" x14ac:dyDescent="0.25">
      <c r="A53" s="85"/>
      <c r="B53" s="92" t="s">
        <v>64</v>
      </c>
      <c r="C53" s="160">
        <v>10</v>
      </c>
      <c r="D53" s="160">
        <v>17500</v>
      </c>
      <c r="E53" s="160">
        <v>175000</v>
      </c>
      <c r="F53" s="86"/>
    </row>
    <row r="54" spans="1:6" x14ac:dyDescent="0.25">
      <c r="A54" s="89"/>
      <c r="B54" s="90"/>
      <c r="C54" s="90"/>
      <c r="D54" s="90"/>
      <c r="E54" s="90"/>
      <c r="F54" s="91"/>
    </row>
    <row r="68" spans="2:2" x14ac:dyDescent="0.25">
      <c r="B68" s="82" t="s">
        <v>59</v>
      </c>
    </row>
  </sheetData>
  <mergeCells count="29">
    <mergeCell ref="I25:L25"/>
    <mergeCell ref="A42:F42"/>
    <mergeCell ref="A41:F41"/>
    <mergeCell ref="A39:F39"/>
    <mergeCell ref="A40:F40"/>
    <mergeCell ref="A12:A14"/>
    <mergeCell ref="A36:F36"/>
    <mergeCell ref="A37:F37"/>
    <mergeCell ref="A38:F38"/>
    <mergeCell ref="A23:F23"/>
    <mergeCell ref="C14:F14"/>
    <mergeCell ref="C12:F12"/>
    <mergeCell ref="C22:F22"/>
    <mergeCell ref="C13:F13"/>
    <mergeCell ref="A15:A21"/>
    <mergeCell ref="C15:F15"/>
    <mergeCell ref="A1:F1"/>
    <mergeCell ref="C2:F2"/>
    <mergeCell ref="C3:F3"/>
    <mergeCell ref="C4:F4"/>
    <mergeCell ref="B9:B10"/>
    <mergeCell ref="A6:A11"/>
    <mergeCell ref="C5:F5"/>
    <mergeCell ref="C6:F6"/>
    <mergeCell ref="C8:F8"/>
    <mergeCell ref="C7:F7"/>
    <mergeCell ref="C9:F9"/>
    <mergeCell ref="C10:F10"/>
    <mergeCell ref="A2:A5"/>
  </mergeCells>
  <hyperlinks>
    <hyperlink ref="C6" r:id="rId1" xr:uid="{BE11EEF8-3AF7-48F0-A38B-7309CE5A9491}"/>
    <hyperlink ref="C7" r:id="rId2" location="Commercial" xr:uid="{626A4776-C2FA-489E-88C0-BC9C7C8EA36F}"/>
    <hyperlink ref="C8" r:id="rId3" xr:uid="{0DEB00BB-3A26-4527-9ED4-40D17F93A579}"/>
    <hyperlink ref="C11" r:id="rId4" xr:uid="{D14B6EC5-BCC7-426A-80E2-ABDCDB2AD5D2}"/>
    <hyperlink ref="C9" r:id="rId5" xr:uid="{AE8EA408-D823-4137-A50D-85E211D1C33C}"/>
    <hyperlink ref="C10" r:id="rId6" xr:uid="{C4B1DFF1-F8B2-480D-9A3C-3D28656FF0E4}"/>
    <hyperlink ref="C18" r:id="rId7" xr:uid="{D11E5EA6-B8EC-4C52-AF72-2ACC992F0B5F}"/>
    <hyperlink ref="C19" r:id="rId8" xr:uid="{7EF3A75A-F2A2-48EA-B4F3-37539DD12601}"/>
    <hyperlink ref="C20" r:id="rId9" xr:uid="{0D1D6F5B-69A6-4D10-9E60-03D39B2BA78B}"/>
    <hyperlink ref="C21" r:id="rId10" xr:uid="{3D1AC788-C575-461B-8B26-F2FBC3DF6AE4}"/>
    <hyperlink ref="C17" r:id="rId11" display="https://title24stakeholders.com/wp-content/uploads/2016/10/T24-2019-CASE-Study-Results-Report-Outdoor-Sources_Final_with-Attachments.pdf" xr:uid="{C956E120-405C-4658-80C6-3430A78199E1}"/>
    <hyperlink ref="C16" r:id="rId12" display="Infiltration_rate_report_14May2025-Short-Version.docx" xr:uid="{EC80E361-0A80-40F6-92F1-6CE609883F0A}"/>
  </hyperlink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9"/>
  <sheetViews>
    <sheetView tabSelected="1" zoomScaleNormal="100" workbookViewId="0">
      <selection sqref="A1:C1"/>
    </sheetView>
  </sheetViews>
  <sheetFormatPr defaultColWidth="9.33203125" defaultRowHeight="13.8" x14ac:dyDescent="0.25"/>
  <cols>
    <col min="1" max="1" width="25" style="4" customWidth="1"/>
    <col min="2" max="2" width="51.33203125" style="4" customWidth="1"/>
    <col min="3" max="3" width="51.44140625" style="4" customWidth="1"/>
    <col min="4" max="9" width="8.6640625" style="4" customWidth="1"/>
    <col min="10" max="16384" width="9.33203125" style="4"/>
  </cols>
  <sheetData>
    <row r="1" spans="1:9" ht="17.399999999999999" x14ac:dyDescent="0.25">
      <c r="A1" s="548" t="s">
        <v>65</v>
      </c>
      <c r="B1" s="548"/>
      <c r="C1" s="548"/>
      <c r="D1" s="11"/>
      <c r="E1" s="11"/>
      <c r="F1" s="11"/>
    </row>
    <row r="2" spans="1:9" ht="25.2" customHeight="1" x14ac:dyDescent="0.25">
      <c r="A2" s="549" t="s">
        <v>66</v>
      </c>
      <c r="B2" s="550"/>
      <c r="C2" s="550"/>
      <c r="D2" s="11"/>
      <c r="E2" s="11"/>
      <c r="F2" s="11"/>
    </row>
    <row r="3" spans="1:9" ht="20.399999999999999" customHeight="1" x14ac:dyDescent="0.25">
      <c r="A3" s="18" t="s">
        <v>67</v>
      </c>
      <c r="B3" s="509" t="s">
        <v>68</v>
      </c>
      <c r="C3" s="19" t="s">
        <v>0</v>
      </c>
    </row>
    <row r="4" spans="1:9" ht="16.2" customHeight="1" x14ac:dyDescent="0.25">
      <c r="A4" s="16" t="s">
        <v>69</v>
      </c>
      <c r="B4" s="263" t="s">
        <v>70</v>
      </c>
      <c r="C4" s="16"/>
    </row>
    <row r="5" spans="1:9" ht="16.2" customHeight="1" x14ac:dyDescent="0.25">
      <c r="A5" s="16" t="s">
        <v>71</v>
      </c>
      <c r="B5" s="263" t="s">
        <v>72</v>
      </c>
      <c r="C5" s="16"/>
    </row>
    <row r="6" spans="1:9" ht="28.95" customHeight="1" x14ac:dyDescent="0.25">
      <c r="A6" s="16" t="s">
        <v>73</v>
      </c>
      <c r="B6" s="264" t="s">
        <v>74</v>
      </c>
      <c r="C6" s="17" t="s">
        <v>75</v>
      </c>
      <c r="D6" s="71" t="s">
        <v>76</v>
      </c>
    </row>
    <row r="7" spans="1:9" ht="118.2" customHeight="1" x14ac:dyDescent="0.25">
      <c r="A7" s="16" t="s">
        <v>77</v>
      </c>
      <c r="B7" s="263"/>
      <c r="C7" s="17" t="s">
        <v>78</v>
      </c>
      <c r="D7" s="71" t="s">
        <v>15</v>
      </c>
      <c r="E7" s="71"/>
      <c r="F7" s="71"/>
      <c r="G7" s="71"/>
      <c r="I7" s="5"/>
    </row>
    <row r="8" spans="1:9" ht="16.2" customHeight="1" x14ac:dyDescent="0.25">
      <c r="A8" s="12" t="s">
        <v>79</v>
      </c>
      <c r="B8" s="13" t="s">
        <v>80</v>
      </c>
      <c r="C8" s="17" t="s">
        <v>81</v>
      </c>
    </row>
    <row r="9" spans="1:9" ht="27.6" customHeight="1" x14ac:dyDescent="0.25">
      <c r="A9" s="12" t="s">
        <v>82</v>
      </c>
      <c r="B9" s="70">
        <v>1.5</v>
      </c>
      <c r="C9" s="31" t="s">
        <v>81</v>
      </c>
    </row>
    <row r="10" spans="1:9" ht="27.6" customHeight="1" x14ac:dyDescent="0.25">
      <c r="A10" s="14" t="s">
        <v>83</v>
      </c>
      <c r="B10" s="263" t="s">
        <v>84</v>
      </c>
      <c r="C10" s="31" t="s">
        <v>85</v>
      </c>
    </row>
    <row r="11" spans="1:9" ht="26.4" x14ac:dyDescent="0.25">
      <c r="A11" s="14" t="s">
        <v>86</v>
      </c>
      <c r="B11" s="263" t="s">
        <v>87</v>
      </c>
      <c r="C11" s="504" t="s">
        <v>88</v>
      </c>
    </row>
    <row r="12" spans="1:9" x14ac:dyDescent="0.25">
      <c r="A12" s="14" t="s">
        <v>89</v>
      </c>
      <c r="B12" s="264" t="s">
        <v>90</v>
      </c>
      <c r="C12" s="17"/>
    </row>
    <row r="13" spans="1:9" x14ac:dyDescent="0.25">
      <c r="A13" s="12" t="s">
        <v>91</v>
      </c>
      <c r="B13" s="263" t="s">
        <v>92</v>
      </c>
      <c r="C13" s="16"/>
    </row>
    <row r="14" spans="1:9" ht="14.7" customHeight="1" x14ac:dyDescent="0.25">
      <c r="A14" s="12" t="s">
        <v>93</v>
      </c>
      <c r="B14" s="15" t="s">
        <v>94</v>
      </c>
      <c r="C14" s="16"/>
    </row>
    <row r="15" spans="1:9" ht="14.7" customHeight="1" x14ac:dyDescent="0.25">
      <c r="A15" s="12" t="s">
        <v>95</v>
      </c>
      <c r="B15" s="263">
        <v>13</v>
      </c>
      <c r="C15" s="17" t="s">
        <v>81</v>
      </c>
    </row>
    <row r="16" spans="1:9" ht="16.2" customHeight="1" x14ac:dyDescent="0.25">
      <c r="A16" s="12" t="s">
        <v>96</v>
      </c>
      <c r="B16" s="263">
        <v>9</v>
      </c>
      <c r="C16" s="17" t="s">
        <v>81</v>
      </c>
    </row>
    <row r="17" spans="1:3" x14ac:dyDescent="0.25">
      <c r="A17" s="12" t="s">
        <v>97</v>
      </c>
      <c r="B17" s="264">
        <v>3</v>
      </c>
      <c r="C17" s="17" t="s">
        <v>81</v>
      </c>
    </row>
    <row r="20" spans="1:3" ht="14.7" customHeight="1" x14ac:dyDescent="0.25"/>
    <row r="21" spans="1:3" ht="14.7" customHeight="1" x14ac:dyDescent="0.25"/>
    <row r="23" spans="1:3" ht="14.7" customHeight="1" x14ac:dyDescent="0.25"/>
    <row r="24" spans="1:3" ht="14.7" customHeight="1" x14ac:dyDescent="0.25"/>
    <row r="25" spans="1:3" ht="14.7" customHeight="1" x14ac:dyDescent="0.25"/>
    <row r="28" spans="1:3" ht="14.7" customHeight="1" x14ac:dyDescent="0.25"/>
    <row r="29" spans="1:3" ht="14.7" customHeight="1" x14ac:dyDescent="0.25"/>
  </sheetData>
  <mergeCells count="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 ref="D7" r:id="rId2" xr:uid="{06B05188-3F91-4535-8507-49EDAB8FE9B3}"/>
  </hyperlink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X62"/>
  <sheetViews>
    <sheetView topLeftCell="C1" zoomScaleNormal="100" workbookViewId="0">
      <selection sqref="A1:X1"/>
    </sheetView>
  </sheetViews>
  <sheetFormatPr defaultColWidth="9.33203125" defaultRowHeight="13.8" x14ac:dyDescent="0.3"/>
  <cols>
    <col min="1" max="1" width="15.44140625" style="168" customWidth="1"/>
    <col min="2" max="2" width="13.5546875" style="169" customWidth="1"/>
    <col min="3" max="3" width="18.5546875" style="168" customWidth="1"/>
    <col min="4" max="4" width="42.5546875" style="168" customWidth="1"/>
    <col min="5" max="5" width="13.33203125" style="168" customWidth="1"/>
    <col min="6" max="6" width="10.6640625" style="168" customWidth="1"/>
    <col min="7" max="7" width="23" style="170" customWidth="1"/>
    <col min="8" max="8" width="40.6640625" style="168" customWidth="1"/>
    <col min="9" max="9" width="6.88671875" style="168" customWidth="1"/>
    <col min="10" max="12" width="7" style="168" customWidth="1"/>
    <col min="13" max="13" width="7.88671875" style="168" customWidth="1"/>
    <col min="14" max="14" width="8.6640625" style="168" customWidth="1"/>
    <col min="15" max="15" width="7" style="168" customWidth="1"/>
    <col min="16" max="16" width="7.109375" style="168" customWidth="1"/>
    <col min="17" max="17" width="7.5546875" style="168" customWidth="1"/>
    <col min="18" max="21" width="7" style="168" customWidth="1"/>
    <col min="22" max="22" width="7.6640625" style="168" customWidth="1"/>
    <col min="23" max="24" width="7" style="168" customWidth="1"/>
    <col min="25" max="26" width="9.33203125" style="168"/>
    <col min="27" max="30" width="7.6640625" style="168" customWidth="1"/>
    <col min="31" max="31" width="9.6640625" style="168" customWidth="1"/>
    <col min="32" max="32" width="7.5546875" style="168" customWidth="1"/>
    <col min="33" max="33" width="11.44140625" style="168" customWidth="1"/>
    <col min="34" max="42" width="7.6640625" style="168" customWidth="1"/>
    <col min="43" max="46" width="10.44140625" style="168" customWidth="1"/>
    <col min="47" max="47" width="9.88671875" style="168" customWidth="1"/>
    <col min="48" max="48" width="10.44140625" style="168" customWidth="1"/>
    <col min="49" max="49" width="21.6640625" style="168" customWidth="1"/>
    <col min="50" max="50" width="10.44140625" style="168" customWidth="1"/>
    <col min="51" max="53" width="7.44140625" style="168" customWidth="1"/>
    <col min="54" max="54" width="7.6640625" style="168" customWidth="1"/>
    <col min="55" max="55" width="7.44140625" style="168" customWidth="1"/>
    <col min="56" max="56" width="13.6640625" style="168" customWidth="1"/>
    <col min="57" max="60" width="7.44140625" style="168" customWidth="1"/>
    <col min="61" max="62" width="9.6640625" style="168" bestFit="1" customWidth="1"/>
    <col min="63" max="16384" width="9.33203125" style="168"/>
  </cols>
  <sheetData>
    <row r="1" spans="1:25" ht="31.95" customHeight="1" x14ac:dyDescent="0.3">
      <c r="A1" s="559" t="str">
        <f>"Envelope - "&amp;Prototype!A2</f>
        <v>Envelope - OfficeLarge</v>
      </c>
      <c r="B1" s="559"/>
      <c r="C1" s="559"/>
      <c r="D1" s="559"/>
      <c r="E1" s="559"/>
      <c r="F1" s="559"/>
      <c r="G1" s="559"/>
      <c r="H1" s="559"/>
      <c r="I1" s="559"/>
      <c r="J1" s="559"/>
      <c r="K1" s="559"/>
      <c r="L1" s="559"/>
      <c r="M1" s="559"/>
      <c r="N1" s="559"/>
      <c r="O1" s="559"/>
      <c r="P1" s="559"/>
      <c r="Q1" s="559"/>
      <c r="R1" s="559"/>
      <c r="S1" s="559"/>
      <c r="T1" s="559"/>
      <c r="U1" s="559"/>
      <c r="V1" s="559"/>
      <c r="W1" s="559"/>
      <c r="X1" s="559"/>
    </row>
    <row r="2" spans="1:25" ht="30" customHeight="1" x14ac:dyDescent="0.3">
      <c r="A2" s="39" t="s">
        <v>98</v>
      </c>
      <c r="B2" s="39" t="s">
        <v>6</v>
      </c>
      <c r="C2" s="39" t="s">
        <v>99</v>
      </c>
      <c r="D2" s="39" t="s">
        <v>100</v>
      </c>
      <c r="E2" s="78" t="s">
        <v>101</v>
      </c>
      <c r="F2" s="39" t="s">
        <v>102</v>
      </c>
      <c r="G2" s="78" t="s">
        <v>103</v>
      </c>
      <c r="H2" s="39" t="s">
        <v>104</v>
      </c>
      <c r="I2" s="39" t="s">
        <v>105</v>
      </c>
      <c r="J2" s="39" t="s">
        <v>106</v>
      </c>
      <c r="K2" s="39" t="s">
        <v>107</v>
      </c>
      <c r="L2" s="39" t="s">
        <v>108</v>
      </c>
      <c r="M2" s="39" t="s">
        <v>109</v>
      </c>
      <c r="N2" s="39" t="s">
        <v>110</v>
      </c>
      <c r="O2" s="39" t="s">
        <v>111</v>
      </c>
      <c r="P2" s="39" t="s">
        <v>112</v>
      </c>
      <c r="Q2" s="39" t="s">
        <v>113</v>
      </c>
      <c r="R2" s="39" t="s">
        <v>114</v>
      </c>
      <c r="S2" s="39" t="s">
        <v>115</v>
      </c>
      <c r="T2" s="39" t="s">
        <v>116</v>
      </c>
      <c r="U2" s="39" t="s">
        <v>117</v>
      </c>
      <c r="V2" s="39" t="s">
        <v>118</v>
      </c>
      <c r="W2" s="39" t="s">
        <v>119</v>
      </c>
      <c r="X2" s="39" t="s">
        <v>120</v>
      </c>
    </row>
    <row r="3" spans="1:25" x14ac:dyDescent="0.3">
      <c r="A3" s="551" t="s">
        <v>121</v>
      </c>
      <c r="B3" s="551" t="s">
        <v>66</v>
      </c>
      <c r="C3" s="561" t="s">
        <v>122</v>
      </c>
      <c r="D3" s="561" t="s">
        <v>123</v>
      </c>
      <c r="E3" s="551" t="s">
        <v>124</v>
      </c>
      <c r="F3" s="493" t="s">
        <v>125</v>
      </c>
      <c r="G3" s="493" t="s">
        <v>126</v>
      </c>
      <c r="H3" s="164" t="s">
        <v>127</v>
      </c>
      <c r="I3" s="164">
        <v>0.35199999999999998</v>
      </c>
      <c r="J3" s="164">
        <v>0.35199999999999998</v>
      </c>
      <c r="K3" s="164">
        <v>0.35199999999999998</v>
      </c>
      <c r="L3" s="164">
        <v>0.35199999999999998</v>
      </c>
      <c r="M3" s="164">
        <v>0.35199999999999998</v>
      </c>
      <c r="N3" s="164">
        <v>0.35199999999999998</v>
      </c>
      <c r="O3" s="164">
        <v>0.35199999999999998</v>
      </c>
      <c r="P3" s="164">
        <v>0.35199999999999998</v>
      </c>
      <c r="Q3" s="164">
        <v>0.35199999999999998</v>
      </c>
      <c r="R3" s="164">
        <v>0.35199999999999998</v>
      </c>
      <c r="S3" s="164">
        <v>0.35199999999999998</v>
      </c>
      <c r="T3" s="164">
        <v>0.35199999999999998</v>
      </c>
      <c r="U3" s="164">
        <v>0.35199999999999998</v>
      </c>
      <c r="V3" s="164">
        <v>0.35199999999999998</v>
      </c>
      <c r="W3" s="164">
        <v>0.35199999999999998</v>
      </c>
      <c r="X3" s="164">
        <v>0.35199999999999998</v>
      </c>
    </row>
    <row r="4" spans="1:25" ht="26.4" x14ac:dyDescent="0.3">
      <c r="A4" s="551"/>
      <c r="B4" s="551"/>
      <c r="C4" s="561"/>
      <c r="D4" s="561"/>
      <c r="E4" s="551"/>
      <c r="F4" s="236" t="s">
        <v>40</v>
      </c>
      <c r="G4" s="236">
        <v>1986</v>
      </c>
      <c r="H4" s="237" t="s">
        <v>128</v>
      </c>
      <c r="I4" s="213">
        <f>1/4.7</f>
        <v>0.21276595744680851</v>
      </c>
      <c r="J4" s="213">
        <f>1/4.4</f>
        <v>0.22727272727272727</v>
      </c>
      <c r="K4" s="213">
        <f>1/4.4</f>
        <v>0.22727272727272727</v>
      </c>
      <c r="L4" s="213">
        <f>1/4.6</f>
        <v>0.21739130434782611</v>
      </c>
      <c r="M4" s="213">
        <f>1/4.6</f>
        <v>0.21739130434782611</v>
      </c>
      <c r="N4" s="213">
        <f t="shared" ref="N4:R4" si="0">1/3.9</f>
        <v>0.25641025641025644</v>
      </c>
      <c r="O4" s="213">
        <f t="shared" si="0"/>
        <v>0.25641025641025644</v>
      </c>
      <c r="P4" s="213">
        <f t="shared" si="0"/>
        <v>0.25641025641025644</v>
      </c>
      <c r="Q4" s="213">
        <f t="shared" si="0"/>
        <v>0.25641025641025644</v>
      </c>
      <c r="R4" s="213">
        <f t="shared" si="0"/>
        <v>0.25641025641025644</v>
      </c>
      <c r="S4" s="213">
        <f>1/4.2</f>
        <v>0.23809523809523808</v>
      </c>
      <c r="T4" s="213">
        <f t="shared" ref="T4:U4" si="1">1/4.2</f>
        <v>0.23809523809523808</v>
      </c>
      <c r="U4" s="213">
        <f t="shared" si="1"/>
        <v>0.23809523809523808</v>
      </c>
      <c r="V4" s="213">
        <f>1/4.8</f>
        <v>0.20833333333333334</v>
      </c>
      <c r="W4" s="213">
        <f>1/4.8</f>
        <v>0.20833333333333334</v>
      </c>
      <c r="X4" s="213">
        <f>1/4.7</f>
        <v>0.21276595744680851</v>
      </c>
      <c r="Y4" s="171"/>
    </row>
    <row r="5" spans="1:25" x14ac:dyDescent="0.3">
      <c r="A5" s="551"/>
      <c r="B5" s="551"/>
      <c r="C5" s="561"/>
      <c r="D5" s="561"/>
      <c r="E5" s="551"/>
      <c r="F5" s="214" t="s">
        <v>41</v>
      </c>
      <c r="G5" s="214">
        <v>2001</v>
      </c>
      <c r="H5" s="214"/>
      <c r="I5" s="214">
        <v>0.182</v>
      </c>
      <c r="J5" s="214">
        <v>0.182</v>
      </c>
      <c r="K5" s="214">
        <v>0.189</v>
      </c>
      <c r="L5" s="214">
        <v>0.189</v>
      </c>
      <c r="M5" s="214">
        <v>0.189</v>
      </c>
      <c r="N5" s="214">
        <v>0.189</v>
      </c>
      <c r="O5" s="214">
        <v>0.189</v>
      </c>
      <c r="P5" s="214">
        <v>0.189</v>
      </c>
      <c r="Q5" s="214">
        <v>0.189</v>
      </c>
      <c r="R5" s="214">
        <v>0.182</v>
      </c>
      <c r="S5" s="214">
        <v>0.182</v>
      </c>
      <c r="T5" s="214">
        <v>0.182</v>
      </c>
      <c r="U5" s="214">
        <v>0.182</v>
      </c>
      <c r="V5" s="214">
        <v>0.182</v>
      </c>
      <c r="W5" s="214">
        <v>0.182</v>
      </c>
      <c r="X5" s="214">
        <v>0.182</v>
      </c>
      <c r="Y5" s="171"/>
    </row>
    <row r="6" spans="1:25" x14ac:dyDescent="0.3">
      <c r="A6" s="551"/>
      <c r="B6" s="551"/>
      <c r="C6" s="561"/>
      <c r="D6" s="561"/>
      <c r="E6" s="551"/>
      <c r="F6" s="215" t="s">
        <v>42</v>
      </c>
      <c r="G6" s="215">
        <v>2013</v>
      </c>
      <c r="H6" s="215"/>
      <c r="I6" s="215">
        <v>9.8000000000000004E-2</v>
      </c>
      <c r="J6" s="215">
        <v>6.2E-2</v>
      </c>
      <c r="K6" s="215">
        <v>8.2000000000000003E-2</v>
      </c>
      <c r="L6" s="215">
        <v>6.2E-2</v>
      </c>
      <c r="M6" s="215">
        <v>6.2E-2</v>
      </c>
      <c r="N6" s="215">
        <v>9.8000000000000004E-2</v>
      </c>
      <c r="O6" s="215">
        <v>9.8000000000000004E-2</v>
      </c>
      <c r="P6" s="215">
        <v>6.2E-2</v>
      </c>
      <c r="Q6" s="215">
        <v>6.2E-2</v>
      </c>
      <c r="R6" s="215">
        <v>6.2E-2</v>
      </c>
      <c r="S6" s="215">
        <v>6.2E-2</v>
      </c>
      <c r="T6" s="215">
        <v>6.2E-2</v>
      </c>
      <c r="U6" s="215">
        <v>6.2E-2</v>
      </c>
      <c r="V6" s="215">
        <v>6.2E-2</v>
      </c>
      <c r="W6" s="215">
        <v>6.2E-2</v>
      </c>
      <c r="X6" s="215">
        <v>6.2E-2</v>
      </c>
      <c r="Y6" s="171"/>
    </row>
    <row r="7" spans="1:25" x14ac:dyDescent="0.3">
      <c r="A7" s="551"/>
      <c r="B7" s="551"/>
      <c r="C7" s="561"/>
      <c r="D7" s="561"/>
      <c r="E7" s="551"/>
      <c r="F7" s="216" t="s">
        <v>129</v>
      </c>
      <c r="G7" s="240">
        <v>2025</v>
      </c>
      <c r="H7" s="240"/>
      <c r="I7" s="216">
        <v>0.06</v>
      </c>
      <c r="J7" s="216">
        <v>5.5E-2</v>
      </c>
      <c r="K7" s="216">
        <v>7.0999999999999994E-2</v>
      </c>
      <c r="L7" s="216">
        <v>5.5E-2</v>
      </c>
      <c r="M7" s="216">
        <v>5.5E-2</v>
      </c>
      <c r="N7" s="216">
        <v>0.06</v>
      </c>
      <c r="O7" s="216">
        <v>0.06</v>
      </c>
      <c r="P7" s="216">
        <v>5.5E-2</v>
      </c>
      <c r="Q7" s="216">
        <v>5.5E-2</v>
      </c>
      <c r="R7" s="216">
        <v>5.5E-2</v>
      </c>
      <c r="S7" s="216">
        <v>5.5E-2</v>
      </c>
      <c r="T7" s="216">
        <v>5.5E-2</v>
      </c>
      <c r="U7" s="216">
        <v>5.5E-2</v>
      </c>
      <c r="V7" s="216">
        <v>5.5E-2</v>
      </c>
      <c r="W7" s="216">
        <v>5.5E-2</v>
      </c>
      <c r="X7" s="216">
        <v>5.5E-2</v>
      </c>
      <c r="Y7" s="171"/>
    </row>
    <row r="8" spans="1:25" x14ac:dyDescent="0.3">
      <c r="A8" s="551" t="s">
        <v>130</v>
      </c>
      <c r="B8" s="551" t="s">
        <v>66</v>
      </c>
      <c r="C8" s="553" t="s">
        <v>131</v>
      </c>
      <c r="D8" s="561" t="s">
        <v>132</v>
      </c>
      <c r="E8" s="551" t="s">
        <v>124</v>
      </c>
      <c r="F8" s="493" t="s">
        <v>125</v>
      </c>
      <c r="G8" s="493" t="s">
        <v>126</v>
      </c>
      <c r="H8" s="553" t="s">
        <v>133</v>
      </c>
      <c r="I8" s="457">
        <f>I9</f>
        <v>5.7000000000000002E-2</v>
      </c>
      <c r="J8" s="493">
        <f t="shared" ref="J8:X8" si="2">J9</f>
        <v>5.7000000000000002E-2</v>
      </c>
      <c r="K8" s="493">
        <f t="shared" si="2"/>
        <v>5.7000000000000002E-2</v>
      </c>
      <c r="L8" s="493">
        <f t="shared" si="2"/>
        <v>5.7000000000000002E-2</v>
      </c>
      <c r="M8" s="493">
        <f t="shared" si="2"/>
        <v>5.7000000000000002E-2</v>
      </c>
      <c r="N8" s="493">
        <f t="shared" si="2"/>
        <v>7.8E-2</v>
      </c>
      <c r="O8" s="493">
        <f t="shared" si="2"/>
        <v>7.8E-2</v>
      </c>
      <c r="P8" s="493">
        <f t="shared" si="2"/>
        <v>7.8E-2</v>
      </c>
      <c r="Q8" s="493">
        <f t="shared" si="2"/>
        <v>7.8E-2</v>
      </c>
      <c r="R8" s="493">
        <f t="shared" si="2"/>
        <v>7.8E-2</v>
      </c>
      <c r="S8" s="493">
        <f t="shared" si="2"/>
        <v>5.7000000000000002E-2</v>
      </c>
      <c r="T8" s="493">
        <f t="shared" si="2"/>
        <v>5.7000000000000002E-2</v>
      </c>
      <c r="U8" s="493">
        <f t="shared" si="2"/>
        <v>5.7000000000000002E-2</v>
      </c>
      <c r="V8" s="493">
        <f t="shared" si="2"/>
        <v>5.7000000000000002E-2</v>
      </c>
      <c r="W8" s="493">
        <f t="shared" si="2"/>
        <v>5.7000000000000002E-2</v>
      </c>
      <c r="X8" s="493">
        <f t="shared" si="2"/>
        <v>5.7000000000000002E-2</v>
      </c>
      <c r="Y8" s="171"/>
    </row>
    <row r="9" spans="1:25" x14ac:dyDescent="0.3">
      <c r="A9" s="551"/>
      <c r="B9" s="551"/>
      <c r="C9" s="554"/>
      <c r="D9" s="561"/>
      <c r="E9" s="551"/>
      <c r="F9" s="493" t="s">
        <v>40</v>
      </c>
      <c r="G9" s="493">
        <v>1992</v>
      </c>
      <c r="H9" s="555"/>
      <c r="I9" s="241">
        <v>5.7000000000000002E-2</v>
      </c>
      <c r="J9" s="241">
        <v>5.7000000000000002E-2</v>
      </c>
      <c r="K9" s="241">
        <v>5.7000000000000002E-2</v>
      </c>
      <c r="L9" s="241">
        <v>5.7000000000000002E-2</v>
      </c>
      <c r="M9" s="241">
        <v>5.7000000000000002E-2</v>
      </c>
      <c r="N9" s="241">
        <v>7.8E-2</v>
      </c>
      <c r="O9" s="241">
        <v>7.8E-2</v>
      </c>
      <c r="P9" s="241">
        <v>7.8E-2</v>
      </c>
      <c r="Q9" s="241">
        <v>7.8E-2</v>
      </c>
      <c r="R9" s="241">
        <v>7.8E-2</v>
      </c>
      <c r="S9" s="241">
        <v>5.7000000000000002E-2</v>
      </c>
      <c r="T9" s="241">
        <v>5.7000000000000002E-2</v>
      </c>
      <c r="U9" s="241">
        <v>5.7000000000000002E-2</v>
      </c>
      <c r="V9" s="241">
        <v>5.7000000000000002E-2</v>
      </c>
      <c r="W9" s="241">
        <v>5.7000000000000002E-2</v>
      </c>
      <c r="X9" s="241">
        <v>5.7000000000000002E-2</v>
      </c>
      <c r="Y9" s="171"/>
    </row>
    <row r="10" spans="1:25" x14ac:dyDescent="0.3">
      <c r="A10" s="551"/>
      <c r="B10" s="551"/>
      <c r="C10" s="554"/>
      <c r="D10" s="561"/>
      <c r="E10" s="551"/>
      <c r="F10" s="214" t="s">
        <v>41</v>
      </c>
      <c r="G10" s="214">
        <v>2001</v>
      </c>
      <c r="H10" s="214"/>
      <c r="I10" s="214">
        <v>5.7000000000000002E-2</v>
      </c>
      <c r="J10" s="214">
        <v>5.7000000000000002E-2</v>
      </c>
      <c r="K10" s="214">
        <v>5.7000000000000002E-2</v>
      </c>
      <c r="L10" s="214">
        <v>5.7000000000000002E-2</v>
      </c>
      <c r="M10" s="214">
        <v>5.7000000000000002E-2</v>
      </c>
      <c r="N10" s="214">
        <v>7.8E-2</v>
      </c>
      <c r="O10" s="214">
        <v>7.8E-2</v>
      </c>
      <c r="P10" s="214">
        <v>7.8E-2</v>
      </c>
      <c r="Q10" s="214">
        <v>7.8E-2</v>
      </c>
      <c r="R10" s="214">
        <v>5.7000000000000002E-2</v>
      </c>
      <c r="S10" s="214">
        <v>5.7000000000000002E-2</v>
      </c>
      <c r="T10" s="214">
        <v>5.7000000000000002E-2</v>
      </c>
      <c r="U10" s="214">
        <v>5.7000000000000002E-2</v>
      </c>
      <c r="V10" s="214">
        <v>5.7000000000000002E-2</v>
      </c>
      <c r="W10" s="214">
        <v>5.7000000000000002E-2</v>
      </c>
      <c r="X10" s="214">
        <v>5.7000000000000002E-2</v>
      </c>
      <c r="Y10" s="171"/>
    </row>
    <row r="11" spans="1:25" x14ac:dyDescent="0.3">
      <c r="A11" s="551"/>
      <c r="B11" s="551"/>
      <c r="C11" s="554"/>
      <c r="D11" s="561"/>
      <c r="E11" s="551"/>
      <c r="F11" s="215" t="s">
        <v>42</v>
      </c>
      <c r="G11" s="215">
        <v>2013</v>
      </c>
      <c r="H11" s="215"/>
      <c r="I11" s="215">
        <v>4.9000000000000002E-2</v>
      </c>
      <c r="J11" s="215">
        <v>3.9E-2</v>
      </c>
      <c r="K11" s="215">
        <v>3.9E-2</v>
      </c>
      <c r="L11" s="215">
        <v>3.9E-2</v>
      </c>
      <c r="M11" s="215">
        <v>4.9000000000000002E-2</v>
      </c>
      <c r="N11" s="215">
        <v>7.4999999999999997E-2</v>
      </c>
      <c r="O11" s="215">
        <v>6.7000000000000004E-2</v>
      </c>
      <c r="P11" s="215">
        <v>6.7000000000000004E-2</v>
      </c>
      <c r="Q11" s="215">
        <v>3.9E-2</v>
      </c>
      <c r="R11" s="215">
        <v>3.9E-2</v>
      </c>
      <c r="S11" s="215">
        <v>3.9E-2</v>
      </c>
      <c r="T11" s="215">
        <v>3.9E-2</v>
      </c>
      <c r="U11" s="215">
        <v>3.9E-2</v>
      </c>
      <c r="V11" s="215">
        <v>3.9E-2</v>
      </c>
      <c r="W11" s="215">
        <v>3.9E-2</v>
      </c>
      <c r="X11" s="215">
        <v>3.9E-2</v>
      </c>
      <c r="Y11" s="171"/>
    </row>
    <row r="12" spans="1:25" x14ac:dyDescent="0.3">
      <c r="A12" s="551"/>
      <c r="B12" s="551"/>
      <c r="C12" s="555"/>
      <c r="D12" s="561"/>
      <c r="E12" s="551"/>
      <c r="F12" s="216" t="s">
        <v>129</v>
      </c>
      <c r="G12" s="240">
        <v>2025</v>
      </c>
      <c r="H12" s="240"/>
      <c r="I12" s="216">
        <v>2.8000000000000001E-2</v>
      </c>
      <c r="J12" s="216">
        <v>2.8000000000000001E-2</v>
      </c>
      <c r="K12" s="216">
        <v>2.8000000000000001E-2</v>
      </c>
      <c r="L12" s="216">
        <v>2.8000000000000001E-2</v>
      </c>
      <c r="M12" s="216">
        <v>2.8000000000000001E-2</v>
      </c>
      <c r="N12" s="216">
        <v>4.7E-2</v>
      </c>
      <c r="O12" s="216">
        <v>4.7E-2</v>
      </c>
      <c r="P12" s="216">
        <v>4.7E-2</v>
      </c>
      <c r="Q12" s="216">
        <v>2.8000000000000001E-2</v>
      </c>
      <c r="R12" s="216">
        <v>2.8000000000000001E-2</v>
      </c>
      <c r="S12" s="216">
        <v>2.8000000000000001E-2</v>
      </c>
      <c r="T12" s="216">
        <v>2.8000000000000001E-2</v>
      </c>
      <c r="U12" s="216">
        <v>2.8000000000000001E-2</v>
      </c>
      <c r="V12" s="216">
        <v>2.8000000000000001E-2</v>
      </c>
      <c r="W12" s="216">
        <v>2.8000000000000001E-2</v>
      </c>
      <c r="X12" s="216">
        <v>2.8000000000000001E-2</v>
      </c>
      <c r="Y12" s="171"/>
    </row>
    <row r="13" spans="1:25" ht="13.95" customHeight="1" x14ac:dyDescent="0.3">
      <c r="A13" s="551" t="s">
        <v>134</v>
      </c>
      <c r="B13" s="556" t="s">
        <v>66</v>
      </c>
      <c r="C13" s="553" t="s">
        <v>135</v>
      </c>
      <c r="D13" s="560" t="s">
        <v>136</v>
      </c>
      <c r="E13" s="551" t="s">
        <v>124</v>
      </c>
      <c r="F13" s="493" t="s">
        <v>125</v>
      </c>
      <c r="G13" s="493" t="s">
        <v>126</v>
      </c>
      <c r="H13" s="553" t="s">
        <v>137</v>
      </c>
      <c r="I13" s="165">
        <f>1.12*0.5+I$16*0.5</f>
        <v>0.74</v>
      </c>
      <c r="J13" s="165">
        <f t="shared" ref="J13:X14" si="3">1.12*0.5+J$16*0.5</f>
        <v>0.74</v>
      </c>
      <c r="K13" s="165">
        <f t="shared" si="3"/>
        <v>0.74</v>
      </c>
      <c r="L13" s="165">
        <f t="shared" si="3"/>
        <v>0.74</v>
      </c>
      <c r="M13" s="165">
        <f t="shared" si="3"/>
        <v>0.74</v>
      </c>
      <c r="N13" s="165">
        <f t="shared" si="3"/>
        <v>0.74</v>
      </c>
      <c r="O13" s="165">
        <f t="shared" si="3"/>
        <v>0.74</v>
      </c>
      <c r="P13" s="165">
        <f t="shared" si="3"/>
        <v>0.74</v>
      </c>
      <c r="Q13" s="165">
        <f t="shared" si="3"/>
        <v>0.74</v>
      </c>
      <c r="R13" s="165">
        <f t="shared" si="3"/>
        <v>0.74</v>
      </c>
      <c r="S13" s="165">
        <f t="shared" si="3"/>
        <v>0.74</v>
      </c>
      <c r="T13" s="165">
        <f t="shared" si="3"/>
        <v>0.74</v>
      </c>
      <c r="U13" s="165">
        <f t="shared" si="3"/>
        <v>0.74</v>
      </c>
      <c r="V13" s="165">
        <f t="shared" si="3"/>
        <v>0.74</v>
      </c>
      <c r="W13" s="165">
        <f t="shared" si="3"/>
        <v>0.74</v>
      </c>
      <c r="X13" s="165">
        <f t="shared" si="3"/>
        <v>0.74</v>
      </c>
      <c r="Y13" s="171"/>
    </row>
    <row r="14" spans="1:25" ht="13.95" customHeight="1" x14ac:dyDescent="0.3">
      <c r="A14" s="551"/>
      <c r="B14" s="557"/>
      <c r="C14" s="554"/>
      <c r="D14" s="560"/>
      <c r="E14" s="551"/>
      <c r="F14" s="493" t="s">
        <v>40</v>
      </c>
      <c r="G14" s="493" t="s">
        <v>126</v>
      </c>
      <c r="H14" s="555"/>
      <c r="I14" s="242">
        <f>1.12*0.5+I$16*0.5</f>
        <v>0.74</v>
      </c>
      <c r="J14" s="242">
        <f t="shared" si="3"/>
        <v>0.74</v>
      </c>
      <c r="K14" s="242">
        <f t="shared" si="3"/>
        <v>0.74</v>
      </c>
      <c r="L14" s="242">
        <f t="shared" si="3"/>
        <v>0.74</v>
      </c>
      <c r="M14" s="242">
        <f t="shared" si="3"/>
        <v>0.74</v>
      </c>
      <c r="N14" s="242">
        <f t="shared" si="3"/>
        <v>0.74</v>
      </c>
      <c r="O14" s="242">
        <f t="shared" si="3"/>
        <v>0.74</v>
      </c>
      <c r="P14" s="242">
        <f t="shared" si="3"/>
        <v>0.74</v>
      </c>
      <c r="Q14" s="242">
        <f t="shared" si="3"/>
        <v>0.74</v>
      </c>
      <c r="R14" s="242">
        <f t="shared" si="3"/>
        <v>0.74</v>
      </c>
      <c r="S14" s="242">
        <f t="shared" si="3"/>
        <v>0.74</v>
      </c>
      <c r="T14" s="242">
        <f t="shared" si="3"/>
        <v>0.74</v>
      </c>
      <c r="U14" s="242">
        <f t="shared" si="3"/>
        <v>0.74</v>
      </c>
      <c r="V14" s="242">
        <f t="shared" si="3"/>
        <v>0.74</v>
      </c>
      <c r="W14" s="242">
        <f t="shared" si="3"/>
        <v>0.74</v>
      </c>
      <c r="X14" s="242">
        <f t="shared" si="3"/>
        <v>0.74</v>
      </c>
      <c r="Y14" s="171"/>
    </row>
    <row r="15" spans="1:25" ht="13.95" customHeight="1" x14ac:dyDescent="0.3">
      <c r="A15" s="551"/>
      <c r="B15" s="557"/>
      <c r="C15" s="554"/>
      <c r="D15" s="564" t="s">
        <v>138</v>
      </c>
      <c r="E15" s="551"/>
      <c r="F15" s="214" t="s">
        <v>41</v>
      </c>
      <c r="G15" s="214">
        <v>2001</v>
      </c>
      <c r="H15" s="214"/>
      <c r="I15" s="214">
        <v>0.49</v>
      </c>
      <c r="J15" s="214">
        <v>0.49</v>
      </c>
      <c r="K15" s="214">
        <v>0.81</v>
      </c>
      <c r="L15" s="214">
        <v>0.81</v>
      </c>
      <c r="M15" s="214">
        <v>0.81</v>
      </c>
      <c r="N15" s="214">
        <v>0.81</v>
      </c>
      <c r="O15" s="214">
        <v>0.81</v>
      </c>
      <c r="P15" s="214">
        <v>0.81</v>
      </c>
      <c r="Q15" s="214">
        <v>0.81</v>
      </c>
      <c r="R15" s="214">
        <v>0.49</v>
      </c>
      <c r="S15" s="214">
        <v>0.49</v>
      </c>
      <c r="T15" s="214">
        <v>0.49</v>
      </c>
      <c r="U15" s="214">
        <v>0.49</v>
      </c>
      <c r="V15" s="214">
        <v>0.49</v>
      </c>
      <c r="W15" s="214">
        <v>0.49</v>
      </c>
      <c r="X15" s="214">
        <v>0.49</v>
      </c>
      <c r="Y15" s="171"/>
    </row>
    <row r="16" spans="1:25" ht="13.95" customHeight="1" x14ac:dyDescent="0.3">
      <c r="A16" s="551"/>
      <c r="B16" s="557"/>
      <c r="C16" s="554"/>
      <c r="D16" s="565"/>
      <c r="E16" s="551"/>
      <c r="F16" s="215" t="s">
        <v>42</v>
      </c>
      <c r="G16" s="215">
        <v>2013</v>
      </c>
      <c r="H16" s="215"/>
      <c r="I16" s="215">
        <v>0.36</v>
      </c>
      <c r="J16" s="215">
        <v>0.36</v>
      </c>
      <c r="K16" s="215">
        <v>0.36</v>
      </c>
      <c r="L16" s="215">
        <v>0.36</v>
      </c>
      <c r="M16" s="215">
        <v>0.36</v>
      </c>
      <c r="N16" s="215">
        <v>0.36</v>
      </c>
      <c r="O16" s="215">
        <v>0.36</v>
      </c>
      <c r="P16" s="215">
        <v>0.36</v>
      </c>
      <c r="Q16" s="215">
        <v>0.36</v>
      </c>
      <c r="R16" s="215">
        <v>0.36</v>
      </c>
      <c r="S16" s="215">
        <v>0.36</v>
      </c>
      <c r="T16" s="215">
        <v>0.36</v>
      </c>
      <c r="U16" s="215">
        <v>0.36</v>
      </c>
      <c r="V16" s="215">
        <v>0.36</v>
      </c>
      <c r="W16" s="215">
        <v>0.36</v>
      </c>
      <c r="X16" s="215">
        <v>0.36</v>
      </c>
      <c r="Y16" s="171"/>
    </row>
    <row r="17" spans="1:50" ht="13.95" customHeight="1" x14ac:dyDescent="0.3">
      <c r="A17" s="551"/>
      <c r="B17" s="557"/>
      <c r="C17" s="555"/>
      <c r="D17" s="566"/>
      <c r="E17" s="551"/>
      <c r="F17" s="216" t="s">
        <v>129</v>
      </c>
      <c r="G17" s="240">
        <v>2025</v>
      </c>
      <c r="H17" s="216"/>
      <c r="I17" s="216">
        <v>0.36</v>
      </c>
      <c r="J17" s="216">
        <v>0.36</v>
      </c>
      <c r="K17" s="216">
        <v>0.36</v>
      </c>
      <c r="L17" s="216">
        <v>0.36</v>
      </c>
      <c r="M17" s="216">
        <v>0.36</v>
      </c>
      <c r="N17" s="216">
        <v>0.36</v>
      </c>
      <c r="O17" s="216">
        <v>0.36</v>
      </c>
      <c r="P17" s="216">
        <v>0.36</v>
      </c>
      <c r="Q17" s="216">
        <v>0.34</v>
      </c>
      <c r="R17" s="216">
        <v>0.36</v>
      </c>
      <c r="S17" s="216">
        <v>0.34</v>
      </c>
      <c r="T17" s="216">
        <v>0.34</v>
      </c>
      <c r="U17" s="216">
        <v>0.34</v>
      </c>
      <c r="V17" s="216">
        <v>0.34</v>
      </c>
      <c r="W17" s="216">
        <v>0.34</v>
      </c>
      <c r="X17" s="216">
        <v>0.36</v>
      </c>
      <c r="Y17" s="171"/>
    </row>
    <row r="18" spans="1:50" ht="13.95" customHeight="1" x14ac:dyDescent="0.3">
      <c r="A18" s="551"/>
      <c r="B18" s="557"/>
      <c r="C18" s="553" t="s">
        <v>135</v>
      </c>
      <c r="D18" s="560" t="s">
        <v>136</v>
      </c>
      <c r="E18" s="556" t="s">
        <v>139</v>
      </c>
      <c r="F18" s="493" t="s">
        <v>125</v>
      </c>
      <c r="G18" s="493" t="s">
        <v>126</v>
      </c>
      <c r="H18" s="553" t="s">
        <v>140</v>
      </c>
      <c r="I18" s="493">
        <f>0.79*0.5+I$21*0.5</f>
        <v>0.52</v>
      </c>
      <c r="J18" s="493">
        <f t="shared" ref="J18:X18" si="4">0.79*0.5+J$21*0.5</f>
        <v>0.52</v>
      </c>
      <c r="K18" s="493">
        <f t="shared" si="4"/>
        <v>0.52</v>
      </c>
      <c r="L18" s="493">
        <f t="shared" si="4"/>
        <v>0.52</v>
      </c>
      <c r="M18" s="493">
        <f t="shared" si="4"/>
        <v>0.52</v>
      </c>
      <c r="N18" s="493">
        <f t="shared" si="4"/>
        <v>0.52</v>
      </c>
      <c r="O18" s="493">
        <f t="shared" si="4"/>
        <v>0.52</v>
      </c>
      <c r="P18" s="493">
        <f t="shared" si="4"/>
        <v>0.52</v>
      </c>
      <c r="Q18" s="493">
        <f t="shared" si="4"/>
        <v>0.52</v>
      </c>
      <c r="R18" s="493">
        <f t="shared" si="4"/>
        <v>0.52</v>
      </c>
      <c r="S18" s="493">
        <f t="shared" si="4"/>
        <v>0.52</v>
      </c>
      <c r="T18" s="493">
        <f t="shared" si="4"/>
        <v>0.52</v>
      </c>
      <c r="U18" s="493">
        <f t="shared" si="4"/>
        <v>0.52</v>
      </c>
      <c r="V18" s="493">
        <f t="shared" si="4"/>
        <v>0.52</v>
      </c>
      <c r="W18" s="493">
        <f t="shared" si="4"/>
        <v>0.52</v>
      </c>
      <c r="X18" s="493">
        <f t="shared" si="4"/>
        <v>0.52</v>
      </c>
      <c r="Y18" s="171"/>
    </row>
    <row r="19" spans="1:50" ht="13.95" customHeight="1" x14ac:dyDescent="0.3">
      <c r="A19" s="551"/>
      <c r="B19" s="557"/>
      <c r="C19" s="554"/>
      <c r="D19" s="560"/>
      <c r="E19" s="557"/>
      <c r="F19" s="493" t="s">
        <v>40</v>
      </c>
      <c r="G19" s="165" t="s">
        <v>126</v>
      </c>
      <c r="H19" s="555"/>
      <c r="I19" s="241">
        <f>I18</f>
        <v>0.52</v>
      </c>
      <c r="J19" s="241">
        <f t="shared" ref="J19:X19" si="5">J18</f>
        <v>0.52</v>
      </c>
      <c r="K19" s="241">
        <f t="shared" si="5"/>
        <v>0.52</v>
      </c>
      <c r="L19" s="241">
        <f t="shared" si="5"/>
        <v>0.52</v>
      </c>
      <c r="M19" s="241">
        <f t="shared" si="5"/>
        <v>0.52</v>
      </c>
      <c r="N19" s="241">
        <f t="shared" si="5"/>
        <v>0.52</v>
      </c>
      <c r="O19" s="241">
        <f t="shared" si="5"/>
        <v>0.52</v>
      </c>
      <c r="P19" s="241">
        <f t="shared" si="5"/>
        <v>0.52</v>
      </c>
      <c r="Q19" s="241">
        <f t="shared" si="5"/>
        <v>0.52</v>
      </c>
      <c r="R19" s="241">
        <f t="shared" si="5"/>
        <v>0.52</v>
      </c>
      <c r="S19" s="241">
        <f t="shared" si="5"/>
        <v>0.52</v>
      </c>
      <c r="T19" s="241">
        <f t="shared" si="5"/>
        <v>0.52</v>
      </c>
      <c r="U19" s="241">
        <f t="shared" si="5"/>
        <v>0.52</v>
      </c>
      <c r="V19" s="241">
        <f t="shared" si="5"/>
        <v>0.52</v>
      </c>
      <c r="W19" s="241">
        <f t="shared" si="5"/>
        <v>0.52</v>
      </c>
      <c r="X19" s="241">
        <f t="shared" si="5"/>
        <v>0.52</v>
      </c>
      <c r="Y19" s="171"/>
    </row>
    <row r="20" spans="1:50" ht="39" customHeight="1" x14ac:dyDescent="0.3">
      <c r="A20" s="551"/>
      <c r="B20" s="557"/>
      <c r="C20" s="554"/>
      <c r="D20" s="557"/>
      <c r="E20" s="557"/>
      <c r="F20" s="238" t="s">
        <v>41</v>
      </c>
      <c r="G20" s="214">
        <v>2001</v>
      </c>
      <c r="H20" s="239" t="s">
        <v>141</v>
      </c>
      <c r="I20" s="217">
        <v>0.43</v>
      </c>
      <c r="J20" s="214">
        <v>0.36</v>
      </c>
      <c r="K20" s="214">
        <v>0.41</v>
      </c>
      <c r="L20" s="214">
        <v>0.41</v>
      </c>
      <c r="M20" s="214">
        <v>0.41</v>
      </c>
      <c r="N20" s="214">
        <v>0.39</v>
      </c>
      <c r="O20" s="214">
        <v>0.39</v>
      </c>
      <c r="P20" s="214">
        <v>0.39</v>
      </c>
      <c r="Q20" s="214">
        <v>0.39</v>
      </c>
      <c r="R20" s="214">
        <v>0.36</v>
      </c>
      <c r="S20" s="214">
        <v>0.36</v>
      </c>
      <c r="T20" s="214">
        <v>0.36</v>
      </c>
      <c r="U20" s="214">
        <v>0.36</v>
      </c>
      <c r="V20" s="214">
        <v>0.36</v>
      </c>
      <c r="W20" s="214">
        <v>0.36</v>
      </c>
      <c r="X20" s="214">
        <v>0.43</v>
      </c>
      <c r="Y20" s="171"/>
    </row>
    <row r="21" spans="1:50" ht="13.95" customHeight="1" x14ac:dyDescent="0.3">
      <c r="A21" s="551"/>
      <c r="B21" s="557"/>
      <c r="C21" s="554"/>
      <c r="D21" s="557"/>
      <c r="E21" s="557"/>
      <c r="F21" s="215" t="s">
        <v>42</v>
      </c>
      <c r="G21" s="215">
        <v>2013</v>
      </c>
      <c r="H21" s="215"/>
      <c r="I21" s="215">
        <v>0.25</v>
      </c>
      <c r="J21" s="215">
        <v>0.25</v>
      </c>
      <c r="K21" s="215">
        <v>0.25</v>
      </c>
      <c r="L21" s="215">
        <v>0.25</v>
      </c>
      <c r="M21" s="215">
        <v>0.25</v>
      </c>
      <c r="N21" s="215">
        <v>0.25</v>
      </c>
      <c r="O21" s="215">
        <v>0.25</v>
      </c>
      <c r="P21" s="215">
        <v>0.25</v>
      </c>
      <c r="Q21" s="215">
        <v>0.25</v>
      </c>
      <c r="R21" s="215">
        <v>0.25</v>
      </c>
      <c r="S21" s="215">
        <v>0.25</v>
      </c>
      <c r="T21" s="215">
        <v>0.25</v>
      </c>
      <c r="U21" s="215">
        <v>0.25</v>
      </c>
      <c r="V21" s="215">
        <v>0.25</v>
      </c>
      <c r="W21" s="215">
        <v>0.25</v>
      </c>
      <c r="X21" s="215">
        <v>0.25</v>
      </c>
      <c r="Y21" s="171"/>
    </row>
    <row r="22" spans="1:50" ht="13.95" customHeight="1" x14ac:dyDescent="0.3">
      <c r="A22" s="551"/>
      <c r="B22" s="558"/>
      <c r="C22" s="555"/>
      <c r="D22" s="558"/>
      <c r="E22" s="558"/>
      <c r="F22" s="216" t="s">
        <v>129</v>
      </c>
      <c r="G22" s="240">
        <v>2025</v>
      </c>
      <c r="H22" s="216"/>
      <c r="I22" s="216">
        <v>0.25</v>
      </c>
      <c r="J22" s="216">
        <v>0.25</v>
      </c>
      <c r="K22" s="216">
        <v>0.25</v>
      </c>
      <c r="L22" s="216">
        <v>0.25</v>
      </c>
      <c r="M22" s="216">
        <v>0.25</v>
      </c>
      <c r="N22" s="216">
        <v>0.25</v>
      </c>
      <c r="O22" s="216">
        <v>0.25</v>
      </c>
      <c r="P22" s="216">
        <v>0.25</v>
      </c>
      <c r="Q22" s="216">
        <v>0.22</v>
      </c>
      <c r="R22" s="216">
        <v>0.25</v>
      </c>
      <c r="S22" s="216">
        <v>0.22</v>
      </c>
      <c r="T22" s="216">
        <v>0.22</v>
      </c>
      <c r="U22" s="216">
        <v>0.22</v>
      </c>
      <c r="V22" s="216">
        <v>0.22</v>
      </c>
      <c r="W22" s="216">
        <v>0.22</v>
      </c>
      <c r="X22" s="216">
        <v>0.25</v>
      </c>
      <c r="Y22" s="171"/>
    </row>
    <row r="23" spans="1:50" ht="15" customHeight="1" x14ac:dyDescent="0.3">
      <c r="A23" s="6"/>
      <c r="B23" s="166"/>
      <c r="C23" s="6"/>
      <c r="D23" s="6"/>
      <c r="E23" s="172"/>
      <c r="F23" s="83"/>
      <c r="G23" s="167"/>
      <c r="H23" s="493"/>
      <c r="I23" s="161"/>
      <c r="J23" s="161"/>
      <c r="K23" s="161"/>
      <c r="L23" s="161"/>
      <c r="M23" s="161"/>
      <c r="N23" s="161"/>
      <c r="O23" s="161"/>
      <c r="P23" s="161"/>
      <c r="Q23" s="161"/>
      <c r="R23" s="161"/>
      <c r="S23" s="161"/>
      <c r="T23" s="161"/>
      <c r="U23" s="161"/>
      <c r="V23" s="161"/>
      <c r="W23" s="161"/>
      <c r="X23" s="161"/>
    </row>
    <row r="24" spans="1:50" ht="25.95" customHeight="1" x14ac:dyDescent="0.3">
      <c r="A24" s="6"/>
      <c r="B24" s="166"/>
      <c r="C24" s="6"/>
      <c r="D24" s="6"/>
      <c r="E24" s="570" t="s">
        <v>142</v>
      </c>
      <c r="F24" s="570"/>
      <c r="G24" s="570"/>
      <c r="H24" s="570"/>
      <c r="I24" s="570"/>
      <c r="J24" s="570"/>
      <c r="K24" s="570"/>
      <c r="L24" s="570"/>
      <c r="M24" s="570"/>
      <c r="N24" s="570"/>
      <c r="O24" s="570"/>
      <c r="P24" s="570"/>
      <c r="Q24" s="570"/>
      <c r="R24" s="570"/>
      <c r="S24" s="570"/>
      <c r="T24" s="570"/>
      <c r="U24" s="570"/>
      <c r="V24" s="570"/>
      <c r="W24" s="570"/>
      <c r="X24" s="570"/>
    </row>
    <row r="25" spans="1:50" ht="41.4" customHeight="1" x14ac:dyDescent="0.3">
      <c r="A25" s="6"/>
      <c r="B25" s="166"/>
      <c r="C25" s="6"/>
      <c r="D25" s="6"/>
      <c r="E25" s="78"/>
      <c r="F25" s="39" t="s">
        <v>102</v>
      </c>
      <c r="G25" s="114" t="s">
        <v>143</v>
      </c>
      <c r="H25" s="114" t="s">
        <v>104</v>
      </c>
      <c r="I25" s="567" t="s">
        <v>144</v>
      </c>
      <c r="J25" s="568"/>
      <c r="K25" s="568"/>
      <c r="L25" s="568"/>
      <c r="M25" s="568"/>
      <c r="N25" s="568"/>
      <c r="O25" s="568"/>
      <c r="P25" s="568"/>
      <c r="Q25" s="568"/>
      <c r="R25" s="568"/>
      <c r="S25" s="568"/>
      <c r="T25" s="568"/>
      <c r="U25" s="568"/>
      <c r="V25" s="568"/>
      <c r="W25" s="568"/>
      <c r="X25" s="569"/>
    </row>
    <row r="26" spans="1:50" ht="18" customHeight="1" x14ac:dyDescent="0.3">
      <c r="A26" s="6"/>
      <c r="B26" s="166"/>
      <c r="C26" s="6"/>
      <c r="D26" s="6"/>
      <c r="E26" s="571" t="s">
        <v>145</v>
      </c>
      <c r="F26" s="493" t="s">
        <v>125</v>
      </c>
      <c r="G26" s="493">
        <v>1.1000000000000001</v>
      </c>
      <c r="H26" s="173" t="s">
        <v>146</v>
      </c>
      <c r="I26" s="562">
        <v>0.20530000000000001</v>
      </c>
      <c r="J26" s="562"/>
      <c r="K26" s="562"/>
      <c r="L26" s="562"/>
      <c r="M26" s="562"/>
      <c r="N26" s="562"/>
      <c r="O26" s="562"/>
      <c r="P26" s="562"/>
      <c r="Q26" s="562"/>
      <c r="R26" s="562"/>
      <c r="S26" s="562"/>
      <c r="T26" s="562"/>
      <c r="U26" s="562"/>
      <c r="V26" s="562"/>
      <c r="W26" s="562"/>
      <c r="X26" s="563"/>
    </row>
    <row r="27" spans="1:50" ht="18" customHeight="1" x14ac:dyDescent="0.3">
      <c r="A27" s="6"/>
      <c r="B27" s="6"/>
      <c r="C27" s="6"/>
      <c r="D27" s="6"/>
      <c r="E27" s="572"/>
      <c r="F27" s="493" t="s">
        <v>40</v>
      </c>
      <c r="G27" s="493">
        <v>1.1000000000000001</v>
      </c>
      <c r="H27" s="173" t="s">
        <v>146</v>
      </c>
      <c r="I27" s="562">
        <v>0.20530000000000001</v>
      </c>
      <c r="J27" s="562"/>
      <c r="K27" s="562"/>
      <c r="L27" s="562"/>
      <c r="M27" s="562"/>
      <c r="N27" s="562"/>
      <c r="O27" s="562"/>
      <c r="P27" s="562"/>
      <c r="Q27" s="562"/>
      <c r="R27" s="562"/>
      <c r="S27" s="562"/>
      <c r="T27" s="562"/>
      <c r="U27" s="562"/>
      <c r="V27" s="562"/>
      <c r="W27" s="562"/>
      <c r="X27" s="563"/>
    </row>
    <row r="28" spans="1:50" ht="18" customHeight="1" x14ac:dyDescent="0.3">
      <c r="A28" s="6"/>
      <c r="B28" s="166"/>
      <c r="C28" s="6"/>
      <c r="D28" s="6"/>
      <c r="E28" s="572"/>
      <c r="F28" s="493" t="s">
        <v>41</v>
      </c>
      <c r="G28" s="493">
        <v>1.1000000000000001</v>
      </c>
      <c r="H28" s="173" t="s">
        <v>146</v>
      </c>
      <c r="I28" s="562">
        <v>0.20530000000000001</v>
      </c>
      <c r="J28" s="562"/>
      <c r="K28" s="562"/>
      <c r="L28" s="562"/>
      <c r="M28" s="562"/>
      <c r="N28" s="562"/>
      <c r="O28" s="562"/>
      <c r="P28" s="562"/>
      <c r="Q28" s="562"/>
      <c r="R28" s="562"/>
      <c r="S28" s="562"/>
      <c r="T28" s="562"/>
      <c r="U28" s="562"/>
      <c r="V28" s="562"/>
      <c r="W28" s="562"/>
      <c r="X28" s="563"/>
      <c r="Y28" s="174"/>
      <c r="AB28" s="552"/>
      <c r="AC28" s="552"/>
      <c r="AD28" s="552"/>
      <c r="AE28" s="552"/>
      <c r="AF28" s="552"/>
      <c r="AG28" s="552"/>
      <c r="AH28" s="552"/>
      <c r="AI28" s="552"/>
      <c r="AJ28" s="552"/>
      <c r="AK28" s="552"/>
      <c r="AL28" s="552"/>
      <c r="AM28" s="552"/>
      <c r="AN28" s="552"/>
      <c r="AO28" s="552"/>
      <c r="AP28" s="552"/>
      <c r="AQ28" s="552"/>
      <c r="AR28" s="552"/>
      <c r="AS28" s="552"/>
      <c r="AT28" s="552"/>
      <c r="AU28" s="552"/>
      <c r="AV28" s="552"/>
      <c r="AW28" s="552"/>
      <c r="AX28" s="552"/>
    </row>
    <row r="29" spans="1:50" ht="30.6" customHeight="1" x14ac:dyDescent="0.3">
      <c r="A29" s="6"/>
      <c r="B29" s="166"/>
      <c r="C29" s="6"/>
      <c r="D29" s="6"/>
      <c r="E29" s="572"/>
      <c r="F29" s="493" t="s">
        <v>42</v>
      </c>
      <c r="G29" s="493">
        <v>1</v>
      </c>
      <c r="H29" s="496" t="s">
        <v>147</v>
      </c>
      <c r="I29" s="562">
        <v>0.18779999999999999</v>
      </c>
      <c r="J29" s="562"/>
      <c r="K29" s="562"/>
      <c r="L29" s="562"/>
      <c r="M29" s="562"/>
      <c r="N29" s="562"/>
      <c r="O29" s="562"/>
      <c r="P29" s="562"/>
      <c r="Q29" s="562"/>
      <c r="R29" s="562"/>
      <c r="S29" s="562"/>
      <c r="T29" s="562"/>
      <c r="U29" s="562"/>
      <c r="V29" s="562"/>
      <c r="W29" s="562"/>
      <c r="X29" s="563"/>
    </row>
    <row r="30" spans="1:50" ht="28.95" customHeight="1" x14ac:dyDescent="0.3">
      <c r="A30" s="6"/>
      <c r="B30" s="166"/>
      <c r="C30" s="6"/>
      <c r="D30" s="6"/>
      <c r="E30" s="573"/>
      <c r="F30" s="493" t="s">
        <v>129</v>
      </c>
      <c r="G30" s="493">
        <v>0.6</v>
      </c>
      <c r="H30" s="496" t="s">
        <v>148</v>
      </c>
      <c r="I30" s="562">
        <v>0.112</v>
      </c>
      <c r="J30" s="562"/>
      <c r="K30" s="562"/>
      <c r="L30" s="562"/>
      <c r="M30" s="562"/>
      <c r="N30" s="562"/>
      <c r="O30" s="562"/>
      <c r="P30" s="562"/>
      <c r="Q30" s="562"/>
      <c r="R30" s="562"/>
      <c r="S30" s="562"/>
      <c r="T30" s="562"/>
      <c r="U30" s="562"/>
      <c r="V30" s="562"/>
      <c r="W30" s="562"/>
      <c r="X30" s="563"/>
    </row>
    <row r="31" spans="1:50" x14ac:dyDescent="0.3">
      <c r="A31" s="6"/>
      <c r="B31" s="166"/>
      <c r="C31" s="6"/>
      <c r="D31" s="6"/>
      <c r="E31" s="6" t="s">
        <v>149</v>
      </c>
      <c r="F31" s="6"/>
      <c r="G31" s="488"/>
      <c r="H31" s="6"/>
      <c r="I31" s="6"/>
      <c r="J31" s="6"/>
      <c r="K31" s="6"/>
      <c r="L31" s="6"/>
      <c r="M31" s="6"/>
      <c r="N31" s="6"/>
      <c r="O31" s="6"/>
      <c r="P31" s="6"/>
      <c r="Q31" s="6"/>
      <c r="R31" s="6"/>
      <c r="S31" s="6"/>
      <c r="T31" s="6"/>
      <c r="U31" s="6"/>
      <c r="V31" s="6"/>
      <c r="W31" s="6"/>
      <c r="X31" s="6"/>
    </row>
    <row r="32" spans="1:50" x14ac:dyDescent="0.3">
      <c r="A32" s="6"/>
      <c r="B32" s="166"/>
      <c r="C32" s="6"/>
      <c r="D32" s="6"/>
      <c r="E32" s="6" t="s">
        <v>150</v>
      </c>
      <c r="F32" s="6"/>
      <c r="G32" s="10" t="s">
        <v>34</v>
      </c>
      <c r="H32" s="6"/>
      <c r="I32" s="6"/>
      <c r="J32" s="6"/>
      <c r="K32" s="6"/>
      <c r="L32" s="6"/>
      <c r="M32" s="6"/>
      <c r="N32" s="6"/>
      <c r="O32" s="6"/>
      <c r="P32" s="6"/>
      <c r="Q32" s="6"/>
      <c r="R32" s="6"/>
      <c r="S32" s="6"/>
      <c r="T32" s="6"/>
      <c r="U32" s="6"/>
      <c r="V32" s="6"/>
      <c r="W32" s="6"/>
      <c r="X32" s="6"/>
    </row>
    <row r="33" spans="1:8" x14ac:dyDescent="0.3">
      <c r="A33" s="6"/>
      <c r="B33" s="166"/>
      <c r="C33" s="6"/>
      <c r="D33" s="6"/>
      <c r="E33" s="6"/>
      <c r="F33" s="6"/>
      <c r="G33" s="488"/>
      <c r="H33" s="6"/>
    </row>
    <row r="35" spans="1:8" x14ac:dyDescent="0.3">
      <c r="A35" s="575" t="s">
        <v>151</v>
      </c>
      <c r="B35" s="575"/>
      <c r="C35" s="575"/>
      <c r="D35" s="575"/>
      <c r="E35" s="489"/>
      <c r="F35" s="262"/>
      <c r="G35" s="262"/>
      <c r="H35" s="501"/>
    </row>
    <row r="36" spans="1:8" x14ac:dyDescent="0.3">
      <c r="A36" s="546" t="s">
        <v>152</v>
      </c>
      <c r="B36" s="546"/>
      <c r="C36" s="546"/>
      <c r="D36" s="546"/>
      <c r="E36" s="546"/>
      <c r="F36" s="546"/>
      <c r="G36" s="546"/>
      <c r="H36" s="546"/>
    </row>
    <row r="37" spans="1:8" x14ac:dyDescent="0.3">
      <c r="A37" s="546" t="s">
        <v>153</v>
      </c>
      <c r="B37" s="546"/>
      <c r="C37" s="546"/>
      <c r="D37" s="546"/>
      <c r="E37" s="546"/>
      <c r="F37" s="546"/>
      <c r="G37" s="546"/>
      <c r="H37" s="546"/>
    </row>
    <row r="38" spans="1:8" x14ac:dyDescent="0.3">
      <c r="A38" s="574" t="s">
        <v>154</v>
      </c>
      <c r="B38" s="574"/>
      <c r="C38" s="574"/>
      <c r="D38" s="574"/>
      <c r="E38" s="574"/>
      <c r="F38" s="574"/>
      <c r="G38" s="574"/>
      <c r="H38" s="574"/>
    </row>
    <row r="39" spans="1:8" x14ac:dyDescent="0.3">
      <c r="A39" s="574" t="s">
        <v>155</v>
      </c>
      <c r="B39" s="574"/>
      <c r="C39" s="574"/>
      <c r="D39" s="574"/>
      <c r="E39" s="574"/>
      <c r="F39" s="574"/>
      <c r="G39" s="574"/>
      <c r="H39" s="574"/>
    </row>
    <row r="40" spans="1:8" x14ac:dyDescent="0.3">
      <c r="A40" s="574" t="s">
        <v>156</v>
      </c>
      <c r="B40" s="574"/>
      <c r="C40" s="574"/>
      <c r="D40" s="574"/>
      <c r="E40" s="574"/>
      <c r="F40" s="574"/>
      <c r="G40" s="574"/>
      <c r="H40" s="574"/>
    </row>
    <row r="41" spans="1:8" x14ac:dyDescent="0.3">
      <c r="A41" s="543" t="s">
        <v>157</v>
      </c>
      <c r="B41" s="543"/>
      <c r="C41" s="543"/>
      <c r="D41" s="543"/>
      <c r="E41" s="543"/>
      <c r="F41" s="543"/>
      <c r="G41" s="543"/>
      <c r="H41" s="543"/>
    </row>
    <row r="42" spans="1:8" x14ac:dyDescent="0.3">
      <c r="A42" s="574" t="s">
        <v>158</v>
      </c>
      <c r="B42" s="574"/>
      <c r="C42" s="574"/>
      <c r="D42" s="574"/>
      <c r="E42" s="574"/>
      <c r="F42" s="574"/>
      <c r="G42" s="574"/>
      <c r="H42" s="574"/>
    </row>
    <row r="47" spans="1:8" s="175" customFormat="1" hidden="1" x14ac:dyDescent="0.3"/>
    <row r="49" spans="2:24" hidden="1" x14ac:dyDescent="0.3">
      <c r="C49" s="551" t="s">
        <v>159</v>
      </c>
      <c r="D49" s="551" t="s">
        <v>138</v>
      </c>
      <c r="E49" s="551" t="s">
        <v>139</v>
      </c>
      <c r="F49" s="551" t="s">
        <v>41</v>
      </c>
      <c r="G49" s="551">
        <v>2001</v>
      </c>
      <c r="H49" s="493" t="s">
        <v>160</v>
      </c>
      <c r="I49" s="214">
        <v>0.47</v>
      </c>
      <c r="J49" s="214">
        <v>0.47</v>
      </c>
      <c r="K49" s="214">
        <v>0.61</v>
      </c>
      <c r="L49" s="214">
        <v>0.61</v>
      </c>
      <c r="M49" s="214">
        <v>0.61</v>
      </c>
      <c r="N49" s="214">
        <v>0.61</v>
      </c>
      <c r="O49" s="214">
        <v>0.61</v>
      </c>
      <c r="P49" s="214">
        <v>0.61</v>
      </c>
      <c r="Q49" s="214">
        <v>0.61</v>
      </c>
      <c r="R49" s="214">
        <v>0.47</v>
      </c>
      <c r="S49" s="214">
        <v>0.47</v>
      </c>
      <c r="T49" s="214">
        <v>0.47</v>
      </c>
      <c r="U49" s="214">
        <v>0.47</v>
      </c>
      <c r="V49" s="214">
        <v>0.47</v>
      </c>
      <c r="W49" s="214">
        <v>0.47</v>
      </c>
      <c r="X49" s="214">
        <v>0.47</v>
      </c>
    </row>
    <row r="50" spans="2:24" hidden="1" x14ac:dyDescent="0.3">
      <c r="C50" s="551"/>
      <c r="D50" s="551"/>
      <c r="E50" s="551"/>
      <c r="F50" s="551"/>
      <c r="G50" s="551"/>
      <c r="H50" s="493" t="s">
        <v>161</v>
      </c>
      <c r="I50" s="217">
        <v>0.43</v>
      </c>
      <c r="J50" s="214">
        <v>0.36</v>
      </c>
      <c r="K50" s="214">
        <v>0.41</v>
      </c>
      <c r="L50" s="214">
        <v>0.41</v>
      </c>
      <c r="M50" s="214">
        <v>0.41</v>
      </c>
      <c r="N50" s="214">
        <v>0.39</v>
      </c>
      <c r="O50" s="214">
        <v>0.39</v>
      </c>
      <c r="P50" s="214">
        <v>0.39</v>
      </c>
      <c r="Q50" s="214">
        <v>0.39</v>
      </c>
      <c r="R50" s="214">
        <v>0.36</v>
      </c>
      <c r="S50" s="214">
        <v>0.36</v>
      </c>
      <c r="T50" s="214">
        <v>0.36</v>
      </c>
      <c r="U50" s="214">
        <v>0.36</v>
      </c>
      <c r="V50" s="214">
        <v>0.36</v>
      </c>
      <c r="W50" s="214">
        <v>0.36</v>
      </c>
      <c r="X50" s="214">
        <v>0.43</v>
      </c>
    </row>
    <row r="53" spans="2:24" ht="15.6" customHeight="1" x14ac:dyDescent="0.3"/>
    <row r="55" spans="2:24" x14ac:dyDescent="0.3">
      <c r="B55" s="168"/>
      <c r="G55" s="168"/>
    </row>
    <row r="56" spans="2:24" x14ac:dyDescent="0.3">
      <c r="B56" s="168"/>
      <c r="G56" s="168"/>
    </row>
    <row r="57" spans="2:24" x14ac:dyDescent="0.3">
      <c r="B57" s="168"/>
      <c r="G57" s="168"/>
    </row>
    <row r="58" spans="2:24" x14ac:dyDescent="0.3">
      <c r="B58" s="168"/>
      <c r="G58" s="168"/>
    </row>
    <row r="59" spans="2:24" x14ac:dyDescent="0.3">
      <c r="B59" s="168"/>
      <c r="G59" s="168"/>
    </row>
    <row r="60" spans="2:24" x14ac:dyDescent="0.3">
      <c r="B60" s="168"/>
      <c r="G60" s="168"/>
    </row>
    <row r="61" spans="2:24" x14ac:dyDescent="0.3">
      <c r="B61" s="168"/>
      <c r="G61" s="168"/>
    </row>
    <row r="62" spans="2:24" x14ac:dyDescent="0.3">
      <c r="B62" s="168"/>
      <c r="G62" s="168"/>
    </row>
  </sheetData>
  <mergeCells count="50">
    <mergeCell ref="A40:H40"/>
    <mergeCell ref="A41:H41"/>
    <mergeCell ref="A42:H42"/>
    <mergeCell ref="A35:D35"/>
    <mergeCell ref="A36:H36"/>
    <mergeCell ref="A37:H37"/>
    <mergeCell ref="A38:H38"/>
    <mergeCell ref="A39:H39"/>
    <mergeCell ref="I29:X29"/>
    <mergeCell ref="E8:E12"/>
    <mergeCell ref="E13:E17"/>
    <mergeCell ref="D8:D12"/>
    <mergeCell ref="D15:D17"/>
    <mergeCell ref="D13:D14"/>
    <mergeCell ref="I25:X25"/>
    <mergeCell ref="I26:X26"/>
    <mergeCell ref="I27:X27"/>
    <mergeCell ref="I28:X28"/>
    <mergeCell ref="E24:X24"/>
    <mergeCell ref="D20:D22"/>
    <mergeCell ref="E26:E30"/>
    <mergeCell ref="I30:X30"/>
    <mergeCell ref="H13:H14"/>
    <mergeCell ref="A1:X1"/>
    <mergeCell ref="D18:D19"/>
    <mergeCell ref="C18:C22"/>
    <mergeCell ref="E18:E22"/>
    <mergeCell ref="A13:A22"/>
    <mergeCell ref="E3:E7"/>
    <mergeCell ref="B3:B7"/>
    <mergeCell ref="A3:A7"/>
    <mergeCell ref="D3:D7"/>
    <mergeCell ref="C3:C7"/>
    <mergeCell ref="C8:C12"/>
    <mergeCell ref="H8:H9"/>
    <mergeCell ref="AU28:AX28"/>
    <mergeCell ref="AG28:AK28"/>
    <mergeCell ref="AB28:AF28"/>
    <mergeCell ref="AL28:AP28"/>
    <mergeCell ref="A8:A12"/>
    <mergeCell ref="C13:C17"/>
    <mergeCell ref="B8:B12"/>
    <mergeCell ref="B13:B22"/>
    <mergeCell ref="AQ28:AT28"/>
    <mergeCell ref="H18:H19"/>
    <mergeCell ref="F49:F50"/>
    <mergeCell ref="G49:G50"/>
    <mergeCell ref="E49:E50"/>
    <mergeCell ref="C49:C50"/>
    <mergeCell ref="D49:D50"/>
  </mergeCells>
  <phoneticPr fontId="6" type="noConversion"/>
  <hyperlinks>
    <hyperlink ref="G32"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7767100-2D7C-46B6-95AD-4A5D4E2EB81D}"/>
    <hyperlink ref="H26" r:id="rId2" xr:uid="{A20C1499-9051-4B15-87D5-B82E98E1A348}"/>
    <hyperlink ref="H27:H28" r:id="rId3" display="2022 CASE report (Table 38)" xr:uid="{063DFBE5-9FD0-452C-BDAD-2E47FE53458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M96"/>
  <sheetViews>
    <sheetView zoomScale="85" zoomScaleNormal="85" workbookViewId="0">
      <selection sqref="A1:K1"/>
    </sheetView>
  </sheetViews>
  <sheetFormatPr defaultColWidth="8.6640625" defaultRowHeight="12.75" customHeight="1" x14ac:dyDescent="0.3"/>
  <cols>
    <col min="1" max="1" width="44.33203125" style="262" customWidth="1"/>
    <col min="2" max="2" width="53.5546875" style="8" customWidth="1"/>
    <col min="3" max="3" width="37.88671875" style="8" customWidth="1"/>
    <col min="4" max="4" width="19.6640625" style="8" customWidth="1"/>
    <col min="5" max="5" width="17.5546875" style="8" customWidth="1"/>
    <col min="6" max="6" width="14.33203125" style="8" customWidth="1"/>
    <col min="7" max="7" width="11.6640625" style="8" customWidth="1"/>
    <col min="8" max="8" width="12.6640625" style="8" customWidth="1"/>
    <col min="9" max="9" width="12" style="8" customWidth="1"/>
    <col min="10" max="10" width="11.33203125" style="8" customWidth="1"/>
    <col min="11" max="11" width="31.6640625" style="8" customWidth="1"/>
    <col min="12" max="12" width="42.109375" style="8" customWidth="1"/>
    <col min="13" max="13" width="6.109375" style="8" customWidth="1"/>
    <col min="14" max="14" width="12.6640625" style="8" customWidth="1"/>
    <col min="15" max="15" width="25.33203125" style="8" customWidth="1"/>
    <col min="16" max="16" width="22.33203125" style="8" customWidth="1"/>
    <col min="17" max="17" width="18.33203125" style="8" customWidth="1"/>
    <col min="18" max="18" width="12.109375" style="8" customWidth="1"/>
    <col min="19" max="19" width="25.6640625" style="8" customWidth="1"/>
    <col min="20" max="20" width="22.6640625" style="8" customWidth="1"/>
    <col min="21" max="21" width="16.33203125" style="8" customWidth="1"/>
    <col min="22" max="22" width="18.33203125" style="8" customWidth="1"/>
    <col min="23" max="23" width="17.33203125" style="8" customWidth="1"/>
    <col min="24" max="24" width="22" style="8" customWidth="1"/>
    <col min="25" max="25" width="26.6640625" style="8" customWidth="1"/>
    <col min="26" max="27" width="17.33203125" style="8" customWidth="1"/>
    <col min="28" max="28" width="15.109375" style="8" customWidth="1"/>
    <col min="29" max="30" width="8.6640625" style="8"/>
    <col min="31" max="31" width="12.5546875" style="8" bestFit="1" customWidth="1"/>
    <col min="32" max="16384" width="8.6640625" style="8"/>
  </cols>
  <sheetData>
    <row r="1" spans="1:30" ht="25.95" customHeight="1" x14ac:dyDescent="0.3">
      <c r="A1" s="577" t="str">
        <f>"Proposed Layout - "&amp;Prototype!A2</f>
        <v>Proposed Layout - OfficeLarge</v>
      </c>
      <c r="B1" s="577"/>
      <c r="C1" s="577"/>
      <c r="D1" s="577"/>
      <c r="E1" s="577"/>
      <c r="F1" s="577"/>
      <c r="G1" s="577"/>
      <c r="H1" s="577"/>
      <c r="I1" s="577"/>
      <c r="J1" s="577"/>
      <c r="K1" s="577"/>
      <c r="L1" s="127"/>
    </row>
    <row r="2" spans="1:30" ht="42.6" customHeight="1" x14ac:dyDescent="0.3">
      <c r="A2" s="296" t="s">
        <v>162</v>
      </c>
      <c r="B2" s="296" t="s">
        <v>163</v>
      </c>
      <c r="C2" s="296" t="s">
        <v>164</v>
      </c>
      <c r="D2" s="296" t="s">
        <v>165</v>
      </c>
      <c r="E2" s="296" t="s">
        <v>166</v>
      </c>
      <c r="F2" s="297" t="s">
        <v>167</v>
      </c>
      <c r="G2" s="298" t="s">
        <v>168</v>
      </c>
      <c r="H2" s="296" t="s">
        <v>169</v>
      </c>
      <c r="I2" s="296" t="s">
        <v>170</v>
      </c>
      <c r="J2" s="299" t="s">
        <v>171</v>
      </c>
      <c r="K2" s="456" t="s">
        <v>172</v>
      </c>
      <c r="L2" s="176"/>
      <c r="N2" s="113"/>
      <c r="O2" s="113"/>
      <c r="P2" s="113"/>
      <c r="Q2" s="113"/>
      <c r="R2" s="113"/>
      <c r="S2" s="113"/>
      <c r="T2" s="113"/>
      <c r="U2" s="113"/>
      <c r="V2" s="113"/>
      <c r="W2" s="113"/>
      <c r="X2" s="113"/>
      <c r="Y2" s="113"/>
      <c r="Z2" s="113"/>
      <c r="AA2" s="113"/>
      <c r="AB2" s="113"/>
      <c r="AC2" s="113"/>
      <c r="AD2" s="113"/>
    </row>
    <row r="3" spans="1:30" ht="17.7" customHeight="1" x14ac:dyDescent="0.3">
      <c r="A3" s="245" t="s">
        <v>173</v>
      </c>
      <c r="B3" s="245" t="s">
        <v>174</v>
      </c>
      <c r="C3" s="245" t="s">
        <v>175</v>
      </c>
      <c r="D3" s="245" t="s">
        <v>176</v>
      </c>
      <c r="E3" s="20" t="s">
        <v>177</v>
      </c>
      <c r="F3" s="177">
        <f t="shared" ref="F3:F34" si="0">G3/$G$82</f>
        <v>1.6883954830808109E-2</v>
      </c>
      <c r="G3" s="139">
        <v>8416.86</v>
      </c>
      <c r="H3" s="20">
        <f>G3*Prototype!$B$16</f>
        <v>75751.740000000005</v>
      </c>
      <c r="I3" s="20">
        <v>1</v>
      </c>
      <c r="J3" s="20">
        <f>IFERROR(K3*G3/1000,"")</f>
        <v>42.084300000000006</v>
      </c>
      <c r="K3" s="21">
        <v>5</v>
      </c>
      <c r="L3" s="178"/>
      <c r="N3" s="113"/>
      <c r="O3" s="113"/>
      <c r="P3" s="113"/>
      <c r="Q3" s="113"/>
      <c r="R3" s="113"/>
      <c r="S3" s="113"/>
      <c r="T3" s="113"/>
      <c r="U3" s="113"/>
      <c r="V3" s="113"/>
      <c r="W3" s="113"/>
      <c r="X3" s="113"/>
      <c r="Y3" s="113"/>
      <c r="Z3" s="113"/>
      <c r="AA3" s="113"/>
      <c r="AB3" s="113"/>
      <c r="AC3" s="113"/>
      <c r="AD3" s="113"/>
    </row>
    <row r="4" spans="1:30" ht="17.7" customHeight="1" x14ac:dyDescent="0.3">
      <c r="A4" s="245" t="s">
        <v>178</v>
      </c>
      <c r="B4" s="245" t="s">
        <v>174</v>
      </c>
      <c r="C4" s="245" t="s">
        <v>175</v>
      </c>
      <c r="D4" s="245" t="s">
        <v>176</v>
      </c>
      <c r="E4" s="20" t="s">
        <v>177</v>
      </c>
      <c r="F4" s="177">
        <f t="shared" si="0"/>
        <v>7.3462172000352665E-3</v>
      </c>
      <c r="G4" s="139">
        <v>3662.18</v>
      </c>
      <c r="H4" s="20">
        <f>G4*Prototype!$B$16</f>
        <v>32959.619999999995</v>
      </c>
      <c r="I4" s="20">
        <v>1</v>
      </c>
      <c r="J4" s="20">
        <f t="shared" ref="J4:J58" si="1">IFERROR(K4*G4/1000,"")</f>
        <v>18.310899999999997</v>
      </c>
      <c r="K4" s="21">
        <f>K3</f>
        <v>5</v>
      </c>
      <c r="L4" s="178"/>
      <c r="N4" s="113"/>
      <c r="O4" s="113"/>
      <c r="P4" s="113"/>
      <c r="Q4" s="113"/>
      <c r="R4" s="113"/>
      <c r="S4" s="113"/>
      <c r="T4" s="113"/>
      <c r="U4" s="113"/>
      <c r="V4" s="113"/>
      <c r="W4" s="113"/>
      <c r="X4" s="113"/>
      <c r="Y4" s="113"/>
      <c r="Z4" s="113"/>
      <c r="AA4" s="113"/>
      <c r="AB4" s="113"/>
      <c r="AC4" s="113"/>
      <c r="AD4" s="113"/>
    </row>
    <row r="5" spans="1:30" ht="17.7" customHeight="1" x14ac:dyDescent="0.3">
      <c r="A5" s="245" t="s">
        <v>179</v>
      </c>
      <c r="B5" s="245" t="s">
        <v>174</v>
      </c>
      <c r="C5" s="245" t="s">
        <v>175</v>
      </c>
      <c r="D5" s="245" t="s">
        <v>176</v>
      </c>
      <c r="E5" s="20" t="s">
        <v>177</v>
      </c>
      <c r="F5" s="177">
        <f t="shared" si="0"/>
        <v>7.4294648868779298E-3</v>
      </c>
      <c r="G5" s="139">
        <v>3703.68</v>
      </c>
      <c r="H5" s="20">
        <f>G5*Prototype!$B$16</f>
        <v>33333.119999999995</v>
      </c>
      <c r="I5" s="20">
        <v>1</v>
      </c>
      <c r="J5" s="20">
        <f t="shared" si="1"/>
        <v>18.518399999999996</v>
      </c>
      <c r="K5" s="21">
        <f>K3</f>
        <v>5</v>
      </c>
      <c r="L5" s="178"/>
      <c r="M5" s="124"/>
      <c r="N5" s="113"/>
      <c r="O5" s="113"/>
      <c r="P5" s="113"/>
      <c r="Q5" s="113"/>
      <c r="R5" s="113"/>
      <c r="S5" s="113"/>
      <c r="T5" s="113"/>
      <c r="U5" s="113"/>
      <c r="V5" s="113"/>
      <c r="W5" s="113"/>
      <c r="X5" s="113"/>
      <c r="Y5" s="113"/>
      <c r="Z5" s="113"/>
      <c r="AA5" s="113"/>
      <c r="AB5" s="113"/>
      <c r="AC5" s="113"/>
      <c r="AD5" s="113"/>
    </row>
    <row r="6" spans="1:30" ht="17.7" customHeight="1" x14ac:dyDescent="0.3">
      <c r="A6" s="245" t="s">
        <v>180</v>
      </c>
      <c r="B6" s="246" t="s">
        <v>181</v>
      </c>
      <c r="C6" s="245" t="s">
        <v>182</v>
      </c>
      <c r="D6" s="245" t="s">
        <v>183</v>
      </c>
      <c r="E6" s="20" t="s">
        <v>177</v>
      </c>
      <c r="F6" s="177">
        <f t="shared" si="0"/>
        <v>1.6505107646781474E-2</v>
      </c>
      <c r="G6" s="139">
        <v>8228</v>
      </c>
      <c r="H6" s="20">
        <f>G6*Prototype!$B$16</f>
        <v>74052</v>
      </c>
      <c r="I6" s="20">
        <v>1</v>
      </c>
      <c r="J6" s="20">
        <f t="shared" si="1"/>
        <v>0</v>
      </c>
      <c r="K6" s="23">
        <v>0</v>
      </c>
      <c r="L6" s="178"/>
      <c r="N6" s="113"/>
      <c r="O6" s="113"/>
      <c r="P6" s="113"/>
      <c r="Q6" s="113"/>
      <c r="R6" s="113"/>
      <c r="S6" s="113"/>
      <c r="T6" s="113"/>
      <c r="U6" s="113"/>
      <c r="V6" s="113"/>
      <c r="W6" s="113"/>
      <c r="X6" s="113"/>
      <c r="Y6" s="113"/>
      <c r="Z6" s="113"/>
      <c r="AA6" s="113"/>
      <c r="AB6" s="113"/>
      <c r="AC6" s="113"/>
      <c r="AD6" s="113"/>
    </row>
    <row r="7" spans="1:30" ht="16.2" customHeight="1" x14ac:dyDescent="0.3">
      <c r="A7" s="245" t="s">
        <v>184</v>
      </c>
      <c r="B7" s="245" t="s">
        <v>185</v>
      </c>
      <c r="C7" s="245" t="s">
        <v>175</v>
      </c>
      <c r="D7" s="245" t="s">
        <v>176</v>
      </c>
      <c r="E7" s="20" t="s">
        <v>177</v>
      </c>
      <c r="F7" s="177">
        <f t="shared" si="0"/>
        <v>1.5963496190214751E-2</v>
      </c>
      <c r="G7" s="139">
        <v>7958</v>
      </c>
      <c r="H7" s="20">
        <f>G7*Prototype!$B$16</f>
        <v>71622</v>
      </c>
      <c r="I7" s="20">
        <v>1</v>
      </c>
      <c r="J7" s="20">
        <f t="shared" si="1"/>
        <v>0</v>
      </c>
      <c r="K7" s="23">
        <v>0</v>
      </c>
      <c r="L7" s="178"/>
      <c r="N7" s="113"/>
      <c r="O7" s="113"/>
      <c r="P7" s="113"/>
      <c r="Q7" s="113"/>
      <c r="R7" s="113"/>
      <c r="S7" s="113"/>
      <c r="T7" s="113"/>
      <c r="U7" s="113"/>
      <c r="V7" s="113"/>
      <c r="W7" s="113"/>
      <c r="X7" s="113"/>
      <c r="Y7" s="113"/>
      <c r="Z7" s="113"/>
      <c r="AA7" s="113"/>
      <c r="AB7" s="113"/>
      <c r="AC7" s="113"/>
      <c r="AD7" s="113"/>
    </row>
    <row r="8" spans="1:30" ht="16.5" customHeight="1" x14ac:dyDescent="0.3">
      <c r="A8" s="245" t="s">
        <v>186</v>
      </c>
      <c r="B8" s="246" t="s">
        <v>187</v>
      </c>
      <c r="C8" s="245" t="s">
        <v>175</v>
      </c>
      <c r="D8" s="246" t="s">
        <v>176</v>
      </c>
      <c r="E8" s="20" t="s">
        <v>177</v>
      </c>
      <c r="F8" s="177">
        <f t="shared" si="0"/>
        <v>1.1628598569323311E-3</v>
      </c>
      <c r="G8" s="291">
        <v>579.70000000000005</v>
      </c>
      <c r="H8" s="20">
        <f>G8*Prototype!$B$16</f>
        <v>5217.3</v>
      </c>
      <c r="I8" s="20">
        <v>1</v>
      </c>
      <c r="J8" s="20">
        <f t="shared" si="1"/>
        <v>19.130100000000002</v>
      </c>
      <c r="K8" s="22">
        <v>33</v>
      </c>
      <c r="L8" s="178"/>
      <c r="N8" s="113"/>
      <c r="O8" s="113"/>
      <c r="P8" s="113"/>
      <c r="Q8" s="113"/>
      <c r="R8" s="113"/>
      <c r="S8" s="113"/>
      <c r="T8" s="113"/>
      <c r="U8" s="113"/>
      <c r="V8" s="113"/>
      <c r="W8" s="113"/>
      <c r="X8" s="113"/>
      <c r="Y8" s="113"/>
      <c r="Z8" s="113"/>
      <c r="AA8" s="113"/>
      <c r="AB8" s="113"/>
      <c r="AC8" s="113"/>
      <c r="AD8" s="113"/>
    </row>
    <row r="9" spans="1:30" ht="19.2" customHeight="1" x14ac:dyDescent="0.3">
      <c r="A9" s="245" t="s">
        <v>188</v>
      </c>
      <c r="B9" s="246" t="s">
        <v>189</v>
      </c>
      <c r="C9" s="245" t="s">
        <v>175</v>
      </c>
      <c r="D9" s="246" t="s">
        <v>176</v>
      </c>
      <c r="E9" s="20" t="s">
        <v>177</v>
      </c>
      <c r="F9" s="177">
        <f t="shared" si="0"/>
        <v>1.9518072119978577E-3</v>
      </c>
      <c r="G9" s="139">
        <v>973</v>
      </c>
      <c r="H9" s="20">
        <f>G9*Prototype!$B$16</f>
        <v>8757</v>
      </c>
      <c r="I9" s="20">
        <v>1</v>
      </c>
      <c r="J9" s="20">
        <f t="shared" si="1"/>
        <v>32.109000000000002</v>
      </c>
      <c r="K9" s="23">
        <v>33</v>
      </c>
      <c r="L9" s="178"/>
      <c r="N9" s="113"/>
      <c r="O9" s="113"/>
      <c r="P9" s="113"/>
      <c r="Q9" s="113"/>
      <c r="R9" s="113"/>
      <c r="S9" s="113"/>
      <c r="T9" s="113"/>
      <c r="U9" s="113"/>
      <c r="V9" s="113"/>
      <c r="W9" s="113"/>
      <c r="X9" s="113"/>
      <c r="Y9" s="113"/>
      <c r="Z9" s="113"/>
      <c r="AA9" s="113"/>
      <c r="AB9" s="113"/>
      <c r="AC9" s="113"/>
      <c r="AD9" s="113"/>
    </row>
    <row r="10" spans="1:30" ht="17.7" customHeight="1" x14ac:dyDescent="0.3">
      <c r="A10" s="245" t="s">
        <v>190</v>
      </c>
      <c r="B10" s="245" t="s">
        <v>191</v>
      </c>
      <c r="C10" s="245" t="s">
        <v>175</v>
      </c>
      <c r="D10" s="245" t="s">
        <v>176</v>
      </c>
      <c r="E10" s="20" t="s">
        <v>177</v>
      </c>
      <c r="F10" s="177">
        <f t="shared" si="0"/>
        <v>2.4693470482727267E-3</v>
      </c>
      <c r="G10" s="139">
        <v>1231</v>
      </c>
      <c r="H10" s="20">
        <f>G10*Prototype!$B$16</f>
        <v>11079</v>
      </c>
      <c r="I10" s="20">
        <v>1</v>
      </c>
      <c r="J10" s="20">
        <f t="shared" si="1"/>
        <v>0</v>
      </c>
      <c r="K10" s="23">
        <v>0</v>
      </c>
      <c r="L10" s="178"/>
      <c r="N10" s="113"/>
      <c r="O10" s="113"/>
      <c r="P10" s="113"/>
      <c r="Q10" s="113"/>
      <c r="R10" s="113"/>
      <c r="S10" s="113"/>
      <c r="T10" s="113"/>
      <c r="U10" s="113"/>
      <c r="V10" s="113"/>
      <c r="W10" s="113"/>
      <c r="X10" s="113"/>
      <c r="Y10" s="113"/>
      <c r="Z10" s="113"/>
      <c r="AA10" s="113"/>
      <c r="AB10" s="113"/>
      <c r="AC10" s="113"/>
      <c r="AD10" s="113"/>
    </row>
    <row r="11" spans="1:30" ht="17.7" customHeight="1" x14ac:dyDescent="0.3">
      <c r="A11" s="245" t="s">
        <v>192</v>
      </c>
      <c r="B11" s="245" t="s">
        <v>193</v>
      </c>
      <c r="C11" s="245" t="s">
        <v>175</v>
      </c>
      <c r="D11" s="245" t="s">
        <v>176</v>
      </c>
      <c r="E11" s="20" t="s">
        <v>177</v>
      </c>
      <c r="F11" s="177">
        <f t="shared" si="0"/>
        <v>1.9778848006473666E-3</v>
      </c>
      <c r="G11" s="139">
        <v>986</v>
      </c>
      <c r="H11" s="20">
        <f>G11*Prototype!$B$16</f>
        <v>8874</v>
      </c>
      <c r="I11" s="20">
        <v>1</v>
      </c>
      <c r="J11" s="20">
        <f t="shared" si="1"/>
        <v>0</v>
      </c>
      <c r="K11" s="23">
        <v>0</v>
      </c>
      <c r="L11" s="178"/>
      <c r="N11" s="113"/>
      <c r="O11" s="113"/>
      <c r="P11" s="113"/>
      <c r="Q11" s="113"/>
      <c r="R11" s="113"/>
      <c r="S11" s="113"/>
      <c r="T11" s="113"/>
      <c r="U11" s="113"/>
      <c r="V11" s="113"/>
      <c r="W11" s="113"/>
      <c r="X11" s="113"/>
      <c r="Y11" s="113"/>
      <c r="Z11" s="113"/>
      <c r="AA11" s="113"/>
      <c r="AB11" s="113"/>
      <c r="AC11" s="113"/>
      <c r="AD11" s="113"/>
    </row>
    <row r="12" spans="1:30" ht="49.2" customHeight="1" x14ac:dyDescent="0.3">
      <c r="A12" s="245" t="s">
        <v>194</v>
      </c>
      <c r="B12" s="245" t="s">
        <v>195</v>
      </c>
      <c r="C12" s="245" t="s">
        <v>175</v>
      </c>
      <c r="D12" s="245" t="s">
        <v>176</v>
      </c>
      <c r="E12" s="20" t="s">
        <v>177</v>
      </c>
      <c r="F12" s="177">
        <f t="shared" si="0"/>
        <v>1.4182196288617527E-3</v>
      </c>
      <c r="G12" s="139">
        <v>707</v>
      </c>
      <c r="H12" s="20">
        <f>G12*Prototype!$B$16</f>
        <v>6363</v>
      </c>
      <c r="I12" s="20">
        <v>1</v>
      </c>
      <c r="J12" s="20">
        <f t="shared" si="1"/>
        <v>7.07</v>
      </c>
      <c r="K12" s="243">
        <v>10</v>
      </c>
      <c r="L12" s="244" t="s">
        <v>196</v>
      </c>
      <c r="N12" s="113"/>
      <c r="O12" s="113"/>
      <c r="P12" s="113"/>
      <c r="Q12" s="113"/>
      <c r="R12" s="113"/>
      <c r="S12" s="113"/>
      <c r="T12" s="113"/>
      <c r="U12" s="113"/>
      <c r="V12" s="113"/>
      <c r="W12" s="113"/>
      <c r="X12" s="113"/>
      <c r="Y12" s="113"/>
      <c r="Z12" s="113"/>
      <c r="AA12" s="113"/>
      <c r="AB12" s="113"/>
      <c r="AC12" s="113"/>
      <c r="AD12" s="113"/>
    </row>
    <row r="13" spans="1:30" ht="17.7" customHeight="1" x14ac:dyDescent="0.3">
      <c r="A13" s="245" t="s">
        <v>197</v>
      </c>
      <c r="B13" s="274" t="s">
        <v>198</v>
      </c>
      <c r="C13" s="245" t="s">
        <v>175</v>
      </c>
      <c r="D13" s="245" t="s">
        <v>176</v>
      </c>
      <c r="E13" s="20" t="s">
        <v>177</v>
      </c>
      <c r="F13" s="177">
        <f t="shared" si="0"/>
        <v>1.8876162245529129E-3</v>
      </c>
      <c r="G13" s="139">
        <v>941</v>
      </c>
      <c r="H13" s="20">
        <f>G13*Prototype!$B$16</f>
        <v>8469</v>
      </c>
      <c r="I13" s="20">
        <v>1</v>
      </c>
      <c r="J13" s="20">
        <f t="shared" si="1"/>
        <v>0</v>
      </c>
      <c r="K13" s="23">
        <v>0</v>
      </c>
      <c r="L13" s="178"/>
      <c r="N13" s="113"/>
      <c r="O13" s="113"/>
      <c r="P13" s="113"/>
      <c r="Q13" s="113"/>
      <c r="R13" s="113"/>
      <c r="S13" s="113"/>
      <c r="T13" s="113"/>
      <c r="U13" s="113"/>
      <c r="V13" s="113"/>
      <c r="W13" s="113"/>
      <c r="X13" s="113"/>
      <c r="Y13" s="113"/>
      <c r="Z13" s="113"/>
      <c r="AA13" s="113"/>
      <c r="AB13" s="113"/>
      <c r="AC13" s="113"/>
      <c r="AD13" s="113"/>
    </row>
    <row r="14" spans="1:30" ht="17.7" customHeight="1" x14ac:dyDescent="0.3">
      <c r="A14" s="245" t="s">
        <v>199</v>
      </c>
      <c r="B14" s="245" t="s">
        <v>200</v>
      </c>
      <c r="C14" s="245" t="s">
        <v>175</v>
      </c>
      <c r="D14" s="245" t="s">
        <v>176</v>
      </c>
      <c r="E14" s="20" t="s">
        <v>177</v>
      </c>
      <c r="F14" s="177">
        <f t="shared" si="0"/>
        <v>5.2736908122737593E-4</v>
      </c>
      <c r="G14" s="291">
        <v>262.89999999999998</v>
      </c>
      <c r="H14" s="20">
        <f>G14*Prototype!$B$16</f>
        <v>2366.1</v>
      </c>
      <c r="I14" s="20">
        <v>1</v>
      </c>
      <c r="J14" s="20">
        <f t="shared" si="1"/>
        <v>1.3145</v>
      </c>
      <c r="K14" s="21">
        <v>5</v>
      </c>
      <c r="L14" s="178"/>
      <c r="N14" s="113"/>
      <c r="O14" s="113"/>
      <c r="P14" s="113"/>
      <c r="Q14" s="113"/>
      <c r="R14" s="113"/>
      <c r="S14" s="113"/>
      <c r="T14" s="113"/>
      <c r="U14" s="113"/>
      <c r="V14" s="113"/>
      <c r="W14" s="113"/>
      <c r="X14" s="113"/>
      <c r="Y14" s="113"/>
      <c r="Z14" s="113"/>
      <c r="AA14" s="113"/>
      <c r="AB14" s="113"/>
      <c r="AC14" s="113"/>
      <c r="AD14" s="113"/>
    </row>
    <row r="15" spans="1:30" ht="17.7" customHeight="1" x14ac:dyDescent="0.3">
      <c r="A15" s="245" t="s">
        <v>201</v>
      </c>
      <c r="B15" s="245" t="s">
        <v>200</v>
      </c>
      <c r="C15" s="245" t="s">
        <v>175</v>
      </c>
      <c r="D15" s="245" t="s">
        <v>176</v>
      </c>
      <c r="E15" s="20" t="s">
        <v>177</v>
      </c>
      <c r="F15" s="177">
        <f t="shared" si="0"/>
        <v>1.4101957554311347E-3</v>
      </c>
      <c r="G15" s="291">
        <v>703</v>
      </c>
      <c r="H15" s="20">
        <f>G15*Prototype!$B$16</f>
        <v>6327</v>
      </c>
      <c r="I15" s="20">
        <v>1</v>
      </c>
      <c r="J15" s="20">
        <f t="shared" si="1"/>
        <v>3.5150000000000001</v>
      </c>
      <c r="K15" s="21">
        <v>5</v>
      </c>
      <c r="L15" s="178"/>
      <c r="N15" s="113"/>
      <c r="O15" s="113"/>
      <c r="P15" s="113"/>
      <c r="Q15" s="113"/>
      <c r="R15" s="113"/>
      <c r="S15" s="113"/>
      <c r="T15" s="113"/>
      <c r="U15" s="113"/>
      <c r="V15" s="113"/>
      <c r="W15" s="113"/>
      <c r="X15" s="113"/>
      <c r="Y15" s="113"/>
      <c r="Z15" s="113"/>
      <c r="AA15" s="113"/>
      <c r="AB15" s="113"/>
      <c r="AC15" s="113"/>
      <c r="AD15" s="113"/>
    </row>
    <row r="16" spans="1:30" ht="17.7" customHeight="1" x14ac:dyDescent="0.3">
      <c r="A16" s="247" t="s">
        <v>202</v>
      </c>
      <c r="B16" s="247" t="s">
        <v>174</v>
      </c>
      <c r="C16" s="247" t="s">
        <v>203</v>
      </c>
      <c r="D16" s="247" t="s">
        <v>176</v>
      </c>
      <c r="E16" s="145" t="s">
        <v>177</v>
      </c>
      <c r="F16" s="179">
        <f t="shared" si="0"/>
        <v>1.4103963522669001E-2</v>
      </c>
      <c r="G16" s="146">
        <v>7031</v>
      </c>
      <c r="H16" s="145">
        <f>G16*Prototype!$B$16</f>
        <v>63279</v>
      </c>
      <c r="I16" s="145">
        <v>1</v>
      </c>
      <c r="J16" s="145">
        <f t="shared" ref="J16:J31" si="2">IFERROR(K16*G16/1000,"")</f>
        <v>35.155000000000001</v>
      </c>
      <c r="K16" s="147">
        <f>$K$3</f>
        <v>5</v>
      </c>
      <c r="L16" s="178"/>
      <c r="N16" s="113"/>
      <c r="O16" s="113"/>
      <c r="P16" s="113"/>
      <c r="Q16" s="113"/>
      <c r="R16" s="113"/>
      <c r="S16" s="113"/>
      <c r="T16" s="113"/>
      <c r="U16" s="113"/>
      <c r="V16" s="113"/>
      <c r="W16" s="113"/>
      <c r="X16" s="113"/>
      <c r="Y16" s="113"/>
      <c r="Z16" s="113"/>
      <c r="AA16" s="113"/>
      <c r="AB16" s="113"/>
      <c r="AC16" s="113"/>
      <c r="AD16" s="113"/>
    </row>
    <row r="17" spans="1:39" ht="17.7" customHeight="1" x14ac:dyDescent="0.3">
      <c r="A17" s="247" t="s">
        <v>204</v>
      </c>
      <c r="B17" s="247" t="s">
        <v>174</v>
      </c>
      <c r="C17" s="247" t="s">
        <v>203</v>
      </c>
      <c r="D17" s="247" t="s">
        <v>176</v>
      </c>
      <c r="E17" s="145" t="s">
        <v>177</v>
      </c>
      <c r="F17" s="179">
        <f t="shared" si="0"/>
        <v>1.162611116855982E-2</v>
      </c>
      <c r="G17" s="146">
        <v>5795.76</v>
      </c>
      <c r="H17" s="145">
        <f>G17*Prototype!$B$16</f>
        <v>52161.840000000004</v>
      </c>
      <c r="I17" s="145">
        <v>1</v>
      </c>
      <c r="J17" s="145">
        <f t="shared" si="2"/>
        <v>28.978800000000003</v>
      </c>
      <c r="K17" s="147">
        <f t="shared" ref="K17:K21" si="3">$K$3</f>
        <v>5</v>
      </c>
      <c r="L17" s="178"/>
      <c r="N17" s="41"/>
      <c r="O17" s="113"/>
      <c r="P17" s="113"/>
      <c r="Q17" s="113"/>
      <c r="R17" s="113"/>
      <c r="S17" s="113"/>
      <c r="T17" s="113"/>
      <c r="U17" s="113"/>
      <c r="V17" s="113"/>
      <c r="W17" s="113"/>
      <c r="X17" s="113"/>
      <c r="Y17" s="113"/>
      <c r="Z17" s="113"/>
      <c r="AA17" s="113"/>
      <c r="AB17" s="113"/>
      <c r="AC17" s="113"/>
      <c r="AD17" s="113"/>
    </row>
    <row r="18" spans="1:39" ht="17.7" customHeight="1" x14ac:dyDescent="0.3">
      <c r="A18" s="247" t="s">
        <v>205</v>
      </c>
      <c r="B18" s="247" t="s">
        <v>174</v>
      </c>
      <c r="C18" s="247" t="s">
        <v>203</v>
      </c>
      <c r="D18" s="247" t="s">
        <v>176</v>
      </c>
      <c r="E18" s="145" t="s">
        <v>177</v>
      </c>
      <c r="F18" s="179">
        <f t="shared" si="0"/>
        <v>1.1786026966032037E-2</v>
      </c>
      <c r="G18" s="146">
        <v>5875.48</v>
      </c>
      <c r="H18" s="145">
        <f>G18*Prototype!$B$16</f>
        <v>52879.319999999992</v>
      </c>
      <c r="I18" s="145">
        <v>1</v>
      </c>
      <c r="J18" s="145">
        <f t="shared" si="2"/>
        <v>29.377399999999998</v>
      </c>
      <c r="K18" s="147">
        <f t="shared" si="3"/>
        <v>5</v>
      </c>
      <c r="L18" s="178"/>
      <c r="N18" s="41"/>
      <c r="O18" s="113"/>
      <c r="P18" s="113"/>
      <c r="Q18" s="113"/>
      <c r="R18" s="113"/>
      <c r="S18" s="113"/>
      <c r="T18" s="113"/>
      <c r="U18" s="113"/>
      <c r="V18" s="113"/>
      <c r="W18" s="113"/>
      <c r="X18" s="113"/>
      <c r="Y18" s="113"/>
      <c r="Z18" s="113"/>
      <c r="AA18" s="113"/>
      <c r="AB18" s="113"/>
      <c r="AC18" s="113"/>
      <c r="AD18" s="113"/>
    </row>
    <row r="19" spans="1:39" ht="15.6" customHeight="1" x14ac:dyDescent="0.3">
      <c r="A19" s="247" t="s">
        <v>206</v>
      </c>
      <c r="B19" s="247" t="s">
        <v>174</v>
      </c>
      <c r="C19" s="247" t="s">
        <v>203</v>
      </c>
      <c r="D19" s="247" t="s">
        <v>176</v>
      </c>
      <c r="E19" s="145" t="s">
        <v>177</v>
      </c>
      <c r="F19" s="179">
        <f t="shared" si="0"/>
        <v>1.8402352519451127E-3</v>
      </c>
      <c r="G19" s="146">
        <v>917.38</v>
      </c>
      <c r="H19" s="145">
        <f>G19*Prototype!$B$16</f>
        <v>8256.42</v>
      </c>
      <c r="I19" s="145">
        <v>1</v>
      </c>
      <c r="J19" s="145">
        <f t="shared" si="2"/>
        <v>4.5869</v>
      </c>
      <c r="K19" s="147">
        <f t="shared" si="3"/>
        <v>5</v>
      </c>
      <c r="L19" s="178"/>
      <c r="N19" s="113"/>
      <c r="O19" s="180"/>
      <c r="P19" s="180"/>
      <c r="Q19" s="180"/>
      <c r="R19" s="180"/>
      <c r="S19" s="180"/>
      <c r="T19" s="180"/>
      <c r="U19" s="180"/>
      <c r="V19" s="180"/>
      <c r="W19" s="180"/>
      <c r="X19" s="180"/>
      <c r="Y19" s="180"/>
      <c r="Z19" s="180"/>
      <c r="AA19" s="180"/>
      <c r="AB19" s="180"/>
      <c r="AC19" s="180"/>
      <c r="AD19" s="180"/>
    </row>
    <row r="20" spans="1:39" ht="18" x14ac:dyDescent="0.3">
      <c r="A20" s="247" t="s">
        <v>207</v>
      </c>
      <c r="B20" s="247" t="s">
        <v>174</v>
      </c>
      <c r="C20" s="247" t="s">
        <v>203</v>
      </c>
      <c r="D20" s="247" t="s">
        <v>176</v>
      </c>
      <c r="E20" s="145" t="s">
        <v>177</v>
      </c>
      <c r="F20" s="179">
        <f t="shared" si="0"/>
        <v>2.267967884847788E-3</v>
      </c>
      <c r="G20" s="146">
        <v>1130.6099999999999</v>
      </c>
      <c r="H20" s="145">
        <f>G20*Prototype!$B$16</f>
        <v>10175.49</v>
      </c>
      <c r="I20" s="145">
        <v>1</v>
      </c>
      <c r="J20" s="145">
        <f t="shared" si="2"/>
        <v>5.6530499999999995</v>
      </c>
      <c r="K20" s="147">
        <f t="shared" si="3"/>
        <v>5</v>
      </c>
      <c r="L20" s="178"/>
      <c r="N20" s="576" t="s">
        <v>208</v>
      </c>
      <c r="O20" s="576"/>
      <c r="P20" s="576"/>
      <c r="Q20" s="576"/>
      <c r="R20" s="140"/>
      <c r="S20" s="181"/>
      <c r="T20" s="576" t="s">
        <v>209</v>
      </c>
      <c r="U20" s="576"/>
      <c r="V20" s="576"/>
      <c r="W20" s="181"/>
      <c r="X20" s="181"/>
      <c r="Y20" s="576" t="s">
        <v>210</v>
      </c>
      <c r="Z20" s="576"/>
      <c r="AA20" s="576"/>
      <c r="AB20" s="576"/>
      <c r="AC20" s="181"/>
      <c r="AD20" s="294"/>
    </row>
    <row r="21" spans="1:39" ht="17.7" customHeight="1" x14ac:dyDescent="0.3">
      <c r="A21" s="247" t="s">
        <v>211</v>
      </c>
      <c r="B21" s="247" t="s">
        <v>174</v>
      </c>
      <c r="C21" s="247" t="s">
        <v>203</v>
      </c>
      <c r="D21" s="247" t="s">
        <v>176</v>
      </c>
      <c r="E21" s="145" t="s">
        <v>177</v>
      </c>
      <c r="F21" s="179">
        <f t="shared" si="0"/>
        <v>6.6437672005518035E-3</v>
      </c>
      <c r="G21" s="146">
        <v>3312</v>
      </c>
      <c r="H21" s="145">
        <f>G21*Prototype!$B$16</f>
        <v>29808</v>
      </c>
      <c r="I21" s="145">
        <v>1</v>
      </c>
      <c r="J21" s="145">
        <f t="shared" si="2"/>
        <v>16.559999999999999</v>
      </c>
      <c r="K21" s="147">
        <f t="shared" si="3"/>
        <v>5</v>
      </c>
      <c r="L21" s="178"/>
      <c r="N21" s="41"/>
      <c r="R21" s="3"/>
      <c r="T21" s="182"/>
      <c r="U21" s="182"/>
      <c r="V21" s="182"/>
      <c r="W21" s="182"/>
      <c r="X21" s="254"/>
      <c r="Z21" s="182"/>
      <c r="AA21" s="182"/>
      <c r="AB21" s="182"/>
      <c r="AC21" s="182"/>
      <c r="AD21" s="182"/>
      <c r="AE21" s="525"/>
      <c r="AF21" s="525"/>
      <c r="AH21" s="525"/>
      <c r="AI21" s="525"/>
      <c r="AK21" s="525"/>
      <c r="AL21" s="525"/>
    </row>
    <row r="22" spans="1:39" ht="17.7" customHeight="1" thickBot="1" x14ac:dyDescent="0.35">
      <c r="A22" s="247" t="s">
        <v>212</v>
      </c>
      <c r="B22" s="247" t="s">
        <v>213</v>
      </c>
      <c r="C22" s="247" t="s">
        <v>214</v>
      </c>
      <c r="D22" s="247" t="s">
        <v>183</v>
      </c>
      <c r="E22" s="145" t="s">
        <v>177</v>
      </c>
      <c r="F22" s="179">
        <f t="shared" si="0"/>
        <v>8.3837441539813431E-4</v>
      </c>
      <c r="G22" s="146">
        <v>417.94</v>
      </c>
      <c r="H22" s="145">
        <f>G22*Prototype!$B$16</f>
        <v>3761.46</v>
      </c>
      <c r="I22" s="145">
        <v>1</v>
      </c>
      <c r="J22" s="145">
        <f t="shared" si="2"/>
        <v>0</v>
      </c>
      <c r="K22" s="148">
        <v>0</v>
      </c>
      <c r="L22" s="178"/>
      <c r="N22" s="41"/>
      <c r="O22" s="275" t="s">
        <v>215</v>
      </c>
      <c r="P22" s="195" t="s">
        <v>216</v>
      </c>
      <c r="Q22" s="196" t="s">
        <v>217</v>
      </c>
      <c r="R22" s="41"/>
      <c r="S22" s="41"/>
      <c r="T22" s="194" t="s">
        <v>218</v>
      </c>
      <c r="U22" s="195" t="s">
        <v>216</v>
      </c>
      <c r="V22" s="196" t="s">
        <v>217</v>
      </c>
      <c r="W22" s="41"/>
      <c r="X22" s="451"/>
      <c r="Y22" s="194" t="s">
        <v>219</v>
      </c>
      <c r="Z22" s="195" t="s">
        <v>216</v>
      </c>
      <c r="AA22" s="196" t="s">
        <v>217</v>
      </c>
      <c r="AC22" s="41"/>
      <c r="AD22" s="41"/>
      <c r="AE22" s="525"/>
      <c r="AF22" s="525"/>
      <c r="AH22" s="525"/>
      <c r="AI22" s="525"/>
      <c r="AK22" s="525"/>
      <c r="AL22" s="525"/>
    </row>
    <row r="23" spans="1:39" ht="17.7" customHeight="1" thickTop="1" thickBot="1" x14ac:dyDescent="0.35">
      <c r="A23" s="247" t="s">
        <v>220</v>
      </c>
      <c r="B23" s="247" t="s">
        <v>185</v>
      </c>
      <c r="C23" s="247" t="s">
        <v>203</v>
      </c>
      <c r="D23" s="247" t="s">
        <v>176</v>
      </c>
      <c r="E23" s="145" t="s">
        <v>177</v>
      </c>
      <c r="F23" s="179">
        <f t="shared" si="0"/>
        <v>1.703067135648696E-3</v>
      </c>
      <c r="G23" s="146">
        <v>849</v>
      </c>
      <c r="H23" s="145">
        <f>G23*Prototype!$B$16</f>
        <v>7641</v>
      </c>
      <c r="I23" s="145">
        <v>1</v>
      </c>
      <c r="J23" s="145">
        <f t="shared" si="2"/>
        <v>0</v>
      </c>
      <c r="K23" s="148">
        <v>0</v>
      </c>
      <c r="L23" s="178"/>
      <c r="N23" s="41"/>
      <c r="O23" s="276" t="s">
        <v>221</v>
      </c>
      <c r="P23" s="281">
        <f>G3+G4</f>
        <v>12079.04</v>
      </c>
      <c r="Q23" s="283">
        <f>P23/$P$36</f>
        <v>0.31494381143587208</v>
      </c>
      <c r="S23" s="452"/>
      <c r="T23" s="276" t="s">
        <v>221</v>
      </c>
      <c r="U23" s="141">
        <f>G17+G18+G16</f>
        <v>18702.239999999998</v>
      </c>
      <c r="V23" s="279">
        <f>U23/$P$36</f>
        <v>0.48763434411910406</v>
      </c>
      <c r="W23" s="262"/>
      <c r="X23" s="250"/>
      <c r="Y23" s="276" t="s">
        <v>221</v>
      </c>
      <c r="Z23" s="141">
        <f>G36+G37+G38+G39</f>
        <v>21287.86</v>
      </c>
      <c r="AA23" s="283">
        <f>Z23/$P$36</f>
        <v>0.55505071311240317</v>
      </c>
      <c r="AB23" s="262"/>
      <c r="AC23" s="451"/>
      <c r="AD23" s="41"/>
      <c r="AF23" s="255"/>
      <c r="AI23" s="255"/>
      <c r="AJ23" s="295"/>
      <c r="AL23" s="255"/>
      <c r="AM23" s="255"/>
    </row>
    <row r="24" spans="1:39" ht="17.7" customHeight="1" thickBot="1" x14ac:dyDescent="0.35">
      <c r="A24" s="247" t="s">
        <v>222</v>
      </c>
      <c r="B24" s="247" t="s">
        <v>187</v>
      </c>
      <c r="C24" s="247" t="s">
        <v>203</v>
      </c>
      <c r="D24" s="247" t="s">
        <v>176</v>
      </c>
      <c r="E24" s="145" t="s">
        <v>177</v>
      </c>
      <c r="F24" s="179">
        <f t="shared" si="0"/>
        <v>1.5847150025470789E-3</v>
      </c>
      <c r="G24" s="146">
        <v>790</v>
      </c>
      <c r="H24" s="145">
        <f>G24*Prototype!$B$16</f>
        <v>7110</v>
      </c>
      <c r="I24" s="145">
        <v>1</v>
      </c>
      <c r="J24" s="145">
        <f t="shared" si="2"/>
        <v>26.07</v>
      </c>
      <c r="K24" s="147">
        <v>33</v>
      </c>
      <c r="L24" s="178"/>
      <c r="N24" s="41"/>
      <c r="O24" s="277" t="s">
        <v>223</v>
      </c>
      <c r="P24" s="282">
        <f>G5</f>
        <v>3703.68</v>
      </c>
      <c r="Q24" s="284">
        <f t="shared" ref="Q24:Q34" si="4">P24/$P$36</f>
        <v>9.656819544755299E-2</v>
      </c>
      <c r="S24" s="452"/>
      <c r="T24" s="277" t="s">
        <v>223</v>
      </c>
      <c r="U24" s="142">
        <f>G21</f>
        <v>3312</v>
      </c>
      <c r="V24" s="280">
        <f t="shared" ref="V24:V35" si="5">U24/$P$36</f>
        <v>8.635569577347274E-2</v>
      </c>
      <c r="W24" s="262"/>
      <c r="X24" s="250"/>
      <c r="Y24" s="277" t="s">
        <v>223</v>
      </c>
      <c r="Z24" s="142">
        <f>G44</f>
        <v>3233</v>
      </c>
      <c r="AA24" s="284">
        <f t="shared" ref="AA24:AA34" si="6">Z24/$P$36</f>
        <v>8.4295882981774567E-2</v>
      </c>
      <c r="AB24" s="262"/>
      <c r="AC24" s="41"/>
      <c r="AD24" s="269"/>
      <c r="AF24" s="255"/>
      <c r="AI24" s="255"/>
      <c r="AJ24" s="295"/>
      <c r="AL24" s="255"/>
      <c r="AM24" s="255"/>
    </row>
    <row r="25" spans="1:39" ht="17.7" customHeight="1" thickTop="1" thickBot="1" x14ac:dyDescent="0.35">
      <c r="A25" s="247" t="s">
        <v>224</v>
      </c>
      <c r="B25" s="247" t="s">
        <v>189</v>
      </c>
      <c r="C25" s="247" t="s">
        <v>203</v>
      </c>
      <c r="D25" s="247" t="s">
        <v>176</v>
      </c>
      <c r="E25" s="145" t="s">
        <v>177</v>
      </c>
      <c r="F25" s="179">
        <f t="shared" si="0"/>
        <v>1.2397887434483822E-3</v>
      </c>
      <c r="G25" s="146">
        <v>618.04999999999995</v>
      </c>
      <c r="H25" s="145">
        <f>G25*Prototype!$B$16</f>
        <v>5562.45</v>
      </c>
      <c r="I25" s="145">
        <v>1</v>
      </c>
      <c r="J25" s="145">
        <f t="shared" si="2"/>
        <v>20.395649999999996</v>
      </c>
      <c r="K25" s="147">
        <v>33</v>
      </c>
      <c r="L25" s="178"/>
      <c r="N25" s="41"/>
      <c r="O25" s="276" t="s">
        <v>225</v>
      </c>
      <c r="P25" s="141" t="s">
        <v>226</v>
      </c>
      <c r="Q25" s="283" t="s">
        <v>226</v>
      </c>
      <c r="S25" s="452"/>
      <c r="T25" s="286" t="s">
        <v>225</v>
      </c>
      <c r="U25" s="143">
        <f>G20+G19</f>
        <v>2047.9899999999998</v>
      </c>
      <c r="V25" s="279">
        <f t="shared" si="5"/>
        <v>5.339843037050556E-2</v>
      </c>
      <c r="W25" s="262"/>
      <c r="X25" s="251"/>
      <c r="Y25" s="286" t="s">
        <v>225</v>
      </c>
      <c r="Z25" s="143">
        <f>G40+G41+G42+G43</f>
        <v>4092.56</v>
      </c>
      <c r="AA25" s="283">
        <f t="shared" si="6"/>
        <v>0.10670768909863634</v>
      </c>
      <c r="AB25" s="262"/>
      <c r="AC25" s="41"/>
      <c r="AD25" s="270"/>
      <c r="AF25" s="255"/>
      <c r="AI25" s="255"/>
      <c r="AJ25" s="295"/>
      <c r="AL25" s="255"/>
      <c r="AM25" s="255"/>
    </row>
    <row r="26" spans="1:39" ht="17.399999999999999" customHeight="1" thickBot="1" x14ac:dyDescent="0.35">
      <c r="A26" s="247" t="s">
        <v>227</v>
      </c>
      <c r="B26" s="247" t="s">
        <v>228</v>
      </c>
      <c r="C26" s="247" t="s">
        <v>203</v>
      </c>
      <c r="D26" s="247" t="s">
        <v>176</v>
      </c>
      <c r="E26" s="145" t="s">
        <v>177</v>
      </c>
      <c r="F26" s="179">
        <f t="shared" si="0"/>
        <v>1.8794719930208354E-3</v>
      </c>
      <c r="G26" s="146">
        <v>936.94</v>
      </c>
      <c r="H26" s="145">
        <f>G26*Prototype!$B$16</f>
        <v>8432.4600000000009</v>
      </c>
      <c r="I26" s="145">
        <v>1</v>
      </c>
      <c r="J26" s="145">
        <f t="shared" si="2"/>
        <v>2.8108200000000001</v>
      </c>
      <c r="K26" s="147">
        <v>3</v>
      </c>
      <c r="L26" s="178"/>
      <c r="N26" s="41"/>
      <c r="O26" s="277" t="s">
        <v>229</v>
      </c>
      <c r="P26" s="282">
        <f>G8</f>
        <v>579.70000000000005</v>
      </c>
      <c r="Q26" s="284">
        <f t="shared" si="4"/>
        <v>1.5114854118321905E-2</v>
      </c>
      <c r="S26" s="452"/>
      <c r="T26" s="277" t="s">
        <v>229</v>
      </c>
      <c r="U26" s="142">
        <f>G24</f>
        <v>790</v>
      </c>
      <c r="V26" s="280">
        <f t="shared" si="5"/>
        <v>2.0598127916981724E-2</v>
      </c>
      <c r="W26" s="262"/>
      <c r="Y26" s="277" t="s">
        <v>229</v>
      </c>
      <c r="Z26" s="142">
        <f>G47+G48+G49+G50</f>
        <v>2323.2399999999998</v>
      </c>
      <c r="AA26" s="284">
        <f t="shared" si="6"/>
        <v>6.057518316689698E-2</v>
      </c>
      <c r="AB26" s="262"/>
      <c r="AC26" s="41"/>
      <c r="AD26" s="41"/>
      <c r="AF26" s="255"/>
      <c r="AI26" s="255"/>
      <c r="AJ26" s="295"/>
      <c r="AL26" s="255"/>
      <c r="AM26" s="255"/>
    </row>
    <row r="27" spans="1:39" ht="17.7" customHeight="1" thickTop="1" thickBot="1" x14ac:dyDescent="0.35">
      <c r="A27" s="247" t="s">
        <v>230</v>
      </c>
      <c r="B27" s="247" t="s">
        <v>191</v>
      </c>
      <c r="C27" s="247" t="s">
        <v>203</v>
      </c>
      <c r="D27" s="247" t="s">
        <v>176</v>
      </c>
      <c r="E27" s="145" t="s">
        <v>177</v>
      </c>
      <c r="F27" s="179">
        <f t="shared" si="0"/>
        <v>1.9237637743578474E-3</v>
      </c>
      <c r="G27" s="146">
        <v>959.02</v>
      </c>
      <c r="H27" s="145">
        <f>G27*Prototype!$B$16</f>
        <v>8631.18</v>
      </c>
      <c r="I27" s="145">
        <v>1</v>
      </c>
      <c r="J27" s="145">
        <f t="shared" si="2"/>
        <v>0</v>
      </c>
      <c r="K27" s="148">
        <v>0</v>
      </c>
      <c r="L27" s="178"/>
      <c r="N27" s="41"/>
      <c r="O27" s="276" t="s">
        <v>231</v>
      </c>
      <c r="P27" s="281">
        <f>G9</f>
        <v>973</v>
      </c>
      <c r="Q27" s="283">
        <f t="shared" si="4"/>
        <v>2.5369592991421792E-2</v>
      </c>
      <c r="S27" s="452"/>
      <c r="T27" s="286" t="s">
        <v>231</v>
      </c>
      <c r="U27" s="143">
        <f>G26+G25</f>
        <v>1554.99</v>
      </c>
      <c r="V27" s="279">
        <f t="shared" si="5"/>
        <v>4.0544155607123301E-2</v>
      </c>
      <c r="W27" s="262"/>
      <c r="X27" s="451"/>
      <c r="Y27" s="286" t="s">
        <v>231</v>
      </c>
      <c r="Z27" s="143">
        <f>G51</f>
        <v>910</v>
      </c>
      <c r="AA27" s="283">
        <f t="shared" si="6"/>
        <v>2.3726957473991603E-2</v>
      </c>
      <c r="AB27" s="262"/>
      <c r="AC27" s="41"/>
      <c r="AD27" s="41"/>
      <c r="AF27" s="255"/>
      <c r="AI27" s="255"/>
      <c r="AJ27" s="295"/>
      <c r="AL27" s="255"/>
      <c r="AM27" s="255"/>
    </row>
    <row r="28" spans="1:39" ht="17.7" customHeight="1" thickBot="1" x14ac:dyDescent="0.35">
      <c r="A28" s="247" t="s">
        <v>232</v>
      </c>
      <c r="B28" s="247" t="s">
        <v>233</v>
      </c>
      <c r="C28" s="247" t="s">
        <v>203</v>
      </c>
      <c r="D28" s="247" t="s">
        <v>176</v>
      </c>
      <c r="E28" s="145" t="s">
        <v>177</v>
      </c>
      <c r="F28" s="179">
        <f t="shared" si="0"/>
        <v>3.6407723900922424E-3</v>
      </c>
      <c r="G28" s="146">
        <v>1814.97</v>
      </c>
      <c r="H28" s="145">
        <f>G28*Prototype!$B$16</f>
        <v>16334.73</v>
      </c>
      <c r="I28" s="145">
        <v>1</v>
      </c>
      <c r="J28" s="145">
        <f t="shared" si="2"/>
        <v>18.149699999999999</v>
      </c>
      <c r="K28" s="148">
        <v>10</v>
      </c>
      <c r="L28" s="178" t="s">
        <v>234</v>
      </c>
      <c r="N28" s="41"/>
      <c r="O28" s="277" t="s">
        <v>235</v>
      </c>
      <c r="P28" s="282">
        <f>G10</f>
        <v>1231</v>
      </c>
      <c r="Q28" s="284">
        <f t="shared" si="4"/>
        <v>3.2096576538993039E-2</v>
      </c>
      <c r="S28" s="452"/>
      <c r="T28" s="277" t="s">
        <v>236</v>
      </c>
      <c r="U28" s="142">
        <f>G28+G27</f>
        <v>2773.99</v>
      </c>
      <c r="V28" s="280">
        <f t="shared" si="5"/>
        <v>7.232784919041535E-2</v>
      </c>
      <c r="W28" s="262"/>
      <c r="X28" s="252"/>
      <c r="Y28" s="277" t="s">
        <v>235</v>
      </c>
      <c r="Z28" s="142">
        <f>G52</f>
        <v>738</v>
      </c>
      <c r="AA28" s="284">
        <f t="shared" si="6"/>
        <v>1.9242301775610773E-2</v>
      </c>
      <c r="AB28" s="262"/>
      <c r="AC28" s="41"/>
      <c r="AD28" s="41"/>
      <c r="AF28" s="255"/>
      <c r="AI28" s="255"/>
      <c r="AJ28" s="295"/>
      <c r="AL28" s="255"/>
      <c r="AM28" s="255"/>
    </row>
    <row r="29" spans="1:39" ht="17.7" customHeight="1" thickTop="1" thickBot="1" x14ac:dyDescent="0.35">
      <c r="A29" s="247" t="s">
        <v>237</v>
      </c>
      <c r="B29" s="247" t="s">
        <v>195</v>
      </c>
      <c r="C29" s="247" t="s">
        <v>203</v>
      </c>
      <c r="D29" s="247" t="s">
        <v>176</v>
      </c>
      <c r="E29" s="145" t="s">
        <v>177</v>
      </c>
      <c r="F29" s="179">
        <f t="shared" si="0"/>
        <v>6.741317441784544E-3</v>
      </c>
      <c r="G29" s="146">
        <v>3360.63</v>
      </c>
      <c r="H29" s="145">
        <f>G29*Prototype!$B$16</f>
        <v>30245.670000000002</v>
      </c>
      <c r="I29" s="145">
        <v>1</v>
      </c>
      <c r="J29" s="145">
        <f t="shared" si="2"/>
        <v>33.606300000000005</v>
      </c>
      <c r="K29" s="147">
        <f>K12</f>
        <v>10</v>
      </c>
      <c r="L29" s="178"/>
      <c r="N29" s="41"/>
      <c r="O29" s="276" t="s">
        <v>238</v>
      </c>
      <c r="P29" s="281">
        <f>G7</f>
        <v>7958</v>
      </c>
      <c r="Q29" s="292">
        <f t="shared" si="4"/>
        <v>0.20749354678903867</v>
      </c>
      <c r="S29" s="452"/>
      <c r="T29" s="286" t="s">
        <v>238</v>
      </c>
      <c r="U29" s="143">
        <f>G23</f>
        <v>849</v>
      </c>
      <c r="V29" s="279">
        <f t="shared" si="5"/>
        <v>2.2136469115844916E-2</v>
      </c>
      <c r="W29" s="262"/>
      <c r="X29" s="41"/>
      <c r="Y29" s="286" t="s">
        <v>238</v>
      </c>
      <c r="Z29" s="143">
        <f>G46</f>
        <v>1070</v>
      </c>
      <c r="AA29" s="283">
        <f t="shared" si="6"/>
        <v>2.7898730216671448E-2</v>
      </c>
      <c r="AB29" s="262"/>
      <c r="AC29" s="41"/>
      <c r="AD29" s="41"/>
      <c r="AF29" s="255"/>
      <c r="AI29" s="255"/>
      <c r="AJ29" s="295"/>
      <c r="AL29" s="255"/>
      <c r="AM29" s="255"/>
    </row>
    <row r="30" spans="1:39" ht="17.7" customHeight="1" thickBot="1" x14ac:dyDescent="0.35">
      <c r="A30" s="247" t="s">
        <v>239</v>
      </c>
      <c r="B30" s="247" t="s">
        <v>195</v>
      </c>
      <c r="C30" s="247" t="s">
        <v>203</v>
      </c>
      <c r="D30" s="247" t="s">
        <v>176</v>
      </c>
      <c r="E30" s="145" t="s">
        <v>177</v>
      </c>
      <c r="F30" s="179">
        <f t="shared" si="0"/>
        <v>1.3707985368867997E-3</v>
      </c>
      <c r="G30" s="146">
        <v>683.36</v>
      </c>
      <c r="H30" s="145">
        <f>G30*Prototype!$B$16</f>
        <v>6150.24</v>
      </c>
      <c r="I30" s="145">
        <v>1</v>
      </c>
      <c r="J30" s="145">
        <f t="shared" si="2"/>
        <v>6.8336000000000006</v>
      </c>
      <c r="K30" s="147">
        <f>K12</f>
        <v>10</v>
      </c>
      <c r="L30" s="178"/>
      <c r="N30" s="41"/>
      <c r="O30" s="277" t="s">
        <v>240</v>
      </c>
      <c r="P30" s="282">
        <f>G6</f>
        <v>8228</v>
      </c>
      <c r="Q30" s="284">
        <f t="shared" si="4"/>
        <v>0.2145334132923109</v>
      </c>
      <c r="S30" s="452"/>
      <c r="T30" s="277" t="s">
        <v>240</v>
      </c>
      <c r="U30" s="142">
        <f>G22</f>
        <v>417.94</v>
      </c>
      <c r="V30" s="280">
        <f t="shared" si="5"/>
        <v>1.0897191875472584E-2</v>
      </c>
      <c r="W30" s="262"/>
      <c r="X30" s="41"/>
      <c r="Y30" s="277" t="s">
        <v>240</v>
      </c>
      <c r="Z30" s="142">
        <f>G45</f>
        <v>418</v>
      </c>
      <c r="AA30" s="284">
        <f t="shared" si="6"/>
        <v>1.0898756290251088E-2</v>
      </c>
      <c r="AB30" s="262"/>
      <c r="AC30" s="41"/>
      <c r="AD30" s="41"/>
      <c r="AF30" s="255"/>
      <c r="AI30" s="255"/>
      <c r="AJ30" s="295"/>
      <c r="AL30" s="255"/>
      <c r="AM30" s="255"/>
    </row>
    <row r="31" spans="1:39" ht="17.7" customHeight="1" thickTop="1" thickBot="1" x14ac:dyDescent="0.35">
      <c r="A31" s="247" t="s">
        <v>241</v>
      </c>
      <c r="B31" s="247" t="s">
        <v>193</v>
      </c>
      <c r="C31" s="247" t="s">
        <v>203</v>
      </c>
      <c r="D31" s="247" t="s">
        <v>176</v>
      </c>
      <c r="E31" s="145" t="s">
        <v>177</v>
      </c>
      <c r="F31" s="179">
        <f t="shared" si="0"/>
        <v>2.318899421448637E-3</v>
      </c>
      <c r="G31" s="146">
        <v>1156</v>
      </c>
      <c r="H31" s="145">
        <f>G31*Prototype!$B$16</f>
        <v>10404</v>
      </c>
      <c r="I31" s="145">
        <v>1</v>
      </c>
      <c r="J31" s="145">
        <f t="shared" si="2"/>
        <v>0</v>
      </c>
      <c r="K31" s="148">
        <v>0</v>
      </c>
      <c r="L31" s="178"/>
      <c r="N31" s="41"/>
      <c r="O31" s="276" t="s">
        <v>242</v>
      </c>
      <c r="P31" s="281">
        <f>G14+G15</f>
        <v>965.9</v>
      </c>
      <c r="Q31" s="283">
        <f t="shared" si="4"/>
        <v>2.5184470575965373E-2</v>
      </c>
      <c r="S31" s="452"/>
      <c r="T31" s="286" t="s">
        <v>242</v>
      </c>
      <c r="U31" s="143">
        <f>G34+G33</f>
        <v>1803.99</v>
      </c>
      <c r="V31" s="279">
        <f t="shared" si="5"/>
        <v>4.7036476937918806E-2</v>
      </c>
      <c r="W31" s="262"/>
      <c r="Y31" s="286" t="s">
        <v>242</v>
      </c>
      <c r="Z31" s="143">
        <f>G56+G57</f>
        <v>1591.24</v>
      </c>
      <c r="AA31" s="283">
        <f t="shared" si="6"/>
        <v>4.1489322869136702E-2</v>
      </c>
      <c r="AB31" s="262"/>
      <c r="AC31" s="41"/>
      <c r="AD31" s="41"/>
      <c r="AF31" s="255"/>
      <c r="AI31" s="255"/>
      <c r="AJ31" s="295"/>
      <c r="AL31" s="255"/>
      <c r="AM31" s="255"/>
    </row>
    <row r="32" spans="1:39" ht="17.7" customHeight="1" thickBot="1" x14ac:dyDescent="0.35">
      <c r="A32" s="247" t="s">
        <v>243</v>
      </c>
      <c r="B32" s="247" t="s">
        <v>198</v>
      </c>
      <c r="C32" s="247" t="s">
        <v>203</v>
      </c>
      <c r="D32" s="247" t="s">
        <v>176</v>
      </c>
      <c r="E32" s="145" t="s">
        <v>177</v>
      </c>
      <c r="F32" s="179">
        <f t="shared" si="0"/>
        <v>1.7010611672910415E-3</v>
      </c>
      <c r="G32" s="146">
        <v>848</v>
      </c>
      <c r="H32" s="145">
        <f>G32*Prototype!$B$16</f>
        <v>7632</v>
      </c>
      <c r="I32" s="145">
        <v>1</v>
      </c>
      <c r="J32" s="145">
        <f t="shared" si="1"/>
        <v>0</v>
      </c>
      <c r="K32" s="148">
        <v>0</v>
      </c>
      <c r="L32" s="178"/>
      <c r="N32" s="41"/>
      <c r="O32" s="277" t="s">
        <v>244</v>
      </c>
      <c r="P32" s="282">
        <f>G11</f>
        <v>986</v>
      </c>
      <c r="Q32" s="284">
        <f t="shared" si="4"/>
        <v>2.5708549526764529E-2</v>
      </c>
      <c r="S32" s="452"/>
      <c r="T32" s="277" t="s">
        <v>244</v>
      </c>
      <c r="U32" s="142">
        <f>G31</f>
        <v>1156</v>
      </c>
      <c r="V32" s="280">
        <f t="shared" si="5"/>
        <v>3.0141058065861863E-2</v>
      </c>
      <c r="W32" s="262"/>
      <c r="X32" s="41"/>
      <c r="Y32" s="277" t="s">
        <v>244</v>
      </c>
      <c r="Z32" s="142">
        <f>G54</f>
        <v>1155</v>
      </c>
      <c r="AA32" s="284">
        <f t="shared" si="6"/>
        <v>3.0114984486220114E-2</v>
      </c>
      <c r="AB32" s="262"/>
      <c r="AC32" s="41"/>
      <c r="AD32" s="41"/>
      <c r="AF32" s="255"/>
      <c r="AI32" s="255"/>
      <c r="AJ32" s="295"/>
      <c r="AL32" s="255"/>
      <c r="AM32" s="255"/>
    </row>
    <row r="33" spans="1:39" ht="17.7" customHeight="1" thickTop="1" thickBot="1" x14ac:dyDescent="0.3">
      <c r="A33" s="247" t="s">
        <v>245</v>
      </c>
      <c r="B33" s="247" t="s">
        <v>200</v>
      </c>
      <c r="C33" s="247" t="s">
        <v>203</v>
      </c>
      <c r="D33" s="247" t="s">
        <v>176</v>
      </c>
      <c r="E33" s="145" t="s">
        <v>177</v>
      </c>
      <c r="F33" s="179">
        <f t="shared" si="0"/>
        <v>2.0177634515975386E-3</v>
      </c>
      <c r="G33" s="146">
        <v>1005.88</v>
      </c>
      <c r="H33" s="145">
        <f>G33*Prototype!$B$16</f>
        <v>9052.92</v>
      </c>
      <c r="I33" s="145">
        <v>1</v>
      </c>
      <c r="J33" s="145">
        <f t="shared" si="1"/>
        <v>5.0293999999999999</v>
      </c>
      <c r="K33" s="147">
        <v>5</v>
      </c>
      <c r="L33" s="178"/>
      <c r="N33" s="41"/>
      <c r="O33" s="276" t="s">
        <v>246</v>
      </c>
      <c r="P33" s="281">
        <f>G12</f>
        <v>707</v>
      </c>
      <c r="Q33" s="283">
        <f t="shared" si="4"/>
        <v>1.8434020806716554E-2</v>
      </c>
      <c r="S33" s="452"/>
      <c r="T33" s="286" t="s">
        <v>246</v>
      </c>
      <c r="U33" s="143">
        <f>G30+G29</f>
        <v>4043.9900000000002</v>
      </c>
      <c r="V33" s="279">
        <f t="shared" si="5"/>
        <v>0.10544129533543661</v>
      </c>
      <c r="W33" s="262"/>
      <c r="X33" s="453"/>
      <c r="Y33" s="286" t="s">
        <v>246</v>
      </c>
      <c r="Z33" s="143">
        <f>G53</f>
        <v>684</v>
      </c>
      <c r="AA33" s="283">
        <f t="shared" si="6"/>
        <v>1.7834328474956328E-2</v>
      </c>
      <c r="AB33" s="262"/>
      <c r="AC33" s="41"/>
      <c r="AD33" s="41"/>
      <c r="AF33" s="255"/>
      <c r="AI33" s="255"/>
      <c r="AJ33" s="295"/>
      <c r="AL33" s="255"/>
      <c r="AM33" s="255"/>
    </row>
    <row r="34" spans="1:39" ht="17.7" customHeight="1" thickBot="1" x14ac:dyDescent="0.35">
      <c r="A34" s="247" t="s">
        <v>247</v>
      </c>
      <c r="B34" s="247" t="s">
        <v>200</v>
      </c>
      <c r="C34" s="247" t="s">
        <v>203</v>
      </c>
      <c r="D34" s="247" t="s">
        <v>176</v>
      </c>
      <c r="E34" s="145" t="s">
        <v>177</v>
      </c>
      <c r="F34" s="179">
        <f t="shared" si="0"/>
        <v>1.600983405927657E-3</v>
      </c>
      <c r="G34" s="146">
        <v>798.11</v>
      </c>
      <c r="H34" s="145">
        <f>G34*Prototype!$B$16</f>
        <v>7182.99</v>
      </c>
      <c r="I34" s="145">
        <v>1</v>
      </c>
      <c r="J34" s="145">
        <f t="shared" ref="J34" si="7">IFERROR(K34*G34/1000,"")</f>
        <v>3.9905500000000003</v>
      </c>
      <c r="K34" s="147">
        <v>5</v>
      </c>
      <c r="L34" s="178"/>
      <c r="N34" s="41"/>
      <c r="O34" s="278" t="s">
        <v>248</v>
      </c>
      <c r="P34" s="289">
        <f>G13</f>
        <v>941</v>
      </c>
      <c r="Q34" s="290">
        <f t="shared" si="4"/>
        <v>2.4535238442885823E-2</v>
      </c>
      <c r="S34" s="452"/>
      <c r="T34" s="277" t="s">
        <v>248</v>
      </c>
      <c r="U34" s="142">
        <f>G32</f>
        <v>848</v>
      </c>
      <c r="V34" s="280">
        <f t="shared" si="5"/>
        <v>2.2110395536203167E-2</v>
      </c>
      <c r="W34" s="262"/>
      <c r="X34" s="41"/>
      <c r="Y34" s="277" t="s">
        <v>248</v>
      </c>
      <c r="Z34" s="142">
        <f>G55</f>
        <v>848</v>
      </c>
      <c r="AA34" s="284">
        <f t="shared" si="6"/>
        <v>2.2110395536203167E-2</v>
      </c>
      <c r="AB34" s="262"/>
      <c r="AC34" s="41"/>
      <c r="AD34" s="41"/>
      <c r="AF34" s="255"/>
      <c r="AI34" s="255"/>
      <c r="AJ34" s="295"/>
      <c r="AL34" s="255"/>
      <c r="AM34" s="255"/>
    </row>
    <row r="35" spans="1:39" ht="17.7" customHeight="1" thickTop="1" x14ac:dyDescent="0.3">
      <c r="A35" s="247" t="s">
        <v>249</v>
      </c>
      <c r="B35" s="247" t="s">
        <v>250</v>
      </c>
      <c r="C35" s="247" t="s">
        <v>226</v>
      </c>
      <c r="D35" s="247"/>
      <c r="E35" s="145" t="s">
        <v>251</v>
      </c>
      <c r="F35" s="179"/>
      <c r="G35" s="146">
        <f t="shared" ref="G35" si="8">G58</f>
        <v>38352.014999999999</v>
      </c>
      <c r="H35" s="145">
        <f>G35*(Prototype!$B$15-Prototype!$B$16)</f>
        <v>153408.06</v>
      </c>
      <c r="I35" s="145">
        <v>1</v>
      </c>
      <c r="J35" s="145">
        <f t="shared" si="1"/>
        <v>0</v>
      </c>
      <c r="K35" s="148">
        <v>0</v>
      </c>
      <c r="L35" s="178"/>
      <c r="N35" s="41"/>
      <c r="O35" s="191"/>
      <c r="P35" s="192"/>
      <c r="Q35" s="193"/>
      <c r="R35" s="41"/>
      <c r="S35" s="41"/>
      <c r="T35" s="287" t="s">
        <v>252</v>
      </c>
      <c r="U35" s="197">
        <f>G35</f>
        <v>38352.014999999999</v>
      </c>
      <c r="V35" s="288">
        <f t="shared" si="5"/>
        <v>0.99997431752405286</v>
      </c>
      <c r="Y35" s="287" t="s">
        <v>252</v>
      </c>
      <c r="Z35" s="198" t="s">
        <v>253</v>
      </c>
      <c r="AA35" s="285">
        <v>1</v>
      </c>
      <c r="AB35" s="41"/>
      <c r="AC35" s="41"/>
      <c r="AD35" s="41"/>
      <c r="AF35" s="178"/>
    </row>
    <row r="36" spans="1:39" ht="17.7" customHeight="1" x14ac:dyDescent="0.3">
      <c r="A36" s="245" t="s">
        <v>254</v>
      </c>
      <c r="B36" s="245" t="s">
        <v>174</v>
      </c>
      <c r="C36" s="246" t="s">
        <v>255</v>
      </c>
      <c r="D36" s="245" t="s">
        <v>176</v>
      </c>
      <c r="E36" s="20" t="s">
        <v>177</v>
      </c>
      <c r="F36" s="177">
        <f t="shared" ref="F36:F57" si="9">G36/$G$82</f>
        <v>1.4305142089258174E-2</v>
      </c>
      <c r="G36" s="291">
        <v>7131.29</v>
      </c>
      <c r="H36" s="20">
        <f>G36*Prototype!$B$16</f>
        <v>64181.61</v>
      </c>
      <c r="I36" s="20">
        <v>10</v>
      </c>
      <c r="J36" s="20">
        <f t="shared" si="1"/>
        <v>35.65645</v>
      </c>
      <c r="K36" s="21">
        <v>5</v>
      </c>
      <c r="L36" s="178"/>
      <c r="N36" s="41"/>
      <c r="O36" s="41"/>
      <c r="P36" s="144">
        <v>38353</v>
      </c>
      <c r="R36" s="249"/>
      <c r="U36" s="144"/>
      <c r="W36" s="249"/>
      <c r="X36" s="41"/>
      <c r="Z36" s="144">
        <f>SUM(Z23:Z34)</f>
        <v>38350.9</v>
      </c>
      <c r="AA36" s="41"/>
      <c r="AB36" s="41"/>
      <c r="AC36" s="41"/>
      <c r="AD36" s="41"/>
    </row>
    <row r="37" spans="1:39" ht="17.7" customHeight="1" x14ac:dyDescent="0.3">
      <c r="A37" s="245" t="s">
        <v>256</v>
      </c>
      <c r="B37" s="245" t="s">
        <v>174</v>
      </c>
      <c r="C37" s="246" t="s">
        <v>255</v>
      </c>
      <c r="D37" s="245" t="s">
        <v>176</v>
      </c>
      <c r="E37" s="20" t="s">
        <v>177</v>
      </c>
      <c r="F37" s="177">
        <f t="shared" si="9"/>
        <v>1.0505998497329106E-2</v>
      </c>
      <c r="G37" s="291">
        <v>5237.37</v>
      </c>
      <c r="H37" s="20">
        <f>G37*Prototype!$B$16</f>
        <v>47136.33</v>
      </c>
      <c r="I37" s="20">
        <v>10</v>
      </c>
      <c r="J37" s="20">
        <f t="shared" si="1"/>
        <v>26.18685</v>
      </c>
      <c r="K37" s="21">
        <f>K3</f>
        <v>5</v>
      </c>
      <c r="L37" s="178"/>
      <c r="N37" s="41"/>
      <c r="O37" s="41"/>
      <c r="P37" s="41"/>
      <c r="Q37" s="41"/>
      <c r="R37" s="41"/>
      <c r="S37" s="41"/>
      <c r="T37" s="41"/>
      <c r="U37" s="41"/>
      <c r="V37" s="41"/>
      <c r="W37" s="41"/>
      <c r="X37" s="41"/>
      <c r="Y37" s="41"/>
      <c r="Z37" s="41"/>
      <c r="AA37" s="41"/>
      <c r="AB37" s="41"/>
      <c r="AC37" s="41"/>
      <c r="AD37" s="41"/>
    </row>
    <row r="38" spans="1:39" ht="17.7" customHeight="1" x14ac:dyDescent="0.3">
      <c r="A38" s="245" t="s">
        <v>257</v>
      </c>
      <c r="B38" s="245" t="s">
        <v>174</v>
      </c>
      <c r="C38" s="246" t="s">
        <v>255</v>
      </c>
      <c r="D38" s="245" t="s">
        <v>176</v>
      </c>
      <c r="E38" s="20" t="s">
        <v>177</v>
      </c>
      <c r="F38" s="177">
        <f t="shared" si="9"/>
        <v>8.9675611847931172E-3</v>
      </c>
      <c r="G38" s="293">
        <v>4470.4399999999996</v>
      </c>
      <c r="H38" s="20">
        <f>G38*Prototype!$B$16</f>
        <v>40233.96</v>
      </c>
      <c r="I38" s="20">
        <f>I37</f>
        <v>10</v>
      </c>
      <c r="J38" s="20">
        <f t="shared" si="1"/>
        <v>22.352199999999996</v>
      </c>
      <c r="K38" s="21">
        <f>K3</f>
        <v>5</v>
      </c>
      <c r="L38" s="178"/>
      <c r="N38" s="41"/>
      <c r="O38" s="256"/>
      <c r="P38" s="257"/>
      <c r="Q38" s="257"/>
      <c r="T38" s="256"/>
      <c r="U38" s="257"/>
      <c r="V38" s="257"/>
      <c r="W38" s="41"/>
      <c r="X38" s="451"/>
      <c r="Y38" s="41"/>
      <c r="Z38" s="41"/>
      <c r="AA38" s="41"/>
      <c r="AB38" s="41"/>
      <c r="AC38" s="41"/>
      <c r="AD38" s="41"/>
    </row>
    <row r="39" spans="1:39" ht="17.7" customHeight="1" x14ac:dyDescent="0.3">
      <c r="A39" s="245" t="s">
        <v>258</v>
      </c>
      <c r="B39" s="245" t="s">
        <v>174</v>
      </c>
      <c r="C39" s="246" t="s">
        <v>255</v>
      </c>
      <c r="D39" s="245" t="s">
        <v>176</v>
      </c>
      <c r="E39" s="20" t="s">
        <v>177</v>
      </c>
      <c r="F39" s="177">
        <f t="shared" si="9"/>
        <v>8.9240717907991679E-3</v>
      </c>
      <c r="G39" s="291">
        <v>4448.76</v>
      </c>
      <c r="H39" s="20">
        <f>G39*Prototype!$B$16</f>
        <v>40038.840000000004</v>
      </c>
      <c r="I39" s="20">
        <f t="shared" ref="I39:I56" si="10">I38</f>
        <v>10</v>
      </c>
      <c r="J39" s="20">
        <f t="shared" si="1"/>
        <v>22.243800000000004</v>
      </c>
      <c r="K39" s="21">
        <f>K3</f>
        <v>5</v>
      </c>
      <c r="L39" s="178"/>
      <c r="N39" s="41"/>
      <c r="O39" s="191"/>
      <c r="P39" s="192"/>
      <c r="Q39" s="258"/>
      <c r="T39" s="191"/>
      <c r="U39" s="259"/>
      <c r="V39" s="193"/>
      <c r="W39" s="249"/>
      <c r="X39" s="250"/>
      <c r="Y39" s="41"/>
      <c r="Z39" s="41"/>
      <c r="AA39" s="41"/>
      <c r="AB39" s="41"/>
      <c r="AC39" s="41"/>
      <c r="AD39" s="41"/>
    </row>
    <row r="40" spans="1:39" ht="17.7" customHeight="1" x14ac:dyDescent="0.3">
      <c r="A40" s="245" t="s">
        <v>259</v>
      </c>
      <c r="B40" s="245" t="s">
        <v>174</v>
      </c>
      <c r="C40" s="246" t="s">
        <v>255</v>
      </c>
      <c r="D40" s="245" t="s">
        <v>176</v>
      </c>
      <c r="E40" s="20" t="s">
        <v>177</v>
      </c>
      <c r="F40" s="177">
        <f t="shared" si="9"/>
        <v>1.8402352519451127E-3</v>
      </c>
      <c r="G40" s="139">
        <v>917.38</v>
      </c>
      <c r="H40" s="20">
        <f>G40*Prototype!$B$16</f>
        <v>8256.42</v>
      </c>
      <c r="I40" s="20">
        <f t="shared" si="10"/>
        <v>10</v>
      </c>
      <c r="J40" s="20">
        <f t="shared" si="1"/>
        <v>4.5869</v>
      </c>
      <c r="K40" s="21">
        <f>K3</f>
        <v>5</v>
      </c>
      <c r="L40" s="178"/>
      <c r="N40" s="41"/>
      <c r="O40" s="191"/>
      <c r="P40" s="192"/>
      <c r="Q40" s="258"/>
      <c r="S40" s="255"/>
      <c r="T40" s="191"/>
      <c r="U40" s="259"/>
      <c r="V40" s="193"/>
      <c r="W40" s="249"/>
      <c r="X40" s="250"/>
      <c r="Y40" s="41"/>
      <c r="Z40" s="41"/>
      <c r="AA40" s="41"/>
      <c r="AB40" s="41"/>
      <c r="AC40" s="41"/>
      <c r="AD40" s="41"/>
    </row>
    <row r="41" spans="1:39" ht="17.7" customHeight="1" x14ac:dyDescent="0.3">
      <c r="A41" s="245" t="s">
        <v>260</v>
      </c>
      <c r="B41" s="245" t="s">
        <v>174</v>
      </c>
      <c r="C41" s="246" t="s">
        <v>255</v>
      </c>
      <c r="D41" s="245" t="s">
        <v>176</v>
      </c>
      <c r="E41" s="20" t="s">
        <v>177</v>
      </c>
      <c r="F41" s="177">
        <f t="shared" si="9"/>
        <v>2.2691714658623812E-3</v>
      </c>
      <c r="G41" s="139">
        <v>1131.21</v>
      </c>
      <c r="H41" s="20">
        <f>G41*Prototype!$B$16</f>
        <v>10180.89</v>
      </c>
      <c r="I41" s="20">
        <f t="shared" si="10"/>
        <v>10</v>
      </c>
      <c r="J41" s="20">
        <f t="shared" si="1"/>
        <v>5.6560500000000005</v>
      </c>
      <c r="K41" s="21">
        <f>K3</f>
        <v>5</v>
      </c>
      <c r="L41" s="178"/>
      <c r="N41" s="41"/>
      <c r="O41" s="191"/>
      <c r="P41" s="192"/>
      <c r="Q41" s="258"/>
      <c r="S41" s="255"/>
      <c r="T41" s="191"/>
      <c r="U41" s="259"/>
      <c r="V41" s="193"/>
      <c r="W41" s="249"/>
      <c r="X41" s="251"/>
      <c r="Y41" s="41"/>
      <c r="Z41" s="41"/>
      <c r="AA41" s="41"/>
      <c r="AB41" s="41"/>
      <c r="AC41" s="41"/>
      <c r="AD41" s="41"/>
    </row>
    <row r="42" spans="1:39" ht="17.7" customHeight="1" x14ac:dyDescent="0.3">
      <c r="A42" s="245" t="s">
        <v>261</v>
      </c>
      <c r="B42" s="245" t="s">
        <v>174</v>
      </c>
      <c r="C42" s="246" t="s">
        <v>255</v>
      </c>
      <c r="D42" s="245" t="s">
        <v>176</v>
      </c>
      <c r="E42" s="20" t="s">
        <v>177</v>
      </c>
      <c r="F42" s="177">
        <f t="shared" si="9"/>
        <v>2.0270109657263263E-3</v>
      </c>
      <c r="G42" s="139">
        <v>1010.49</v>
      </c>
      <c r="H42" s="20">
        <f>G42*Prototype!$B$16</f>
        <v>9094.41</v>
      </c>
      <c r="I42" s="20">
        <f t="shared" si="10"/>
        <v>10</v>
      </c>
      <c r="J42" s="20">
        <f t="shared" si="1"/>
        <v>5.0524499999999994</v>
      </c>
      <c r="K42" s="21">
        <f>K3</f>
        <v>5</v>
      </c>
      <c r="L42" s="178"/>
      <c r="N42" s="41"/>
      <c r="O42" s="191"/>
      <c r="P42" s="192"/>
      <c r="Q42" s="258"/>
      <c r="S42" s="255"/>
      <c r="T42" s="191"/>
      <c r="U42" s="259"/>
      <c r="V42" s="193"/>
      <c r="W42" s="41"/>
      <c r="Y42" s="41"/>
      <c r="Z42" s="41"/>
      <c r="AA42" s="41"/>
      <c r="AB42" s="41"/>
      <c r="AC42" s="41"/>
      <c r="AD42" s="41"/>
    </row>
    <row r="43" spans="1:39" ht="17.7" customHeight="1" x14ac:dyDescent="0.3">
      <c r="A43" s="245" t="s">
        <v>262</v>
      </c>
      <c r="B43" s="245" t="s">
        <v>174</v>
      </c>
      <c r="C43" s="246" t="s">
        <v>255</v>
      </c>
      <c r="D43" s="245" t="s">
        <v>176</v>
      </c>
      <c r="E43" s="20" t="s">
        <v>177</v>
      </c>
      <c r="F43" s="177">
        <f t="shared" si="9"/>
        <v>2.0731281782688038E-3</v>
      </c>
      <c r="G43" s="139">
        <v>1033.48</v>
      </c>
      <c r="H43" s="20">
        <f>G43*Prototype!$B$16</f>
        <v>9301.32</v>
      </c>
      <c r="I43" s="20">
        <f t="shared" si="10"/>
        <v>10</v>
      </c>
      <c r="J43" s="20">
        <f t="shared" si="1"/>
        <v>5.1673999999999998</v>
      </c>
      <c r="K43" s="21">
        <f>K3</f>
        <v>5</v>
      </c>
      <c r="L43" s="178"/>
      <c r="N43" s="41"/>
      <c r="O43" s="191"/>
      <c r="P43" s="192"/>
      <c r="Q43" s="258"/>
      <c r="S43" s="255"/>
      <c r="T43" s="191"/>
      <c r="U43" s="259"/>
      <c r="V43" s="193"/>
      <c r="W43" s="41"/>
      <c r="X43" s="451"/>
      <c r="Y43" s="41"/>
      <c r="Z43" s="41"/>
      <c r="AA43" s="41"/>
      <c r="AB43" s="41"/>
      <c r="AC43" s="41"/>
      <c r="AD43" s="41"/>
    </row>
    <row r="44" spans="1:39" ht="17.7" customHeight="1" x14ac:dyDescent="0.3">
      <c r="A44" s="245" t="s">
        <v>263</v>
      </c>
      <c r="B44" s="245" t="s">
        <v>174</v>
      </c>
      <c r="C44" s="246" t="s">
        <v>255</v>
      </c>
      <c r="D44" s="246" t="s">
        <v>176</v>
      </c>
      <c r="E44" s="20" t="s">
        <v>177</v>
      </c>
      <c r="F44" s="177">
        <f t="shared" si="9"/>
        <v>6.4852957002970958E-3</v>
      </c>
      <c r="G44" s="139">
        <v>3233</v>
      </c>
      <c r="H44" s="20">
        <f>G44*Prototype!$B$16</f>
        <v>29097</v>
      </c>
      <c r="I44" s="20">
        <f t="shared" si="10"/>
        <v>10</v>
      </c>
      <c r="J44" s="20">
        <f t="shared" si="1"/>
        <v>16.164999999999999</v>
      </c>
      <c r="K44" s="21">
        <f>K3</f>
        <v>5</v>
      </c>
      <c r="L44" s="178"/>
      <c r="N44" s="41"/>
      <c r="O44" s="191"/>
      <c r="P44" s="192"/>
      <c r="Q44" s="258"/>
      <c r="S44" s="255"/>
      <c r="T44" s="191"/>
      <c r="U44" s="259"/>
      <c r="V44" s="193"/>
      <c r="W44" s="249"/>
      <c r="X44" s="252"/>
      <c r="Y44" s="41"/>
      <c r="Z44" s="41"/>
      <c r="AA44" s="41"/>
      <c r="AB44" s="41"/>
      <c r="AC44" s="41"/>
      <c r="AD44" s="41"/>
    </row>
    <row r="45" spans="1:39" ht="17.7" customHeight="1" x14ac:dyDescent="0.3">
      <c r="A45" s="245" t="s">
        <v>264</v>
      </c>
      <c r="B45" s="246" t="s">
        <v>213</v>
      </c>
      <c r="C45" s="246" t="s">
        <v>265</v>
      </c>
      <c r="D45" s="245" t="s">
        <v>183</v>
      </c>
      <c r="E45" s="20" t="s">
        <v>177</v>
      </c>
      <c r="F45" s="177">
        <f t="shared" si="9"/>
        <v>8.3849477349959354E-4</v>
      </c>
      <c r="G45" s="139">
        <v>418</v>
      </c>
      <c r="H45" s="20">
        <f>G45*Prototype!$B$16</f>
        <v>3762</v>
      </c>
      <c r="I45" s="20">
        <f t="shared" si="10"/>
        <v>10</v>
      </c>
      <c r="J45" s="20">
        <f t="shared" si="1"/>
        <v>0</v>
      </c>
      <c r="K45" s="23">
        <v>0</v>
      </c>
      <c r="L45" s="178"/>
      <c r="N45" s="41"/>
      <c r="O45" s="191"/>
      <c r="P45" s="192"/>
      <c r="Q45" s="258"/>
      <c r="S45" s="255"/>
      <c r="T45" s="191"/>
      <c r="U45" s="259"/>
      <c r="V45" s="193"/>
      <c r="W45" s="271"/>
      <c r="X45" s="41"/>
      <c r="Y45" s="41"/>
      <c r="Z45" s="41"/>
      <c r="AA45" s="41"/>
      <c r="AB45" s="41"/>
      <c r="AC45" s="41"/>
      <c r="AD45" s="41"/>
    </row>
    <row r="46" spans="1:39" ht="17.7" customHeight="1" x14ac:dyDescent="0.3">
      <c r="A46" s="245" t="s">
        <v>266</v>
      </c>
      <c r="B46" s="245" t="s">
        <v>185</v>
      </c>
      <c r="C46" s="246" t="s">
        <v>255</v>
      </c>
      <c r="D46" s="245" t="s">
        <v>176</v>
      </c>
      <c r="E46" s="20" t="s">
        <v>177</v>
      </c>
      <c r="F46" s="177">
        <f t="shared" si="9"/>
        <v>2.1463861426903471E-3</v>
      </c>
      <c r="G46" s="139">
        <v>1070</v>
      </c>
      <c r="H46" s="20">
        <f>G46*Prototype!$B$16</f>
        <v>9630</v>
      </c>
      <c r="I46" s="20">
        <f t="shared" si="10"/>
        <v>10</v>
      </c>
      <c r="J46" s="20">
        <f t="shared" si="1"/>
        <v>0</v>
      </c>
      <c r="K46" s="23">
        <v>0</v>
      </c>
      <c r="L46" s="178"/>
      <c r="N46" s="41"/>
      <c r="O46" s="191"/>
      <c r="P46" s="192"/>
      <c r="Q46" s="258"/>
      <c r="S46" s="255"/>
      <c r="T46" s="191"/>
      <c r="U46" s="259"/>
      <c r="V46" s="193"/>
      <c r="W46" s="41"/>
      <c r="X46" s="41"/>
      <c r="Y46" s="41"/>
      <c r="Z46" s="41"/>
      <c r="AA46" s="41"/>
      <c r="AB46" s="41"/>
      <c r="AC46" s="41"/>
      <c r="AD46" s="41"/>
    </row>
    <row r="47" spans="1:39" ht="17.7" customHeight="1" x14ac:dyDescent="0.3">
      <c r="A47" s="245" t="s">
        <v>267</v>
      </c>
      <c r="B47" s="245" t="s">
        <v>187</v>
      </c>
      <c r="C47" s="246" t="s">
        <v>255</v>
      </c>
      <c r="D47" s="245" t="s">
        <v>176</v>
      </c>
      <c r="E47" s="20" t="s">
        <v>177</v>
      </c>
      <c r="F47" s="177">
        <f t="shared" si="9"/>
        <v>1.5843138088755479E-3</v>
      </c>
      <c r="G47" s="139">
        <v>789.8</v>
      </c>
      <c r="H47" s="20">
        <f>G47*Prototype!$B$16</f>
        <v>7108.2</v>
      </c>
      <c r="I47" s="20">
        <f t="shared" si="10"/>
        <v>10</v>
      </c>
      <c r="J47" s="20">
        <f t="shared" si="1"/>
        <v>26.063399999999998</v>
      </c>
      <c r="K47" s="21">
        <v>33</v>
      </c>
      <c r="L47" s="178"/>
      <c r="N47" s="41"/>
      <c r="O47" s="191"/>
      <c r="P47" s="192"/>
      <c r="Q47" s="258"/>
      <c r="S47" s="255"/>
      <c r="T47" s="191"/>
      <c r="U47" s="259"/>
      <c r="V47" s="193"/>
      <c r="W47" s="249"/>
      <c r="X47" s="41"/>
      <c r="Y47" s="41"/>
      <c r="Z47" s="41"/>
      <c r="AA47" s="41"/>
      <c r="AB47" s="41"/>
      <c r="AC47" s="41"/>
      <c r="AD47" s="41"/>
    </row>
    <row r="48" spans="1:39" ht="17.7" customHeight="1" x14ac:dyDescent="0.3">
      <c r="A48" s="245" t="s">
        <v>268</v>
      </c>
      <c r="B48" s="245" t="s">
        <v>187</v>
      </c>
      <c r="C48" s="246" t="s">
        <v>255</v>
      </c>
      <c r="D48" s="245" t="s">
        <v>176</v>
      </c>
      <c r="E48" s="20" t="s">
        <v>177</v>
      </c>
      <c r="F48" s="177">
        <f t="shared" si="9"/>
        <v>6.7488799424929009E-4</v>
      </c>
      <c r="G48" s="139">
        <v>336.44</v>
      </c>
      <c r="H48" s="20">
        <f>G48*Prototype!$B$16</f>
        <v>3027.96</v>
      </c>
      <c r="I48" s="20">
        <f t="shared" si="10"/>
        <v>10</v>
      </c>
      <c r="J48" s="20">
        <f t="shared" si="1"/>
        <v>11.10252</v>
      </c>
      <c r="K48" s="21">
        <v>33</v>
      </c>
      <c r="L48" s="178"/>
      <c r="N48" s="41"/>
      <c r="O48" s="191"/>
      <c r="P48" s="192"/>
      <c r="Q48" s="258"/>
      <c r="S48" s="255"/>
      <c r="T48" s="191"/>
      <c r="U48" s="259"/>
      <c r="V48" s="193"/>
      <c r="W48" s="249"/>
      <c r="X48" s="41"/>
      <c r="Y48" s="41"/>
      <c r="Z48" s="41"/>
      <c r="AA48" s="41"/>
      <c r="AB48" s="41"/>
      <c r="AC48" s="41"/>
      <c r="AD48" s="41"/>
    </row>
    <row r="49" spans="1:30" ht="17.7" customHeight="1" x14ac:dyDescent="0.25">
      <c r="A49" s="245" t="s">
        <v>269</v>
      </c>
      <c r="B49" s="245" t="s">
        <v>187</v>
      </c>
      <c r="C49" s="246" t="s">
        <v>255</v>
      </c>
      <c r="D49" s="245" t="s">
        <v>176</v>
      </c>
      <c r="E49" s="20" t="s">
        <v>177</v>
      </c>
      <c r="F49" s="177">
        <f t="shared" si="9"/>
        <v>1.5321586315765301E-3</v>
      </c>
      <c r="G49" s="139">
        <v>763.8</v>
      </c>
      <c r="H49" s="20">
        <f>G49*Prototype!$B$16</f>
        <v>6874.2</v>
      </c>
      <c r="I49" s="20">
        <f t="shared" si="10"/>
        <v>10</v>
      </c>
      <c r="J49" s="20">
        <f t="shared" si="1"/>
        <v>25.205399999999997</v>
      </c>
      <c r="K49" s="21">
        <v>33</v>
      </c>
      <c r="L49" s="178"/>
      <c r="N49" s="41"/>
      <c r="O49" s="191"/>
      <c r="P49" s="192"/>
      <c r="Q49" s="258"/>
      <c r="S49" s="255"/>
      <c r="T49" s="191"/>
      <c r="U49" s="259"/>
      <c r="V49" s="193"/>
      <c r="W49" s="249"/>
      <c r="X49" s="453"/>
      <c r="Y49" s="41"/>
      <c r="Z49" s="41"/>
      <c r="AA49" s="41"/>
      <c r="AB49" s="41"/>
      <c r="AC49" s="41"/>
      <c r="AD49" s="41"/>
    </row>
    <row r="50" spans="1:30" ht="17.7" customHeight="1" x14ac:dyDescent="0.3">
      <c r="A50" s="245" t="s">
        <v>270</v>
      </c>
      <c r="B50" s="245" t="s">
        <v>187</v>
      </c>
      <c r="C50" s="246" t="s">
        <v>255</v>
      </c>
      <c r="D50" s="245" t="s">
        <v>176</v>
      </c>
      <c r="E50" s="20" t="s">
        <v>177</v>
      </c>
      <c r="F50" s="177">
        <f t="shared" si="9"/>
        <v>8.6898549253594244E-4</v>
      </c>
      <c r="G50" s="139">
        <v>433.2</v>
      </c>
      <c r="H50" s="20">
        <f>G50*Prototype!$B$16</f>
        <v>3898.7999999999997</v>
      </c>
      <c r="I50" s="20">
        <f t="shared" si="10"/>
        <v>10</v>
      </c>
      <c r="J50" s="20">
        <f t="shared" si="1"/>
        <v>14.2956</v>
      </c>
      <c r="K50" s="21">
        <v>33</v>
      </c>
      <c r="L50" s="178"/>
      <c r="N50" s="41"/>
      <c r="O50" s="191"/>
      <c r="P50" s="192"/>
      <c r="Q50" s="258"/>
      <c r="S50" s="255"/>
      <c r="T50" s="191"/>
      <c r="U50" s="259"/>
      <c r="V50" s="193"/>
      <c r="W50" s="41"/>
      <c r="X50" s="41"/>
      <c r="Y50" s="41"/>
      <c r="Z50" s="41"/>
      <c r="AA50" s="41"/>
      <c r="AB50" s="41"/>
      <c r="AC50" s="41"/>
      <c r="AD50" s="41"/>
    </row>
    <row r="51" spans="1:30" ht="17.7" customHeight="1" x14ac:dyDescent="0.3">
      <c r="A51" s="245" t="s">
        <v>271</v>
      </c>
      <c r="B51" s="245" t="s">
        <v>189</v>
      </c>
      <c r="C51" s="246" t="s">
        <v>255</v>
      </c>
      <c r="D51" s="245" t="s">
        <v>176</v>
      </c>
      <c r="E51" s="20" t="s">
        <v>177</v>
      </c>
      <c r="F51" s="177">
        <f t="shared" si="9"/>
        <v>1.8254312054656224E-3</v>
      </c>
      <c r="G51" s="139">
        <v>910</v>
      </c>
      <c r="H51" s="20">
        <f>G51*Prototype!$B$16</f>
        <v>8190</v>
      </c>
      <c r="I51" s="20">
        <f t="shared" si="10"/>
        <v>10</v>
      </c>
      <c r="J51" s="20">
        <f t="shared" si="1"/>
        <v>30.03</v>
      </c>
      <c r="K51" s="21">
        <v>33</v>
      </c>
      <c r="L51" s="178"/>
      <c r="N51" s="41"/>
      <c r="O51" s="41"/>
      <c r="P51" s="41"/>
      <c r="Q51" s="41"/>
      <c r="S51" s="255"/>
      <c r="T51" s="191"/>
      <c r="U51" s="259"/>
      <c r="V51" s="193"/>
      <c r="W51" s="41"/>
      <c r="X51" s="41"/>
      <c r="Y51" s="41"/>
      <c r="Z51" s="41"/>
      <c r="AA51" s="41"/>
      <c r="AB51" s="41"/>
      <c r="AC51" s="41"/>
      <c r="AD51" s="41"/>
    </row>
    <row r="52" spans="1:30" ht="17.7" customHeight="1" x14ac:dyDescent="0.3">
      <c r="A52" s="245" t="s">
        <v>272</v>
      </c>
      <c r="B52" s="245" t="s">
        <v>191</v>
      </c>
      <c r="C52" s="246" t="s">
        <v>255</v>
      </c>
      <c r="D52" s="245" t="s">
        <v>176</v>
      </c>
      <c r="E52" s="20" t="s">
        <v>177</v>
      </c>
      <c r="F52" s="177">
        <f t="shared" si="9"/>
        <v>1.4804046479490432E-3</v>
      </c>
      <c r="G52" s="139">
        <v>738</v>
      </c>
      <c r="H52" s="20">
        <f>G52*Prototype!$B$16</f>
        <v>6642</v>
      </c>
      <c r="I52" s="20">
        <f t="shared" si="10"/>
        <v>10</v>
      </c>
      <c r="J52" s="20">
        <f t="shared" si="1"/>
        <v>0</v>
      </c>
      <c r="K52" s="23">
        <v>0</v>
      </c>
      <c r="L52" s="178"/>
      <c r="N52" s="41"/>
      <c r="O52" s="41"/>
      <c r="P52" s="41"/>
      <c r="Q52" s="41"/>
      <c r="R52" s="41"/>
      <c r="S52" s="41"/>
      <c r="T52" s="41"/>
      <c r="U52" s="41"/>
      <c r="V52" s="41"/>
      <c r="W52" s="41"/>
      <c r="X52" s="41"/>
      <c r="Y52" s="41"/>
      <c r="Z52" s="41"/>
      <c r="AA52" s="41"/>
      <c r="AB52" s="41"/>
      <c r="AC52" s="41"/>
      <c r="AD52" s="41"/>
    </row>
    <row r="53" spans="1:30" ht="17.399999999999999" customHeight="1" x14ac:dyDescent="0.3">
      <c r="A53" s="245" t="s">
        <v>273</v>
      </c>
      <c r="B53" s="245" t="s">
        <v>195</v>
      </c>
      <c r="C53" s="246" t="s">
        <v>255</v>
      </c>
      <c r="D53" s="245" t="s">
        <v>176</v>
      </c>
      <c r="E53" s="20" t="s">
        <v>177</v>
      </c>
      <c r="F53" s="177">
        <f t="shared" si="9"/>
        <v>1.3720823566356986E-3</v>
      </c>
      <c r="G53" s="139">
        <v>684</v>
      </c>
      <c r="H53" s="20">
        <f>G53*Prototype!$B$16</f>
        <v>6156</v>
      </c>
      <c r="I53" s="20">
        <f t="shared" si="10"/>
        <v>10</v>
      </c>
      <c r="J53" s="20">
        <f t="shared" si="1"/>
        <v>6.84</v>
      </c>
      <c r="K53" s="21">
        <f>K12</f>
        <v>10</v>
      </c>
      <c r="L53" s="178"/>
      <c r="N53" s="41"/>
      <c r="O53" s="41"/>
      <c r="P53" s="41"/>
      <c r="Q53" s="41"/>
      <c r="R53" s="41"/>
      <c r="S53" s="41"/>
      <c r="T53" s="41"/>
      <c r="U53" s="41"/>
      <c r="V53" s="41"/>
      <c r="W53" s="41"/>
      <c r="X53" s="41"/>
      <c r="Y53" s="41"/>
      <c r="Z53" s="41"/>
      <c r="AA53" s="41"/>
      <c r="AB53" s="41"/>
      <c r="AC53" s="41"/>
      <c r="AD53" s="41"/>
    </row>
    <row r="54" spans="1:30" ht="17.7" customHeight="1" x14ac:dyDescent="0.3">
      <c r="A54" s="245" t="s">
        <v>274</v>
      </c>
      <c r="B54" s="246" t="s">
        <v>193</v>
      </c>
      <c r="C54" s="246" t="s">
        <v>255</v>
      </c>
      <c r="D54" s="246" t="s">
        <v>176</v>
      </c>
      <c r="E54" s="20" t="s">
        <v>177</v>
      </c>
      <c r="F54" s="177">
        <f t="shared" si="9"/>
        <v>2.3168934530909823E-3</v>
      </c>
      <c r="G54" s="139">
        <v>1155</v>
      </c>
      <c r="H54" s="20">
        <f>G54*Prototype!$B$16</f>
        <v>10395</v>
      </c>
      <c r="I54" s="20">
        <f t="shared" si="10"/>
        <v>10</v>
      </c>
      <c r="J54" s="20">
        <f t="shared" si="1"/>
        <v>0</v>
      </c>
      <c r="K54" s="23">
        <v>0</v>
      </c>
      <c r="L54" s="178"/>
      <c r="N54" s="41"/>
      <c r="O54" s="41"/>
      <c r="P54" s="41"/>
      <c r="Q54" s="41"/>
      <c r="R54" s="41"/>
      <c r="S54" s="41"/>
      <c r="T54" s="41"/>
      <c r="U54" s="41"/>
      <c r="V54" s="41"/>
      <c r="W54" s="260"/>
      <c r="X54" s="451"/>
      <c r="Y54" s="41"/>
      <c r="Z54" s="41"/>
      <c r="AA54" s="41"/>
      <c r="AB54" s="41"/>
      <c r="AC54" s="41"/>
      <c r="AD54" s="41"/>
    </row>
    <row r="55" spans="1:30" ht="17.7" customHeight="1" x14ac:dyDescent="0.3">
      <c r="A55" s="245" t="s">
        <v>275</v>
      </c>
      <c r="B55" s="246" t="s">
        <v>198</v>
      </c>
      <c r="C55" s="246" t="s">
        <v>255</v>
      </c>
      <c r="D55" s="246" t="s">
        <v>176</v>
      </c>
      <c r="E55" s="20" t="s">
        <v>177</v>
      </c>
      <c r="F55" s="177">
        <f t="shared" si="9"/>
        <v>1.7010611672910415E-3</v>
      </c>
      <c r="G55" s="139">
        <v>848</v>
      </c>
      <c r="H55" s="20">
        <f>G55*Prototype!$B$16</f>
        <v>7632</v>
      </c>
      <c r="I55" s="20">
        <f t="shared" si="10"/>
        <v>10</v>
      </c>
      <c r="J55" s="20">
        <f t="shared" si="1"/>
        <v>0</v>
      </c>
      <c r="K55" s="23">
        <v>0</v>
      </c>
      <c r="L55" s="178"/>
      <c r="N55" s="41"/>
      <c r="O55" s="41"/>
      <c r="P55" s="41"/>
      <c r="Q55" s="41"/>
      <c r="R55" s="41"/>
      <c r="S55" s="41"/>
      <c r="T55" s="41"/>
      <c r="U55" s="41"/>
      <c r="V55" s="41"/>
      <c r="W55" s="261"/>
      <c r="X55" s="41"/>
      <c r="Y55" s="41"/>
      <c r="Z55" s="41"/>
      <c r="AA55" s="41"/>
      <c r="AB55" s="41"/>
      <c r="AC55" s="41"/>
      <c r="AD55" s="41"/>
    </row>
    <row r="56" spans="1:30" ht="17.7" customHeight="1" x14ac:dyDescent="0.3">
      <c r="A56" s="245" t="s">
        <v>276</v>
      </c>
      <c r="B56" s="246" t="s">
        <v>200</v>
      </c>
      <c r="C56" s="246" t="s">
        <v>255</v>
      </c>
      <c r="D56" s="246" t="s">
        <v>176</v>
      </c>
      <c r="E56" s="20" t="s">
        <v>177</v>
      </c>
      <c r="F56" s="177">
        <f t="shared" si="9"/>
        <v>2.0177634515975386E-3</v>
      </c>
      <c r="G56" s="139">
        <v>1005.88</v>
      </c>
      <c r="H56" s="20">
        <f>G56*Prototype!$B$16</f>
        <v>9052.92</v>
      </c>
      <c r="I56" s="20">
        <f t="shared" si="10"/>
        <v>10</v>
      </c>
      <c r="J56" s="20">
        <f t="shared" si="1"/>
        <v>5.0293999999999999</v>
      </c>
      <c r="K56" s="21">
        <v>5</v>
      </c>
      <c r="L56" s="178"/>
      <c r="N56" s="41"/>
      <c r="O56" s="41"/>
      <c r="P56" s="41"/>
      <c r="Q56" s="41"/>
      <c r="R56" s="41"/>
      <c r="S56" s="41"/>
      <c r="T56" s="41"/>
      <c r="U56" s="41"/>
      <c r="V56" s="41"/>
      <c r="W56" s="261"/>
      <c r="X56" s="41"/>
      <c r="Y56" s="41"/>
      <c r="Z56" s="41"/>
      <c r="AA56" s="41"/>
      <c r="AB56" s="41"/>
      <c r="AC56" s="41"/>
      <c r="AD56" s="41"/>
    </row>
    <row r="57" spans="1:30" ht="17.7" customHeight="1" x14ac:dyDescent="0.3">
      <c r="A57" s="245" t="s">
        <v>277</v>
      </c>
      <c r="B57" s="246" t="s">
        <v>200</v>
      </c>
      <c r="C57" s="246" t="s">
        <v>255</v>
      </c>
      <c r="D57" s="246" t="s">
        <v>176</v>
      </c>
      <c r="E57" s="20" t="s">
        <v>177</v>
      </c>
      <c r="F57" s="177">
        <f t="shared" si="9"/>
        <v>1.1742136378366558E-3</v>
      </c>
      <c r="G57" s="139">
        <v>585.36</v>
      </c>
      <c r="H57" s="20">
        <f>G57*Prototype!$B$16</f>
        <v>5268.24</v>
      </c>
      <c r="I57" s="20">
        <v>10</v>
      </c>
      <c r="J57" s="20">
        <f t="shared" si="1"/>
        <v>2.9268000000000001</v>
      </c>
      <c r="K57" s="21">
        <v>5</v>
      </c>
      <c r="L57" s="178"/>
      <c r="N57" s="41"/>
      <c r="O57" s="41"/>
      <c r="P57" s="41"/>
      <c r="Q57" s="41"/>
      <c r="R57" s="41"/>
      <c r="S57" s="41"/>
      <c r="T57" s="41"/>
      <c r="U57" s="41"/>
      <c r="V57" s="41"/>
      <c r="W57" s="261"/>
      <c r="X57" s="41"/>
      <c r="Y57" s="41"/>
      <c r="Z57" s="41"/>
      <c r="AA57" s="41"/>
      <c r="AB57" s="41"/>
      <c r="AC57" s="41"/>
      <c r="AD57" s="41"/>
    </row>
    <row r="58" spans="1:30" ht="17.7" customHeight="1" x14ac:dyDescent="0.3">
      <c r="A58" s="245" t="s">
        <v>278</v>
      </c>
      <c r="B58" s="245" t="s">
        <v>250</v>
      </c>
      <c r="C58" s="246" t="s">
        <v>226</v>
      </c>
      <c r="D58" s="245"/>
      <c r="E58" s="20" t="s">
        <v>251</v>
      </c>
      <c r="F58" s="177"/>
      <c r="G58" s="139">
        <f>239.85*159.9</f>
        <v>38352.014999999999</v>
      </c>
      <c r="H58" s="20">
        <f>G58*(Prototype!$B$15-Prototype!$B$16)</f>
        <v>153408.06</v>
      </c>
      <c r="I58" s="20">
        <v>10</v>
      </c>
      <c r="J58" s="20">
        <f t="shared" si="1"/>
        <v>0</v>
      </c>
      <c r="K58" s="23">
        <v>0</v>
      </c>
      <c r="L58" s="178"/>
      <c r="N58" s="41"/>
      <c r="O58" s="41"/>
      <c r="P58" s="41"/>
      <c r="Q58" s="41"/>
      <c r="R58" s="41"/>
      <c r="S58" s="41"/>
      <c r="T58" s="41"/>
      <c r="U58" s="41"/>
      <c r="V58" s="41"/>
      <c r="W58" s="261"/>
      <c r="X58" s="41"/>
      <c r="Y58" s="41"/>
      <c r="Z58" s="41"/>
      <c r="AA58" s="41"/>
      <c r="AB58" s="41"/>
      <c r="AC58" s="41"/>
      <c r="AD58" s="41"/>
    </row>
    <row r="59" spans="1:30" ht="17.7" customHeight="1" x14ac:dyDescent="0.3">
      <c r="A59" s="247" t="s">
        <v>279</v>
      </c>
      <c r="B59" s="247" t="s">
        <v>174</v>
      </c>
      <c r="C59" s="247" t="s">
        <v>280</v>
      </c>
      <c r="D59" s="247" t="s">
        <v>176</v>
      </c>
      <c r="E59" s="145" t="s">
        <v>177</v>
      </c>
      <c r="F59" s="179">
        <f t="shared" ref="F59:F79" si="11">G59/$G$82</f>
        <v>1.4305142089258174E-2</v>
      </c>
      <c r="G59" s="146">
        <v>7131.29</v>
      </c>
      <c r="H59" s="145">
        <f>G59*Prototype!$B$16</f>
        <v>64181.61</v>
      </c>
      <c r="I59" s="145">
        <v>1</v>
      </c>
      <c r="J59" s="145">
        <f t="shared" ref="J59:J81" si="12">IFERROR(K59*G59/1000,"")</f>
        <v>35.65645</v>
      </c>
      <c r="K59" s="147">
        <v>5</v>
      </c>
      <c r="L59" s="178"/>
      <c r="N59" s="41"/>
      <c r="O59" s="41"/>
      <c r="P59" s="41"/>
      <c r="Q59" s="41"/>
      <c r="R59" s="41"/>
      <c r="S59" s="41"/>
      <c r="T59" s="41"/>
      <c r="U59" s="41"/>
      <c r="V59" s="41"/>
      <c r="W59" s="260"/>
      <c r="X59" s="41"/>
      <c r="Y59" s="41"/>
      <c r="Z59" s="41"/>
      <c r="AA59" s="41"/>
      <c r="AB59" s="41"/>
      <c r="AC59" s="41"/>
      <c r="AD59" s="41"/>
    </row>
    <row r="60" spans="1:30" ht="15.6" customHeight="1" x14ac:dyDescent="0.3">
      <c r="A60" s="247" t="s">
        <v>281</v>
      </c>
      <c r="B60" s="247" t="s">
        <v>174</v>
      </c>
      <c r="C60" s="247" t="s">
        <v>280</v>
      </c>
      <c r="D60" s="247" t="s">
        <v>176</v>
      </c>
      <c r="E60" s="145" t="s">
        <v>177</v>
      </c>
      <c r="F60" s="179">
        <f t="shared" si="11"/>
        <v>1.0505998497329106E-2</v>
      </c>
      <c r="G60" s="146">
        <v>5237.37</v>
      </c>
      <c r="H60" s="145">
        <f>G60*Prototype!$B$16</f>
        <v>47136.33</v>
      </c>
      <c r="I60" s="145">
        <v>1</v>
      </c>
      <c r="J60" s="145">
        <f t="shared" si="12"/>
        <v>26.18685</v>
      </c>
      <c r="K60" s="147">
        <f>K3</f>
        <v>5</v>
      </c>
      <c r="L60" s="178"/>
      <c r="N60" s="41"/>
      <c r="O60" s="41"/>
      <c r="P60" s="41"/>
      <c r="Q60" s="41"/>
      <c r="R60" s="41"/>
      <c r="S60" s="41"/>
      <c r="T60" s="41"/>
      <c r="U60" s="41"/>
      <c r="V60" s="41"/>
      <c r="W60" s="261"/>
      <c r="X60" s="41"/>
      <c r="Y60" s="41"/>
      <c r="Z60" s="41"/>
      <c r="AA60" s="41"/>
      <c r="AB60" s="41"/>
      <c r="AC60" s="41"/>
      <c r="AD60" s="41"/>
    </row>
    <row r="61" spans="1:30" ht="17.399999999999999" customHeight="1" x14ac:dyDescent="0.3">
      <c r="A61" s="247" t="s">
        <v>282</v>
      </c>
      <c r="B61" s="247" t="s">
        <v>174</v>
      </c>
      <c r="C61" s="247" t="s">
        <v>280</v>
      </c>
      <c r="D61" s="247" t="s">
        <v>176</v>
      </c>
      <c r="E61" s="145" t="s">
        <v>177</v>
      </c>
      <c r="F61" s="179">
        <f t="shared" si="11"/>
        <v>8.9675611847931172E-3</v>
      </c>
      <c r="G61" s="454">
        <v>4470.4399999999996</v>
      </c>
      <c r="H61" s="145">
        <f>G61*Prototype!$B$16</f>
        <v>40233.96</v>
      </c>
      <c r="I61" s="145">
        <v>1</v>
      </c>
      <c r="J61" s="145">
        <f t="shared" si="12"/>
        <v>22.352199999999996</v>
      </c>
      <c r="K61" s="147">
        <f>K3</f>
        <v>5</v>
      </c>
      <c r="L61" s="178"/>
      <c r="N61" s="41"/>
      <c r="O61" s="41"/>
      <c r="P61" s="41"/>
      <c r="Q61" s="41"/>
      <c r="R61" s="41"/>
      <c r="S61" s="41"/>
      <c r="T61" s="41"/>
      <c r="U61" s="41"/>
      <c r="V61" s="41"/>
      <c r="W61" s="261"/>
      <c r="X61" s="41"/>
      <c r="Y61" s="41"/>
      <c r="Z61" s="41"/>
      <c r="AA61" s="41"/>
      <c r="AB61" s="41"/>
      <c r="AC61" s="41"/>
      <c r="AD61" s="41"/>
    </row>
    <row r="62" spans="1:30" ht="17.7" customHeight="1" x14ac:dyDescent="0.3">
      <c r="A62" s="247" t="s">
        <v>283</v>
      </c>
      <c r="B62" s="247" t="s">
        <v>174</v>
      </c>
      <c r="C62" s="247" t="s">
        <v>280</v>
      </c>
      <c r="D62" s="247" t="s">
        <v>176</v>
      </c>
      <c r="E62" s="145" t="s">
        <v>177</v>
      </c>
      <c r="F62" s="179">
        <f t="shared" si="11"/>
        <v>8.9240717907991679E-3</v>
      </c>
      <c r="G62" s="146">
        <v>4448.76</v>
      </c>
      <c r="H62" s="145">
        <f>G62*Prototype!$B$16</f>
        <v>40038.840000000004</v>
      </c>
      <c r="I62" s="145">
        <v>1</v>
      </c>
      <c r="J62" s="145">
        <f t="shared" si="12"/>
        <v>22.243800000000004</v>
      </c>
      <c r="K62" s="147">
        <f>K3</f>
        <v>5</v>
      </c>
      <c r="L62" s="178"/>
      <c r="N62" s="41"/>
      <c r="O62" s="41"/>
      <c r="P62" s="41"/>
      <c r="Q62" s="41"/>
      <c r="R62" s="41"/>
      <c r="S62" s="41"/>
      <c r="T62" s="41"/>
      <c r="U62" s="41"/>
      <c r="V62" s="41"/>
      <c r="W62" s="261"/>
      <c r="X62" s="41"/>
      <c r="Y62" s="41"/>
      <c r="Z62" s="41"/>
      <c r="AA62" s="41"/>
      <c r="AB62" s="41"/>
      <c r="AC62" s="41"/>
      <c r="AD62" s="41"/>
    </row>
    <row r="63" spans="1:30" ht="17.7" customHeight="1" x14ac:dyDescent="0.3">
      <c r="A63" s="247" t="s">
        <v>284</v>
      </c>
      <c r="B63" s="247" t="s">
        <v>174</v>
      </c>
      <c r="C63" s="247" t="s">
        <v>280</v>
      </c>
      <c r="D63" s="247" t="s">
        <v>176</v>
      </c>
      <c r="E63" s="145" t="s">
        <v>177</v>
      </c>
      <c r="F63" s="179">
        <f t="shared" si="11"/>
        <v>1.8402352519451127E-3</v>
      </c>
      <c r="G63" s="146">
        <v>917.38</v>
      </c>
      <c r="H63" s="145">
        <f>G63*Prototype!$B$16</f>
        <v>8256.42</v>
      </c>
      <c r="I63" s="145">
        <v>1</v>
      </c>
      <c r="J63" s="145">
        <f t="shared" si="12"/>
        <v>4.5869</v>
      </c>
      <c r="K63" s="147">
        <f>K3</f>
        <v>5</v>
      </c>
      <c r="L63" s="178"/>
      <c r="N63" s="41"/>
      <c r="O63" s="41"/>
      <c r="P63" s="41"/>
      <c r="Q63" s="41"/>
      <c r="R63" s="41"/>
      <c r="S63" s="41"/>
      <c r="T63" s="41"/>
      <c r="U63" s="41"/>
      <c r="V63" s="41"/>
      <c r="W63" s="260"/>
      <c r="X63" s="41"/>
      <c r="Y63" s="41"/>
      <c r="Z63" s="41"/>
      <c r="AA63" s="41"/>
      <c r="AB63" s="41"/>
      <c r="AC63" s="41"/>
      <c r="AD63" s="41"/>
    </row>
    <row r="64" spans="1:30" ht="17.7" customHeight="1" x14ac:dyDescent="0.3">
      <c r="A64" s="247" t="s">
        <v>285</v>
      </c>
      <c r="B64" s="247" t="s">
        <v>174</v>
      </c>
      <c r="C64" s="247" t="s">
        <v>280</v>
      </c>
      <c r="D64" s="247" t="s">
        <v>176</v>
      </c>
      <c r="E64" s="145" t="s">
        <v>177</v>
      </c>
      <c r="F64" s="179">
        <f t="shared" si="11"/>
        <v>2.2691714658623812E-3</v>
      </c>
      <c r="G64" s="146">
        <v>1131.21</v>
      </c>
      <c r="H64" s="145">
        <f>G64*Prototype!$B$16</f>
        <v>10180.89</v>
      </c>
      <c r="I64" s="145">
        <v>1</v>
      </c>
      <c r="J64" s="145">
        <f t="shared" si="12"/>
        <v>5.6560500000000005</v>
      </c>
      <c r="K64" s="147">
        <f>K3</f>
        <v>5</v>
      </c>
      <c r="L64" s="178"/>
      <c r="N64" s="41"/>
      <c r="O64" s="41"/>
      <c r="P64" s="41"/>
      <c r="Q64" s="41"/>
      <c r="R64" s="41"/>
      <c r="S64" s="41"/>
      <c r="T64" s="41"/>
      <c r="U64" s="41"/>
      <c r="V64" s="41"/>
      <c r="W64" s="260"/>
      <c r="X64" s="41"/>
      <c r="Y64" s="41"/>
      <c r="Z64" s="41"/>
      <c r="AA64" s="41"/>
      <c r="AB64" s="41"/>
      <c r="AC64" s="41"/>
      <c r="AD64" s="41"/>
    </row>
    <row r="65" spans="1:30" ht="17.7" customHeight="1" x14ac:dyDescent="0.3">
      <c r="A65" s="247" t="s">
        <v>286</v>
      </c>
      <c r="B65" s="247" t="s">
        <v>174</v>
      </c>
      <c r="C65" s="247" t="s">
        <v>280</v>
      </c>
      <c r="D65" s="247" t="s">
        <v>176</v>
      </c>
      <c r="E65" s="145" t="s">
        <v>177</v>
      </c>
      <c r="F65" s="179">
        <f t="shared" si="11"/>
        <v>2.0270109657263263E-3</v>
      </c>
      <c r="G65" s="146">
        <v>1010.49</v>
      </c>
      <c r="H65" s="145">
        <f>G65*Prototype!$B$16</f>
        <v>9094.41</v>
      </c>
      <c r="I65" s="145">
        <v>1</v>
      </c>
      <c r="J65" s="145">
        <f t="shared" si="12"/>
        <v>5.0524499999999994</v>
      </c>
      <c r="K65" s="147">
        <f>K3</f>
        <v>5</v>
      </c>
      <c r="L65" s="178"/>
      <c r="N65" s="41"/>
      <c r="O65" s="41"/>
      <c r="P65" s="41"/>
      <c r="Q65" s="41"/>
      <c r="R65" s="41"/>
      <c r="S65" s="41"/>
      <c r="T65" s="41"/>
      <c r="U65" s="41"/>
      <c r="V65" s="41"/>
      <c r="W65" s="261"/>
      <c r="X65" s="41"/>
      <c r="Y65" s="41"/>
      <c r="Z65" s="41"/>
      <c r="AA65" s="41"/>
      <c r="AB65" s="41"/>
      <c r="AC65" s="41"/>
      <c r="AD65" s="41"/>
    </row>
    <row r="66" spans="1:30" ht="17.7" customHeight="1" x14ac:dyDescent="0.3">
      <c r="A66" s="247" t="s">
        <v>287</v>
      </c>
      <c r="B66" s="247" t="s">
        <v>174</v>
      </c>
      <c r="C66" s="247" t="s">
        <v>280</v>
      </c>
      <c r="D66" s="247" t="s">
        <v>176</v>
      </c>
      <c r="E66" s="145" t="s">
        <v>177</v>
      </c>
      <c r="F66" s="179">
        <f t="shared" si="11"/>
        <v>2.0731281782688038E-3</v>
      </c>
      <c r="G66" s="146">
        <v>1033.48</v>
      </c>
      <c r="H66" s="145">
        <f>G66*Prototype!$B$16</f>
        <v>9301.32</v>
      </c>
      <c r="I66" s="145">
        <v>1</v>
      </c>
      <c r="J66" s="145">
        <f t="shared" si="12"/>
        <v>5.1673999999999998</v>
      </c>
      <c r="K66" s="147">
        <f>K3</f>
        <v>5</v>
      </c>
      <c r="L66" s="178"/>
      <c r="N66" s="41"/>
      <c r="O66" s="41"/>
      <c r="P66" s="41"/>
      <c r="Q66" s="41"/>
      <c r="R66" s="41"/>
      <c r="S66" s="41"/>
      <c r="T66" s="41"/>
      <c r="U66" s="41"/>
      <c r="V66" s="41"/>
      <c r="W66" s="41"/>
      <c r="X66" s="41"/>
      <c r="Y66" s="41"/>
      <c r="Z66" s="41"/>
      <c r="AA66" s="41"/>
      <c r="AB66" s="41"/>
      <c r="AC66" s="41"/>
      <c r="AD66" s="41"/>
    </row>
    <row r="67" spans="1:30" ht="17.7" customHeight="1" x14ac:dyDescent="0.3">
      <c r="A67" s="247" t="s">
        <v>288</v>
      </c>
      <c r="B67" s="247" t="s">
        <v>174</v>
      </c>
      <c r="C67" s="247" t="s">
        <v>280</v>
      </c>
      <c r="D67" s="247" t="s">
        <v>176</v>
      </c>
      <c r="E67" s="145" t="s">
        <v>177</v>
      </c>
      <c r="F67" s="179">
        <f t="shared" si="11"/>
        <v>6.4852957002970958E-3</v>
      </c>
      <c r="G67" s="146">
        <v>3233</v>
      </c>
      <c r="H67" s="145">
        <f>G67*Prototype!$B$16</f>
        <v>29097</v>
      </c>
      <c r="I67" s="145">
        <v>1</v>
      </c>
      <c r="J67" s="145">
        <f t="shared" si="12"/>
        <v>16.164999999999999</v>
      </c>
      <c r="K67" s="147">
        <f>K3</f>
        <v>5</v>
      </c>
      <c r="L67" s="178"/>
      <c r="N67" s="41"/>
      <c r="O67" s="41"/>
      <c r="P67" s="41"/>
      <c r="Q67" s="41"/>
      <c r="R67" s="41"/>
      <c r="S67" s="41"/>
      <c r="T67" s="41"/>
      <c r="U67" s="41"/>
      <c r="V67" s="41"/>
      <c r="W67" s="41"/>
      <c r="X67" s="41"/>
      <c r="Y67" s="41"/>
      <c r="Z67" s="41"/>
      <c r="AA67" s="41"/>
      <c r="AB67" s="41"/>
      <c r="AC67" s="41"/>
      <c r="AD67" s="41"/>
    </row>
    <row r="68" spans="1:30" ht="17.399999999999999" customHeight="1" x14ac:dyDescent="0.3">
      <c r="A68" s="247" t="s">
        <v>289</v>
      </c>
      <c r="B68" s="247" t="s">
        <v>213</v>
      </c>
      <c r="C68" s="247" t="s">
        <v>290</v>
      </c>
      <c r="D68" s="247" t="s">
        <v>183</v>
      </c>
      <c r="E68" s="145" t="s">
        <v>177</v>
      </c>
      <c r="F68" s="179">
        <f t="shared" si="11"/>
        <v>8.3849477349959354E-4</v>
      </c>
      <c r="G68" s="146">
        <v>418</v>
      </c>
      <c r="H68" s="145">
        <f>G68*Prototype!$B$16</f>
        <v>3762</v>
      </c>
      <c r="I68" s="145">
        <v>1</v>
      </c>
      <c r="J68" s="145">
        <f t="shared" si="12"/>
        <v>0</v>
      </c>
      <c r="K68" s="148">
        <v>0</v>
      </c>
      <c r="L68" s="178"/>
      <c r="N68" s="41"/>
      <c r="O68" s="41"/>
      <c r="P68" s="41"/>
      <c r="Q68" s="41"/>
      <c r="R68" s="41"/>
      <c r="S68" s="41"/>
      <c r="T68" s="256"/>
      <c r="U68" s="257"/>
      <c r="V68" s="257"/>
      <c r="Y68" s="41"/>
      <c r="Z68" s="41"/>
      <c r="AA68" s="41"/>
      <c r="AB68" s="41"/>
      <c r="AC68" s="41"/>
      <c r="AD68" s="41"/>
    </row>
    <row r="69" spans="1:30" ht="17.7" customHeight="1" x14ac:dyDescent="0.3">
      <c r="A69" s="247" t="s">
        <v>291</v>
      </c>
      <c r="B69" s="247" t="s">
        <v>185</v>
      </c>
      <c r="C69" s="247" t="s">
        <v>280</v>
      </c>
      <c r="D69" s="247" t="s">
        <v>176</v>
      </c>
      <c r="E69" s="145" t="s">
        <v>177</v>
      </c>
      <c r="F69" s="179">
        <f t="shared" si="11"/>
        <v>2.1463861426903471E-3</v>
      </c>
      <c r="G69" s="146">
        <v>1070</v>
      </c>
      <c r="H69" s="145">
        <f>G69*Prototype!$B$16</f>
        <v>9630</v>
      </c>
      <c r="I69" s="145">
        <v>1</v>
      </c>
      <c r="J69" s="145">
        <f t="shared" si="12"/>
        <v>0</v>
      </c>
      <c r="K69" s="148">
        <v>0</v>
      </c>
      <c r="L69" s="178"/>
      <c r="N69" s="41"/>
      <c r="O69" s="41"/>
      <c r="P69" s="41"/>
      <c r="Q69" s="41"/>
      <c r="R69" s="41"/>
      <c r="S69" s="41"/>
      <c r="T69" s="191"/>
      <c r="U69" s="259"/>
      <c r="V69" s="193"/>
      <c r="Y69" s="253"/>
      <c r="Z69" s="41"/>
      <c r="AA69" s="41"/>
      <c r="AB69" s="41"/>
      <c r="AC69" s="41"/>
      <c r="AD69" s="41"/>
    </row>
    <row r="70" spans="1:30" ht="17.7" customHeight="1" x14ac:dyDescent="0.3">
      <c r="A70" s="247" t="s">
        <v>292</v>
      </c>
      <c r="B70" s="247" t="s">
        <v>187</v>
      </c>
      <c r="C70" s="247" t="s">
        <v>280</v>
      </c>
      <c r="D70" s="247" t="s">
        <v>176</v>
      </c>
      <c r="E70" s="145" t="s">
        <v>177</v>
      </c>
      <c r="F70" s="179">
        <f t="shared" si="11"/>
        <v>1.5843138088755479E-3</v>
      </c>
      <c r="G70" s="146">
        <v>789.8</v>
      </c>
      <c r="H70" s="145">
        <f>G70*Prototype!$B$16</f>
        <v>7108.2</v>
      </c>
      <c r="I70" s="145">
        <v>1</v>
      </c>
      <c r="J70" s="145">
        <f t="shared" si="12"/>
        <v>26.063399999999998</v>
      </c>
      <c r="K70" s="147">
        <v>33</v>
      </c>
      <c r="L70" s="178"/>
      <c r="N70" s="41"/>
      <c r="O70" s="41"/>
      <c r="P70" s="41"/>
      <c r="Q70" s="41"/>
      <c r="R70" s="41"/>
      <c r="S70" s="41"/>
      <c r="T70" s="191"/>
      <c r="U70" s="259"/>
      <c r="V70" s="193"/>
      <c r="Y70" s="253"/>
      <c r="Z70" s="41"/>
      <c r="AA70" s="41"/>
      <c r="AB70" s="41"/>
      <c r="AC70" s="41"/>
      <c r="AD70" s="41"/>
    </row>
    <row r="71" spans="1:30" ht="17.7" customHeight="1" x14ac:dyDescent="0.3">
      <c r="A71" s="247" t="s">
        <v>293</v>
      </c>
      <c r="B71" s="247" t="s">
        <v>187</v>
      </c>
      <c r="C71" s="247" t="s">
        <v>280</v>
      </c>
      <c r="D71" s="247" t="s">
        <v>176</v>
      </c>
      <c r="E71" s="145" t="s">
        <v>177</v>
      </c>
      <c r="F71" s="179">
        <f t="shared" si="11"/>
        <v>6.7488799424929009E-4</v>
      </c>
      <c r="G71" s="146">
        <v>336.44</v>
      </c>
      <c r="H71" s="145">
        <f>G71*Prototype!$B$16</f>
        <v>3027.96</v>
      </c>
      <c r="I71" s="145">
        <v>1</v>
      </c>
      <c r="J71" s="145">
        <f t="shared" si="12"/>
        <v>11.10252</v>
      </c>
      <c r="K71" s="147">
        <v>33</v>
      </c>
      <c r="L71" s="178"/>
      <c r="N71" s="41"/>
      <c r="O71" s="41"/>
      <c r="P71" s="41"/>
      <c r="Q71" s="41"/>
      <c r="R71" s="41"/>
      <c r="S71" s="41"/>
      <c r="T71" s="191"/>
      <c r="U71" s="259"/>
      <c r="V71" s="193"/>
      <c r="Y71" s="253"/>
      <c r="Z71" s="41"/>
      <c r="AA71" s="41"/>
      <c r="AB71" s="41"/>
      <c r="AC71" s="41"/>
      <c r="AD71" s="41"/>
    </row>
    <row r="72" spans="1:30" ht="17.7" customHeight="1" x14ac:dyDescent="0.3">
      <c r="A72" s="247" t="s">
        <v>294</v>
      </c>
      <c r="B72" s="247" t="s">
        <v>187</v>
      </c>
      <c r="C72" s="247" t="s">
        <v>280</v>
      </c>
      <c r="D72" s="247" t="s">
        <v>176</v>
      </c>
      <c r="E72" s="145" t="s">
        <v>177</v>
      </c>
      <c r="F72" s="179">
        <f t="shared" si="11"/>
        <v>1.5321586315765301E-3</v>
      </c>
      <c r="G72" s="146">
        <v>763.8</v>
      </c>
      <c r="H72" s="145">
        <f>G72*Prototype!$B$16</f>
        <v>6874.2</v>
      </c>
      <c r="I72" s="145">
        <v>1</v>
      </c>
      <c r="J72" s="145">
        <f t="shared" si="12"/>
        <v>25.205399999999997</v>
      </c>
      <c r="K72" s="147">
        <v>33</v>
      </c>
      <c r="L72" s="178"/>
      <c r="N72" s="41"/>
      <c r="O72" s="41"/>
      <c r="P72" s="41"/>
      <c r="Q72" s="41"/>
      <c r="R72" s="41"/>
      <c r="S72" s="41"/>
      <c r="T72" s="191"/>
      <c r="U72" s="259"/>
      <c r="V72" s="193"/>
      <c r="Y72" s="253"/>
      <c r="Z72" s="41"/>
      <c r="AA72" s="41"/>
      <c r="AB72" s="41"/>
      <c r="AC72" s="41"/>
      <c r="AD72" s="41"/>
    </row>
    <row r="73" spans="1:30" ht="17.7" customHeight="1" x14ac:dyDescent="0.3">
      <c r="A73" s="247" t="s">
        <v>295</v>
      </c>
      <c r="B73" s="247" t="s">
        <v>187</v>
      </c>
      <c r="C73" s="247" t="s">
        <v>280</v>
      </c>
      <c r="D73" s="247" t="s">
        <v>176</v>
      </c>
      <c r="E73" s="145" t="s">
        <v>177</v>
      </c>
      <c r="F73" s="179">
        <f t="shared" si="11"/>
        <v>8.6898549253594244E-4</v>
      </c>
      <c r="G73" s="146">
        <v>433.2</v>
      </c>
      <c r="H73" s="145">
        <f>G73*Prototype!$B$16</f>
        <v>3898.7999999999997</v>
      </c>
      <c r="I73" s="145">
        <v>1</v>
      </c>
      <c r="J73" s="145">
        <f t="shared" si="12"/>
        <v>14.2956</v>
      </c>
      <c r="K73" s="147">
        <v>33</v>
      </c>
      <c r="L73" s="178"/>
      <c r="N73" s="41"/>
      <c r="O73" s="41"/>
      <c r="P73" s="41"/>
      <c r="Q73" s="41"/>
      <c r="R73" s="41"/>
      <c r="S73" s="41"/>
      <c r="T73" s="191"/>
      <c r="U73" s="259"/>
      <c r="V73" s="193"/>
      <c r="Y73" s="253"/>
      <c r="Z73" s="41"/>
      <c r="AA73" s="41"/>
      <c r="AB73" s="41"/>
      <c r="AC73" s="41"/>
      <c r="AD73" s="41"/>
    </row>
    <row r="74" spans="1:30" ht="17.7" customHeight="1" x14ac:dyDescent="0.3">
      <c r="A74" s="247" t="s">
        <v>296</v>
      </c>
      <c r="B74" s="247" t="s">
        <v>189</v>
      </c>
      <c r="C74" s="247" t="s">
        <v>280</v>
      </c>
      <c r="D74" s="247" t="s">
        <v>176</v>
      </c>
      <c r="E74" s="145" t="s">
        <v>177</v>
      </c>
      <c r="F74" s="179">
        <f t="shared" si="11"/>
        <v>1.8254312054656224E-3</v>
      </c>
      <c r="G74" s="146">
        <v>910</v>
      </c>
      <c r="H74" s="145">
        <f>G74*Prototype!$B$16</f>
        <v>8190</v>
      </c>
      <c r="I74" s="145">
        <v>1</v>
      </c>
      <c r="J74" s="145">
        <f t="shared" si="12"/>
        <v>30.03</v>
      </c>
      <c r="K74" s="147">
        <v>33</v>
      </c>
      <c r="L74" s="178"/>
      <c r="N74" s="41"/>
      <c r="O74" s="41"/>
      <c r="P74" s="41"/>
      <c r="Q74" s="41"/>
      <c r="R74" s="41"/>
      <c r="S74" s="41"/>
      <c r="T74" s="191"/>
      <c r="U74" s="259"/>
      <c r="V74" s="193"/>
      <c r="Y74" s="253"/>
      <c r="Z74" s="41"/>
      <c r="AA74" s="41"/>
      <c r="AB74" s="41"/>
      <c r="AC74" s="41"/>
      <c r="AD74" s="41"/>
    </row>
    <row r="75" spans="1:30" ht="17.7" customHeight="1" x14ac:dyDescent="0.3">
      <c r="A75" s="247" t="s">
        <v>297</v>
      </c>
      <c r="B75" s="247" t="s">
        <v>191</v>
      </c>
      <c r="C75" s="247" t="s">
        <v>280</v>
      </c>
      <c r="D75" s="247" t="s">
        <v>176</v>
      </c>
      <c r="E75" s="145" t="s">
        <v>177</v>
      </c>
      <c r="F75" s="179">
        <f t="shared" si="11"/>
        <v>1.4804046479490432E-3</v>
      </c>
      <c r="G75" s="146">
        <v>738</v>
      </c>
      <c r="H75" s="145">
        <f>G75*Prototype!$B$16</f>
        <v>6642</v>
      </c>
      <c r="I75" s="145">
        <v>1</v>
      </c>
      <c r="J75" s="145">
        <f t="shared" si="12"/>
        <v>0</v>
      </c>
      <c r="K75" s="148">
        <v>0</v>
      </c>
      <c r="L75" s="178"/>
      <c r="N75" s="41"/>
      <c r="O75" s="41"/>
      <c r="P75" s="41"/>
      <c r="Q75" s="41"/>
      <c r="R75" s="41"/>
      <c r="S75" s="41"/>
      <c r="T75" s="191"/>
      <c r="U75" s="259"/>
      <c r="V75" s="193"/>
      <c r="Y75" s="253"/>
      <c r="Z75" s="41"/>
      <c r="AA75" s="41"/>
      <c r="AB75" s="41"/>
      <c r="AC75" s="41"/>
      <c r="AD75" s="41"/>
    </row>
    <row r="76" spans="1:30" ht="17.7" customHeight="1" x14ac:dyDescent="0.3">
      <c r="A76" s="247" t="s">
        <v>298</v>
      </c>
      <c r="B76" s="247" t="s">
        <v>195</v>
      </c>
      <c r="C76" s="247" t="s">
        <v>280</v>
      </c>
      <c r="D76" s="247" t="s">
        <v>176</v>
      </c>
      <c r="E76" s="145" t="s">
        <v>177</v>
      </c>
      <c r="F76" s="179">
        <f t="shared" si="11"/>
        <v>1.3720823566356986E-3</v>
      </c>
      <c r="G76" s="146">
        <v>684</v>
      </c>
      <c r="H76" s="145">
        <f>G76*Prototype!$B$16</f>
        <v>6156</v>
      </c>
      <c r="I76" s="145">
        <v>1</v>
      </c>
      <c r="J76" s="145">
        <f t="shared" si="12"/>
        <v>6.84</v>
      </c>
      <c r="K76" s="147">
        <f>K12</f>
        <v>10</v>
      </c>
      <c r="L76" s="178"/>
      <c r="N76" s="41"/>
      <c r="O76" s="41"/>
      <c r="P76" s="41"/>
      <c r="Q76" s="41"/>
      <c r="R76" s="41"/>
      <c r="S76" s="41"/>
      <c r="T76" s="191"/>
      <c r="U76" s="259"/>
      <c r="V76" s="193"/>
      <c r="Y76" s="253"/>
      <c r="Z76" s="41"/>
      <c r="AA76" s="41"/>
      <c r="AB76" s="41"/>
      <c r="AC76" s="41"/>
      <c r="AD76" s="41"/>
    </row>
    <row r="77" spans="1:30" ht="17.7" customHeight="1" x14ac:dyDescent="0.3">
      <c r="A77" s="247" t="s">
        <v>299</v>
      </c>
      <c r="B77" s="247" t="s">
        <v>193</v>
      </c>
      <c r="C77" s="247" t="s">
        <v>280</v>
      </c>
      <c r="D77" s="247" t="s">
        <v>176</v>
      </c>
      <c r="E77" s="145" t="s">
        <v>177</v>
      </c>
      <c r="F77" s="179">
        <f t="shared" si="11"/>
        <v>2.3168934530909823E-3</v>
      </c>
      <c r="G77" s="146">
        <v>1155</v>
      </c>
      <c r="H77" s="145">
        <f>G77*Prototype!$B$16</f>
        <v>10395</v>
      </c>
      <c r="I77" s="145">
        <v>1</v>
      </c>
      <c r="J77" s="145">
        <f t="shared" si="12"/>
        <v>0</v>
      </c>
      <c r="K77" s="148">
        <v>0</v>
      </c>
      <c r="L77" s="178"/>
      <c r="N77" s="41"/>
      <c r="O77" s="41"/>
      <c r="P77" s="41"/>
      <c r="Q77" s="41"/>
      <c r="R77" s="41"/>
      <c r="S77" s="41"/>
      <c r="T77" s="191"/>
      <c r="U77" s="259"/>
      <c r="V77" s="193"/>
      <c r="Y77" s="253"/>
      <c r="Z77" s="41"/>
      <c r="AA77" s="41"/>
      <c r="AB77" s="41"/>
      <c r="AC77" s="41"/>
      <c r="AD77" s="41"/>
    </row>
    <row r="78" spans="1:30" ht="17.7" customHeight="1" x14ac:dyDescent="0.3">
      <c r="A78" s="247" t="s">
        <v>300</v>
      </c>
      <c r="B78" s="247" t="s">
        <v>198</v>
      </c>
      <c r="C78" s="247" t="s">
        <v>280</v>
      </c>
      <c r="D78" s="247" t="s">
        <v>176</v>
      </c>
      <c r="E78" s="145" t="s">
        <v>177</v>
      </c>
      <c r="F78" s="179">
        <f t="shared" si="11"/>
        <v>1.7010611672910415E-3</v>
      </c>
      <c r="G78" s="146">
        <v>848</v>
      </c>
      <c r="H78" s="145">
        <f>G78*Prototype!$B$16</f>
        <v>7632</v>
      </c>
      <c r="I78" s="145">
        <v>1</v>
      </c>
      <c r="J78" s="145">
        <f t="shared" si="12"/>
        <v>0</v>
      </c>
      <c r="K78" s="148">
        <v>0</v>
      </c>
      <c r="L78" s="178"/>
      <c r="N78" s="41"/>
      <c r="O78" s="41"/>
      <c r="P78" s="41"/>
      <c r="Q78" s="41"/>
      <c r="R78" s="41"/>
      <c r="S78" s="41"/>
      <c r="T78" s="191"/>
      <c r="U78" s="259"/>
      <c r="V78" s="193"/>
      <c r="Y78" s="253"/>
      <c r="Z78" s="41"/>
      <c r="AA78" s="41"/>
      <c r="AB78" s="41"/>
      <c r="AC78" s="41"/>
      <c r="AD78" s="41"/>
    </row>
    <row r="79" spans="1:30" ht="17.7" customHeight="1" x14ac:dyDescent="0.3">
      <c r="A79" s="247" t="s">
        <v>301</v>
      </c>
      <c r="B79" s="247" t="s">
        <v>200</v>
      </c>
      <c r="C79" s="247" t="s">
        <v>280</v>
      </c>
      <c r="D79" s="247" t="s">
        <v>176</v>
      </c>
      <c r="E79" s="145" t="s">
        <v>177</v>
      </c>
      <c r="F79" s="179">
        <f t="shared" si="11"/>
        <v>2.0177634515975386E-3</v>
      </c>
      <c r="G79" s="146">
        <v>1005.88</v>
      </c>
      <c r="H79" s="145">
        <f>G79*Prototype!$B$16</f>
        <v>9052.92</v>
      </c>
      <c r="I79" s="145">
        <f t="shared" ref="I79" si="13">I78</f>
        <v>1</v>
      </c>
      <c r="J79" s="145">
        <f t="shared" si="12"/>
        <v>5.0293999999999999</v>
      </c>
      <c r="K79" s="147">
        <v>5</v>
      </c>
      <c r="L79" s="178"/>
      <c r="N79" s="41"/>
      <c r="O79" s="41"/>
      <c r="P79" s="41"/>
      <c r="Q79" s="41"/>
      <c r="R79" s="41"/>
      <c r="S79" s="41"/>
      <c r="T79" s="191"/>
      <c r="U79" s="259"/>
      <c r="V79" s="193"/>
      <c r="Y79" s="253"/>
      <c r="Z79" s="41"/>
      <c r="AA79" s="41"/>
      <c r="AB79" s="41"/>
      <c r="AC79" s="41"/>
      <c r="AD79" s="41"/>
    </row>
    <row r="80" spans="1:30" ht="17.7" customHeight="1" x14ac:dyDescent="0.3">
      <c r="A80" s="247" t="s">
        <v>302</v>
      </c>
      <c r="B80" s="247" t="s">
        <v>200</v>
      </c>
      <c r="C80" s="247" t="s">
        <v>280</v>
      </c>
      <c r="D80" s="247" t="s">
        <v>176</v>
      </c>
      <c r="E80" s="145" t="s">
        <v>177</v>
      </c>
      <c r="F80" s="179">
        <f>G80/$G$82</f>
        <v>1.1742136378366558E-3</v>
      </c>
      <c r="G80" s="146">
        <v>585.36</v>
      </c>
      <c r="H80" s="145">
        <f>G80*Prototype!$B$16</f>
        <v>5268.24</v>
      </c>
      <c r="I80" s="145">
        <v>1</v>
      </c>
      <c r="J80" s="145">
        <f t="shared" si="12"/>
        <v>2.9268000000000001</v>
      </c>
      <c r="K80" s="147">
        <v>5</v>
      </c>
      <c r="L80" s="178"/>
      <c r="N80" s="41"/>
      <c r="O80" s="41"/>
      <c r="P80" s="41"/>
      <c r="Q80" s="41"/>
      <c r="R80" s="41"/>
      <c r="S80" s="41"/>
      <c r="T80" s="191"/>
      <c r="U80" s="259"/>
      <c r="V80" s="193"/>
      <c r="Y80" s="253"/>
      <c r="Z80" s="41"/>
      <c r="AA80" s="41"/>
      <c r="AB80" s="41"/>
      <c r="AC80" s="41"/>
      <c r="AD80" s="41"/>
    </row>
    <row r="81" spans="1:30" ht="17.7" customHeight="1" x14ac:dyDescent="0.3">
      <c r="A81" s="247" t="s">
        <v>303</v>
      </c>
      <c r="B81" s="247" t="s">
        <v>250</v>
      </c>
      <c r="C81" s="247" t="s">
        <v>226</v>
      </c>
      <c r="D81" s="247"/>
      <c r="E81" s="145" t="s">
        <v>251</v>
      </c>
      <c r="F81" s="179"/>
      <c r="G81" s="146">
        <f>239.85*159.9</f>
        <v>38352.014999999999</v>
      </c>
      <c r="H81" s="145">
        <f>G81*(Prototype!$B$15-Prototype!$B$16)</f>
        <v>153408.06</v>
      </c>
      <c r="I81" s="145">
        <v>1</v>
      </c>
      <c r="J81" s="145">
        <f t="shared" si="12"/>
        <v>0</v>
      </c>
      <c r="K81" s="148">
        <v>0</v>
      </c>
      <c r="L81" s="178"/>
      <c r="N81" s="41"/>
      <c r="O81" s="41"/>
      <c r="P81" s="41"/>
      <c r="Q81" s="41"/>
      <c r="R81" s="41"/>
      <c r="S81" s="41"/>
      <c r="T81" s="191"/>
      <c r="U81" s="259"/>
      <c r="V81" s="193"/>
      <c r="Y81" s="253"/>
      <c r="Z81" s="41"/>
      <c r="AA81" s="41"/>
      <c r="AB81" s="41"/>
      <c r="AC81" s="41"/>
      <c r="AD81" s="41"/>
    </row>
    <row r="82" spans="1:30" ht="78" customHeight="1" x14ac:dyDescent="0.3">
      <c r="A82" s="272" t="s">
        <v>304</v>
      </c>
      <c r="B82" s="24" t="s">
        <v>305</v>
      </c>
      <c r="C82" s="24" t="s">
        <v>306</v>
      </c>
      <c r="D82" s="248" t="s">
        <v>307</v>
      </c>
      <c r="E82" s="24" t="s">
        <v>308</v>
      </c>
      <c r="F82" s="234">
        <f>SUMPRODUCT(F3:F81,I3:I81)</f>
        <v>1.0000000000000004</v>
      </c>
      <c r="G82" s="273">
        <f>SUMPRODUCT(G3:G81,I3:I81)-(G81*I81+G58*I58+G35*I35)</f>
        <v>498512.34999999986</v>
      </c>
      <c r="H82" s="20"/>
      <c r="I82" s="20"/>
      <c r="J82" s="20"/>
      <c r="K82" s="21"/>
      <c r="N82" s="41"/>
      <c r="O82" s="41"/>
      <c r="P82" s="41"/>
      <c r="Q82" s="41"/>
      <c r="R82" s="41"/>
      <c r="S82" s="41"/>
      <c r="T82" s="41"/>
      <c r="U82" s="41"/>
      <c r="V82" s="41"/>
      <c r="W82" s="41"/>
      <c r="X82" s="41"/>
      <c r="Y82" s="41"/>
      <c r="Z82" s="41"/>
      <c r="AA82" s="41"/>
      <c r="AB82" s="41"/>
      <c r="AC82" s="41"/>
      <c r="AD82" s="41"/>
    </row>
    <row r="83" spans="1:30" ht="51" customHeight="1" x14ac:dyDescent="0.3">
      <c r="G83" s="235"/>
      <c r="I83" s="501"/>
      <c r="J83" s="501"/>
      <c r="K83" s="501"/>
      <c r="N83" s="41"/>
      <c r="O83" s="41"/>
      <c r="P83" s="41"/>
      <c r="Q83" s="41"/>
      <c r="R83" s="41"/>
      <c r="S83" s="41"/>
      <c r="T83" s="41"/>
      <c r="U83" s="41"/>
      <c r="V83" s="41"/>
      <c r="W83" s="41"/>
      <c r="X83" s="41"/>
      <c r="Y83" s="41"/>
      <c r="Z83" s="41"/>
      <c r="AA83" s="41"/>
      <c r="AB83" s="41"/>
      <c r="AC83" s="41"/>
      <c r="AD83" s="41"/>
    </row>
    <row r="84" spans="1:30" ht="17.7" customHeight="1" x14ac:dyDescent="0.3">
      <c r="B84" s="41"/>
      <c r="C84" s="41"/>
      <c r="D84" s="41"/>
      <c r="E84" s="41"/>
      <c r="F84" s="41"/>
      <c r="G84" s="184"/>
      <c r="J84" s="501"/>
      <c r="K84" s="501"/>
      <c r="N84" s="41"/>
      <c r="O84" s="41"/>
      <c r="P84" s="41"/>
      <c r="Q84" s="41"/>
      <c r="R84" s="41"/>
      <c r="S84" s="41"/>
      <c r="T84" s="41"/>
      <c r="U84" s="41"/>
      <c r="V84" s="41"/>
      <c r="W84" s="41"/>
      <c r="X84" s="41"/>
      <c r="Y84" s="41"/>
      <c r="Z84" s="41"/>
      <c r="AA84" s="41"/>
      <c r="AB84" s="41"/>
      <c r="AC84" s="41"/>
      <c r="AD84" s="41"/>
    </row>
    <row r="85" spans="1:30" ht="17.7" customHeight="1" x14ac:dyDescent="0.3">
      <c r="B85" s="42"/>
      <c r="C85" s="42"/>
      <c r="D85" s="42"/>
      <c r="E85" s="42"/>
      <c r="F85" s="42"/>
      <c r="G85" s="183"/>
      <c r="I85" s="501"/>
      <c r="J85" s="501"/>
      <c r="K85" s="501"/>
      <c r="N85" s="41"/>
      <c r="O85" s="41"/>
      <c r="P85" s="41"/>
      <c r="Q85" s="41"/>
      <c r="R85" s="41"/>
      <c r="S85" s="41"/>
      <c r="T85" s="41"/>
      <c r="U85" s="41"/>
      <c r="V85" s="41"/>
      <c r="W85" s="41"/>
      <c r="X85" s="41"/>
      <c r="Y85" s="41"/>
      <c r="Z85" s="41"/>
      <c r="AA85" s="41"/>
      <c r="AB85" s="41"/>
      <c r="AC85" s="41"/>
      <c r="AD85" s="41"/>
    </row>
    <row r="86" spans="1:30" ht="17.7" customHeight="1" x14ac:dyDescent="0.3">
      <c r="N86" s="41"/>
      <c r="O86" s="41"/>
      <c r="P86" s="41"/>
      <c r="Q86" s="41"/>
      <c r="R86" s="41"/>
      <c r="S86" s="41"/>
      <c r="T86" s="41"/>
      <c r="U86" s="41"/>
      <c r="V86" s="41"/>
      <c r="W86" s="41"/>
      <c r="X86" s="41"/>
      <c r="Y86" s="41"/>
      <c r="Z86" s="41"/>
      <c r="AA86" s="41"/>
      <c r="AB86" s="41"/>
      <c r="AC86" s="41"/>
      <c r="AD86" s="41"/>
    </row>
    <row r="87" spans="1:30" ht="17.7" customHeight="1" x14ac:dyDescent="0.3">
      <c r="N87" s="41"/>
      <c r="O87" s="41"/>
      <c r="P87" s="41"/>
      <c r="Q87" s="41"/>
      <c r="R87" s="41"/>
      <c r="S87" s="41"/>
      <c r="T87" s="41"/>
      <c r="U87" s="41"/>
      <c r="V87" s="41"/>
      <c r="W87" s="41"/>
      <c r="X87" s="41"/>
      <c r="Y87" s="41"/>
      <c r="Z87" s="41"/>
      <c r="AA87" s="41"/>
      <c r="AB87" s="41"/>
      <c r="AC87" s="41"/>
      <c r="AD87" s="41"/>
    </row>
    <row r="88" spans="1:30" ht="17.7" customHeight="1" x14ac:dyDescent="0.3">
      <c r="N88" s="41"/>
      <c r="O88" s="41"/>
      <c r="P88" s="41"/>
      <c r="Q88" s="41"/>
      <c r="R88" s="41"/>
      <c r="S88" s="41"/>
      <c r="T88" s="41"/>
      <c r="U88" s="41"/>
      <c r="V88" s="41"/>
      <c r="W88" s="41"/>
      <c r="X88" s="41"/>
      <c r="Y88" s="41"/>
      <c r="Z88" s="41"/>
      <c r="AA88" s="41"/>
      <c r="AB88" s="41"/>
      <c r="AC88" s="41"/>
      <c r="AD88" s="41"/>
    </row>
    <row r="89" spans="1:30" ht="58.2" customHeight="1" x14ac:dyDescent="0.3">
      <c r="G89" s="393"/>
      <c r="N89" s="41"/>
      <c r="O89" s="41"/>
      <c r="P89" s="41"/>
      <c r="Q89" s="41"/>
      <c r="R89" s="41"/>
      <c r="S89" s="41"/>
      <c r="T89" s="41"/>
      <c r="U89" s="41"/>
      <c r="V89" s="41"/>
      <c r="W89" s="41"/>
      <c r="X89" s="41"/>
      <c r="Y89" s="41"/>
      <c r="Z89" s="41"/>
      <c r="AA89" s="41"/>
      <c r="AB89" s="41"/>
      <c r="AC89" s="41"/>
      <c r="AD89" s="41"/>
    </row>
    <row r="90" spans="1:30" ht="17.7" customHeight="1" x14ac:dyDescent="0.3">
      <c r="G90" s="33"/>
      <c r="N90" s="41"/>
      <c r="O90" s="41"/>
      <c r="P90" s="41"/>
      <c r="Q90" s="41"/>
      <c r="R90" s="41"/>
      <c r="S90" s="41"/>
      <c r="T90" s="41"/>
      <c r="U90" s="41"/>
      <c r="V90" s="41"/>
      <c r="W90" s="41"/>
      <c r="X90" s="41"/>
      <c r="Y90" s="41"/>
      <c r="Z90" s="41"/>
      <c r="AA90" s="41"/>
      <c r="AB90" s="41"/>
      <c r="AC90" s="41"/>
      <c r="AD90" s="41"/>
    </row>
    <row r="91" spans="1:30" ht="17.7" customHeight="1" x14ac:dyDescent="0.3">
      <c r="G91" s="501"/>
      <c r="N91" s="41"/>
      <c r="O91" s="41"/>
      <c r="P91" s="41"/>
      <c r="Q91" s="41"/>
      <c r="R91" s="41"/>
      <c r="S91" s="41"/>
      <c r="T91" s="41"/>
      <c r="U91" s="41"/>
      <c r="V91" s="41"/>
      <c r="W91" s="41"/>
      <c r="X91" s="41"/>
      <c r="Y91" s="41"/>
      <c r="Z91" s="41"/>
      <c r="AA91" s="41"/>
      <c r="AB91" s="41"/>
      <c r="AC91" s="41"/>
      <c r="AD91" s="41"/>
    </row>
    <row r="92" spans="1:30" ht="17.7" customHeight="1" x14ac:dyDescent="0.3">
      <c r="N92" s="41"/>
      <c r="O92" s="41"/>
      <c r="P92" s="41"/>
      <c r="Q92" s="41"/>
      <c r="R92" s="41"/>
      <c r="S92" s="41"/>
      <c r="T92" s="41"/>
      <c r="U92" s="41"/>
      <c r="V92" s="41"/>
      <c r="W92" s="41"/>
      <c r="X92" s="41"/>
      <c r="Y92" s="41"/>
      <c r="Z92" s="41"/>
      <c r="AA92" s="41"/>
      <c r="AB92" s="41"/>
      <c r="AC92" s="41"/>
      <c r="AD92" s="41"/>
    </row>
    <row r="93" spans="1:30" ht="57.6" customHeight="1" x14ac:dyDescent="0.3">
      <c r="N93" s="41"/>
      <c r="O93" s="41"/>
      <c r="P93" s="41"/>
      <c r="Q93" s="41"/>
      <c r="R93" s="41"/>
      <c r="S93" s="41"/>
      <c r="T93" s="41"/>
      <c r="U93" s="41"/>
      <c r="V93" s="41"/>
      <c r="W93" s="41"/>
      <c r="X93" s="41"/>
      <c r="Y93" s="41"/>
      <c r="Z93" s="41"/>
      <c r="AA93" s="41"/>
      <c r="AB93" s="41"/>
      <c r="AC93" s="41"/>
      <c r="AD93" s="41"/>
    </row>
    <row r="94" spans="1:30" ht="13.2" x14ac:dyDescent="0.3">
      <c r="L94" s="492"/>
    </row>
    <row r="95" spans="1:30" ht="13.2" x14ac:dyDescent="0.3">
      <c r="L95" s="501"/>
    </row>
    <row r="96" spans="1:30" ht="14.7" customHeight="1" x14ac:dyDescent="0.3">
      <c r="L96" s="501"/>
    </row>
  </sheetData>
  <autoFilter ref="A2:AM82" xr:uid="{2E9DC9C1-ABE9-4C74-8C0A-F769CBEC5074}"/>
  <mergeCells count="10">
    <mergeCell ref="AK21:AL21"/>
    <mergeCell ref="AH22:AI22"/>
    <mergeCell ref="AK22:AL22"/>
    <mergeCell ref="T20:V20"/>
    <mergeCell ref="Y20:AB20"/>
    <mergeCell ref="N20:Q20"/>
    <mergeCell ref="A1:K1"/>
    <mergeCell ref="AE22:AF22"/>
    <mergeCell ref="AE21:AF21"/>
    <mergeCell ref="AH21:AI21"/>
  </mergeCells>
  <phoneticPr fontId="6" type="noConversion"/>
  <conditionalFormatting sqref="B13">
    <cfRule type="expression" dxfId="0" priority="1">
      <formula>IF($AV13="X",TRUE,FALSE)</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68ECAF-86A3-47A3-AD4D-9739475A0FA7}">
          <x14:formula1>
            <xm:f>Data!$A$2:$A$200</xm:f>
          </x14:formula1>
          <xm:sqref>B3:B81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95"/>
  <sheetViews>
    <sheetView zoomScale="85" zoomScaleNormal="85" workbookViewId="0">
      <selection sqref="A1:F1"/>
    </sheetView>
  </sheetViews>
  <sheetFormatPr defaultColWidth="8.6640625" defaultRowHeight="13.2" x14ac:dyDescent="0.25"/>
  <cols>
    <col min="1" max="1" width="15.33203125" style="6" customWidth="1"/>
    <col min="2" max="2" width="31.44140625" style="6" customWidth="1"/>
    <col min="3" max="3" width="33.44140625" style="6" customWidth="1"/>
    <col min="4" max="4" width="36.44140625" style="6" customWidth="1"/>
    <col min="5" max="5" width="32.88671875" style="6" customWidth="1"/>
    <col min="6" max="6" width="41.33203125" style="6" customWidth="1"/>
    <col min="7" max="7" width="39.88671875" style="6" customWidth="1"/>
    <col min="8" max="8" width="34.33203125" style="6" customWidth="1"/>
    <col min="9" max="9" width="20.5546875" style="6" customWidth="1"/>
    <col min="10" max="13" width="12.6640625" style="6" customWidth="1"/>
    <col min="14" max="21" width="15.33203125" style="6" customWidth="1"/>
    <col min="22" max="22" width="14.6640625" style="6" customWidth="1"/>
    <col min="23" max="23" width="13.5546875" style="6" customWidth="1"/>
    <col min="24" max="24" width="15.6640625" style="6" customWidth="1"/>
    <col min="25" max="31" width="11" style="6" customWidth="1"/>
    <col min="32" max="40" width="6.5546875" style="6" customWidth="1"/>
    <col min="41" max="41" width="8.6640625" style="6" customWidth="1"/>
    <col min="42" max="16384" width="8.6640625" style="6"/>
  </cols>
  <sheetData>
    <row r="1" spans="1:12" ht="27" customHeight="1" x14ac:dyDescent="0.25">
      <c r="A1" s="559" t="str">
        <f>"HVAC system - "&amp;Prototype!A2</f>
        <v>HVAC system - OfficeLarge</v>
      </c>
      <c r="B1" s="559"/>
      <c r="C1" s="559"/>
      <c r="D1" s="559"/>
      <c r="E1" s="559"/>
      <c r="F1" s="559"/>
      <c r="G1" s="495"/>
    </row>
    <row r="2" spans="1:12" ht="19.2" customHeight="1" x14ac:dyDescent="0.25">
      <c r="A2" s="39" t="s">
        <v>102</v>
      </c>
      <c r="B2" s="133" t="s">
        <v>309</v>
      </c>
      <c r="C2" s="133" t="s">
        <v>310</v>
      </c>
      <c r="D2" s="133" t="s">
        <v>311</v>
      </c>
      <c r="E2" s="133" t="s">
        <v>312</v>
      </c>
      <c r="F2" s="133" t="s">
        <v>313</v>
      </c>
      <c r="G2" s="133" t="s">
        <v>104</v>
      </c>
    </row>
    <row r="3" spans="1:12" ht="28.2" customHeight="1" x14ac:dyDescent="0.25">
      <c r="A3" s="589" t="s">
        <v>314</v>
      </c>
      <c r="B3" s="498" t="s">
        <v>315</v>
      </c>
      <c r="C3" s="136" t="s">
        <v>316</v>
      </c>
      <c r="D3" s="137" t="s">
        <v>317</v>
      </c>
      <c r="E3" s="499" t="s">
        <v>318</v>
      </c>
      <c r="F3" s="499" t="s">
        <v>319</v>
      </c>
      <c r="G3" s="499"/>
      <c r="H3" s="489"/>
      <c r="I3" s="489"/>
      <c r="J3" s="489"/>
      <c r="K3" s="489"/>
    </row>
    <row r="4" spans="1:12" ht="41.4" customHeight="1" x14ac:dyDescent="0.25">
      <c r="A4" s="589"/>
      <c r="B4" s="498" t="s">
        <v>320</v>
      </c>
      <c r="C4" s="136" t="s">
        <v>316</v>
      </c>
      <c r="D4" s="137" t="s">
        <v>321</v>
      </c>
      <c r="E4" s="137" t="s">
        <v>322</v>
      </c>
      <c r="F4" s="499" t="s">
        <v>319</v>
      </c>
      <c r="G4" s="498" t="s">
        <v>323</v>
      </c>
      <c r="I4" s="134"/>
      <c r="J4" s="134"/>
      <c r="K4" s="134"/>
    </row>
    <row r="5" spans="1:12" ht="31.2" customHeight="1" x14ac:dyDescent="0.25">
      <c r="A5" s="589"/>
      <c r="B5" s="498" t="s">
        <v>324</v>
      </c>
      <c r="C5" s="498" t="s">
        <v>325</v>
      </c>
      <c r="D5" s="137" t="s">
        <v>326</v>
      </c>
      <c r="E5" s="499" t="s">
        <v>327</v>
      </c>
      <c r="F5" s="499" t="s">
        <v>3</v>
      </c>
      <c r="G5" s="499"/>
      <c r="H5" s="489"/>
    </row>
    <row r="6" spans="1:12" ht="25.95" customHeight="1" x14ac:dyDescent="0.25">
      <c r="A6" s="590" t="s">
        <v>328</v>
      </c>
      <c r="B6" s="498" t="s">
        <v>315</v>
      </c>
      <c r="C6" s="136" t="s">
        <v>316</v>
      </c>
      <c r="D6" s="137" t="s">
        <v>317</v>
      </c>
      <c r="E6" s="499" t="s">
        <v>318</v>
      </c>
      <c r="F6" s="499" t="s">
        <v>329</v>
      </c>
      <c r="G6" s="499"/>
    </row>
    <row r="7" spans="1:12" ht="39" customHeight="1" x14ac:dyDescent="0.25">
      <c r="A7" s="590"/>
      <c r="B7" s="498" t="s">
        <v>320</v>
      </c>
      <c r="C7" s="136" t="s">
        <v>316</v>
      </c>
      <c r="D7" s="137" t="s">
        <v>330</v>
      </c>
      <c r="E7" s="137" t="s">
        <v>322</v>
      </c>
      <c r="F7" s="499" t="s">
        <v>329</v>
      </c>
      <c r="G7" s="499"/>
    </row>
    <row r="8" spans="1:12" ht="28.2" customHeight="1" x14ac:dyDescent="0.25">
      <c r="A8" s="590"/>
      <c r="B8" s="498" t="s">
        <v>324</v>
      </c>
      <c r="C8" s="498" t="s">
        <v>325</v>
      </c>
      <c r="D8" s="137" t="s">
        <v>326</v>
      </c>
      <c r="E8" s="499" t="s">
        <v>331</v>
      </c>
      <c r="F8" s="499" t="s">
        <v>329</v>
      </c>
      <c r="G8" s="499"/>
    </row>
    <row r="9" spans="1:12" x14ac:dyDescent="0.25">
      <c r="I9" s="262"/>
      <c r="J9" s="262"/>
      <c r="L9" s="262"/>
    </row>
    <row r="10" spans="1:12" x14ac:dyDescent="0.25">
      <c r="I10" s="262"/>
      <c r="J10" s="262"/>
      <c r="L10" s="262"/>
    </row>
    <row r="11" spans="1:12" x14ac:dyDescent="0.25">
      <c r="I11" s="262"/>
      <c r="J11" s="262"/>
      <c r="L11" s="262"/>
    </row>
    <row r="12" spans="1:12" x14ac:dyDescent="0.25">
      <c r="H12" s="262"/>
      <c r="I12" s="262"/>
      <c r="J12" s="262"/>
      <c r="L12" s="262"/>
    </row>
    <row r="13" spans="1:12" ht="25.95" customHeight="1" x14ac:dyDescent="0.25">
      <c r="A13" s="559" t="s">
        <v>332</v>
      </c>
      <c r="B13" s="559"/>
      <c r="C13" s="559"/>
      <c r="D13" s="559"/>
      <c r="E13" s="559"/>
      <c r="F13" s="559"/>
      <c r="G13" s="559"/>
    </row>
    <row r="14" spans="1:12" ht="40.950000000000003" customHeight="1" x14ac:dyDescent="0.25">
      <c r="A14" s="39"/>
      <c r="B14" s="39" t="s">
        <v>333</v>
      </c>
      <c r="C14" s="78" t="s">
        <v>334</v>
      </c>
      <c r="D14" s="503" t="s">
        <v>335</v>
      </c>
      <c r="E14" s="503" t="s">
        <v>325</v>
      </c>
      <c r="F14" s="133" t="s">
        <v>336</v>
      </c>
      <c r="G14" s="39" t="s">
        <v>104</v>
      </c>
    </row>
    <row r="15" spans="1:12" ht="16.2" customHeight="1" x14ac:dyDescent="0.25">
      <c r="A15" s="493" t="s">
        <v>125</v>
      </c>
      <c r="B15" s="594">
        <v>2008</v>
      </c>
      <c r="C15" s="556" t="s">
        <v>337</v>
      </c>
      <c r="D15" s="592" t="s">
        <v>338</v>
      </c>
      <c r="E15" s="593" t="s">
        <v>339</v>
      </c>
      <c r="F15" s="597" t="s">
        <v>340</v>
      </c>
      <c r="G15" s="584" t="s">
        <v>341</v>
      </c>
      <c r="H15" s="71" t="s">
        <v>342</v>
      </c>
      <c r="I15" s="153"/>
    </row>
    <row r="16" spans="1:12" ht="17.399999999999999" customHeight="1" x14ac:dyDescent="0.25">
      <c r="A16" s="493" t="s">
        <v>40</v>
      </c>
      <c r="B16" s="595"/>
      <c r="C16" s="557"/>
      <c r="D16" s="554"/>
      <c r="E16" s="557"/>
      <c r="F16" s="598"/>
      <c r="G16" s="585"/>
    </row>
    <row r="17" spans="1:40" ht="17.399999999999999" customHeight="1" x14ac:dyDescent="0.25">
      <c r="A17" s="493" t="s">
        <v>41</v>
      </c>
      <c r="B17" s="596"/>
      <c r="C17" s="558"/>
      <c r="D17" s="555"/>
      <c r="E17" s="558"/>
      <c r="F17" s="599"/>
      <c r="G17" s="586"/>
    </row>
    <row r="18" spans="1:40" ht="60" customHeight="1" x14ac:dyDescent="0.25">
      <c r="A18" s="493" t="s">
        <v>42</v>
      </c>
      <c r="B18" s="161">
        <v>2013</v>
      </c>
      <c r="C18" s="493" t="s">
        <v>337</v>
      </c>
      <c r="D18" s="496" t="s">
        <v>343</v>
      </c>
      <c r="E18" s="496" t="s">
        <v>344</v>
      </c>
      <c r="F18" s="162" t="s">
        <v>345</v>
      </c>
      <c r="G18" s="154" t="s">
        <v>346</v>
      </c>
    </row>
    <row r="19" spans="1:40" ht="78" customHeight="1" x14ac:dyDescent="0.3">
      <c r="A19" s="494" t="s">
        <v>328</v>
      </c>
      <c r="B19" s="161">
        <v>2025</v>
      </c>
      <c r="C19" s="496" t="s">
        <v>347</v>
      </c>
      <c r="D19" s="496" t="s">
        <v>348</v>
      </c>
      <c r="E19" s="496" t="s">
        <v>349</v>
      </c>
      <c r="F19" s="162" t="s">
        <v>350</v>
      </c>
      <c r="G19" s="154" t="s">
        <v>351</v>
      </c>
      <c r="H19" s="1" t="s">
        <v>352</v>
      </c>
    </row>
    <row r="20" spans="1:40" ht="18" customHeight="1" x14ac:dyDescent="0.3">
      <c r="A20" s="262"/>
      <c r="B20" s="262"/>
      <c r="C20" s="489"/>
      <c r="D20" s="262"/>
      <c r="E20" s="501"/>
      <c r="F20" s="156"/>
      <c r="H20" s="1"/>
    </row>
    <row r="21" spans="1:40" ht="14.4" x14ac:dyDescent="0.25">
      <c r="A21" s="163" t="s">
        <v>353</v>
      </c>
      <c r="C21" s="155"/>
      <c r="D21" s="155"/>
      <c r="E21" s="71"/>
      <c r="F21" s="153"/>
      <c r="G21" s="153"/>
    </row>
    <row r="22" spans="1:40" x14ac:dyDescent="0.25">
      <c r="C22" s="8"/>
      <c r="D22" s="8"/>
      <c r="E22" s="40"/>
      <c r="F22" s="8"/>
      <c r="G22" s="8"/>
    </row>
    <row r="23" spans="1:40" x14ac:dyDescent="0.25">
      <c r="A23" s="6" t="s">
        <v>354</v>
      </c>
      <c r="C23" s="6" t="s">
        <v>355</v>
      </c>
      <c r="D23" s="8"/>
      <c r="E23" s="40"/>
      <c r="F23" s="8"/>
      <c r="G23" s="8"/>
    </row>
    <row r="24" spans="1:40" x14ac:dyDescent="0.25">
      <c r="A24" s="153" t="s">
        <v>356</v>
      </c>
      <c r="B24" s="42"/>
      <c r="C24" s="8"/>
      <c r="D24" s="8"/>
      <c r="E24" s="40"/>
      <c r="F24" s="8"/>
      <c r="G24" s="8"/>
    </row>
    <row r="25" spans="1:40" x14ac:dyDescent="0.25">
      <c r="B25" s="42"/>
      <c r="C25" s="8"/>
      <c r="D25" s="8"/>
      <c r="E25" s="40"/>
      <c r="F25" s="8"/>
      <c r="G25" s="8"/>
    </row>
    <row r="26" spans="1:40" ht="18.600000000000001" customHeight="1" x14ac:dyDescent="0.25">
      <c r="B26" s="9"/>
      <c r="E26" s="36"/>
      <c r="F26" s="8"/>
      <c r="G26" s="8"/>
    </row>
    <row r="27" spans="1:40" s="27" customFormat="1" hidden="1" x14ac:dyDescent="0.25">
      <c r="B27" s="27" t="s">
        <v>357</v>
      </c>
    </row>
    <row r="28" spans="1:40" hidden="1" x14ac:dyDescent="0.25">
      <c r="W28" s="35"/>
      <c r="X28" s="61"/>
      <c r="Y28" s="62"/>
      <c r="Z28" s="62"/>
      <c r="AA28" s="62"/>
      <c r="AB28" s="62"/>
      <c r="AC28" s="62"/>
      <c r="AD28" s="62"/>
      <c r="AE28" s="62"/>
      <c r="AF28" s="62"/>
      <c r="AG28" s="62"/>
      <c r="AH28" s="62"/>
      <c r="AI28" s="62"/>
      <c r="AJ28" s="62"/>
      <c r="AK28" s="62"/>
      <c r="AL28" s="62"/>
      <c r="AM28" s="62"/>
      <c r="AN28" s="62"/>
    </row>
    <row r="29" spans="1:40" ht="17.399999999999999" hidden="1" x14ac:dyDescent="0.3">
      <c r="A29" s="108"/>
      <c r="B29" s="108" t="s">
        <v>358</v>
      </c>
      <c r="C29" s="109"/>
      <c r="D29" s="109"/>
      <c r="E29" s="109"/>
      <c r="F29" s="109"/>
      <c r="G29" s="109"/>
      <c r="H29" s="109"/>
      <c r="I29" s="109"/>
      <c r="W29" s="35"/>
      <c r="X29" s="61"/>
      <c r="Y29" s="62"/>
      <c r="Z29" s="62"/>
      <c r="AA29" s="62"/>
      <c r="AB29" s="62"/>
      <c r="AC29" s="62"/>
      <c r="AD29" s="62"/>
      <c r="AE29" s="62"/>
      <c r="AF29" s="62"/>
      <c r="AG29" s="62"/>
      <c r="AH29" s="62"/>
      <c r="AI29" s="62"/>
      <c r="AJ29" s="62"/>
      <c r="AK29" s="62"/>
      <c r="AL29" s="62"/>
      <c r="AM29" s="62"/>
      <c r="AN29" s="62"/>
    </row>
    <row r="30" spans="1:40" ht="17.399999999999999" hidden="1" x14ac:dyDescent="0.3">
      <c r="A30" s="66"/>
      <c r="B30" s="66"/>
      <c r="C30" s="188"/>
      <c r="D30" s="188"/>
      <c r="E30" s="188"/>
      <c r="F30" s="188"/>
      <c r="G30" s="188"/>
      <c r="H30" s="188"/>
      <c r="I30" s="188"/>
      <c r="W30" s="35"/>
      <c r="X30" s="61"/>
      <c r="Y30" s="62"/>
      <c r="Z30" s="62"/>
      <c r="AA30" s="62"/>
      <c r="AB30" s="62"/>
      <c r="AC30" s="62"/>
      <c r="AD30" s="62"/>
      <c r="AE30" s="62"/>
      <c r="AF30" s="62"/>
      <c r="AG30" s="62"/>
      <c r="AH30" s="62"/>
      <c r="AI30" s="62"/>
      <c r="AJ30" s="62"/>
      <c r="AK30" s="62"/>
      <c r="AL30" s="62"/>
      <c r="AM30" s="62"/>
      <c r="AN30" s="62"/>
    </row>
    <row r="31" spans="1:40" ht="13.8" hidden="1" x14ac:dyDescent="0.25">
      <c r="B31" s="151" t="s">
        <v>359</v>
      </c>
      <c r="C31" s="151" t="s">
        <v>360</v>
      </c>
      <c r="D31" s="151" t="s">
        <v>361</v>
      </c>
      <c r="E31" s="151" t="s">
        <v>362</v>
      </c>
      <c r="F31" s="151" t="s">
        <v>363</v>
      </c>
      <c r="G31" s="151" t="s">
        <v>364</v>
      </c>
      <c r="V31" s="35"/>
      <c r="W31" s="61"/>
      <c r="X31" s="62"/>
      <c r="Y31" s="62"/>
      <c r="Z31" s="62"/>
      <c r="AA31" s="62"/>
      <c r="AB31" s="62"/>
      <c r="AC31" s="62"/>
      <c r="AD31" s="62"/>
      <c r="AE31" s="62"/>
      <c r="AF31" s="62"/>
      <c r="AG31" s="62"/>
      <c r="AH31" s="62"/>
      <c r="AI31" s="62"/>
      <c r="AJ31" s="62"/>
      <c r="AK31" s="62"/>
      <c r="AL31" s="62"/>
      <c r="AM31" s="62"/>
    </row>
    <row r="32" spans="1:40" ht="13.8" hidden="1" x14ac:dyDescent="0.25">
      <c r="A32" s="151" t="s">
        <v>365</v>
      </c>
      <c r="B32" s="200" t="s">
        <v>366</v>
      </c>
      <c r="C32" s="200"/>
      <c r="D32" s="200"/>
      <c r="E32" s="200" t="s">
        <v>331</v>
      </c>
      <c r="F32" s="190" t="s">
        <v>367</v>
      </c>
      <c r="G32" s="190" t="s">
        <v>368</v>
      </c>
      <c r="V32" s="35"/>
      <c r="W32" s="61"/>
      <c r="X32" s="62"/>
      <c r="Y32" s="62"/>
      <c r="Z32" s="62"/>
      <c r="AA32" s="62"/>
      <c r="AB32" s="62"/>
      <c r="AC32" s="62"/>
      <c r="AD32" s="62"/>
      <c r="AE32" s="62"/>
      <c r="AF32" s="62"/>
      <c r="AG32" s="62"/>
      <c r="AH32" s="62"/>
      <c r="AI32" s="62"/>
      <c r="AJ32" s="62"/>
      <c r="AK32" s="62"/>
      <c r="AL32" s="62"/>
      <c r="AM32" s="62"/>
    </row>
    <row r="33" spans="1:40" ht="13.8" hidden="1" x14ac:dyDescent="0.25">
      <c r="A33" s="151" t="s">
        <v>369</v>
      </c>
      <c r="B33" s="200" t="s">
        <v>366</v>
      </c>
      <c r="C33" s="200"/>
      <c r="D33" s="200"/>
      <c r="E33" s="200" t="s">
        <v>331</v>
      </c>
      <c r="F33" s="200" t="s">
        <v>370</v>
      </c>
      <c r="G33" s="200" t="s">
        <v>325</v>
      </c>
      <c r="V33" s="35"/>
      <c r="W33" s="61"/>
      <c r="X33" s="62"/>
      <c r="Y33" s="62"/>
      <c r="Z33" s="62"/>
      <c r="AA33" s="62"/>
      <c r="AB33" s="62"/>
      <c r="AC33" s="62"/>
      <c r="AD33" s="62"/>
      <c r="AE33" s="62"/>
      <c r="AF33" s="62"/>
      <c r="AG33" s="62"/>
      <c r="AH33" s="62"/>
      <c r="AI33" s="62"/>
      <c r="AJ33" s="62"/>
      <c r="AK33" s="62"/>
      <c r="AL33" s="62"/>
      <c r="AM33" s="62"/>
    </row>
    <row r="34" spans="1:40" ht="27.6" hidden="1" x14ac:dyDescent="0.25">
      <c r="A34" s="600" t="s">
        <v>371</v>
      </c>
      <c r="B34" s="150" t="s">
        <v>372</v>
      </c>
      <c r="C34" s="152" t="s">
        <v>373</v>
      </c>
      <c r="D34" s="152" t="s">
        <v>374</v>
      </c>
      <c r="E34" s="152" t="s">
        <v>375</v>
      </c>
      <c r="F34" s="152" t="s">
        <v>376</v>
      </c>
      <c r="G34" s="152" t="s">
        <v>368</v>
      </c>
      <c r="V34" s="35"/>
      <c r="W34" s="61"/>
      <c r="X34" s="62"/>
      <c r="Y34" s="62"/>
      <c r="Z34" s="62"/>
      <c r="AA34" s="62"/>
      <c r="AB34" s="62"/>
      <c r="AC34" s="62"/>
      <c r="AD34" s="62"/>
      <c r="AE34" s="62"/>
      <c r="AF34" s="62"/>
      <c r="AG34" s="62"/>
      <c r="AH34" s="62"/>
      <c r="AI34" s="62"/>
      <c r="AJ34" s="62"/>
      <c r="AK34" s="62"/>
      <c r="AL34" s="62"/>
      <c r="AM34" s="62"/>
    </row>
    <row r="35" spans="1:40" ht="13.8" hidden="1" x14ac:dyDescent="0.25">
      <c r="A35" s="601"/>
      <c r="B35" s="150" t="s">
        <v>377</v>
      </c>
      <c r="C35" s="149" t="s">
        <v>378</v>
      </c>
      <c r="D35" s="149" t="s">
        <v>379</v>
      </c>
      <c r="E35" s="149" t="s">
        <v>375</v>
      </c>
      <c r="F35" s="149" t="s">
        <v>367</v>
      </c>
      <c r="G35" s="149" t="s">
        <v>368</v>
      </c>
      <c r="V35" s="35"/>
      <c r="W35" s="61"/>
      <c r="X35" s="62"/>
      <c r="Y35" s="62"/>
      <c r="Z35" s="62"/>
      <c r="AA35" s="62"/>
      <c r="AB35" s="62"/>
      <c r="AC35" s="62"/>
      <c r="AD35" s="62"/>
      <c r="AE35" s="62"/>
      <c r="AF35" s="62"/>
      <c r="AG35" s="62"/>
      <c r="AH35" s="62"/>
      <c r="AI35" s="62"/>
      <c r="AJ35" s="62"/>
      <c r="AK35" s="62"/>
      <c r="AL35" s="62"/>
      <c r="AM35" s="62"/>
    </row>
    <row r="36" spans="1:40" ht="13.8" hidden="1" x14ac:dyDescent="0.25">
      <c r="A36" s="602"/>
      <c r="B36" s="201" t="s">
        <v>380</v>
      </c>
      <c r="C36" s="189" t="s">
        <v>381</v>
      </c>
      <c r="D36" s="189" t="s">
        <v>382</v>
      </c>
      <c r="E36" s="189" t="s">
        <v>331</v>
      </c>
      <c r="F36" s="189" t="s">
        <v>367</v>
      </c>
      <c r="G36" s="189" t="s">
        <v>368</v>
      </c>
      <c r="V36" s="35"/>
      <c r="W36" s="61"/>
      <c r="X36" s="62"/>
      <c r="Y36" s="62"/>
      <c r="Z36" s="62"/>
      <c r="AA36" s="62"/>
      <c r="AB36" s="62"/>
      <c r="AC36" s="62"/>
      <c r="AD36" s="62"/>
      <c r="AE36" s="62"/>
      <c r="AF36" s="62"/>
      <c r="AG36" s="62"/>
      <c r="AH36" s="62"/>
      <c r="AI36" s="62"/>
      <c r="AJ36" s="62"/>
      <c r="AK36" s="62"/>
      <c r="AL36" s="62"/>
      <c r="AM36" s="62"/>
    </row>
    <row r="37" spans="1:40" hidden="1" x14ac:dyDescent="0.25">
      <c r="A37" s="591" t="s">
        <v>383</v>
      </c>
      <c r="B37" s="591"/>
      <c r="C37" s="591"/>
      <c r="D37" s="591"/>
      <c r="E37" s="591"/>
      <c r="W37" s="35"/>
      <c r="X37" s="61"/>
      <c r="Y37" s="62"/>
      <c r="Z37" s="62"/>
      <c r="AA37" s="62"/>
      <c r="AB37" s="62"/>
      <c r="AC37" s="62"/>
      <c r="AD37" s="62"/>
      <c r="AE37" s="62"/>
      <c r="AF37" s="62"/>
      <c r="AG37" s="62"/>
      <c r="AH37" s="62"/>
      <c r="AI37" s="62"/>
      <c r="AJ37" s="62"/>
      <c r="AK37" s="62"/>
      <c r="AL37" s="62"/>
      <c r="AM37" s="62"/>
      <c r="AN37" s="62"/>
    </row>
    <row r="38" spans="1:40" ht="17.25" hidden="1" customHeight="1" x14ac:dyDescent="0.25">
      <c r="A38" s="588" t="s">
        <v>384</v>
      </c>
      <c r="B38" s="588"/>
      <c r="C38" s="588"/>
      <c r="D38" s="588"/>
      <c r="E38" s="588"/>
      <c r="W38" s="35"/>
      <c r="X38" s="61"/>
      <c r="Y38" s="62"/>
      <c r="Z38" s="62"/>
      <c r="AA38" s="62"/>
      <c r="AB38" s="62"/>
      <c r="AC38" s="62"/>
      <c r="AD38" s="62"/>
      <c r="AE38" s="62"/>
      <c r="AF38" s="62"/>
      <c r="AG38" s="62"/>
      <c r="AH38" s="62"/>
      <c r="AI38" s="62"/>
      <c r="AJ38" s="62"/>
      <c r="AK38" s="62"/>
      <c r="AL38" s="62"/>
      <c r="AM38" s="62"/>
      <c r="AN38" s="62"/>
    </row>
    <row r="39" spans="1:40" ht="23.25" hidden="1" customHeight="1" x14ac:dyDescent="0.25">
      <c r="A39" s="587" t="s">
        <v>385</v>
      </c>
      <c r="B39" s="587"/>
      <c r="C39" s="587"/>
      <c r="D39" s="587"/>
      <c r="E39" s="587"/>
      <c r="W39" s="35"/>
      <c r="X39" s="61"/>
      <c r="Y39" s="62"/>
      <c r="Z39" s="62"/>
      <c r="AA39" s="62"/>
      <c r="AB39" s="62"/>
      <c r="AC39" s="62"/>
      <c r="AD39" s="62"/>
      <c r="AE39" s="62"/>
      <c r="AF39" s="62"/>
      <c r="AG39" s="62"/>
      <c r="AH39" s="62"/>
      <c r="AI39" s="62"/>
      <c r="AJ39" s="62"/>
      <c r="AK39" s="62"/>
      <c r="AL39" s="62"/>
      <c r="AM39" s="62"/>
      <c r="AN39" s="62"/>
    </row>
    <row r="40" spans="1:40" hidden="1" x14ac:dyDescent="0.25">
      <c r="W40" s="35"/>
      <c r="X40" s="61"/>
      <c r="Y40" s="62"/>
      <c r="Z40" s="62"/>
      <c r="AA40" s="62"/>
      <c r="AB40" s="62"/>
      <c r="AC40" s="62"/>
      <c r="AD40" s="62"/>
      <c r="AE40" s="62"/>
      <c r="AF40" s="62"/>
      <c r="AG40" s="62"/>
      <c r="AH40" s="62"/>
      <c r="AI40" s="62"/>
      <c r="AJ40" s="62"/>
      <c r="AK40" s="62"/>
      <c r="AL40" s="62"/>
      <c r="AM40" s="62"/>
      <c r="AN40" s="62"/>
    </row>
    <row r="41" spans="1:40" ht="16.2" hidden="1" customHeight="1" x14ac:dyDescent="0.3">
      <c r="A41" s="108"/>
      <c r="B41" s="108" t="s">
        <v>386</v>
      </c>
      <c r="C41" s="109"/>
      <c r="D41" s="109"/>
      <c r="E41" s="109"/>
      <c r="F41" s="109"/>
      <c r="G41" s="109"/>
      <c r="H41" s="109"/>
      <c r="I41" s="109"/>
      <c r="W41" s="35"/>
      <c r="X41" s="61"/>
      <c r="Y41" s="62"/>
      <c r="Z41" s="62"/>
      <c r="AA41" s="62"/>
      <c r="AB41" s="62"/>
      <c r="AC41" s="62"/>
      <c r="AD41" s="62"/>
      <c r="AE41" s="62"/>
      <c r="AF41" s="62"/>
      <c r="AG41" s="62"/>
      <c r="AH41" s="62"/>
      <c r="AI41" s="62"/>
      <c r="AJ41" s="62"/>
      <c r="AK41" s="62"/>
      <c r="AL41" s="62"/>
      <c r="AM41" s="62"/>
      <c r="AN41" s="62"/>
    </row>
    <row r="42" spans="1:40" ht="13.2" hidden="1" customHeight="1" thickBot="1" x14ac:dyDescent="0.35">
      <c r="A42" s="6" t="s">
        <v>387</v>
      </c>
      <c r="B42" s="107"/>
      <c r="C42" s="107"/>
      <c r="D42" s="107"/>
      <c r="E42" s="107"/>
      <c r="F42" s="107"/>
      <c r="G42" s="107"/>
      <c r="H42" s="107"/>
      <c r="V42" s="35"/>
      <c r="W42" s="61"/>
      <c r="X42" s="62"/>
      <c r="Y42" s="62"/>
      <c r="Z42" s="62"/>
      <c r="AA42" s="62"/>
      <c r="AB42" s="62"/>
      <c r="AC42" s="62"/>
      <c r="AD42" s="62"/>
      <c r="AE42" s="62"/>
      <c r="AF42" s="62"/>
      <c r="AG42" s="62"/>
      <c r="AH42" s="62"/>
      <c r="AI42" s="62"/>
      <c r="AJ42" s="62"/>
      <c r="AK42" s="62"/>
      <c r="AL42" s="62"/>
      <c r="AM42" s="62"/>
    </row>
    <row r="43" spans="1:40" ht="27" hidden="1" thickBot="1" x14ac:dyDescent="0.3">
      <c r="A43" s="93" t="s">
        <v>388</v>
      </c>
      <c r="B43" s="93" t="s">
        <v>69</v>
      </c>
      <c r="C43" s="95" t="s">
        <v>389</v>
      </c>
      <c r="D43" s="95" t="s">
        <v>390</v>
      </c>
      <c r="E43" s="101" t="s">
        <v>391</v>
      </c>
      <c r="F43" s="101"/>
      <c r="G43" s="95" t="s">
        <v>392</v>
      </c>
      <c r="H43" s="101" t="s">
        <v>393</v>
      </c>
      <c r="V43" s="35"/>
      <c r="W43" s="61"/>
      <c r="X43" s="62"/>
      <c r="Y43" s="62"/>
      <c r="Z43" s="62"/>
      <c r="AA43" s="62"/>
      <c r="AB43" s="62"/>
      <c r="AC43" s="62"/>
      <c r="AD43" s="62"/>
      <c r="AE43" s="62"/>
      <c r="AF43" s="62"/>
      <c r="AG43" s="62"/>
      <c r="AH43" s="62"/>
      <c r="AI43" s="62"/>
      <c r="AJ43" s="62"/>
      <c r="AK43" s="62"/>
      <c r="AL43" s="62"/>
      <c r="AM43" s="62"/>
    </row>
    <row r="44" spans="1:40" ht="27.6" hidden="1" thickTop="1" thickBot="1" x14ac:dyDescent="0.3">
      <c r="A44" s="96" t="s">
        <v>394</v>
      </c>
      <c r="B44" s="96" t="s">
        <v>395</v>
      </c>
      <c r="C44" s="97"/>
      <c r="D44" s="110">
        <v>0.03</v>
      </c>
      <c r="E44" s="102">
        <v>0.15</v>
      </c>
      <c r="F44" s="157"/>
      <c r="G44" s="111">
        <v>0.43</v>
      </c>
      <c r="H44" s="102">
        <v>0.21</v>
      </c>
      <c r="V44" s="35"/>
      <c r="W44" s="61"/>
      <c r="X44" s="62"/>
      <c r="Y44" s="62"/>
      <c r="Z44" s="62"/>
      <c r="AA44" s="62"/>
      <c r="AB44" s="62"/>
      <c r="AC44" s="62"/>
      <c r="AD44" s="62"/>
      <c r="AE44" s="62"/>
      <c r="AF44" s="62"/>
      <c r="AG44" s="62"/>
      <c r="AH44" s="62"/>
      <c r="AI44" s="62"/>
      <c r="AJ44" s="62"/>
      <c r="AK44" s="62"/>
      <c r="AL44" s="62"/>
      <c r="AM44" s="62"/>
    </row>
    <row r="45" spans="1:40" ht="13.8" hidden="1" thickBot="1" x14ac:dyDescent="0.3">
      <c r="A45" s="98" t="s">
        <v>396</v>
      </c>
      <c r="B45" s="98" t="s">
        <v>395</v>
      </c>
      <c r="C45" s="99">
        <v>0.13</v>
      </c>
      <c r="D45" s="99">
        <v>0.02</v>
      </c>
      <c r="E45" s="103">
        <v>7.0000000000000007E-2</v>
      </c>
      <c r="F45" s="158"/>
      <c r="G45" s="106">
        <v>0.66</v>
      </c>
      <c r="H45" s="112">
        <v>0.12</v>
      </c>
      <c r="V45" s="35"/>
      <c r="W45" s="61"/>
      <c r="X45" s="62"/>
      <c r="Y45" s="62"/>
      <c r="Z45" s="62"/>
      <c r="AA45" s="62"/>
      <c r="AB45" s="62"/>
      <c r="AC45" s="62"/>
      <c r="AD45" s="62"/>
      <c r="AE45" s="62"/>
      <c r="AF45" s="62"/>
      <c r="AG45" s="62"/>
      <c r="AH45" s="62"/>
      <c r="AI45" s="62"/>
      <c r="AJ45" s="62"/>
      <c r="AK45" s="62"/>
      <c r="AL45" s="62"/>
      <c r="AM45" s="62"/>
    </row>
    <row r="46" spans="1:40" hidden="1" x14ac:dyDescent="0.25">
      <c r="V46" s="35"/>
      <c r="X46" s="34"/>
      <c r="Y46" s="34"/>
      <c r="Z46" s="34"/>
      <c r="AA46" s="34"/>
      <c r="AB46" s="34"/>
      <c r="AC46" s="34"/>
      <c r="AD46" s="34"/>
      <c r="AE46" s="34"/>
      <c r="AF46" s="34"/>
      <c r="AG46" s="34"/>
      <c r="AH46" s="34"/>
      <c r="AI46" s="34"/>
      <c r="AJ46" s="34"/>
      <c r="AK46" s="34"/>
      <c r="AL46" s="34"/>
      <c r="AM46" s="34"/>
    </row>
    <row r="47" spans="1:40" hidden="1" x14ac:dyDescent="0.25">
      <c r="V47" s="35"/>
      <c r="X47" s="34"/>
      <c r="Y47" s="34"/>
      <c r="Z47" s="34"/>
      <c r="AA47" s="34"/>
      <c r="AB47" s="34"/>
      <c r="AC47" s="34"/>
      <c r="AD47" s="34"/>
      <c r="AE47" s="34"/>
      <c r="AF47" s="34"/>
      <c r="AG47" s="34"/>
      <c r="AH47" s="34"/>
      <c r="AI47" s="34"/>
      <c r="AJ47" s="34"/>
      <c r="AK47" s="34"/>
      <c r="AL47" s="34"/>
      <c r="AM47" s="34"/>
    </row>
    <row r="48" spans="1:40" ht="13.8" hidden="1" thickBot="1" x14ac:dyDescent="0.3">
      <c r="A48" s="6" t="s">
        <v>397</v>
      </c>
      <c r="V48" s="37"/>
      <c r="X48" s="35"/>
      <c r="Y48" s="35"/>
      <c r="Z48" s="35"/>
      <c r="AA48" s="35"/>
      <c r="AB48" s="35"/>
      <c r="AC48" s="35"/>
      <c r="AD48" s="35"/>
      <c r="AE48" s="35"/>
      <c r="AF48" s="35"/>
      <c r="AG48" s="35"/>
      <c r="AH48" s="35"/>
      <c r="AI48" s="35"/>
      <c r="AJ48" s="35"/>
      <c r="AK48" s="35"/>
      <c r="AL48" s="35"/>
      <c r="AM48" s="35"/>
    </row>
    <row r="49" spans="1:38" ht="27" hidden="1" thickBot="1" x14ac:dyDescent="0.3">
      <c r="A49" s="93" t="s">
        <v>388</v>
      </c>
      <c r="B49" s="94" t="s">
        <v>69</v>
      </c>
      <c r="C49" s="101" t="s">
        <v>398</v>
      </c>
      <c r="D49" s="95" t="s">
        <v>399</v>
      </c>
      <c r="E49" s="95" t="s">
        <v>400</v>
      </c>
      <c r="F49" s="95"/>
      <c r="G49" s="95" t="s">
        <v>401</v>
      </c>
      <c r="H49" s="95" t="s">
        <v>402</v>
      </c>
      <c r="V49" s="35"/>
      <c r="W49" s="38"/>
    </row>
    <row r="50" spans="1:38" ht="27.6" hidden="1" thickTop="1" thickBot="1" x14ac:dyDescent="0.3">
      <c r="A50" s="96" t="s">
        <v>394</v>
      </c>
      <c r="B50" s="100" t="s">
        <v>395</v>
      </c>
      <c r="C50" s="102">
        <v>0.59</v>
      </c>
      <c r="D50" s="105">
        <v>0.35</v>
      </c>
      <c r="E50" s="97">
        <v>0.05</v>
      </c>
      <c r="F50" s="97"/>
      <c r="G50" s="97">
        <v>0</v>
      </c>
      <c r="H50" s="97">
        <v>0</v>
      </c>
      <c r="V50" s="35"/>
      <c r="W50" s="38"/>
    </row>
    <row r="51" spans="1:38" ht="13.8" hidden="1" thickBot="1" x14ac:dyDescent="0.3">
      <c r="A51" s="98" t="s">
        <v>396</v>
      </c>
      <c r="B51" s="98" t="s">
        <v>395</v>
      </c>
      <c r="C51" s="103">
        <v>0.34</v>
      </c>
      <c r="D51" s="106">
        <v>0.57999999999999996</v>
      </c>
      <c r="E51" s="104">
        <v>7.0000000000000007E-2</v>
      </c>
      <c r="F51" s="104"/>
      <c r="G51" s="99">
        <v>0</v>
      </c>
      <c r="H51" s="99">
        <v>0</v>
      </c>
      <c r="V51" s="35"/>
      <c r="W51" s="38"/>
    </row>
    <row r="52" spans="1:38" hidden="1" x14ac:dyDescent="0.25">
      <c r="V52" s="35"/>
      <c r="W52" s="38"/>
    </row>
    <row r="53" spans="1:38" ht="13.8" hidden="1" thickBot="1" x14ac:dyDescent="0.3">
      <c r="A53" s="6" t="s">
        <v>403</v>
      </c>
      <c r="W53" s="38"/>
    </row>
    <row r="54" spans="1:38" ht="19.2" hidden="1" customHeight="1" thickBot="1" x14ac:dyDescent="0.3">
      <c r="A54" s="93" t="s">
        <v>388</v>
      </c>
      <c r="B54" s="94" t="s">
        <v>69</v>
      </c>
      <c r="C54" s="95" t="s">
        <v>404</v>
      </c>
      <c r="D54" s="95" t="s">
        <v>405</v>
      </c>
      <c r="V54" s="35"/>
      <c r="W54" s="38"/>
    </row>
    <row r="55" spans="1:38" ht="27.6" hidden="1" thickTop="1" thickBot="1" x14ac:dyDescent="0.3">
      <c r="A55" s="96" t="s">
        <v>394</v>
      </c>
      <c r="B55" s="96" t="s">
        <v>395</v>
      </c>
      <c r="C55" s="97">
        <v>0.86</v>
      </c>
      <c r="D55" s="97">
        <v>0.13</v>
      </c>
      <c r="V55" s="35"/>
      <c r="W55" s="38"/>
    </row>
    <row r="56" spans="1:38" ht="13.8" hidden="1" thickBot="1" x14ac:dyDescent="0.3">
      <c r="A56" s="98" t="s">
        <v>396</v>
      </c>
      <c r="B56" s="98" t="s">
        <v>395</v>
      </c>
      <c r="C56" s="99">
        <v>0.79</v>
      </c>
      <c r="D56" s="99">
        <v>0.2</v>
      </c>
      <c r="V56" s="35"/>
      <c r="W56" s="38"/>
    </row>
    <row r="57" spans="1:38" hidden="1" x14ac:dyDescent="0.25">
      <c r="V57" s="35"/>
      <c r="W57" s="38"/>
    </row>
    <row r="58" spans="1:38" hidden="1" x14ac:dyDescent="0.25">
      <c r="V58" s="35"/>
      <c r="W58" s="38"/>
    </row>
    <row r="59" spans="1:38" hidden="1" x14ac:dyDescent="0.25"/>
    <row r="60" spans="1:38" hidden="1" x14ac:dyDescent="0.25">
      <c r="V60" s="35"/>
      <c r="W60" s="38"/>
    </row>
    <row r="61" spans="1:38" ht="21.75" hidden="1" customHeight="1" thickBot="1" x14ac:dyDescent="0.3">
      <c r="A61" s="582" t="s">
        <v>406</v>
      </c>
      <c r="B61" s="583"/>
      <c r="C61" s="583"/>
      <c r="D61" s="583"/>
      <c r="E61" s="583"/>
      <c r="F61" s="583"/>
      <c r="G61" s="583"/>
      <c r="W61" s="35"/>
      <c r="X61" s="38"/>
    </row>
    <row r="62" spans="1:38" ht="24.75" hidden="1" customHeight="1" thickBot="1" x14ac:dyDescent="0.3">
      <c r="A62" s="578" t="s">
        <v>407</v>
      </c>
      <c r="B62" s="579" t="s">
        <v>408</v>
      </c>
      <c r="C62" s="579"/>
      <c r="D62" s="580"/>
      <c r="E62" s="581" t="s">
        <v>409</v>
      </c>
      <c r="F62" s="579"/>
      <c r="G62" s="580"/>
      <c r="U62" s="37"/>
      <c r="W62" s="35"/>
      <c r="X62" s="35"/>
      <c r="Y62" s="35"/>
      <c r="Z62" s="35"/>
      <c r="AA62" s="35"/>
      <c r="AB62" s="35"/>
      <c r="AC62" s="35"/>
      <c r="AD62" s="35"/>
      <c r="AE62" s="35"/>
      <c r="AF62" s="35"/>
      <c r="AG62" s="35"/>
      <c r="AH62" s="35"/>
      <c r="AI62" s="35"/>
      <c r="AJ62" s="35"/>
      <c r="AK62" s="35"/>
      <c r="AL62" s="35"/>
    </row>
    <row r="63" spans="1:38" ht="13.2" hidden="1" customHeight="1" thickTop="1" x14ac:dyDescent="0.25">
      <c r="A63" s="578"/>
      <c r="B63" s="202" t="s">
        <v>410</v>
      </c>
      <c r="C63" s="202" t="s">
        <v>411</v>
      </c>
      <c r="D63" s="203" t="s">
        <v>412</v>
      </c>
      <c r="E63" s="204" t="s">
        <v>410</v>
      </c>
      <c r="F63" s="204" t="s">
        <v>411</v>
      </c>
      <c r="G63" s="205" t="s">
        <v>412</v>
      </c>
    </row>
    <row r="64" spans="1:38" hidden="1" x14ac:dyDescent="0.25">
      <c r="A64" s="206">
        <v>1</v>
      </c>
      <c r="B64" s="207">
        <v>0.03</v>
      </c>
      <c r="C64" s="207">
        <v>0.97</v>
      </c>
      <c r="D64" s="207">
        <v>0</v>
      </c>
      <c r="E64" s="207">
        <v>0.17</v>
      </c>
      <c r="F64" s="207">
        <v>0.83</v>
      </c>
      <c r="G64" s="207">
        <v>0</v>
      </c>
    </row>
    <row r="65" spans="1:7" hidden="1" x14ac:dyDescent="0.25">
      <c r="A65" s="206">
        <v>2</v>
      </c>
      <c r="B65" s="207">
        <v>7.0000000000000007E-2</v>
      </c>
      <c r="C65" s="207">
        <v>0.93</v>
      </c>
      <c r="D65" s="207">
        <v>0</v>
      </c>
      <c r="E65" s="207">
        <v>0.3</v>
      </c>
      <c r="F65" s="207">
        <v>0.7</v>
      </c>
      <c r="G65" s="207">
        <v>0</v>
      </c>
    </row>
    <row r="66" spans="1:7" hidden="1" x14ac:dyDescent="0.25">
      <c r="A66" s="206">
        <v>3</v>
      </c>
      <c r="B66" s="207">
        <v>0.02</v>
      </c>
      <c r="C66" s="207">
        <v>0.94</v>
      </c>
      <c r="D66" s="207">
        <v>0.04</v>
      </c>
      <c r="E66" s="207">
        <v>0.36</v>
      </c>
      <c r="F66" s="207">
        <v>0.64</v>
      </c>
      <c r="G66" s="207">
        <v>0.04</v>
      </c>
    </row>
    <row r="67" spans="1:7" hidden="1" x14ac:dyDescent="0.25">
      <c r="A67" s="206">
        <v>4</v>
      </c>
      <c r="B67" s="207">
        <v>0.01</v>
      </c>
      <c r="C67" s="207">
        <v>0.94</v>
      </c>
      <c r="D67" s="207">
        <v>0.04</v>
      </c>
      <c r="E67" s="207">
        <v>0.35</v>
      </c>
      <c r="F67" s="207">
        <v>0.65</v>
      </c>
      <c r="G67" s="207">
        <v>0.04</v>
      </c>
    </row>
    <row r="68" spans="1:7" hidden="1" x14ac:dyDescent="0.25">
      <c r="A68" s="206">
        <v>5</v>
      </c>
      <c r="B68" s="207">
        <v>0.04</v>
      </c>
      <c r="C68" s="207">
        <v>0.95</v>
      </c>
      <c r="D68" s="207">
        <v>0.02</v>
      </c>
      <c r="E68" s="207">
        <v>0.74</v>
      </c>
      <c r="F68" s="207">
        <v>0.26</v>
      </c>
      <c r="G68" s="207">
        <v>0.02</v>
      </c>
    </row>
    <row r="69" spans="1:7" hidden="1" x14ac:dyDescent="0.25">
      <c r="A69" s="206">
        <v>6</v>
      </c>
      <c r="B69" s="207">
        <v>0.21</v>
      </c>
      <c r="C69" s="207">
        <v>0.79</v>
      </c>
      <c r="D69" s="207">
        <v>0</v>
      </c>
      <c r="E69" s="207">
        <v>0.38</v>
      </c>
      <c r="F69" s="207">
        <v>0.62</v>
      </c>
      <c r="G69" s="207">
        <v>0</v>
      </c>
    </row>
    <row r="70" spans="1:7" hidden="1" x14ac:dyDescent="0.25">
      <c r="A70" s="206">
        <v>7</v>
      </c>
      <c r="B70" s="207">
        <v>0.11</v>
      </c>
      <c r="C70" s="207">
        <v>0.87</v>
      </c>
      <c r="D70" s="207">
        <v>0.02</v>
      </c>
      <c r="E70" s="207">
        <v>0.3</v>
      </c>
      <c r="F70" s="207">
        <v>0.7</v>
      </c>
      <c r="G70" s="207">
        <v>0.01</v>
      </c>
    </row>
    <row r="71" spans="1:7" hidden="1" x14ac:dyDescent="0.25">
      <c r="A71" s="206">
        <v>8</v>
      </c>
      <c r="B71" s="207">
        <v>0.23</v>
      </c>
      <c r="C71" s="207">
        <v>0.77</v>
      </c>
      <c r="D71" s="207">
        <v>0</v>
      </c>
      <c r="E71" s="207">
        <v>0.37</v>
      </c>
      <c r="F71" s="207">
        <v>0.63</v>
      </c>
      <c r="G71" s="207">
        <v>0</v>
      </c>
    </row>
    <row r="72" spans="1:7" hidden="1" x14ac:dyDescent="0.25">
      <c r="A72" s="206">
        <v>9</v>
      </c>
      <c r="B72" s="207">
        <v>0.16</v>
      </c>
      <c r="C72" s="207">
        <v>0.83</v>
      </c>
      <c r="D72" s="207">
        <v>0</v>
      </c>
      <c r="E72" s="207">
        <v>0.33</v>
      </c>
      <c r="F72" s="207">
        <v>0.67</v>
      </c>
      <c r="G72" s="207">
        <v>0</v>
      </c>
    </row>
    <row r="73" spans="1:7" hidden="1" x14ac:dyDescent="0.25">
      <c r="A73" s="206">
        <v>10</v>
      </c>
      <c r="B73" s="207">
        <v>0.16</v>
      </c>
      <c r="C73" s="207">
        <v>0.83</v>
      </c>
      <c r="D73" s="207">
        <v>0.01</v>
      </c>
      <c r="E73" s="207">
        <v>0.49</v>
      </c>
      <c r="F73" s="207">
        <v>0.51</v>
      </c>
      <c r="G73" s="207">
        <v>0</v>
      </c>
    </row>
    <row r="74" spans="1:7" hidden="1" x14ac:dyDescent="0.25">
      <c r="A74" s="206">
        <v>11</v>
      </c>
      <c r="B74" s="207">
        <v>0.1</v>
      </c>
      <c r="C74" s="207">
        <v>0.89</v>
      </c>
      <c r="D74" s="207">
        <v>0.01</v>
      </c>
      <c r="E74" s="207">
        <v>0.42</v>
      </c>
      <c r="F74" s="207">
        <v>0.57999999999999996</v>
      </c>
      <c r="G74" s="207">
        <v>0.01</v>
      </c>
    </row>
    <row r="75" spans="1:7" hidden="1" x14ac:dyDescent="0.25">
      <c r="A75" s="206">
        <v>12</v>
      </c>
      <c r="B75" s="207">
        <v>0.1</v>
      </c>
      <c r="C75" s="207">
        <v>0.88</v>
      </c>
      <c r="D75" s="207">
        <v>0.02</v>
      </c>
      <c r="E75" s="207">
        <v>0.38</v>
      </c>
      <c r="F75" s="207">
        <v>0.62</v>
      </c>
      <c r="G75" s="207">
        <v>0.03</v>
      </c>
    </row>
    <row r="76" spans="1:7" hidden="1" x14ac:dyDescent="0.25">
      <c r="A76" s="206">
        <v>13</v>
      </c>
      <c r="B76" s="207">
        <v>0.04</v>
      </c>
      <c r="C76" s="207">
        <v>0.96</v>
      </c>
      <c r="D76" s="207">
        <v>0</v>
      </c>
      <c r="E76" s="207">
        <v>0.16</v>
      </c>
      <c r="F76" s="207">
        <v>0.84</v>
      </c>
      <c r="G76" s="207">
        <v>0</v>
      </c>
    </row>
    <row r="77" spans="1:7" hidden="1" x14ac:dyDescent="0.25">
      <c r="A77" s="206">
        <v>14</v>
      </c>
      <c r="B77" s="208">
        <v>0.31</v>
      </c>
      <c r="C77" s="208">
        <v>0.69</v>
      </c>
      <c r="D77" s="207">
        <v>0</v>
      </c>
      <c r="E77" s="207">
        <v>0.43</v>
      </c>
      <c r="F77" s="207">
        <v>0.56999999999999995</v>
      </c>
      <c r="G77" s="207">
        <v>0</v>
      </c>
    </row>
    <row r="78" spans="1:7" hidden="1" x14ac:dyDescent="0.25">
      <c r="A78" s="206">
        <v>15</v>
      </c>
      <c r="B78" s="207">
        <v>0.09</v>
      </c>
      <c r="C78" s="207">
        <v>0.89</v>
      </c>
      <c r="D78" s="207">
        <v>0.02</v>
      </c>
      <c r="E78" s="207">
        <v>0.82</v>
      </c>
      <c r="F78" s="207">
        <v>0.18</v>
      </c>
      <c r="G78" s="207">
        <v>0</v>
      </c>
    </row>
    <row r="79" spans="1:7" hidden="1" x14ac:dyDescent="0.25">
      <c r="A79" s="206">
        <v>16</v>
      </c>
      <c r="B79" s="207">
        <v>0.2</v>
      </c>
      <c r="C79" s="207">
        <v>0.8</v>
      </c>
      <c r="D79" s="207">
        <v>0</v>
      </c>
      <c r="E79" s="207">
        <v>0.35</v>
      </c>
      <c r="F79" s="207">
        <v>0.65</v>
      </c>
      <c r="G79" s="207">
        <v>0</v>
      </c>
    </row>
    <row r="80" spans="1:7" ht="14.4" x14ac:dyDescent="0.3">
      <c r="A80" s="187" t="s">
        <v>413</v>
      </c>
      <c r="B80"/>
      <c r="C80"/>
      <c r="D80"/>
    </row>
    <row r="81" spans="1:9" ht="15.6" x14ac:dyDescent="0.25">
      <c r="A81" s="603" t="s">
        <v>414</v>
      </c>
      <c r="B81" s="603"/>
      <c r="C81" s="603"/>
      <c r="D81" s="603"/>
      <c r="E81" s="603"/>
      <c r="F81" s="603"/>
      <c r="G81" s="603"/>
      <c r="H81" s="603"/>
      <c r="I81" s="603"/>
    </row>
    <row r="82" spans="1:9" ht="39.6" x14ac:dyDescent="0.25">
      <c r="A82" s="347" t="s">
        <v>102</v>
      </c>
      <c r="B82" s="347" t="s">
        <v>415</v>
      </c>
      <c r="C82" s="347" t="s">
        <v>416</v>
      </c>
      <c r="D82" s="355" t="s">
        <v>417</v>
      </c>
      <c r="E82" s="355" t="s">
        <v>418</v>
      </c>
      <c r="F82" s="355" t="s">
        <v>419</v>
      </c>
      <c r="G82" s="355" t="s">
        <v>420</v>
      </c>
      <c r="H82" s="356" t="s">
        <v>421</v>
      </c>
      <c r="I82" s="349" t="s">
        <v>104</v>
      </c>
    </row>
    <row r="83" spans="1:9" x14ac:dyDescent="0.25">
      <c r="A83" s="604" t="s">
        <v>422</v>
      </c>
      <c r="B83" s="604" t="s">
        <v>423</v>
      </c>
      <c r="C83" s="264" t="s">
        <v>424</v>
      </c>
      <c r="D83" s="264">
        <v>2.5</v>
      </c>
      <c r="E83" s="264">
        <v>0.65</v>
      </c>
      <c r="F83" s="607" t="s">
        <v>425</v>
      </c>
      <c r="G83" s="609"/>
      <c r="H83" s="607" t="s">
        <v>426</v>
      </c>
      <c r="I83" s="611"/>
    </row>
    <row r="84" spans="1:9" x14ac:dyDescent="0.25">
      <c r="A84" s="605"/>
      <c r="B84" s="605"/>
      <c r="C84" s="264" t="s">
        <v>427</v>
      </c>
      <c r="D84" s="357">
        <v>4.09</v>
      </c>
      <c r="E84" s="264">
        <v>0.65</v>
      </c>
      <c r="F84" s="608"/>
      <c r="G84" s="610"/>
      <c r="H84" s="608"/>
      <c r="I84" s="523"/>
    </row>
    <row r="85" spans="1:9" x14ac:dyDescent="0.25">
      <c r="A85" s="606"/>
      <c r="B85" s="606"/>
      <c r="C85" s="264" t="s">
        <v>428</v>
      </c>
      <c r="D85" s="264">
        <v>5.58</v>
      </c>
      <c r="E85" s="264">
        <v>0.65</v>
      </c>
      <c r="F85" s="608"/>
      <c r="G85" s="610"/>
      <c r="H85" s="608"/>
      <c r="I85" s="523"/>
    </row>
    <row r="86" spans="1:9" x14ac:dyDescent="0.25">
      <c r="A86" s="358" t="s">
        <v>429</v>
      </c>
      <c r="B86" s="359"/>
      <c r="C86" s="360"/>
      <c r="D86" s="360"/>
      <c r="E86" s="361"/>
      <c r="F86" s="362"/>
      <c r="G86" s="362"/>
      <c r="H86" s="362"/>
      <c r="I86" s="363"/>
    </row>
    <row r="87" spans="1:9" x14ac:dyDescent="0.25">
      <c r="A87" s="364" t="s">
        <v>430</v>
      </c>
      <c r="B87" s="83"/>
      <c r="C87" s="83"/>
      <c r="D87" s="365"/>
      <c r="E87" s="83"/>
      <c r="F87" s="83"/>
      <c r="G87" s="83"/>
      <c r="H87" s="83"/>
      <c r="I87" s="366"/>
    </row>
    <row r="88" spans="1:9" ht="39.6" x14ac:dyDescent="0.25">
      <c r="A88" s="367" t="s">
        <v>328</v>
      </c>
      <c r="B88" s="367" t="s">
        <v>431</v>
      </c>
      <c r="C88" s="368" t="s">
        <v>432</v>
      </c>
      <c r="D88" s="369">
        <f>G88*F88*E88/746*6356</f>
        <v>4.7200968096514746</v>
      </c>
      <c r="E88" s="263">
        <v>0.65</v>
      </c>
      <c r="F88" s="263">
        <v>0.9</v>
      </c>
      <c r="G88" s="264">
        <v>0.94699999999999995</v>
      </c>
      <c r="H88" s="370" t="s">
        <v>433</v>
      </c>
      <c r="I88" s="371" t="s">
        <v>434</v>
      </c>
    </row>
    <row r="89" spans="1:9" x14ac:dyDescent="0.25">
      <c r="D89" s="372"/>
      <c r="E89" s="8"/>
      <c r="F89" s="6" t="s">
        <v>435</v>
      </c>
    </row>
    <row r="90" spans="1:9" x14ac:dyDescent="0.25">
      <c r="A90" s="6" t="s">
        <v>436</v>
      </c>
    </row>
    <row r="91" spans="1:9" x14ac:dyDescent="0.25">
      <c r="A91" s="8" t="s">
        <v>437</v>
      </c>
      <c r="B91" s="489"/>
      <c r="D91" s="36"/>
    </row>
    <row r="92" spans="1:9" x14ac:dyDescent="0.25">
      <c r="A92" s="8" t="s">
        <v>438</v>
      </c>
    </row>
    <row r="93" spans="1:9" x14ac:dyDescent="0.25">
      <c r="A93" s="10"/>
      <c r="D93" s="36"/>
    </row>
    <row r="94" spans="1:9" ht="14.4" x14ac:dyDescent="0.3">
      <c r="A94" s="1" t="s">
        <v>439</v>
      </c>
      <c r="D94" s="36"/>
    </row>
    <row r="95" spans="1:9" x14ac:dyDescent="0.25">
      <c r="D95" s="36"/>
    </row>
  </sheetData>
  <mergeCells count="25">
    <mergeCell ref="A81:I81"/>
    <mergeCell ref="A83:A85"/>
    <mergeCell ref="B83:B85"/>
    <mergeCell ref="F83:F85"/>
    <mergeCell ref="G83:G85"/>
    <mergeCell ref="H83:H85"/>
    <mergeCell ref="I83:I85"/>
    <mergeCell ref="A3:A5"/>
    <mergeCell ref="A6:A8"/>
    <mergeCell ref="A1:F1"/>
    <mergeCell ref="A37:E37"/>
    <mergeCell ref="D15:D17"/>
    <mergeCell ref="E15:E17"/>
    <mergeCell ref="B15:B17"/>
    <mergeCell ref="C15:C17"/>
    <mergeCell ref="F15:F17"/>
    <mergeCell ref="A34:A36"/>
    <mergeCell ref="A13:G13"/>
    <mergeCell ref="A62:A63"/>
    <mergeCell ref="B62:D62"/>
    <mergeCell ref="E62:G62"/>
    <mergeCell ref="A61:G61"/>
    <mergeCell ref="G15:G17"/>
    <mergeCell ref="A39:E39"/>
    <mergeCell ref="A38:E38"/>
  </mergeCells>
  <phoneticPr fontId="6" type="noConversion"/>
  <hyperlinks>
    <hyperlink ref="H15" r:id="rId1" display="https://www.govinfo.gov/content/pkg/FR-2009-03-23/pdf/FR-2009-03-23.pdf" xr:uid="{71D87EA7-9C68-4652-AA8F-2346C96DB0F3}"/>
    <hyperlink ref="H19" r:id="rId2" display="https://www.govinfo.gov/content/pkg/CFR-2024-title10-vol3/pdf/CFR-2024-title10-vol3-part431-subpartF.pdf" xr:uid="{4C0080CE-7FD7-44D4-AEAE-6E001A8E99C5}"/>
    <hyperlink ref="A94" r:id="rId3" display="https://www.pnnl.gov/main/publications/external/technical_reports/PNNL-20405.pdf" xr:uid="{AEB777B4-3801-42D3-A5C4-4400D1C0409B}"/>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8C5F2-9A92-4A60-BE5E-C43A3E0440EA}">
  <sheetPr codeName="Sheet7"/>
  <dimension ref="A1:S88"/>
  <sheetViews>
    <sheetView workbookViewId="0">
      <selection sqref="A1:S1"/>
    </sheetView>
  </sheetViews>
  <sheetFormatPr defaultRowHeight="14.4" x14ac:dyDescent="0.3"/>
  <cols>
    <col min="1" max="1" width="22.6640625" customWidth="1"/>
    <col min="2" max="2" width="23.88671875" customWidth="1"/>
    <col min="18" max="18" width="8.33203125" customWidth="1"/>
    <col min="19" max="19" width="37" customWidth="1"/>
  </cols>
  <sheetData>
    <row r="1" spans="1:19" ht="24" customHeight="1" x14ac:dyDescent="0.3">
      <c r="A1" s="612" t="str">
        <f>"Thermostat Setpoints - "&amp;Prototype!A2</f>
        <v>Thermostat Setpoints - OfficeLarge</v>
      </c>
      <c r="B1" s="612"/>
      <c r="C1" s="612"/>
      <c r="D1" s="612"/>
      <c r="E1" s="612"/>
      <c r="F1" s="612"/>
      <c r="G1" s="612"/>
      <c r="H1" s="612"/>
      <c r="I1" s="612"/>
      <c r="J1" s="612"/>
      <c r="K1" s="612"/>
      <c r="L1" s="612"/>
      <c r="M1" s="612"/>
      <c r="N1" s="612"/>
      <c r="O1" s="612"/>
      <c r="P1" s="612"/>
      <c r="Q1" s="612"/>
      <c r="R1" s="612"/>
      <c r="S1" s="612"/>
    </row>
    <row r="2" spans="1:19" ht="22.2" customHeight="1" x14ac:dyDescent="0.3">
      <c r="A2" s="129" t="s">
        <v>444</v>
      </c>
      <c r="B2" s="129" t="s">
        <v>445</v>
      </c>
      <c r="C2" s="130" t="s">
        <v>105</v>
      </c>
      <c r="D2" s="130" t="s">
        <v>106</v>
      </c>
      <c r="E2" s="130" t="s">
        <v>107</v>
      </c>
      <c r="F2" s="130" t="s">
        <v>108</v>
      </c>
      <c r="G2" s="130" t="s">
        <v>109</v>
      </c>
      <c r="H2" s="130" t="s">
        <v>110</v>
      </c>
      <c r="I2" s="130" t="s">
        <v>111</v>
      </c>
      <c r="J2" s="130" t="s">
        <v>112</v>
      </c>
      <c r="K2" s="130" t="s">
        <v>113</v>
      </c>
      <c r="L2" s="130" t="s">
        <v>114</v>
      </c>
      <c r="M2" s="130" t="s">
        <v>115</v>
      </c>
      <c r="N2" s="130" t="s">
        <v>116</v>
      </c>
      <c r="O2" s="130" t="s">
        <v>117</v>
      </c>
      <c r="P2" s="130" t="s">
        <v>118</v>
      </c>
      <c r="Q2" s="130" t="s">
        <v>119</v>
      </c>
      <c r="R2" s="130" t="s">
        <v>120</v>
      </c>
      <c r="S2" s="219" t="s">
        <v>313</v>
      </c>
    </row>
    <row r="3" spans="1:19" ht="22.2" customHeight="1" x14ac:dyDescent="0.3">
      <c r="A3" s="617" t="s">
        <v>446</v>
      </c>
      <c r="B3" s="131" t="s">
        <v>447</v>
      </c>
      <c r="C3" s="131">
        <v>70</v>
      </c>
      <c r="D3" s="131">
        <v>70</v>
      </c>
      <c r="E3" s="131">
        <v>70</v>
      </c>
      <c r="F3" s="131">
        <v>70</v>
      </c>
      <c r="G3" s="131">
        <v>70</v>
      </c>
      <c r="H3" s="131">
        <v>70</v>
      </c>
      <c r="I3" s="131">
        <v>70</v>
      </c>
      <c r="J3" s="131">
        <v>70</v>
      </c>
      <c r="K3" s="131">
        <v>70</v>
      </c>
      <c r="L3" s="131">
        <v>70</v>
      </c>
      <c r="M3" s="131">
        <v>70</v>
      </c>
      <c r="N3" s="131">
        <v>70</v>
      </c>
      <c r="O3" s="131">
        <v>70</v>
      </c>
      <c r="P3" s="131">
        <v>70</v>
      </c>
      <c r="Q3" s="131">
        <v>70</v>
      </c>
      <c r="R3" s="131">
        <v>70</v>
      </c>
      <c r="S3" s="617" t="s">
        <v>448</v>
      </c>
    </row>
    <row r="4" spans="1:19" ht="22.2" customHeight="1" x14ac:dyDescent="0.3">
      <c r="A4" s="618"/>
      <c r="B4" s="131" t="s">
        <v>449</v>
      </c>
      <c r="C4" s="131">
        <v>60</v>
      </c>
      <c r="D4" s="131">
        <v>60</v>
      </c>
      <c r="E4" s="131">
        <v>60</v>
      </c>
      <c r="F4" s="131">
        <v>60</v>
      </c>
      <c r="G4" s="131">
        <v>60</v>
      </c>
      <c r="H4" s="131">
        <v>60</v>
      </c>
      <c r="I4" s="131">
        <v>60</v>
      </c>
      <c r="J4" s="131">
        <v>60</v>
      </c>
      <c r="K4" s="131">
        <v>60</v>
      </c>
      <c r="L4" s="131">
        <v>60</v>
      </c>
      <c r="M4" s="131">
        <v>60</v>
      </c>
      <c r="N4" s="131">
        <v>60</v>
      </c>
      <c r="O4" s="131">
        <v>60</v>
      </c>
      <c r="P4" s="131">
        <v>60</v>
      </c>
      <c r="Q4" s="131">
        <v>60</v>
      </c>
      <c r="R4" s="131">
        <v>60</v>
      </c>
      <c r="S4" s="618"/>
    </row>
    <row r="5" spans="1:19" ht="22.2" customHeight="1" x14ac:dyDescent="0.3">
      <c r="A5" s="618"/>
      <c r="B5" s="131" t="s">
        <v>450</v>
      </c>
      <c r="C5" s="131">
        <v>75</v>
      </c>
      <c r="D5" s="131">
        <v>75</v>
      </c>
      <c r="E5" s="131">
        <v>75</v>
      </c>
      <c r="F5" s="131">
        <v>75</v>
      </c>
      <c r="G5" s="131">
        <v>75</v>
      </c>
      <c r="H5" s="131">
        <v>75</v>
      </c>
      <c r="I5" s="131">
        <v>75</v>
      </c>
      <c r="J5" s="131">
        <v>75</v>
      </c>
      <c r="K5" s="131">
        <v>75</v>
      </c>
      <c r="L5" s="131">
        <v>75</v>
      </c>
      <c r="M5" s="131">
        <v>75</v>
      </c>
      <c r="N5" s="131">
        <v>75</v>
      </c>
      <c r="O5" s="131">
        <v>75</v>
      </c>
      <c r="P5" s="131">
        <v>75</v>
      </c>
      <c r="Q5" s="131">
        <v>75</v>
      </c>
      <c r="R5" s="131">
        <v>75</v>
      </c>
      <c r="S5" s="618"/>
    </row>
    <row r="6" spans="1:19" ht="22.2" customHeight="1" x14ac:dyDescent="0.3">
      <c r="A6" s="619"/>
      <c r="B6" s="131" t="s">
        <v>451</v>
      </c>
      <c r="C6" s="263">
        <v>85</v>
      </c>
      <c r="D6" s="263" t="s">
        <v>452</v>
      </c>
      <c r="E6" s="263">
        <v>85</v>
      </c>
      <c r="F6" s="263">
        <v>85</v>
      </c>
      <c r="G6" s="263">
        <v>85</v>
      </c>
      <c r="H6" s="263">
        <v>85</v>
      </c>
      <c r="I6" s="263">
        <v>85</v>
      </c>
      <c r="J6" s="263">
        <v>85</v>
      </c>
      <c r="K6" s="263">
        <v>85</v>
      </c>
      <c r="L6" s="263">
        <v>85</v>
      </c>
      <c r="M6" s="263">
        <v>85</v>
      </c>
      <c r="N6" s="263">
        <v>85</v>
      </c>
      <c r="O6" s="263">
        <v>85</v>
      </c>
      <c r="P6" s="263">
        <v>85</v>
      </c>
      <c r="Q6" s="263">
        <v>85</v>
      </c>
      <c r="R6" s="263">
        <v>85</v>
      </c>
      <c r="S6" s="619"/>
    </row>
    <row r="7" spans="1:19" ht="22.95" customHeight="1" x14ac:dyDescent="0.3">
      <c r="A7" s="620" t="s">
        <v>453</v>
      </c>
      <c r="B7" s="131" t="s">
        <v>450</v>
      </c>
      <c r="C7" s="131">
        <v>80</v>
      </c>
      <c r="D7" s="131">
        <v>80</v>
      </c>
      <c r="E7" s="131">
        <v>80</v>
      </c>
      <c r="F7" s="131">
        <v>80</v>
      </c>
      <c r="G7" s="131">
        <v>80</v>
      </c>
      <c r="H7" s="131">
        <v>80</v>
      </c>
      <c r="I7" s="131">
        <v>80</v>
      </c>
      <c r="J7" s="131">
        <v>80</v>
      </c>
      <c r="K7" s="131">
        <v>80</v>
      </c>
      <c r="L7" s="131">
        <v>80</v>
      </c>
      <c r="M7" s="131">
        <v>80</v>
      </c>
      <c r="N7" s="131">
        <v>80</v>
      </c>
      <c r="O7" s="131">
        <v>80</v>
      </c>
      <c r="P7" s="131">
        <v>80</v>
      </c>
      <c r="Q7" s="131">
        <v>80</v>
      </c>
      <c r="R7" s="131">
        <v>80</v>
      </c>
      <c r="S7" s="617" t="s">
        <v>454</v>
      </c>
    </row>
    <row r="8" spans="1:19" ht="22.95" customHeight="1" x14ac:dyDescent="0.3">
      <c r="A8" s="621"/>
      <c r="B8" s="131" t="s">
        <v>449</v>
      </c>
      <c r="C8" s="622" t="s">
        <v>455</v>
      </c>
      <c r="D8" s="623"/>
      <c r="E8" s="623"/>
      <c r="F8" s="623"/>
      <c r="G8" s="623"/>
      <c r="H8" s="623"/>
      <c r="I8" s="623"/>
      <c r="J8" s="623"/>
      <c r="K8" s="623"/>
      <c r="L8" s="623"/>
      <c r="M8" s="623"/>
      <c r="N8" s="623"/>
      <c r="O8" s="623"/>
      <c r="P8" s="623"/>
      <c r="Q8" s="623"/>
      <c r="R8" s="624"/>
      <c r="S8" s="619"/>
    </row>
    <row r="9" spans="1:19" x14ac:dyDescent="0.3">
      <c r="A9" s="132"/>
      <c r="R9" s="220"/>
    </row>
    <row r="10" spans="1:19" ht="16.2" customHeight="1" x14ac:dyDescent="0.3">
      <c r="A10" s="122"/>
      <c r="B10" s="221" t="s">
        <v>456</v>
      </c>
      <c r="C10" s="221"/>
      <c r="D10" s="221"/>
      <c r="E10" s="221"/>
      <c r="F10" s="221"/>
      <c r="G10" s="221"/>
      <c r="H10" s="221"/>
      <c r="I10" s="221"/>
      <c r="J10" s="221"/>
      <c r="K10" s="221"/>
      <c r="L10" s="221"/>
      <c r="M10" s="221"/>
      <c r="N10" s="221"/>
      <c r="O10" s="221"/>
      <c r="P10" s="221"/>
      <c r="Q10" s="221"/>
    </row>
    <row r="11" spans="1:19" x14ac:dyDescent="0.3">
      <c r="A11" s="135"/>
      <c r="B11" s="221" t="s">
        <v>457</v>
      </c>
      <c r="C11" s="221"/>
      <c r="D11" s="221"/>
      <c r="E11" s="221"/>
      <c r="F11" s="221"/>
      <c r="G11" s="221"/>
      <c r="H11" s="221"/>
      <c r="I11" s="221"/>
      <c r="J11" s="221"/>
      <c r="K11" s="221"/>
      <c r="L11" s="221"/>
      <c r="M11" s="221"/>
      <c r="N11" s="221"/>
      <c r="O11" s="221"/>
      <c r="P11" s="221"/>
      <c r="Q11" s="221"/>
    </row>
    <row r="12" spans="1:19" ht="15" customHeight="1" x14ac:dyDescent="0.3">
      <c r="A12" s="58"/>
      <c r="B12" s="58"/>
      <c r="C12" s="58"/>
      <c r="D12" s="58"/>
      <c r="E12" s="58"/>
      <c r="F12" s="58"/>
      <c r="G12" s="58"/>
      <c r="H12" s="58"/>
      <c r="I12" s="58"/>
      <c r="J12" s="58"/>
      <c r="K12" s="58"/>
      <c r="L12" s="58"/>
      <c r="M12" s="58"/>
      <c r="N12" s="58"/>
      <c r="O12" s="58"/>
      <c r="P12" s="58"/>
      <c r="Q12" s="58"/>
    </row>
    <row r="13" spans="1:19" ht="15" customHeight="1" x14ac:dyDescent="0.3">
      <c r="A13" s="58"/>
      <c r="B13" s="58"/>
      <c r="C13" s="58"/>
      <c r="D13" s="58"/>
      <c r="E13" s="58"/>
      <c r="F13" s="58"/>
      <c r="G13" s="58"/>
      <c r="H13" s="58"/>
      <c r="I13" s="58"/>
      <c r="J13" s="58"/>
      <c r="K13" s="58"/>
      <c r="L13" s="58"/>
      <c r="M13" s="58"/>
      <c r="N13" s="58"/>
      <c r="O13" s="58"/>
      <c r="P13" s="58"/>
      <c r="Q13" s="58"/>
    </row>
    <row r="14" spans="1:19" ht="15" customHeight="1" x14ac:dyDescent="0.3">
      <c r="A14" s="58"/>
      <c r="B14" s="58"/>
      <c r="C14" s="58"/>
      <c r="D14" s="58"/>
      <c r="E14" s="58"/>
      <c r="F14" s="58"/>
      <c r="G14" s="58"/>
      <c r="H14" s="58"/>
      <c r="I14" s="58"/>
      <c r="J14" s="58"/>
      <c r="K14" s="58"/>
      <c r="L14" s="58"/>
      <c r="M14" s="58"/>
      <c r="N14" s="58"/>
      <c r="O14" s="58"/>
      <c r="Q14" s="58"/>
    </row>
    <row r="15" spans="1:19" ht="15" customHeight="1" x14ac:dyDescent="0.3">
      <c r="A15" s="58"/>
      <c r="B15" s="58"/>
      <c r="C15" s="58"/>
      <c r="D15" s="58"/>
      <c r="E15" s="58"/>
      <c r="F15" s="58"/>
      <c r="G15" s="58"/>
      <c r="H15" s="58"/>
      <c r="I15" s="58"/>
      <c r="J15" s="58"/>
      <c r="K15" s="58"/>
      <c r="L15" s="58"/>
      <c r="M15" s="58"/>
      <c r="N15" s="58"/>
      <c r="O15" s="58"/>
      <c r="P15" s="58"/>
      <c r="Q15" s="58"/>
    </row>
    <row r="16" spans="1:19" ht="15" customHeight="1" x14ac:dyDescent="0.3">
      <c r="A16" s="58"/>
      <c r="B16" s="58"/>
      <c r="C16" s="58"/>
      <c r="D16" s="58"/>
      <c r="E16" s="58"/>
      <c r="F16" s="58"/>
      <c r="G16" s="58"/>
      <c r="H16" s="58"/>
      <c r="I16" s="58"/>
      <c r="J16" s="58"/>
      <c r="K16" s="58"/>
      <c r="L16" s="58"/>
      <c r="M16" s="58"/>
      <c r="N16" s="58"/>
      <c r="O16" s="58"/>
      <c r="P16" s="58"/>
      <c r="Q16" s="58"/>
    </row>
    <row r="17" spans="1:7" ht="15" customHeight="1" x14ac:dyDescent="0.3"/>
    <row r="18" spans="1:7" s="27" customFormat="1" ht="13.2" hidden="1" x14ac:dyDescent="0.25">
      <c r="A18" s="27" t="s">
        <v>357</v>
      </c>
      <c r="E18" s="28"/>
      <c r="F18" s="29"/>
      <c r="G18" s="30"/>
    </row>
    <row r="19" spans="1:7" hidden="1" x14ac:dyDescent="0.3"/>
    <row r="20" spans="1:7" hidden="1" x14ac:dyDescent="0.3"/>
    <row r="21" spans="1:7" hidden="1" x14ac:dyDescent="0.3"/>
    <row r="22" spans="1:7" hidden="1" x14ac:dyDescent="0.3"/>
    <row r="23" spans="1:7" hidden="1" x14ac:dyDescent="0.3"/>
    <row r="24" spans="1:7" hidden="1" x14ac:dyDescent="0.3"/>
    <row r="25" spans="1:7" hidden="1" x14ac:dyDescent="0.3"/>
    <row r="26" spans="1:7" hidden="1" x14ac:dyDescent="0.3"/>
    <row r="27" spans="1:7" hidden="1" x14ac:dyDescent="0.3"/>
    <row r="28" spans="1:7" hidden="1" x14ac:dyDescent="0.3"/>
    <row r="29" spans="1:7" hidden="1" x14ac:dyDescent="0.3"/>
    <row r="30" spans="1:7" hidden="1" x14ac:dyDescent="0.3"/>
    <row r="31" spans="1:7" hidden="1" x14ac:dyDescent="0.3"/>
    <row r="32" spans="1:7" hidden="1" x14ac:dyDescent="0.3"/>
    <row r="33" spans="1:13" hidden="1" x14ac:dyDescent="0.3"/>
    <row r="34" spans="1:13" hidden="1" x14ac:dyDescent="0.3"/>
    <row r="35" spans="1:13" hidden="1" x14ac:dyDescent="0.3"/>
    <row r="36" spans="1:13" ht="18.600000000000001" hidden="1" customHeight="1" x14ac:dyDescent="0.3"/>
    <row r="37" spans="1:13" hidden="1" x14ac:dyDescent="0.3"/>
    <row r="38" spans="1:13" s="6" customFormat="1" ht="21" hidden="1" customHeight="1" x14ac:dyDescent="0.25">
      <c r="A38" s="613" t="s">
        <v>458</v>
      </c>
      <c r="B38" s="613"/>
      <c r="C38" s="613"/>
      <c r="D38" s="613"/>
      <c r="E38" s="613"/>
      <c r="F38" s="613"/>
      <c r="G38" s="613"/>
      <c r="H38" s="613"/>
      <c r="I38" s="613"/>
      <c r="J38" s="613"/>
      <c r="K38" s="613"/>
      <c r="L38" s="613"/>
      <c r="M38" s="613"/>
    </row>
    <row r="39" spans="1:13" s="6" customFormat="1" ht="13.2" hidden="1" customHeight="1" x14ac:dyDescent="0.25"/>
    <row r="40" spans="1:13" s="6" customFormat="1" ht="13.2" hidden="1" customHeight="1" x14ac:dyDescent="0.25"/>
    <row r="41" spans="1:13" s="6" customFormat="1" ht="13.2" hidden="1" customHeight="1" x14ac:dyDescent="0.25"/>
    <row r="42" spans="1:13" s="6" customFormat="1" ht="13.2" hidden="1" customHeight="1" x14ac:dyDescent="0.25"/>
    <row r="43" spans="1:13" s="6" customFormat="1" ht="13.2" hidden="1" customHeight="1" x14ac:dyDescent="0.25"/>
    <row r="44" spans="1:13" s="6" customFormat="1" ht="13.2" hidden="1" customHeight="1" x14ac:dyDescent="0.25"/>
    <row r="45" spans="1:13" s="6" customFormat="1" ht="13.2" hidden="1" customHeight="1" x14ac:dyDescent="0.25"/>
    <row r="46" spans="1:13" s="6" customFormat="1" ht="13.2" hidden="1" customHeight="1" x14ac:dyDescent="0.25"/>
    <row r="47" spans="1:13" s="6" customFormat="1" ht="13.2" hidden="1" customHeight="1" x14ac:dyDescent="0.25"/>
    <row r="48" spans="1:13" s="6" customFormat="1" ht="13.2" hidden="1" customHeight="1" x14ac:dyDescent="0.25"/>
    <row r="49" spans="1:17" s="6" customFormat="1" ht="13.2" hidden="1" customHeight="1" x14ac:dyDescent="0.25"/>
    <row r="50" spans="1:17" s="6" customFormat="1" ht="13.2" hidden="1" customHeight="1" x14ac:dyDescent="0.25"/>
    <row r="51" spans="1:17" s="6" customFormat="1" ht="13.2" hidden="1" customHeight="1" x14ac:dyDescent="0.25"/>
    <row r="52" spans="1:17" s="6" customFormat="1" ht="13.2" hidden="1" customHeight="1" x14ac:dyDescent="0.25"/>
    <row r="53" spans="1:17" s="6" customFormat="1" ht="13.2" hidden="1" customHeight="1" x14ac:dyDescent="0.25"/>
    <row r="54" spans="1:17" s="6" customFormat="1" ht="13.2" hidden="1" customHeight="1" x14ac:dyDescent="0.25"/>
    <row r="55" spans="1:17" s="6" customFormat="1" ht="13.2" hidden="1" customHeight="1" x14ac:dyDescent="0.25"/>
    <row r="56" spans="1:17" s="6" customFormat="1" ht="13.2" hidden="1" customHeight="1" x14ac:dyDescent="0.25"/>
    <row r="57" spans="1:17" hidden="1" x14ac:dyDescent="0.3"/>
    <row r="58" spans="1:17" hidden="1" x14ac:dyDescent="0.3"/>
    <row r="59" spans="1:17" ht="15.6" hidden="1" x14ac:dyDescent="0.3">
      <c r="B59" s="614" t="s">
        <v>443</v>
      </c>
      <c r="C59" s="614"/>
      <c r="D59" s="614"/>
      <c r="E59" s="614"/>
      <c r="F59" s="614"/>
      <c r="G59" s="614"/>
      <c r="H59" s="614"/>
      <c r="K59" s="615" t="s">
        <v>311</v>
      </c>
      <c r="L59" s="615"/>
      <c r="M59" s="615"/>
      <c r="N59" s="615"/>
      <c r="O59" s="615"/>
      <c r="P59" s="615"/>
      <c r="Q59" s="615"/>
    </row>
    <row r="60" spans="1:17" hidden="1" x14ac:dyDescent="0.3">
      <c r="B60" s="616" t="s">
        <v>459</v>
      </c>
      <c r="C60" s="616"/>
      <c r="D60" s="616"/>
      <c r="F60" s="616" t="s">
        <v>460</v>
      </c>
      <c r="G60" s="616"/>
      <c r="H60" s="616"/>
      <c r="K60" s="616" t="s">
        <v>459</v>
      </c>
      <c r="L60" s="616"/>
      <c r="M60" s="616"/>
      <c r="O60" s="616" t="s">
        <v>460</v>
      </c>
      <c r="P60" s="616"/>
      <c r="Q60" s="616"/>
    </row>
    <row r="61" spans="1:17" hidden="1" x14ac:dyDescent="0.3">
      <c r="B61" t="s">
        <v>461</v>
      </c>
      <c r="C61" t="s">
        <v>462</v>
      </c>
      <c r="D61" t="s">
        <v>463</v>
      </c>
      <c r="F61" t="s">
        <v>464</v>
      </c>
      <c r="G61" t="s">
        <v>465</v>
      </c>
      <c r="H61" t="s">
        <v>466</v>
      </c>
      <c r="K61" t="s">
        <v>461</v>
      </c>
      <c r="L61" t="s">
        <v>462</v>
      </c>
      <c r="M61" t="s">
        <v>463</v>
      </c>
      <c r="O61" t="s">
        <v>464</v>
      </c>
      <c r="P61" t="s">
        <v>465</v>
      </c>
      <c r="Q61" t="s">
        <v>466</v>
      </c>
    </row>
    <row r="62" spans="1:17" hidden="1" x14ac:dyDescent="0.3">
      <c r="A62">
        <v>1</v>
      </c>
      <c r="B62" s="2">
        <v>60</v>
      </c>
      <c r="C62" s="2">
        <v>60</v>
      </c>
      <c r="D62">
        <v>60</v>
      </c>
      <c r="F62">
        <v>60.08</v>
      </c>
      <c r="G62">
        <v>60.08</v>
      </c>
      <c r="H62">
        <v>60.08</v>
      </c>
      <c r="K62">
        <v>85</v>
      </c>
      <c r="L62">
        <v>85</v>
      </c>
      <c r="M62">
        <v>85</v>
      </c>
      <c r="O62">
        <v>80.06</v>
      </c>
      <c r="P62">
        <v>80.06</v>
      </c>
      <c r="Q62">
        <v>80.06</v>
      </c>
    </row>
    <row r="63" spans="1:17" hidden="1" x14ac:dyDescent="0.3">
      <c r="A63">
        <v>2</v>
      </c>
      <c r="B63" s="2">
        <v>60</v>
      </c>
      <c r="C63" s="2">
        <v>60</v>
      </c>
      <c r="D63">
        <v>60</v>
      </c>
      <c r="F63">
        <v>60.08</v>
      </c>
      <c r="G63">
        <v>60.08</v>
      </c>
      <c r="H63">
        <v>60.08</v>
      </c>
      <c r="K63">
        <v>85</v>
      </c>
      <c r="L63">
        <v>85</v>
      </c>
      <c r="M63">
        <v>85</v>
      </c>
      <c r="O63">
        <v>80.06</v>
      </c>
      <c r="P63">
        <v>80.06</v>
      </c>
      <c r="Q63">
        <v>80.06</v>
      </c>
    </row>
    <row r="64" spans="1:17" hidden="1" x14ac:dyDescent="0.3">
      <c r="A64">
        <v>3</v>
      </c>
      <c r="B64" s="2">
        <v>60</v>
      </c>
      <c r="C64" s="2">
        <v>60</v>
      </c>
      <c r="D64">
        <v>60</v>
      </c>
      <c r="F64">
        <v>60.08</v>
      </c>
      <c r="G64">
        <v>60.08</v>
      </c>
      <c r="H64">
        <v>60.08</v>
      </c>
      <c r="K64">
        <v>85</v>
      </c>
      <c r="L64">
        <v>85</v>
      </c>
      <c r="M64">
        <v>85</v>
      </c>
      <c r="O64">
        <v>80.06</v>
      </c>
      <c r="P64">
        <v>80.06</v>
      </c>
      <c r="Q64">
        <v>80.06</v>
      </c>
    </row>
    <row r="65" spans="1:17" hidden="1" x14ac:dyDescent="0.3">
      <c r="A65">
        <v>4</v>
      </c>
      <c r="B65" s="2">
        <v>60</v>
      </c>
      <c r="C65" s="2">
        <v>60</v>
      </c>
      <c r="D65">
        <v>60</v>
      </c>
      <c r="F65">
        <v>60.08</v>
      </c>
      <c r="G65">
        <v>60.08</v>
      </c>
      <c r="H65">
        <v>60.08</v>
      </c>
      <c r="K65">
        <v>85</v>
      </c>
      <c r="L65">
        <v>85</v>
      </c>
      <c r="M65">
        <v>85</v>
      </c>
      <c r="O65">
        <v>80.06</v>
      </c>
      <c r="P65">
        <v>80.06</v>
      </c>
      <c r="Q65">
        <v>80.06</v>
      </c>
    </row>
    <row r="66" spans="1:17" hidden="1" x14ac:dyDescent="0.3">
      <c r="A66">
        <v>5</v>
      </c>
      <c r="B66" s="2">
        <v>60</v>
      </c>
      <c r="C66" s="2">
        <v>60</v>
      </c>
      <c r="D66">
        <v>60</v>
      </c>
      <c r="F66">
        <v>60.08</v>
      </c>
      <c r="G66">
        <v>60.08</v>
      </c>
      <c r="H66">
        <v>60.08</v>
      </c>
      <c r="K66">
        <v>85</v>
      </c>
      <c r="L66">
        <v>85</v>
      </c>
      <c r="M66">
        <v>85</v>
      </c>
      <c r="O66">
        <v>80.06</v>
      </c>
      <c r="P66">
        <v>80.06</v>
      </c>
      <c r="Q66">
        <v>80.06</v>
      </c>
    </row>
    <row r="67" spans="1:17" hidden="1" x14ac:dyDescent="0.3">
      <c r="A67">
        <v>6</v>
      </c>
      <c r="B67" s="2">
        <v>70</v>
      </c>
      <c r="C67" s="2">
        <v>70</v>
      </c>
      <c r="D67">
        <v>60</v>
      </c>
      <c r="F67">
        <v>64.039999999999992</v>
      </c>
      <c r="G67">
        <v>64.039999999999992</v>
      </c>
      <c r="H67">
        <v>60.08</v>
      </c>
      <c r="K67">
        <v>75</v>
      </c>
      <c r="L67">
        <v>75</v>
      </c>
      <c r="M67">
        <v>85</v>
      </c>
      <c r="O67">
        <v>78.080000000000013</v>
      </c>
      <c r="P67">
        <v>78.259999999999991</v>
      </c>
      <c r="Q67">
        <v>80.06</v>
      </c>
    </row>
    <row r="68" spans="1:17" hidden="1" x14ac:dyDescent="0.3">
      <c r="A68">
        <v>7</v>
      </c>
      <c r="B68" s="2">
        <v>70</v>
      </c>
      <c r="C68" s="2">
        <v>70</v>
      </c>
      <c r="D68">
        <v>60</v>
      </c>
      <c r="F68">
        <v>68</v>
      </c>
      <c r="G68">
        <v>68</v>
      </c>
      <c r="H68">
        <v>60.08</v>
      </c>
      <c r="K68">
        <v>75</v>
      </c>
      <c r="L68">
        <v>75</v>
      </c>
      <c r="M68">
        <v>85</v>
      </c>
      <c r="O68">
        <v>77</v>
      </c>
      <c r="P68">
        <v>77</v>
      </c>
      <c r="Q68">
        <v>80.06</v>
      </c>
    </row>
    <row r="69" spans="1:17" hidden="1" x14ac:dyDescent="0.3">
      <c r="A69">
        <v>8</v>
      </c>
      <c r="B69" s="2">
        <v>70</v>
      </c>
      <c r="C69" s="2">
        <v>70</v>
      </c>
      <c r="D69">
        <v>60</v>
      </c>
      <c r="F69">
        <v>69.800000000000011</v>
      </c>
      <c r="G69">
        <v>69.800000000000011</v>
      </c>
      <c r="H69">
        <v>60.08</v>
      </c>
      <c r="K69">
        <v>75</v>
      </c>
      <c r="L69">
        <v>75</v>
      </c>
      <c r="M69">
        <v>85</v>
      </c>
      <c r="O69">
        <v>75.2</v>
      </c>
      <c r="P69">
        <v>75.2</v>
      </c>
      <c r="Q69">
        <v>80.06</v>
      </c>
    </row>
    <row r="70" spans="1:17" hidden="1" x14ac:dyDescent="0.3">
      <c r="A70">
        <v>9</v>
      </c>
      <c r="B70" s="2">
        <v>70</v>
      </c>
      <c r="C70" s="2">
        <v>70</v>
      </c>
      <c r="D70">
        <v>60</v>
      </c>
      <c r="F70">
        <v>69.800000000000011</v>
      </c>
      <c r="G70">
        <v>69.800000000000011</v>
      </c>
      <c r="H70">
        <v>60.08</v>
      </c>
      <c r="K70">
        <v>75</v>
      </c>
      <c r="L70">
        <v>75</v>
      </c>
      <c r="M70">
        <v>85</v>
      </c>
      <c r="O70">
        <v>75.2</v>
      </c>
      <c r="P70">
        <v>75.2</v>
      </c>
      <c r="Q70">
        <v>80.06</v>
      </c>
    </row>
    <row r="71" spans="1:17" hidden="1" x14ac:dyDescent="0.3">
      <c r="A71">
        <v>10</v>
      </c>
      <c r="B71" s="2">
        <v>70</v>
      </c>
      <c r="C71" s="2">
        <v>70</v>
      </c>
      <c r="D71">
        <v>60</v>
      </c>
      <c r="F71">
        <v>69.800000000000011</v>
      </c>
      <c r="G71">
        <v>69.800000000000011</v>
      </c>
      <c r="H71">
        <v>60.08</v>
      </c>
      <c r="K71">
        <v>75</v>
      </c>
      <c r="L71">
        <v>75</v>
      </c>
      <c r="M71">
        <v>85</v>
      </c>
      <c r="O71">
        <v>75.2</v>
      </c>
      <c r="P71">
        <v>75.2</v>
      </c>
      <c r="Q71">
        <v>80.06</v>
      </c>
    </row>
    <row r="72" spans="1:17" hidden="1" x14ac:dyDescent="0.3">
      <c r="A72">
        <v>11</v>
      </c>
      <c r="B72" s="2">
        <v>70</v>
      </c>
      <c r="C72" s="2">
        <v>70</v>
      </c>
      <c r="D72">
        <v>60</v>
      </c>
      <c r="F72">
        <v>69.800000000000011</v>
      </c>
      <c r="G72">
        <v>69.800000000000011</v>
      </c>
      <c r="H72">
        <v>60.08</v>
      </c>
      <c r="K72">
        <v>75</v>
      </c>
      <c r="L72">
        <v>75</v>
      </c>
      <c r="M72">
        <v>85</v>
      </c>
      <c r="O72">
        <v>75.2</v>
      </c>
      <c r="P72">
        <v>75.2</v>
      </c>
      <c r="Q72">
        <v>80.06</v>
      </c>
    </row>
    <row r="73" spans="1:17" hidden="1" x14ac:dyDescent="0.3">
      <c r="A73">
        <v>12</v>
      </c>
      <c r="B73" s="2">
        <v>70</v>
      </c>
      <c r="C73" s="2">
        <v>70</v>
      </c>
      <c r="D73">
        <v>60</v>
      </c>
      <c r="F73">
        <v>69.800000000000011</v>
      </c>
      <c r="G73">
        <v>69.800000000000011</v>
      </c>
      <c r="H73">
        <v>60.08</v>
      </c>
      <c r="K73">
        <v>75</v>
      </c>
      <c r="L73">
        <v>75</v>
      </c>
      <c r="M73">
        <v>85</v>
      </c>
      <c r="O73">
        <v>75.2</v>
      </c>
      <c r="P73">
        <v>75.2</v>
      </c>
      <c r="Q73">
        <v>80.06</v>
      </c>
    </row>
    <row r="74" spans="1:17" hidden="1" x14ac:dyDescent="0.3">
      <c r="A74">
        <v>13</v>
      </c>
      <c r="B74" s="2">
        <v>70</v>
      </c>
      <c r="C74" s="2">
        <v>70</v>
      </c>
      <c r="D74">
        <v>60</v>
      </c>
      <c r="F74">
        <v>69.800000000000011</v>
      </c>
      <c r="G74">
        <v>69.800000000000011</v>
      </c>
      <c r="H74">
        <v>60.08</v>
      </c>
      <c r="K74">
        <v>75</v>
      </c>
      <c r="L74">
        <v>75</v>
      </c>
      <c r="M74">
        <v>85</v>
      </c>
      <c r="O74">
        <v>75.2</v>
      </c>
      <c r="P74">
        <v>75.2</v>
      </c>
      <c r="Q74">
        <v>80.06</v>
      </c>
    </row>
    <row r="75" spans="1:17" hidden="1" x14ac:dyDescent="0.3">
      <c r="A75">
        <v>14</v>
      </c>
      <c r="B75" s="2">
        <v>70</v>
      </c>
      <c r="C75" s="2">
        <v>70</v>
      </c>
      <c r="D75">
        <v>60</v>
      </c>
      <c r="F75">
        <v>69.800000000000011</v>
      </c>
      <c r="G75">
        <v>69.800000000000011</v>
      </c>
      <c r="H75">
        <v>60.08</v>
      </c>
      <c r="K75">
        <v>75</v>
      </c>
      <c r="L75">
        <v>75</v>
      </c>
      <c r="M75">
        <v>85</v>
      </c>
      <c r="O75">
        <v>75.2</v>
      </c>
      <c r="P75">
        <v>75.2</v>
      </c>
      <c r="Q75">
        <v>80.06</v>
      </c>
    </row>
    <row r="76" spans="1:17" hidden="1" x14ac:dyDescent="0.3">
      <c r="A76">
        <v>15</v>
      </c>
      <c r="B76" s="2">
        <v>70</v>
      </c>
      <c r="C76" s="2">
        <v>70</v>
      </c>
      <c r="D76">
        <v>60</v>
      </c>
      <c r="F76">
        <v>69.800000000000011</v>
      </c>
      <c r="G76">
        <v>69.800000000000011</v>
      </c>
      <c r="H76">
        <v>60.08</v>
      </c>
      <c r="K76">
        <v>75</v>
      </c>
      <c r="L76">
        <v>75</v>
      </c>
      <c r="M76">
        <v>85</v>
      </c>
      <c r="O76">
        <v>75.2</v>
      </c>
      <c r="P76">
        <v>75.2</v>
      </c>
      <c r="Q76">
        <v>80.06</v>
      </c>
    </row>
    <row r="77" spans="1:17" hidden="1" x14ac:dyDescent="0.3">
      <c r="A77">
        <v>16</v>
      </c>
      <c r="B77" s="2">
        <v>70</v>
      </c>
      <c r="C77" s="2">
        <v>70</v>
      </c>
      <c r="D77">
        <v>60</v>
      </c>
      <c r="F77">
        <v>69.800000000000011</v>
      </c>
      <c r="G77">
        <v>69.800000000000011</v>
      </c>
      <c r="H77">
        <v>60.08</v>
      </c>
      <c r="K77">
        <v>75</v>
      </c>
      <c r="L77">
        <v>75</v>
      </c>
      <c r="M77">
        <v>85</v>
      </c>
      <c r="O77">
        <v>75.2</v>
      </c>
      <c r="P77">
        <v>75.2</v>
      </c>
      <c r="Q77">
        <v>80.06</v>
      </c>
    </row>
    <row r="78" spans="1:17" hidden="1" x14ac:dyDescent="0.3">
      <c r="A78">
        <v>17</v>
      </c>
      <c r="B78" s="2">
        <v>70</v>
      </c>
      <c r="C78" s="2">
        <v>70</v>
      </c>
      <c r="D78">
        <v>60</v>
      </c>
      <c r="F78">
        <v>69.800000000000011</v>
      </c>
      <c r="G78">
        <v>69.800000000000011</v>
      </c>
      <c r="H78">
        <v>60.08</v>
      </c>
      <c r="K78">
        <v>75</v>
      </c>
      <c r="L78">
        <v>75</v>
      </c>
      <c r="M78">
        <v>85</v>
      </c>
      <c r="O78">
        <v>75.2</v>
      </c>
      <c r="P78">
        <v>75.2</v>
      </c>
      <c r="Q78">
        <v>80.06</v>
      </c>
    </row>
    <row r="79" spans="1:17" hidden="1" x14ac:dyDescent="0.3">
      <c r="A79">
        <v>18</v>
      </c>
      <c r="B79" s="2">
        <v>70</v>
      </c>
      <c r="C79" s="2">
        <v>70</v>
      </c>
      <c r="D79">
        <v>60</v>
      </c>
      <c r="F79">
        <v>69.800000000000011</v>
      </c>
      <c r="G79">
        <v>60.08</v>
      </c>
      <c r="H79">
        <v>60.08</v>
      </c>
      <c r="K79">
        <v>75</v>
      </c>
      <c r="L79">
        <v>75</v>
      </c>
      <c r="M79">
        <v>85</v>
      </c>
      <c r="O79">
        <v>75.2</v>
      </c>
      <c r="P79">
        <v>80.06</v>
      </c>
      <c r="Q79">
        <v>80.06</v>
      </c>
    </row>
    <row r="80" spans="1:17" hidden="1" x14ac:dyDescent="0.3">
      <c r="A80">
        <v>19</v>
      </c>
      <c r="B80" s="2">
        <v>70</v>
      </c>
      <c r="C80" s="2">
        <v>70</v>
      </c>
      <c r="D80">
        <v>60</v>
      </c>
      <c r="F80">
        <v>69.800000000000011</v>
      </c>
      <c r="G80">
        <v>60.08</v>
      </c>
      <c r="H80">
        <v>60.08</v>
      </c>
      <c r="K80">
        <v>75</v>
      </c>
      <c r="L80">
        <v>75</v>
      </c>
      <c r="M80">
        <v>85</v>
      </c>
      <c r="O80">
        <v>75.2</v>
      </c>
      <c r="P80">
        <v>80.06</v>
      </c>
      <c r="Q80">
        <v>80.06</v>
      </c>
    </row>
    <row r="81" spans="1:17" hidden="1" x14ac:dyDescent="0.3">
      <c r="A81">
        <v>20</v>
      </c>
      <c r="B81" s="2">
        <v>70</v>
      </c>
      <c r="C81" s="2">
        <v>60</v>
      </c>
      <c r="D81">
        <v>60</v>
      </c>
      <c r="F81">
        <v>69.800000000000011</v>
      </c>
      <c r="G81">
        <v>60.08</v>
      </c>
      <c r="H81">
        <v>60.08</v>
      </c>
      <c r="K81">
        <v>75</v>
      </c>
      <c r="L81">
        <v>85</v>
      </c>
      <c r="M81">
        <v>85</v>
      </c>
      <c r="O81">
        <v>75.2</v>
      </c>
      <c r="P81">
        <v>80.06</v>
      </c>
      <c r="Q81">
        <v>80.06</v>
      </c>
    </row>
    <row r="82" spans="1:17" hidden="1" x14ac:dyDescent="0.3">
      <c r="A82">
        <v>21</v>
      </c>
      <c r="B82" s="2">
        <v>70</v>
      </c>
      <c r="C82" s="2">
        <v>60</v>
      </c>
      <c r="D82">
        <v>60</v>
      </c>
      <c r="F82">
        <v>69.800000000000011</v>
      </c>
      <c r="G82">
        <v>60.08</v>
      </c>
      <c r="H82">
        <v>60.08</v>
      </c>
      <c r="K82">
        <v>75</v>
      </c>
      <c r="L82">
        <v>85</v>
      </c>
      <c r="M82">
        <v>85</v>
      </c>
      <c r="O82">
        <v>75.2</v>
      </c>
      <c r="P82">
        <v>80.06</v>
      </c>
      <c r="Q82">
        <v>80.06</v>
      </c>
    </row>
    <row r="83" spans="1:17" hidden="1" x14ac:dyDescent="0.3">
      <c r="A83">
        <v>22</v>
      </c>
      <c r="B83" s="2">
        <v>70</v>
      </c>
      <c r="C83" s="2">
        <v>60</v>
      </c>
      <c r="D83">
        <v>60</v>
      </c>
      <c r="F83">
        <v>69.800000000000011</v>
      </c>
      <c r="G83">
        <v>60.08</v>
      </c>
      <c r="H83">
        <v>60.08</v>
      </c>
      <c r="K83">
        <v>75</v>
      </c>
      <c r="L83">
        <v>85</v>
      </c>
      <c r="M83">
        <v>85</v>
      </c>
      <c r="O83">
        <v>75.2</v>
      </c>
      <c r="P83">
        <v>80.06</v>
      </c>
      <c r="Q83">
        <v>80.06</v>
      </c>
    </row>
    <row r="84" spans="1:17" hidden="1" x14ac:dyDescent="0.3">
      <c r="A84">
        <v>23</v>
      </c>
      <c r="B84" s="2">
        <v>70</v>
      </c>
      <c r="C84" s="2">
        <v>60</v>
      </c>
      <c r="D84">
        <v>60</v>
      </c>
      <c r="F84">
        <v>60.08</v>
      </c>
      <c r="G84">
        <v>60.08</v>
      </c>
      <c r="H84">
        <v>60.08</v>
      </c>
      <c r="K84">
        <v>75</v>
      </c>
      <c r="L84">
        <v>85</v>
      </c>
      <c r="M84">
        <v>85</v>
      </c>
      <c r="O84">
        <v>80.06</v>
      </c>
      <c r="P84">
        <v>80.06</v>
      </c>
      <c r="Q84">
        <v>80.06</v>
      </c>
    </row>
    <row r="85" spans="1:17" hidden="1" x14ac:dyDescent="0.3">
      <c r="A85">
        <v>24</v>
      </c>
      <c r="B85" s="2">
        <v>70</v>
      </c>
      <c r="C85" s="2">
        <v>60</v>
      </c>
      <c r="D85">
        <v>60</v>
      </c>
      <c r="F85">
        <v>60.08</v>
      </c>
      <c r="G85">
        <v>60.08</v>
      </c>
      <c r="H85">
        <v>60.08</v>
      </c>
      <c r="K85">
        <v>75</v>
      </c>
      <c r="L85">
        <v>85</v>
      </c>
      <c r="M85">
        <v>85</v>
      </c>
      <c r="O85">
        <v>80.06</v>
      </c>
      <c r="P85">
        <v>80.06</v>
      </c>
      <c r="Q85">
        <v>80.06</v>
      </c>
    </row>
    <row r="86" spans="1:17" hidden="1" x14ac:dyDescent="0.3"/>
    <row r="87" spans="1:17" hidden="1" x14ac:dyDescent="0.3"/>
    <row r="88" spans="1:17" hidden="1" x14ac:dyDescent="0.3"/>
  </sheetData>
  <mergeCells count="13">
    <mergeCell ref="A1:S1"/>
    <mergeCell ref="A38:M38"/>
    <mergeCell ref="B59:H59"/>
    <mergeCell ref="K59:Q59"/>
    <mergeCell ref="B60:D60"/>
    <mergeCell ref="F60:H60"/>
    <mergeCell ref="K60:M60"/>
    <mergeCell ref="O60:Q60"/>
    <mergeCell ref="S3:S6"/>
    <mergeCell ref="S7:S8"/>
    <mergeCell ref="A3:A6"/>
    <mergeCell ref="A7:A8"/>
    <mergeCell ref="C8:R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Q92"/>
  <sheetViews>
    <sheetView zoomScale="85" zoomScaleNormal="85" workbookViewId="0">
      <selection activeCell="A92" sqref="A92:XFD92"/>
    </sheetView>
  </sheetViews>
  <sheetFormatPr defaultColWidth="9.33203125" defaultRowHeight="13.8" x14ac:dyDescent="0.25"/>
  <cols>
    <col min="1" max="1" width="36" style="68" customWidth="1"/>
    <col min="2" max="2" width="14.33203125" style="68" customWidth="1"/>
    <col min="3" max="3" width="14" style="68" customWidth="1"/>
    <col min="4" max="4" width="26.44140625" style="68" customWidth="1"/>
    <col min="5" max="5" width="26.109375" style="68" customWidth="1"/>
    <col min="6" max="6" width="32.5546875" style="68" customWidth="1"/>
    <col min="7" max="7" width="16.88671875" style="68" customWidth="1"/>
    <col min="8" max="8" width="15.6640625" style="68" customWidth="1"/>
    <col min="9" max="9" width="16.6640625" style="68" customWidth="1"/>
    <col min="10" max="10" width="20.33203125" style="68" customWidth="1"/>
    <col min="11" max="11" width="41.6640625" style="68" customWidth="1"/>
    <col min="12" max="12" width="30" style="68" customWidth="1"/>
    <col min="13" max="13" width="30.44140625" style="68" customWidth="1"/>
    <col min="14" max="14" width="12.33203125" style="68" customWidth="1"/>
    <col min="15" max="15" width="13.6640625" style="68" customWidth="1"/>
    <col min="16" max="16" width="11.6640625" style="68" customWidth="1"/>
    <col min="17" max="17" width="13.6640625" style="68" customWidth="1"/>
    <col min="18" max="18" width="12.33203125" style="68" customWidth="1"/>
    <col min="19" max="19" width="13.6640625" style="68" customWidth="1"/>
    <col min="20" max="20" width="12.33203125" style="68" customWidth="1"/>
    <col min="21" max="21" width="13.6640625" style="68" customWidth="1"/>
    <col min="22" max="22" width="11.6640625" style="68" customWidth="1"/>
    <col min="23" max="24" width="10.6640625" style="68" customWidth="1"/>
    <col min="25" max="25" width="9.33203125" style="68"/>
    <col min="26" max="30" width="11.33203125" style="68" customWidth="1"/>
    <col min="31" max="16384" width="9.33203125" style="68"/>
  </cols>
  <sheetData>
    <row r="1" spans="1:17" ht="24.6" customHeight="1" x14ac:dyDescent="0.25">
      <c r="A1" s="625" t="str">
        <f>"Outdoor Airflow Rate - "&amp;Prototype!A2</f>
        <v>Outdoor Airflow Rate - OfficeLarge</v>
      </c>
      <c r="B1" s="625"/>
      <c r="C1" s="625"/>
      <c r="D1" s="625"/>
      <c r="E1" s="625"/>
      <c r="F1" s="625"/>
      <c r="G1" s="625"/>
      <c r="H1" s="625"/>
      <c r="I1" s="625"/>
      <c r="J1" s="625"/>
      <c r="K1" s="625"/>
      <c r="L1" s="4"/>
      <c r="M1" s="4"/>
      <c r="N1" s="4"/>
      <c r="O1" s="4"/>
      <c r="P1" s="4"/>
      <c r="Q1" s="4"/>
    </row>
    <row r="2" spans="1:17" ht="40.200000000000003" customHeight="1" x14ac:dyDescent="0.25">
      <c r="A2" s="347" t="s">
        <v>467</v>
      </c>
      <c r="B2" s="348" t="s">
        <v>171</v>
      </c>
      <c r="C2" s="349" t="s">
        <v>468</v>
      </c>
      <c r="D2" s="350" t="s">
        <v>469</v>
      </c>
      <c r="E2" s="350" t="s">
        <v>470</v>
      </c>
      <c r="F2" s="350" t="s">
        <v>471</v>
      </c>
      <c r="G2" s="350" t="s">
        <v>472</v>
      </c>
      <c r="H2" s="350" t="s">
        <v>473</v>
      </c>
      <c r="I2" s="350" t="s">
        <v>474</v>
      </c>
      <c r="J2" s="347" t="s">
        <v>475</v>
      </c>
      <c r="K2" s="347" t="s">
        <v>104</v>
      </c>
      <c r="L2" s="4"/>
      <c r="M2" s="261"/>
      <c r="N2" s="33"/>
      <c r="O2" s="261"/>
      <c r="P2" s="33"/>
      <c r="Q2" s="261"/>
    </row>
    <row r="3" spans="1:17" ht="16.95" customHeight="1" x14ac:dyDescent="0.25">
      <c r="A3" s="16" t="str">
        <f>Zones!A3</f>
        <v>Perimeter_Open_ Office_N_Basement</v>
      </c>
      <c r="B3" s="185">
        <f>Zones!J3</f>
        <v>42.084300000000006</v>
      </c>
      <c r="C3" s="186">
        <f>Zones!G3</f>
        <v>8416.86</v>
      </c>
      <c r="D3" s="493">
        <v>15</v>
      </c>
      <c r="E3" s="493">
        <v>0.15</v>
      </c>
      <c r="F3" s="223"/>
      <c r="G3" s="56">
        <f t="shared" ref="G3:H3" si="0">B3*D3</f>
        <v>631.26450000000011</v>
      </c>
      <c r="H3" s="56">
        <f t="shared" si="0"/>
        <v>1262.529</v>
      </c>
      <c r="I3" s="56"/>
      <c r="J3" s="228">
        <f>MAX(G3:I3)</f>
        <v>1262.529</v>
      </c>
      <c r="K3" s="427"/>
      <c r="L3" s="4"/>
      <c r="M3" s="8"/>
      <c r="N3" s="262"/>
      <c r="O3" s="262"/>
      <c r="P3" s="5"/>
      <c r="Q3" s="5"/>
    </row>
    <row r="4" spans="1:17" ht="16.95" customHeight="1" x14ac:dyDescent="0.25">
      <c r="A4" s="16" t="str">
        <f>Zones!A4</f>
        <v>Perimeter_Open_ Office_S_Basement</v>
      </c>
      <c r="B4" s="185">
        <f>Zones!J4</f>
        <v>18.310899999999997</v>
      </c>
      <c r="C4" s="186">
        <f>Zones!G4</f>
        <v>3662.18</v>
      </c>
      <c r="D4" s="493">
        <v>15</v>
      </c>
      <c r="E4" s="493">
        <v>0.15</v>
      </c>
      <c r="F4" s="223"/>
      <c r="G4" s="56">
        <f t="shared" ref="G4:G16" si="1">B4*D4</f>
        <v>274.66349999999994</v>
      </c>
      <c r="H4" s="56">
        <f t="shared" ref="H4:H16" si="2">C4*E4</f>
        <v>549.327</v>
      </c>
      <c r="I4" s="223"/>
      <c r="J4" s="228">
        <f t="shared" ref="J4:J67" si="3">MAX(G4:I4)</f>
        <v>549.327</v>
      </c>
      <c r="K4" s="428"/>
      <c r="L4" s="4"/>
      <c r="M4" s="8"/>
      <c r="N4" s="262"/>
      <c r="O4" s="262"/>
      <c r="P4" s="5"/>
      <c r="Q4" s="5"/>
    </row>
    <row r="5" spans="1:17" ht="16.95" customHeight="1" x14ac:dyDescent="0.25">
      <c r="A5" s="16" t="str">
        <f>Zones!A5</f>
        <v>Core_Enclosed_Office_Basement</v>
      </c>
      <c r="B5" s="185">
        <f>Zones!J5</f>
        <v>18.518399999999996</v>
      </c>
      <c r="C5" s="186">
        <f>Zones!G5</f>
        <v>3703.68</v>
      </c>
      <c r="D5" s="493">
        <v>15</v>
      </c>
      <c r="E5" s="493">
        <v>0.15</v>
      </c>
      <c r="F5" s="223"/>
      <c r="G5" s="56">
        <f t="shared" si="1"/>
        <v>277.77599999999995</v>
      </c>
      <c r="H5" s="56">
        <f t="shared" si="2"/>
        <v>555.55199999999991</v>
      </c>
      <c r="I5" s="223"/>
      <c r="J5" s="228">
        <f t="shared" si="3"/>
        <v>555.55199999999991</v>
      </c>
      <c r="K5" s="428"/>
      <c r="L5" s="4"/>
      <c r="M5" s="8"/>
      <c r="N5" s="262"/>
      <c r="O5" s="262"/>
      <c r="P5" s="5"/>
      <c r="Q5" s="5"/>
    </row>
    <row r="6" spans="1:17" ht="16.95" customHeight="1" x14ac:dyDescent="0.25">
      <c r="A6" s="16" t="str">
        <f>Zones!A6</f>
        <v>Server_Room_Basement</v>
      </c>
      <c r="B6" s="185">
        <f>Zones!J6</f>
        <v>0</v>
      </c>
      <c r="C6" s="186">
        <f>Zones!G6</f>
        <v>8228</v>
      </c>
      <c r="D6" s="493">
        <v>15</v>
      </c>
      <c r="E6" s="493">
        <v>0.15</v>
      </c>
      <c r="F6" s="223"/>
      <c r="G6" s="56">
        <f t="shared" si="1"/>
        <v>0</v>
      </c>
      <c r="H6" s="56">
        <f t="shared" si="2"/>
        <v>1234.2</v>
      </c>
      <c r="I6" s="223"/>
      <c r="J6" s="228">
        <f t="shared" si="3"/>
        <v>1234.2</v>
      </c>
      <c r="K6" s="428"/>
      <c r="L6" s="4"/>
      <c r="M6" s="8"/>
      <c r="N6" s="262"/>
      <c r="O6" s="262"/>
      <c r="P6" s="5"/>
      <c r="Q6" s="5"/>
    </row>
    <row r="7" spans="1:17" ht="16.95" customHeight="1" x14ac:dyDescent="0.25">
      <c r="A7" s="16" t="str">
        <f>Zones!A7</f>
        <v>Mech/Elec_Basement</v>
      </c>
      <c r="B7" s="185">
        <f>Zones!J7</f>
        <v>0</v>
      </c>
      <c r="C7" s="186">
        <f>Zones!G7</f>
        <v>7958</v>
      </c>
      <c r="D7" s="493">
        <v>15</v>
      </c>
      <c r="E7" s="493">
        <v>0.15</v>
      </c>
      <c r="F7" s="223"/>
      <c r="G7" s="56">
        <f t="shared" si="1"/>
        <v>0</v>
      </c>
      <c r="H7" s="56">
        <f t="shared" si="2"/>
        <v>1193.7</v>
      </c>
      <c r="I7" s="223"/>
      <c r="J7" s="228">
        <f t="shared" si="3"/>
        <v>1193.7</v>
      </c>
      <c r="K7" s="428"/>
      <c r="L7" s="4"/>
      <c r="M7" s="8"/>
      <c r="N7" s="262"/>
      <c r="O7" s="262"/>
      <c r="P7" s="5"/>
      <c r="Q7" s="5"/>
    </row>
    <row r="8" spans="1:17" ht="16.95" customHeight="1" x14ac:dyDescent="0.25">
      <c r="A8" s="16" t="str">
        <f>Zones!A8</f>
        <v>Conference_Basement</v>
      </c>
      <c r="B8" s="185">
        <f>Zones!J8</f>
        <v>19.130100000000002</v>
      </c>
      <c r="C8" s="186">
        <f>Zones!G8</f>
        <v>579.70000000000005</v>
      </c>
      <c r="D8" s="493">
        <v>15</v>
      </c>
      <c r="E8" s="493">
        <v>0.15</v>
      </c>
      <c r="F8" s="223"/>
      <c r="G8" s="56">
        <f t="shared" si="1"/>
        <v>286.95150000000001</v>
      </c>
      <c r="H8" s="56">
        <f t="shared" si="2"/>
        <v>86.954999999999998</v>
      </c>
      <c r="I8" s="223"/>
      <c r="J8" s="228">
        <f t="shared" si="3"/>
        <v>286.95150000000001</v>
      </c>
      <c r="K8" s="428"/>
      <c r="L8" s="4"/>
      <c r="M8" s="8"/>
      <c r="N8" s="262"/>
      <c r="O8" s="262"/>
      <c r="P8" s="5"/>
      <c r="Q8" s="5"/>
    </row>
    <row r="9" spans="1:17" ht="16.95" customHeight="1" x14ac:dyDescent="0.25">
      <c r="A9" s="16" t="str">
        <f>Zones!A9</f>
        <v>Break_Basement</v>
      </c>
      <c r="B9" s="185">
        <f>Zones!J9</f>
        <v>32.109000000000002</v>
      </c>
      <c r="C9" s="186">
        <f>Zones!G9</f>
        <v>973</v>
      </c>
      <c r="D9" s="493">
        <v>15</v>
      </c>
      <c r="E9" s="493">
        <v>0.15</v>
      </c>
      <c r="F9" s="223"/>
      <c r="G9" s="56">
        <f t="shared" si="1"/>
        <v>481.63500000000005</v>
      </c>
      <c r="H9" s="56">
        <f t="shared" si="2"/>
        <v>145.94999999999999</v>
      </c>
      <c r="I9" s="223"/>
      <c r="J9" s="228">
        <f t="shared" si="3"/>
        <v>481.63500000000005</v>
      </c>
      <c r="K9" s="428"/>
      <c r="L9" s="4"/>
      <c r="M9" s="8"/>
      <c r="N9" s="262"/>
      <c r="O9" s="262"/>
      <c r="P9" s="5"/>
      <c r="Q9" s="5"/>
    </row>
    <row r="10" spans="1:17" ht="16.95" customHeight="1" x14ac:dyDescent="0.25">
      <c r="A10" s="16" t="str">
        <f>Zones!A10</f>
        <v>Storage_Basement</v>
      </c>
      <c r="B10" s="185">
        <f>Zones!J10</f>
        <v>0</v>
      </c>
      <c r="C10" s="186">
        <f>Zones!G10</f>
        <v>1231</v>
      </c>
      <c r="D10" s="493">
        <v>15</v>
      </c>
      <c r="E10" s="493">
        <v>0.15</v>
      </c>
      <c r="F10" s="223"/>
      <c r="G10" s="56">
        <f t="shared" si="1"/>
        <v>0</v>
      </c>
      <c r="H10" s="56">
        <f t="shared" si="2"/>
        <v>184.65</v>
      </c>
      <c r="I10" s="223"/>
      <c r="J10" s="228">
        <f t="shared" si="3"/>
        <v>184.65</v>
      </c>
      <c r="K10" s="428"/>
      <c r="L10" s="4"/>
      <c r="M10" s="8"/>
      <c r="N10" s="262"/>
      <c r="O10" s="262"/>
      <c r="P10" s="5"/>
      <c r="Q10" s="5"/>
    </row>
    <row r="11" spans="1:17" ht="16.95" customHeight="1" x14ac:dyDescent="0.25">
      <c r="A11" s="16" t="str">
        <f>Zones!A11</f>
        <v>Restroom_Basement</v>
      </c>
      <c r="B11" s="185">
        <f>Zones!J11</f>
        <v>0</v>
      </c>
      <c r="C11" s="186">
        <f>Zones!G11</f>
        <v>986</v>
      </c>
      <c r="D11" s="493">
        <v>15</v>
      </c>
      <c r="E11" s="493">
        <v>0.15</v>
      </c>
      <c r="F11" s="493" t="s">
        <v>476</v>
      </c>
      <c r="G11" s="56">
        <f t="shared" si="1"/>
        <v>0</v>
      </c>
      <c r="H11" s="56">
        <f t="shared" si="2"/>
        <v>147.9</v>
      </c>
      <c r="I11" s="223">
        <f>5*25</f>
        <v>125</v>
      </c>
      <c r="J11" s="228">
        <f t="shared" si="3"/>
        <v>147.9</v>
      </c>
      <c r="K11" s="429" t="s">
        <v>477</v>
      </c>
      <c r="L11" s="4"/>
      <c r="M11" s="8"/>
      <c r="N11" s="262"/>
      <c r="O11" s="262"/>
      <c r="P11" s="5"/>
      <c r="Q11" s="5"/>
    </row>
    <row r="12" spans="1:17" ht="16.95" customHeight="1" x14ac:dyDescent="0.25">
      <c r="A12" s="16" t="str">
        <f>Zones!A12</f>
        <v>Lobby_Basement</v>
      </c>
      <c r="B12" s="185">
        <f>Zones!J12</f>
        <v>7.07</v>
      </c>
      <c r="C12" s="186">
        <f>Zones!G12</f>
        <v>707</v>
      </c>
      <c r="D12" s="493">
        <v>15</v>
      </c>
      <c r="E12" s="493">
        <v>0.15</v>
      </c>
      <c r="F12" s="223"/>
      <c r="G12" s="56">
        <f t="shared" si="1"/>
        <v>106.05000000000001</v>
      </c>
      <c r="H12" s="56">
        <f t="shared" si="2"/>
        <v>106.05</v>
      </c>
      <c r="I12" s="223"/>
      <c r="J12" s="228">
        <f t="shared" si="3"/>
        <v>106.05000000000001</v>
      </c>
      <c r="K12" s="428"/>
      <c r="L12" s="4"/>
      <c r="M12" s="8"/>
      <c r="N12" s="262"/>
      <c r="O12" s="262"/>
      <c r="P12" s="5"/>
      <c r="Q12" s="5"/>
    </row>
    <row r="13" spans="1:17" ht="16.95" customHeight="1" x14ac:dyDescent="0.25">
      <c r="A13" s="16" t="str">
        <f>Zones!A13</f>
        <v>Stair/Elevator_Basement</v>
      </c>
      <c r="B13" s="185">
        <f>Zones!J13</f>
        <v>0</v>
      </c>
      <c r="C13" s="186">
        <f>Zones!G13</f>
        <v>941</v>
      </c>
      <c r="D13" s="493">
        <v>15</v>
      </c>
      <c r="E13" s="493">
        <v>0.15</v>
      </c>
      <c r="F13" s="223"/>
      <c r="G13" s="56">
        <f t="shared" si="1"/>
        <v>0</v>
      </c>
      <c r="H13" s="56">
        <f t="shared" si="2"/>
        <v>141.15</v>
      </c>
      <c r="I13" s="223"/>
      <c r="J13" s="228">
        <f t="shared" si="3"/>
        <v>141.15</v>
      </c>
      <c r="K13" s="428"/>
      <c r="L13" s="4"/>
      <c r="M13" s="8"/>
      <c r="N13" s="262"/>
      <c r="O13" s="262"/>
      <c r="P13" s="5"/>
      <c r="Q13" s="5"/>
    </row>
    <row r="14" spans="1:17" ht="16.95" customHeight="1" x14ac:dyDescent="0.25">
      <c r="A14" s="16" t="str">
        <f>Zones!A14</f>
        <v>Corridor_W_Basement</v>
      </c>
      <c r="B14" s="185">
        <f>Zones!J14</f>
        <v>1.3145</v>
      </c>
      <c r="C14" s="186">
        <f>Zones!G14</f>
        <v>262.89999999999998</v>
      </c>
      <c r="D14" s="493">
        <v>15</v>
      </c>
      <c r="E14" s="493">
        <v>0.15</v>
      </c>
      <c r="F14" s="223"/>
      <c r="G14" s="56">
        <f t="shared" si="1"/>
        <v>19.717500000000001</v>
      </c>
      <c r="H14" s="56">
        <f t="shared" si="2"/>
        <v>39.434999999999995</v>
      </c>
      <c r="I14" s="223"/>
      <c r="J14" s="228">
        <f t="shared" si="3"/>
        <v>39.434999999999995</v>
      </c>
      <c r="K14" s="428"/>
      <c r="L14" s="4"/>
      <c r="M14" s="489"/>
      <c r="N14" s="262"/>
      <c r="O14" s="262"/>
      <c r="P14" s="5"/>
      <c r="Q14" s="5"/>
    </row>
    <row r="15" spans="1:17" ht="16.95" customHeight="1" x14ac:dyDescent="0.25">
      <c r="A15" s="16" t="str">
        <f>Zones!A15</f>
        <v>Corridor_E_Basement</v>
      </c>
      <c r="B15" s="185">
        <f>Zones!J15</f>
        <v>3.5150000000000001</v>
      </c>
      <c r="C15" s="186">
        <f>Zones!G15</f>
        <v>703</v>
      </c>
      <c r="D15" s="493">
        <v>15</v>
      </c>
      <c r="E15" s="493">
        <v>0.15</v>
      </c>
      <c r="F15" s="223"/>
      <c r="G15" s="56">
        <f t="shared" si="1"/>
        <v>52.725000000000001</v>
      </c>
      <c r="H15" s="56">
        <f t="shared" si="2"/>
        <v>105.45</v>
      </c>
      <c r="I15" s="223"/>
      <c r="J15" s="228">
        <f t="shared" si="3"/>
        <v>105.45</v>
      </c>
      <c r="K15" s="428"/>
      <c r="L15" s="4"/>
      <c r="M15" s="489"/>
      <c r="N15" s="262"/>
      <c r="O15" s="262"/>
      <c r="P15" s="5"/>
      <c r="Q15" s="5"/>
    </row>
    <row r="16" spans="1:17" ht="16.95" customHeight="1" x14ac:dyDescent="0.25">
      <c r="A16" s="224" t="str">
        <f>Zones!A16</f>
        <v>Perimeter_Open_ Office_N_FloorG</v>
      </c>
      <c r="B16" s="225">
        <f>Zones!J16</f>
        <v>35.155000000000001</v>
      </c>
      <c r="C16" s="226">
        <f>Zones!G16</f>
        <v>7031</v>
      </c>
      <c r="D16" s="214">
        <v>15</v>
      </c>
      <c r="E16" s="214">
        <v>0.15</v>
      </c>
      <c r="F16" s="227"/>
      <c r="G16" s="226">
        <f t="shared" si="1"/>
        <v>527.32500000000005</v>
      </c>
      <c r="H16" s="226">
        <f t="shared" si="2"/>
        <v>1054.6499999999999</v>
      </c>
      <c r="I16" s="227"/>
      <c r="J16" s="229">
        <f t="shared" si="3"/>
        <v>1054.6499999999999</v>
      </c>
      <c r="K16" s="428"/>
      <c r="L16" s="4"/>
      <c r="M16" s="489"/>
      <c r="N16" s="5"/>
      <c r="O16" s="5"/>
      <c r="P16" s="5"/>
      <c r="Q16" s="5"/>
    </row>
    <row r="17" spans="1:17" ht="22.2" customHeight="1" x14ac:dyDescent="0.25">
      <c r="A17" s="224" t="str">
        <f>Zones!A17</f>
        <v>Perimeter_Open_ Office_W_FloorG</v>
      </c>
      <c r="B17" s="225">
        <f>Zones!J17</f>
        <v>28.978800000000003</v>
      </c>
      <c r="C17" s="226">
        <f>Zones!G17</f>
        <v>5795.76</v>
      </c>
      <c r="D17" s="214">
        <v>15</v>
      </c>
      <c r="E17" s="214">
        <v>0.15</v>
      </c>
      <c r="F17" s="227"/>
      <c r="G17" s="226">
        <f t="shared" ref="G17:G36" si="4">B17*D17</f>
        <v>434.68200000000007</v>
      </c>
      <c r="H17" s="226">
        <f t="shared" ref="H17:H36" si="5">C17*E17</f>
        <v>869.36400000000003</v>
      </c>
      <c r="I17" s="227"/>
      <c r="J17" s="229">
        <f t="shared" si="3"/>
        <v>869.36400000000003</v>
      </c>
      <c r="K17" s="428"/>
      <c r="L17" s="4"/>
      <c r="M17" s="546"/>
      <c r="N17" s="546"/>
      <c r="O17" s="546"/>
      <c r="P17" s="5"/>
      <c r="Q17" s="5"/>
    </row>
    <row r="18" spans="1:17" ht="16.95" customHeight="1" x14ac:dyDescent="0.25">
      <c r="A18" s="224" t="str">
        <f>Zones!A18</f>
        <v>Perimeter_Open_ Office_E_FloorG</v>
      </c>
      <c r="B18" s="225">
        <f>Zones!J18</f>
        <v>29.377399999999998</v>
      </c>
      <c r="C18" s="226">
        <f>Zones!G18</f>
        <v>5875.48</v>
      </c>
      <c r="D18" s="214">
        <v>15</v>
      </c>
      <c r="E18" s="214">
        <v>0.15</v>
      </c>
      <c r="F18" s="227"/>
      <c r="G18" s="226">
        <f t="shared" si="4"/>
        <v>440.66099999999994</v>
      </c>
      <c r="H18" s="226">
        <f t="shared" si="5"/>
        <v>881.32199999999989</v>
      </c>
      <c r="I18" s="227"/>
      <c r="J18" s="229">
        <f t="shared" si="3"/>
        <v>881.32199999999989</v>
      </c>
      <c r="K18" s="428"/>
      <c r="L18" s="489"/>
      <c r="M18" s="5"/>
      <c r="N18" s="5"/>
      <c r="O18" s="489"/>
      <c r="P18" s="5"/>
      <c r="Q18" s="5"/>
    </row>
    <row r="19" spans="1:17" ht="16.95" customHeight="1" x14ac:dyDescent="0.25">
      <c r="A19" s="224" t="str">
        <f>Zones!A19</f>
        <v>Perimeter_Enclosed_ Office_NE_FloorG</v>
      </c>
      <c r="B19" s="225">
        <f>Zones!J19</f>
        <v>4.5869</v>
      </c>
      <c r="C19" s="226">
        <f>Zones!G19</f>
        <v>917.38</v>
      </c>
      <c r="D19" s="214">
        <v>15</v>
      </c>
      <c r="E19" s="214">
        <v>0.15</v>
      </c>
      <c r="F19" s="227"/>
      <c r="G19" s="226">
        <f t="shared" si="4"/>
        <v>68.8035</v>
      </c>
      <c r="H19" s="226">
        <f t="shared" si="5"/>
        <v>137.607</v>
      </c>
      <c r="I19" s="227"/>
      <c r="J19" s="229">
        <f t="shared" si="3"/>
        <v>137.607</v>
      </c>
      <c r="K19" s="428"/>
      <c r="L19" s="489"/>
      <c r="M19" s="5"/>
      <c r="N19" s="5"/>
      <c r="O19" s="489"/>
      <c r="P19" s="5"/>
      <c r="Q19" s="5"/>
    </row>
    <row r="20" spans="1:17" ht="16.95" customHeight="1" x14ac:dyDescent="0.25">
      <c r="A20" s="224" t="str">
        <f>Zones!A20</f>
        <v>Perimeter_Enclosed_ Office_NW_FloorG</v>
      </c>
      <c r="B20" s="225">
        <f>Zones!J20</f>
        <v>5.6530499999999995</v>
      </c>
      <c r="C20" s="226">
        <f>Zones!G20</f>
        <v>1130.6099999999999</v>
      </c>
      <c r="D20" s="214">
        <v>15</v>
      </c>
      <c r="E20" s="214">
        <v>0.15</v>
      </c>
      <c r="F20" s="227"/>
      <c r="G20" s="226">
        <f t="shared" si="4"/>
        <v>84.795749999999998</v>
      </c>
      <c r="H20" s="226">
        <f t="shared" si="5"/>
        <v>169.59149999999997</v>
      </c>
      <c r="I20" s="227"/>
      <c r="J20" s="229">
        <f t="shared" si="3"/>
        <v>169.59149999999997</v>
      </c>
      <c r="K20" s="428"/>
      <c r="L20" s="41"/>
      <c r="M20" s="41"/>
      <c r="N20" s="4"/>
      <c r="O20" s="4"/>
      <c r="P20" s="4"/>
      <c r="Q20" s="5"/>
    </row>
    <row r="21" spans="1:17" ht="16.95" customHeight="1" x14ac:dyDescent="0.25">
      <c r="A21" s="224" t="str">
        <f>Zones!A21</f>
        <v>Core_Enclosed_Office_FloorG</v>
      </c>
      <c r="B21" s="225">
        <f>Zones!J21</f>
        <v>16.559999999999999</v>
      </c>
      <c r="C21" s="226">
        <f>Zones!G21</f>
        <v>3312</v>
      </c>
      <c r="D21" s="214">
        <v>15</v>
      </c>
      <c r="E21" s="214">
        <v>0.15</v>
      </c>
      <c r="F21" s="227"/>
      <c r="G21" s="226">
        <f t="shared" si="4"/>
        <v>248.39999999999998</v>
      </c>
      <c r="H21" s="226">
        <f t="shared" si="5"/>
        <v>496.79999999999995</v>
      </c>
      <c r="I21" s="227"/>
      <c r="J21" s="229">
        <f t="shared" si="3"/>
        <v>496.79999999999995</v>
      </c>
      <c r="K21" s="428"/>
      <c r="L21" s="489"/>
      <c r="M21" s="262"/>
      <c r="N21" s="4"/>
      <c r="O21" s="4"/>
      <c r="P21" s="4"/>
      <c r="Q21" s="5"/>
    </row>
    <row r="22" spans="1:17" ht="16.95" customHeight="1" x14ac:dyDescent="0.25">
      <c r="A22" s="224" t="str">
        <f>Zones!A22</f>
        <v>Server_Room_FloorG</v>
      </c>
      <c r="B22" s="225">
        <f>Zones!J22</f>
        <v>0</v>
      </c>
      <c r="C22" s="226">
        <f>Zones!G22</f>
        <v>417.94</v>
      </c>
      <c r="D22" s="214">
        <v>15</v>
      </c>
      <c r="E22" s="214">
        <v>0.15</v>
      </c>
      <c r="F22" s="227"/>
      <c r="G22" s="226">
        <f t="shared" si="4"/>
        <v>0</v>
      </c>
      <c r="H22" s="226">
        <f t="shared" si="5"/>
        <v>62.690999999999995</v>
      </c>
      <c r="I22" s="227"/>
      <c r="J22" s="229">
        <f t="shared" si="3"/>
        <v>62.690999999999995</v>
      </c>
      <c r="K22" s="428"/>
      <c r="L22" s="489"/>
      <c r="M22" s="262"/>
      <c r="N22" s="4"/>
      <c r="O22" s="4"/>
      <c r="P22" s="4"/>
      <c r="Q22" s="5"/>
    </row>
    <row r="23" spans="1:17" ht="16.95" customHeight="1" x14ac:dyDescent="0.25">
      <c r="A23" s="224" t="str">
        <f>Zones!A23</f>
        <v>Mech/Elec_FloorG</v>
      </c>
      <c r="B23" s="225">
        <f>Zones!J23</f>
        <v>0</v>
      </c>
      <c r="C23" s="226">
        <f>Zones!G23</f>
        <v>849</v>
      </c>
      <c r="D23" s="214">
        <v>15</v>
      </c>
      <c r="E23" s="214">
        <v>0.15</v>
      </c>
      <c r="F23" s="227"/>
      <c r="G23" s="226">
        <f t="shared" si="4"/>
        <v>0</v>
      </c>
      <c r="H23" s="226">
        <f t="shared" si="5"/>
        <v>127.35</v>
      </c>
      <c r="I23" s="227"/>
      <c r="J23" s="229">
        <f t="shared" si="3"/>
        <v>127.35</v>
      </c>
      <c r="K23" s="428"/>
      <c r="L23" s="489"/>
      <c r="M23" s="5"/>
      <c r="N23" s="4"/>
      <c r="O23" s="4"/>
      <c r="P23" s="4"/>
      <c r="Q23" s="5"/>
    </row>
    <row r="24" spans="1:17" ht="16.95" customHeight="1" x14ac:dyDescent="0.25">
      <c r="A24" s="224" t="str">
        <f>Zones!A24</f>
        <v>Conference_FloorG</v>
      </c>
      <c r="B24" s="225">
        <f>Zones!J24</f>
        <v>26.07</v>
      </c>
      <c r="C24" s="226">
        <f>Zones!G24</f>
        <v>790</v>
      </c>
      <c r="D24" s="214">
        <v>15</v>
      </c>
      <c r="E24" s="214">
        <v>0.15</v>
      </c>
      <c r="F24" s="227"/>
      <c r="G24" s="226">
        <f t="shared" si="4"/>
        <v>391.05</v>
      </c>
      <c r="H24" s="226">
        <f t="shared" si="5"/>
        <v>118.5</v>
      </c>
      <c r="I24" s="227"/>
      <c r="J24" s="229">
        <f t="shared" si="3"/>
        <v>391.05</v>
      </c>
      <c r="K24" s="428"/>
      <c r="L24" s="489"/>
      <c r="M24" s="5"/>
      <c r="N24" s="4"/>
      <c r="O24" s="4"/>
      <c r="P24" s="4"/>
      <c r="Q24" s="5"/>
    </row>
    <row r="25" spans="1:17" ht="16.95" customHeight="1" x14ac:dyDescent="0.25">
      <c r="A25" s="224" t="str">
        <f>Zones!A25</f>
        <v>Break_FloorG</v>
      </c>
      <c r="B25" s="225">
        <f>Zones!J25</f>
        <v>20.395649999999996</v>
      </c>
      <c r="C25" s="226">
        <f>Zones!G25</f>
        <v>618.04999999999995</v>
      </c>
      <c r="D25" s="214">
        <v>15</v>
      </c>
      <c r="E25" s="214">
        <v>0.15</v>
      </c>
      <c r="F25" s="227"/>
      <c r="G25" s="226">
        <f t="shared" si="4"/>
        <v>305.93474999999995</v>
      </c>
      <c r="H25" s="226">
        <f t="shared" si="5"/>
        <v>92.707499999999996</v>
      </c>
      <c r="I25" s="227"/>
      <c r="J25" s="229">
        <f t="shared" si="3"/>
        <v>305.93474999999995</v>
      </c>
      <c r="K25" s="428"/>
      <c r="L25" s="489"/>
      <c r="M25" s="5"/>
      <c r="N25" s="4"/>
      <c r="O25" s="4"/>
      <c r="P25" s="4"/>
      <c r="Q25" s="5"/>
    </row>
    <row r="26" spans="1:17" ht="16.95" customHeight="1" x14ac:dyDescent="0.25">
      <c r="A26" s="224" t="str">
        <f>Zones!A26</f>
        <v>FoodPrep_FloorG</v>
      </c>
      <c r="B26" s="225">
        <f>Zones!J26</f>
        <v>2.8108200000000001</v>
      </c>
      <c r="C26" s="226">
        <f>Zones!G26</f>
        <v>936.94</v>
      </c>
      <c r="D26" s="214">
        <v>15</v>
      </c>
      <c r="E26" s="214">
        <v>0.15</v>
      </c>
      <c r="F26" s="227"/>
      <c r="G26" s="226">
        <f t="shared" si="4"/>
        <v>42.162300000000002</v>
      </c>
      <c r="H26" s="226">
        <f t="shared" si="5"/>
        <v>140.541</v>
      </c>
      <c r="I26" s="227"/>
      <c r="J26" s="229">
        <f t="shared" si="3"/>
        <v>140.541</v>
      </c>
      <c r="K26" s="428"/>
      <c r="L26" s="489"/>
      <c r="M26" s="5"/>
      <c r="N26" s="4"/>
      <c r="O26" s="4"/>
      <c r="P26" s="4"/>
      <c r="Q26" s="5"/>
    </row>
    <row r="27" spans="1:17" ht="16.95" customHeight="1" x14ac:dyDescent="0.25">
      <c r="A27" s="224" t="str">
        <f>Zones!A27</f>
        <v>Storage_FloorG</v>
      </c>
      <c r="B27" s="225">
        <f>Zones!J27</f>
        <v>0</v>
      </c>
      <c r="C27" s="226">
        <f>Zones!G27</f>
        <v>959.02</v>
      </c>
      <c r="D27" s="214">
        <v>15</v>
      </c>
      <c r="E27" s="214">
        <v>0.15</v>
      </c>
      <c r="F27" s="227"/>
      <c r="G27" s="226">
        <f t="shared" si="4"/>
        <v>0</v>
      </c>
      <c r="H27" s="226">
        <f t="shared" si="5"/>
        <v>143.85299999999998</v>
      </c>
      <c r="I27" s="227"/>
      <c r="J27" s="229">
        <f t="shared" si="3"/>
        <v>143.85299999999998</v>
      </c>
      <c r="K27" s="428"/>
      <c r="L27" s="489"/>
      <c r="M27" s="5"/>
      <c r="N27" s="4"/>
      <c r="O27" s="4"/>
      <c r="P27" s="4"/>
      <c r="Q27" s="5"/>
    </row>
    <row r="28" spans="1:17" ht="16.95" customHeight="1" x14ac:dyDescent="0.25">
      <c r="A28" s="224" t="str">
        <f>Zones!A28</f>
        <v>Locker_FloorG</v>
      </c>
      <c r="B28" s="225">
        <f>Zones!J28</f>
        <v>18.149699999999999</v>
      </c>
      <c r="C28" s="226">
        <f>Zones!G28</f>
        <v>1814.97</v>
      </c>
      <c r="D28" s="214">
        <v>15</v>
      </c>
      <c r="E28" s="214">
        <v>0.15</v>
      </c>
      <c r="F28" s="227" t="s">
        <v>478</v>
      </c>
      <c r="G28" s="226">
        <f t="shared" si="4"/>
        <v>272.24549999999999</v>
      </c>
      <c r="H28" s="226">
        <f t="shared" si="5"/>
        <v>272.24549999999999</v>
      </c>
      <c r="I28" s="432">
        <f>0.25*C28</f>
        <v>453.74250000000001</v>
      </c>
      <c r="J28" s="229">
        <f t="shared" si="3"/>
        <v>453.74250000000001</v>
      </c>
      <c r="K28" s="428"/>
      <c r="L28" s="489"/>
      <c r="M28" s="5"/>
      <c r="N28" s="4"/>
      <c r="O28" s="4"/>
      <c r="P28" s="4"/>
      <c r="Q28" s="5"/>
    </row>
    <row r="29" spans="1:17" ht="16.95" customHeight="1" x14ac:dyDescent="0.25">
      <c r="A29" s="224" t="str">
        <f>Zones!A29</f>
        <v>Lobby_S_FloorG</v>
      </c>
      <c r="B29" s="225">
        <f>Zones!J29</f>
        <v>33.606300000000005</v>
      </c>
      <c r="C29" s="226">
        <f>Zones!G29</f>
        <v>3360.63</v>
      </c>
      <c r="D29" s="214">
        <v>15</v>
      </c>
      <c r="E29" s="214">
        <v>0.15</v>
      </c>
      <c r="F29" s="227"/>
      <c r="G29" s="226">
        <f t="shared" si="4"/>
        <v>504.09450000000004</v>
      </c>
      <c r="H29" s="226">
        <f t="shared" si="5"/>
        <v>504.09449999999998</v>
      </c>
      <c r="I29" s="227"/>
      <c r="J29" s="229">
        <f t="shared" si="3"/>
        <v>504.09450000000004</v>
      </c>
      <c r="K29" s="428"/>
      <c r="L29" s="489"/>
      <c r="M29" s="5"/>
      <c r="N29" s="4"/>
      <c r="O29" s="4"/>
      <c r="P29" s="4"/>
      <c r="Q29" s="5"/>
    </row>
    <row r="30" spans="1:17" ht="16.95" customHeight="1" x14ac:dyDescent="0.25">
      <c r="A30" s="224" t="str">
        <f>Zones!A30</f>
        <v>Lobby_FloorG</v>
      </c>
      <c r="B30" s="225">
        <f>Zones!J30</f>
        <v>6.8336000000000006</v>
      </c>
      <c r="C30" s="226">
        <f>Zones!G30</f>
        <v>683.36</v>
      </c>
      <c r="D30" s="214">
        <v>15</v>
      </c>
      <c r="E30" s="214">
        <v>0.15</v>
      </c>
      <c r="F30" s="227"/>
      <c r="G30" s="226">
        <f t="shared" si="4"/>
        <v>102.504</v>
      </c>
      <c r="H30" s="226">
        <f t="shared" si="5"/>
        <v>102.504</v>
      </c>
      <c r="I30" s="227"/>
      <c r="J30" s="229">
        <f t="shared" si="3"/>
        <v>102.504</v>
      </c>
      <c r="K30" s="428"/>
      <c r="L30" s="489"/>
      <c r="M30" s="5"/>
      <c r="N30" s="4"/>
      <c r="O30" s="4"/>
      <c r="P30" s="4"/>
      <c r="Q30" s="5"/>
    </row>
    <row r="31" spans="1:17" ht="16.95" customHeight="1" x14ac:dyDescent="0.25">
      <c r="A31" s="224" t="str">
        <f>Zones!A31</f>
        <v>Restroom_FloorG</v>
      </c>
      <c r="B31" s="225">
        <f>Zones!J31</f>
        <v>0</v>
      </c>
      <c r="C31" s="226">
        <f>Zones!G31</f>
        <v>1156</v>
      </c>
      <c r="D31" s="214">
        <v>15</v>
      </c>
      <c r="E31" s="214">
        <v>0.15</v>
      </c>
      <c r="F31" s="214" t="s">
        <v>479</v>
      </c>
      <c r="G31" s="226">
        <f t="shared" si="4"/>
        <v>0</v>
      </c>
      <c r="H31" s="226">
        <f t="shared" si="5"/>
        <v>173.4</v>
      </c>
      <c r="I31" s="227">
        <f>8*25</f>
        <v>200</v>
      </c>
      <c r="J31" s="229">
        <f t="shared" si="3"/>
        <v>200</v>
      </c>
      <c r="K31" s="428"/>
      <c r="L31" s="489"/>
      <c r="M31" s="5"/>
      <c r="N31" s="4"/>
      <c r="O31" s="4"/>
      <c r="P31" s="4"/>
      <c r="Q31" s="5"/>
    </row>
    <row r="32" spans="1:17" ht="16.95" customHeight="1" x14ac:dyDescent="0.25">
      <c r="A32" s="224" t="str">
        <f>Zones!A32</f>
        <v>Stair/Elevator_FloorG</v>
      </c>
      <c r="B32" s="225">
        <f>Zones!J32</f>
        <v>0</v>
      </c>
      <c r="C32" s="226">
        <f>Zones!G32</f>
        <v>848</v>
      </c>
      <c r="D32" s="214">
        <v>15</v>
      </c>
      <c r="E32" s="214">
        <v>0.15</v>
      </c>
      <c r="F32" s="227"/>
      <c r="G32" s="226">
        <f t="shared" si="4"/>
        <v>0</v>
      </c>
      <c r="H32" s="226">
        <f t="shared" si="5"/>
        <v>127.19999999999999</v>
      </c>
      <c r="I32" s="227"/>
      <c r="J32" s="229">
        <f t="shared" si="3"/>
        <v>127.19999999999999</v>
      </c>
      <c r="K32" s="428"/>
      <c r="L32" s="489"/>
      <c r="M32" s="5"/>
      <c r="N32" s="4"/>
      <c r="O32" s="4"/>
      <c r="P32" s="4"/>
      <c r="Q32" s="5"/>
    </row>
    <row r="33" spans="1:17" ht="16.95" customHeight="1" x14ac:dyDescent="0.25">
      <c r="A33" s="224" t="str">
        <f>Zones!A33</f>
        <v>Corridor_W_FloorG</v>
      </c>
      <c r="B33" s="225">
        <f>Zones!J33</f>
        <v>5.0293999999999999</v>
      </c>
      <c r="C33" s="226">
        <f>Zones!G33</f>
        <v>1005.88</v>
      </c>
      <c r="D33" s="214">
        <v>15</v>
      </c>
      <c r="E33" s="214">
        <v>0.15</v>
      </c>
      <c r="F33" s="227"/>
      <c r="G33" s="226">
        <f t="shared" si="4"/>
        <v>75.441000000000003</v>
      </c>
      <c r="H33" s="226">
        <f t="shared" si="5"/>
        <v>150.88200000000001</v>
      </c>
      <c r="I33" s="227"/>
      <c r="J33" s="229">
        <f t="shared" si="3"/>
        <v>150.88200000000001</v>
      </c>
      <c r="K33" s="428"/>
      <c r="L33" s="489"/>
      <c r="M33" s="5"/>
      <c r="N33" s="4"/>
      <c r="O33" s="4"/>
      <c r="P33" s="4"/>
      <c r="Q33" s="5"/>
    </row>
    <row r="34" spans="1:17" ht="16.95" customHeight="1" x14ac:dyDescent="0.25">
      <c r="A34" s="224" t="str">
        <f>Zones!A34</f>
        <v>Corridor_E_FloorG</v>
      </c>
      <c r="B34" s="225">
        <f>Zones!J34</f>
        <v>3.9905500000000003</v>
      </c>
      <c r="C34" s="226">
        <f>Zones!G34</f>
        <v>798.11</v>
      </c>
      <c r="D34" s="214">
        <v>15</v>
      </c>
      <c r="E34" s="214">
        <v>0.15</v>
      </c>
      <c r="F34" s="227"/>
      <c r="G34" s="226">
        <f t="shared" si="4"/>
        <v>59.858250000000005</v>
      </c>
      <c r="H34" s="226">
        <f t="shared" si="5"/>
        <v>119.7165</v>
      </c>
      <c r="I34" s="227"/>
      <c r="J34" s="229">
        <f t="shared" si="3"/>
        <v>119.7165</v>
      </c>
      <c r="K34" s="428"/>
      <c r="L34" s="489"/>
      <c r="M34" s="5"/>
      <c r="N34" s="4"/>
      <c r="O34" s="4"/>
      <c r="P34" s="4"/>
      <c r="Q34" s="5"/>
    </row>
    <row r="35" spans="1:17" ht="16.95" customHeight="1" x14ac:dyDescent="0.25">
      <c r="A35" s="224" t="str">
        <f>Zones!A35</f>
        <v>Plenum_FloorG</v>
      </c>
      <c r="B35" s="225">
        <f>Zones!J35</f>
        <v>0</v>
      </c>
      <c r="C35" s="226">
        <f>Zones!G35</f>
        <v>38352.014999999999</v>
      </c>
      <c r="D35" s="214"/>
      <c r="E35" s="214"/>
      <c r="F35" s="227"/>
      <c r="G35" s="226">
        <f t="shared" si="4"/>
        <v>0</v>
      </c>
      <c r="H35" s="226">
        <f t="shared" si="5"/>
        <v>0</v>
      </c>
      <c r="I35" s="227"/>
      <c r="J35" s="229">
        <f t="shared" si="3"/>
        <v>0</v>
      </c>
      <c r="K35" s="428"/>
      <c r="L35" s="489"/>
      <c r="M35" s="5"/>
      <c r="N35" s="4"/>
      <c r="O35" s="4"/>
      <c r="P35" s="4"/>
      <c r="Q35" s="5"/>
    </row>
    <row r="36" spans="1:17" ht="16.95" customHeight="1" x14ac:dyDescent="0.25">
      <c r="A36" s="16" t="str">
        <f>Zones!A36</f>
        <v>Perimeter_Open_ Office_N_FloorM</v>
      </c>
      <c r="B36" s="185">
        <f>Zones!J36</f>
        <v>35.65645</v>
      </c>
      <c r="C36" s="186">
        <f>Zones!G36</f>
        <v>7131.29</v>
      </c>
      <c r="D36" s="493">
        <v>15</v>
      </c>
      <c r="E36" s="493">
        <v>0.15</v>
      </c>
      <c r="F36" s="223"/>
      <c r="G36" s="56">
        <f t="shared" si="4"/>
        <v>534.84675000000004</v>
      </c>
      <c r="H36" s="56">
        <f t="shared" si="5"/>
        <v>1069.6934999999999</v>
      </c>
      <c r="I36" s="223"/>
      <c r="J36" s="228">
        <f t="shared" si="3"/>
        <v>1069.6934999999999</v>
      </c>
      <c r="K36" s="428"/>
      <c r="L36" s="489"/>
      <c r="M36" s="5"/>
      <c r="N36" s="5"/>
      <c r="O36" s="489"/>
      <c r="P36" s="5"/>
      <c r="Q36" s="5"/>
    </row>
    <row r="37" spans="1:17" ht="16.95" customHeight="1" x14ac:dyDescent="0.25">
      <c r="A37" s="16" t="str">
        <f>Zones!A37</f>
        <v>Perimeter_Open_ Office_S_FloorM</v>
      </c>
      <c r="B37" s="185">
        <f>Zones!J37</f>
        <v>26.18685</v>
      </c>
      <c r="C37" s="186">
        <f>Zones!G37</f>
        <v>5237.37</v>
      </c>
      <c r="D37" s="493">
        <v>15</v>
      </c>
      <c r="E37" s="493">
        <v>0.15</v>
      </c>
      <c r="F37" s="223"/>
      <c r="G37" s="56">
        <f t="shared" ref="G37:G58" si="6">B37*D37</f>
        <v>392.80275</v>
      </c>
      <c r="H37" s="56">
        <f t="shared" ref="H37:H58" si="7">C37*E37</f>
        <v>785.60550000000001</v>
      </c>
      <c r="I37" s="223"/>
      <c r="J37" s="228">
        <f t="shared" si="3"/>
        <v>785.60550000000001</v>
      </c>
      <c r="K37" s="428"/>
      <c r="L37" s="489"/>
      <c r="M37" s="5"/>
      <c r="N37" s="5"/>
      <c r="O37" s="489"/>
      <c r="P37" s="5"/>
      <c r="Q37" s="5"/>
    </row>
    <row r="38" spans="1:17" ht="16.95" customHeight="1" x14ac:dyDescent="0.25">
      <c r="A38" s="16" t="str">
        <f>Zones!A38</f>
        <v>Perimeter_Open_ Office_E_FloorM</v>
      </c>
      <c r="B38" s="185">
        <f>Zones!J38</f>
        <v>22.352199999999996</v>
      </c>
      <c r="C38" s="186">
        <f>Zones!G38</f>
        <v>4470.4399999999996</v>
      </c>
      <c r="D38" s="493">
        <v>15</v>
      </c>
      <c r="E38" s="493">
        <v>0.15</v>
      </c>
      <c r="F38" s="223"/>
      <c r="G38" s="56">
        <f t="shared" si="6"/>
        <v>335.28299999999996</v>
      </c>
      <c r="H38" s="56">
        <f t="shared" si="7"/>
        <v>670.56599999999992</v>
      </c>
      <c r="I38" s="223"/>
      <c r="J38" s="228">
        <f t="shared" si="3"/>
        <v>670.56599999999992</v>
      </c>
      <c r="K38" s="428"/>
      <c r="L38" s="489"/>
      <c r="M38" s="5"/>
      <c r="N38" s="5"/>
      <c r="O38" s="489"/>
      <c r="P38" s="5"/>
      <c r="Q38" s="5"/>
    </row>
    <row r="39" spans="1:17" ht="16.95" customHeight="1" x14ac:dyDescent="0.25">
      <c r="A39" s="16" t="str">
        <f>Zones!A39</f>
        <v>Perimeter_Open_ Office_W_FloorM</v>
      </c>
      <c r="B39" s="185">
        <f>Zones!J39</f>
        <v>22.243800000000004</v>
      </c>
      <c r="C39" s="186">
        <f>Zones!G39</f>
        <v>4448.76</v>
      </c>
      <c r="D39" s="493">
        <v>15</v>
      </c>
      <c r="E39" s="493">
        <v>0.15</v>
      </c>
      <c r="F39" s="223"/>
      <c r="G39" s="56">
        <f t="shared" si="6"/>
        <v>333.65700000000004</v>
      </c>
      <c r="H39" s="56">
        <f t="shared" si="7"/>
        <v>667.31399999999996</v>
      </c>
      <c r="I39" s="223"/>
      <c r="J39" s="228">
        <f t="shared" si="3"/>
        <v>667.31399999999996</v>
      </c>
      <c r="K39" s="428"/>
      <c r="L39" s="489"/>
      <c r="M39" s="5"/>
      <c r="N39" s="5"/>
      <c r="O39" s="489"/>
      <c r="P39" s="5"/>
      <c r="Q39" s="5"/>
    </row>
    <row r="40" spans="1:17" ht="16.95" customHeight="1" x14ac:dyDescent="0.25">
      <c r="A40" s="16" t="str">
        <f>Zones!A40</f>
        <v>Perimeter_Enclosed_ Office_NE_FloorM</v>
      </c>
      <c r="B40" s="185">
        <f>Zones!J40</f>
        <v>4.5869</v>
      </c>
      <c r="C40" s="186">
        <f>Zones!G40</f>
        <v>917.38</v>
      </c>
      <c r="D40" s="493">
        <v>15</v>
      </c>
      <c r="E40" s="493">
        <v>0.15</v>
      </c>
      <c r="F40" s="223"/>
      <c r="G40" s="56">
        <f t="shared" si="6"/>
        <v>68.8035</v>
      </c>
      <c r="H40" s="56">
        <f t="shared" si="7"/>
        <v>137.607</v>
      </c>
      <c r="I40" s="223"/>
      <c r="J40" s="228">
        <f t="shared" si="3"/>
        <v>137.607</v>
      </c>
      <c r="K40" s="428"/>
      <c r="L40" s="489"/>
      <c r="M40" s="5"/>
      <c r="N40" s="5"/>
      <c r="O40" s="489"/>
      <c r="P40" s="5"/>
      <c r="Q40" s="5"/>
    </row>
    <row r="41" spans="1:17" ht="16.95" customHeight="1" x14ac:dyDescent="0.25">
      <c r="A41" s="16" t="str">
        <f>Zones!A41</f>
        <v>Perimeter_Enclosed_ Office_NW_FloorM</v>
      </c>
      <c r="B41" s="185">
        <f>Zones!J41</f>
        <v>5.6560500000000005</v>
      </c>
      <c r="C41" s="186">
        <f>Zones!G41</f>
        <v>1131.21</v>
      </c>
      <c r="D41" s="493">
        <v>15</v>
      </c>
      <c r="E41" s="493">
        <v>0.15</v>
      </c>
      <c r="F41" s="223"/>
      <c r="G41" s="56">
        <f t="shared" si="6"/>
        <v>84.840750000000014</v>
      </c>
      <c r="H41" s="56">
        <f t="shared" si="7"/>
        <v>169.6815</v>
      </c>
      <c r="I41" s="223"/>
      <c r="J41" s="228">
        <f t="shared" si="3"/>
        <v>169.6815</v>
      </c>
      <c r="K41" s="428"/>
      <c r="L41" s="489"/>
      <c r="M41" s="5"/>
      <c r="N41" s="5"/>
      <c r="O41" s="489"/>
      <c r="P41" s="5"/>
      <c r="Q41" s="5"/>
    </row>
    <row r="42" spans="1:17" ht="16.95" customHeight="1" x14ac:dyDescent="0.25">
      <c r="A42" s="16" t="str">
        <f>Zones!A42</f>
        <v>Perimeter_Enclosed_ Office_SW_FloorM</v>
      </c>
      <c r="B42" s="185">
        <f>Zones!J42</f>
        <v>5.0524499999999994</v>
      </c>
      <c r="C42" s="186">
        <f>Zones!G42</f>
        <v>1010.49</v>
      </c>
      <c r="D42" s="493">
        <v>15</v>
      </c>
      <c r="E42" s="493">
        <v>0.15</v>
      </c>
      <c r="F42" s="223"/>
      <c r="G42" s="56">
        <f t="shared" si="6"/>
        <v>75.786749999999998</v>
      </c>
      <c r="H42" s="56">
        <f t="shared" si="7"/>
        <v>151.5735</v>
      </c>
      <c r="I42" s="223"/>
      <c r="J42" s="228">
        <f t="shared" si="3"/>
        <v>151.5735</v>
      </c>
      <c r="K42" s="428"/>
      <c r="L42" s="489"/>
      <c r="M42" s="5"/>
      <c r="N42" s="5"/>
      <c r="O42" s="489"/>
      <c r="P42" s="5"/>
      <c r="Q42" s="5"/>
    </row>
    <row r="43" spans="1:17" ht="16.95" customHeight="1" x14ac:dyDescent="0.25">
      <c r="A43" s="16" t="str">
        <f>Zones!A43</f>
        <v>Perimeter_Enclosed_ Office_SE_FloorM</v>
      </c>
      <c r="B43" s="185">
        <f>Zones!J43</f>
        <v>5.1673999999999998</v>
      </c>
      <c r="C43" s="186">
        <f>Zones!G43</f>
        <v>1033.48</v>
      </c>
      <c r="D43" s="493">
        <v>15</v>
      </c>
      <c r="E43" s="493">
        <v>0.15</v>
      </c>
      <c r="F43" s="223"/>
      <c r="G43" s="56">
        <f t="shared" si="6"/>
        <v>77.510999999999996</v>
      </c>
      <c r="H43" s="56">
        <f t="shared" si="7"/>
        <v>155.02199999999999</v>
      </c>
      <c r="I43" s="223"/>
      <c r="J43" s="228">
        <f t="shared" si="3"/>
        <v>155.02199999999999</v>
      </c>
      <c r="K43" s="428"/>
      <c r="L43" s="489"/>
      <c r="M43" s="5"/>
      <c r="N43" s="5"/>
      <c r="O43" s="489"/>
      <c r="P43" s="5"/>
      <c r="Q43" s="5"/>
    </row>
    <row r="44" spans="1:17" ht="16.95" customHeight="1" x14ac:dyDescent="0.25">
      <c r="A44" s="16" t="str">
        <f>Zones!A44</f>
        <v>Core_Enclosed_ Office_FloorM</v>
      </c>
      <c r="B44" s="185">
        <f>Zones!J44</f>
        <v>16.164999999999999</v>
      </c>
      <c r="C44" s="186">
        <f>Zones!G44</f>
        <v>3233</v>
      </c>
      <c r="D44" s="493">
        <v>15</v>
      </c>
      <c r="E44" s="493">
        <v>0.15</v>
      </c>
      <c r="F44" s="223"/>
      <c r="G44" s="56">
        <f t="shared" si="6"/>
        <v>242.47499999999999</v>
      </c>
      <c r="H44" s="56">
        <f t="shared" si="7"/>
        <v>484.95</v>
      </c>
      <c r="I44" s="223"/>
      <c r="J44" s="228">
        <f t="shared" si="3"/>
        <v>484.95</v>
      </c>
      <c r="K44" s="428"/>
      <c r="L44" s="489"/>
      <c r="M44" s="5"/>
      <c r="N44" s="5"/>
      <c r="O44" s="489"/>
      <c r="P44" s="5"/>
      <c r="Q44" s="5"/>
    </row>
    <row r="45" spans="1:17" ht="16.95" customHeight="1" x14ac:dyDescent="0.25">
      <c r="A45" s="16" t="str">
        <f>Zones!A45</f>
        <v>Server_Room_FloorM</v>
      </c>
      <c r="B45" s="185">
        <f>Zones!J45</f>
        <v>0</v>
      </c>
      <c r="C45" s="186">
        <f>Zones!G45</f>
        <v>418</v>
      </c>
      <c r="D45" s="493">
        <v>15</v>
      </c>
      <c r="E45" s="493">
        <v>0.15</v>
      </c>
      <c r="F45" s="223"/>
      <c r="G45" s="56">
        <f t="shared" si="6"/>
        <v>0</v>
      </c>
      <c r="H45" s="56">
        <f t="shared" si="7"/>
        <v>62.699999999999996</v>
      </c>
      <c r="I45" s="223"/>
      <c r="J45" s="228">
        <f t="shared" si="3"/>
        <v>62.699999999999996</v>
      </c>
      <c r="K45" s="428"/>
      <c r="L45" s="489"/>
      <c r="M45" s="5"/>
      <c r="N45" s="5"/>
      <c r="O45" s="489"/>
      <c r="P45" s="5"/>
      <c r="Q45" s="5"/>
    </row>
    <row r="46" spans="1:17" ht="16.95" customHeight="1" x14ac:dyDescent="0.25">
      <c r="A46" s="16" t="str">
        <f>Zones!A46</f>
        <v>Mech/Elec_FloorM</v>
      </c>
      <c r="B46" s="185">
        <f>Zones!J46</f>
        <v>0</v>
      </c>
      <c r="C46" s="186">
        <f>Zones!G46</f>
        <v>1070</v>
      </c>
      <c r="D46" s="493">
        <v>15</v>
      </c>
      <c r="E46" s="493">
        <v>0.15</v>
      </c>
      <c r="F46" s="223"/>
      <c r="G46" s="56">
        <f t="shared" si="6"/>
        <v>0</v>
      </c>
      <c r="H46" s="56">
        <f t="shared" si="7"/>
        <v>160.5</v>
      </c>
      <c r="I46" s="223"/>
      <c r="J46" s="228">
        <f t="shared" si="3"/>
        <v>160.5</v>
      </c>
      <c r="K46" s="428"/>
      <c r="L46" s="489"/>
      <c r="M46" s="5"/>
      <c r="N46" s="5"/>
      <c r="O46" s="489"/>
      <c r="P46" s="5"/>
      <c r="Q46" s="5"/>
    </row>
    <row r="47" spans="1:17" ht="16.95" customHeight="1" x14ac:dyDescent="0.25">
      <c r="A47" s="16" t="str">
        <f>Zones!A47</f>
        <v>Conference_N_FloorM</v>
      </c>
      <c r="B47" s="185">
        <f>Zones!J47</f>
        <v>26.063399999999998</v>
      </c>
      <c r="C47" s="186">
        <f>Zones!G47</f>
        <v>789.8</v>
      </c>
      <c r="D47" s="493">
        <v>15</v>
      </c>
      <c r="E47" s="493">
        <v>0.15</v>
      </c>
      <c r="F47" s="223"/>
      <c r="G47" s="56">
        <f t="shared" si="6"/>
        <v>390.95099999999996</v>
      </c>
      <c r="H47" s="56">
        <f t="shared" si="7"/>
        <v>118.46999999999998</v>
      </c>
      <c r="I47" s="223"/>
      <c r="J47" s="228">
        <f t="shared" si="3"/>
        <v>390.95099999999996</v>
      </c>
      <c r="K47" s="428"/>
      <c r="L47" s="489"/>
      <c r="M47" s="5"/>
      <c r="N47" s="5"/>
      <c r="O47" s="489"/>
      <c r="P47" s="5"/>
      <c r="Q47" s="5"/>
    </row>
    <row r="48" spans="1:17" ht="16.95" customHeight="1" x14ac:dyDescent="0.25">
      <c r="A48" s="16" t="str">
        <f>Zones!A48</f>
        <v>Conference_W_FloorM</v>
      </c>
      <c r="B48" s="185">
        <f>Zones!J48</f>
        <v>11.10252</v>
      </c>
      <c r="C48" s="186">
        <f>Zones!G48</f>
        <v>336.44</v>
      </c>
      <c r="D48" s="493">
        <v>15</v>
      </c>
      <c r="E48" s="493">
        <v>0.15</v>
      </c>
      <c r="F48" s="223"/>
      <c r="G48" s="56">
        <f t="shared" si="6"/>
        <v>166.5378</v>
      </c>
      <c r="H48" s="56">
        <f t="shared" si="7"/>
        <v>50.466000000000001</v>
      </c>
      <c r="I48" s="223"/>
      <c r="J48" s="228">
        <f t="shared" si="3"/>
        <v>166.5378</v>
      </c>
      <c r="K48" s="428"/>
      <c r="L48" s="489"/>
      <c r="M48" s="5"/>
      <c r="N48" s="5"/>
      <c r="O48" s="489"/>
      <c r="P48" s="5"/>
      <c r="Q48" s="5"/>
    </row>
    <row r="49" spans="1:17" ht="16.95" customHeight="1" x14ac:dyDescent="0.25">
      <c r="A49" s="16" t="str">
        <f>Zones!A49</f>
        <v>Conference_S_FloorM</v>
      </c>
      <c r="B49" s="185">
        <f>Zones!J49</f>
        <v>25.205399999999997</v>
      </c>
      <c r="C49" s="186">
        <f>Zones!G49</f>
        <v>763.8</v>
      </c>
      <c r="D49" s="493">
        <v>15</v>
      </c>
      <c r="E49" s="493">
        <v>0.15</v>
      </c>
      <c r="F49" s="223"/>
      <c r="G49" s="56">
        <f t="shared" si="6"/>
        <v>378.08099999999996</v>
      </c>
      <c r="H49" s="56">
        <f t="shared" si="7"/>
        <v>114.57</v>
      </c>
      <c r="I49" s="223"/>
      <c r="J49" s="228">
        <f t="shared" si="3"/>
        <v>378.08099999999996</v>
      </c>
      <c r="K49" s="428"/>
      <c r="L49" s="489"/>
      <c r="M49" s="5"/>
      <c r="N49" s="5"/>
      <c r="O49" s="489"/>
      <c r="P49" s="5"/>
      <c r="Q49" s="5"/>
    </row>
    <row r="50" spans="1:17" ht="16.95" customHeight="1" x14ac:dyDescent="0.25">
      <c r="A50" s="16" t="str">
        <f>Zones!A50</f>
        <v>Conference_E_FloorM</v>
      </c>
      <c r="B50" s="185">
        <f>Zones!J50</f>
        <v>14.2956</v>
      </c>
      <c r="C50" s="186">
        <f>Zones!G50</f>
        <v>433.2</v>
      </c>
      <c r="D50" s="493">
        <v>15</v>
      </c>
      <c r="E50" s="493">
        <v>0.15</v>
      </c>
      <c r="F50" s="223"/>
      <c r="G50" s="56">
        <f t="shared" si="6"/>
        <v>214.434</v>
      </c>
      <c r="H50" s="56">
        <f t="shared" si="7"/>
        <v>64.97999999999999</v>
      </c>
      <c r="I50" s="223"/>
      <c r="J50" s="228">
        <f t="shared" si="3"/>
        <v>214.434</v>
      </c>
      <c r="K50" s="428"/>
      <c r="L50" s="489"/>
      <c r="M50" s="5"/>
      <c r="N50" s="5"/>
      <c r="O50" s="489"/>
      <c r="P50" s="5"/>
      <c r="Q50" s="5"/>
    </row>
    <row r="51" spans="1:17" ht="16.95" customHeight="1" x14ac:dyDescent="0.25">
      <c r="A51" s="16" t="str">
        <f>Zones!A51</f>
        <v>Break_FloorM</v>
      </c>
      <c r="B51" s="185">
        <f>Zones!J51</f>
        <v>30.03</v>
      </c>
      <c r="C51" s="186">
        <f>Zones!G51</f>
        <v>910</v>
      </c>
      <c r="D51" s="493">
        <v>15</v>
      </c>
      <c r="E51" s="493">
        <v>0.15</v>
      </c>
      <c r="F51" s="223"/>
      <c r="G51" s="56">
        <f t="shared" si="6"/>
        <v>450.45000000000005</v>
      </c>
      <c r="H51" s="56">
        <f t="shared" si="7"/>
        <v>136.5</v>
      </c>
      <c r="I51" s="223"/>
      <c r="J51" s="228">
        <f t="shared" si="3"/>
        <v>450.45000000000005</v>
      </c>
      <c r="K51" s="428"/>
      <c r="L51" s="489"/>
      <c r="M51" s="5"/>
      <c r="N51" s="5"/>
      <c r="O51" s="489"/>
      <c r="P51" s="5"/>
      <c r="Q51" s="5"/>
    </row>
    <row r="52" spans="1:17" ht="16.95" customHeight="1" x14ac:dyDescent="0.25">
      <c r="A52" s="16" t="str">
        <f>Zones!A52</f>
        <v>Storage_FloorM</v>
      </c>
      <c r="B52" s="185">
        <f>Zones!J52</f>
        <v>0</v>
      </c>
      <c r="C52" s="186">
        <f>Zones!G52</f>
        <v>738</v>
      </c>
      <c r="D52" s="493">
        <v>15</v>
      </c>
      <c r="E52" s="493">
        <v>0.15</v>
      </c>
      <c r="F52" s="223"/>
      <c r="G52" s="56">
        <f t="shared" si="6"/>
        <v>0</v>
      </c>
      <c r="H52" s="56">
        <f t="shared" si="7"/>
        <v>110.7</v>
      </c>
      <c r="I52" s="223"/>
      <c r="J52" s="228">
        <f t="shared" si="3"/>
        <v>110.7</v>
      </c>
      <c r="K52" s="428"/>
      <c r="L52" s="489"/>
      <c r="M52" s="5"/>
      <c r="N52" s="5"/>
      <c r="O52" s="489"/>
      <c r="P52" s="5"/>
      <c r="Q52" s="5"/>
    </row>
    <row r="53" spans="1:17" ht="16.95" customHeight="1" x14ac:dyDescent="0.25">
      <c r="A53" s="16" t="str">
        <f>Zones!A53</f>
        <v>Lobby_FloorM</v>
      </c>
      <c r="B53" s="185">
        <f>Zones!J53</f>
        <v>6.84</v>
      </c>
      <c r="C53" s="186">
        <f>Zones!G53</f>
        <v>684</v>
      </c>
      <c r="D53" s="493">
        <v>15</v>
      </c>
      <c r="E53" s="493">
        <v>0.15</v>
      </c>
      <c r="F53" s="223"/>
      <c r="G53" s="56">
        <f t="shared" si="6"/>
        <v>102.6</v>
      </c>
      <c r="H53" s="56">
        <f t="shared" si="7"/>
        <v>102.6</v>
      </c>
      <c r="I53" s="223"/>
      <c r="J53" s="228">
        <f t="shared" si="3"/>
        <v>102.6</v>
      </c>
      <c r="K53" s="428"/>
      <c r="L53" s="489"/>
      <c r="M53" s="5"/>
      <c r="N53" s="5"/>
      <c r="O53" s="489"/>
      <c r="P53" s="5"/>
      <c r="Q53" s="5"/>
    </row>
    <row r="54" spans="1:17" ht="16.95" customHeight="1" x14ac:dyDescent="0.25">
      <c r="A54" s="16" t="str">
        <f>Zones!A54</f>
        <v>Restroom_FloorM</v>
      </c>
      <c r="B54" s="185">
        <f>Zones!J54</f>
        <v>0</v>
      </c>
      <c r="C54" s="186">
        <f>Zones!G54</f>
        <v>1155</v>
      </c>
      <c r="D54" s="493">
        <v>15</v>
      </c>
      <c r="E54" s="493">
        <v>0.15</v>
      </c>
      <c r="F54" s="493" t="s">
        <v>480</v>
      </c>
      <c r="G54" s="56">
        <f t="shared" si="6"/>
        <v>0</v>
      </c>
      <c r="H54" s="56">
        <f t="shared" si="7"/>
        <v>173.25</v>
      </c>
      <c r="I54" s="223">
        <f>9*25</f>
        <v>225</v>
      </c>
      <c r="J54" s="228">
        <f t="shared" si="3"/>
        <v>225</v>
      </c>
      <c r="K54" s="428"/>
      <c r="L54" s="489"/>
      <c r="M54" s="5"/>
      <c r="N54" s="5"/>
      <c r="O54" s="489"/>
      <c r="P54" s="5"/>
      <c r="Q54" s="5"/>
    </row>
    <row r="55" spans="1:17" ht="16.95" customHeight="1" x14ac:dyDescent="0.25">
      <c r="A55" s="16" t="str">
        <f>Zones!A55</f>
        <v>Stair/Elevator_FloorM</v>
      </c>
      <c r="B55" s="185">
        <f>Zones!J55</f>
        <v>0</v>
      </c>
      <c r="C55" s="186">
        <f>Zones!G55</f>
        <v>848</v>
      </c>
      <c r="D55" s="493">
        <v>15</v>
      </c>
      <c r="E55" s="493">
        <v>0.15</v>
      </c>
      <c r="F55" s="223"/>
      <c r="G55" s="56">
        <f t="shared" si="6"/>
        <v>0</v>
      </c>
      <c r="H55" s="56">
        <f t="shared" si="7"/>
        <v>127.19999999999999</v>
      </c>
      <c r="I55" s="223"/>
      <c r="J55" s="228">
        <f t="shared" si="3"/>
        <v>127.19999999999999</v>
      </c>
      <c r="K55" s="428"/>
      <c r="L55" s="489"/>
      <c r="M55" s="5"/>
      <c r="N55" s="5"/>
      <c r="O55" s="489"/>
      <c r="P55" s="5"/>
      <c r="Q55" s="5"/>
    </row>
    <row r="56" spans="1:17" ht="16.95" customHeight="1" x14ac:dyDescent="0.25">
      <c r="A56" s="16" t="str">
        <f>Zones!A56</f>
        <v>Corridor_W_FloorM</v>
      </c>
      <c r="B56" s="185">
        <f>Zones!J56</f>
        <v>5.0293999999999999</v>
      </c>
      <c r="C56" s="186">
        <f>Zones!G56</f>
        <v>1005.88</v>
      </c>
      <c r="D56" s="493">
        <v>15</v>
      </c>
      <c r="E56" s="493">
        <v>0.15</v>
      </c>
      <c r="F56" s="223"/>
      <c r="G56" s="56">
        <f t="shared" si="6"/>
        <v>75.441000000000003</v>
      </c>
      <c r="H56" s="56">
        <f t="shared" si="7"/>
        <v>150.88200000000001</v>
      </c>
      <c r="I56" s="223"/>
      <c r="J56" s="228">
        <f t="shared" si="3"/>
        <v>150.88200000000001</v>
      </c>
      <c r="K56" s="428"/>
      <c r="L56" s="489"/>
      <c r="M56" s="5"/>
      <c r="N56" s="5"/>
      <c r="O56" s="489"/>
      <c r="P56" s="5"/>
      <c r="Q56" s="5"/>
    </row>
    <row r="57" spans="1:17" ht="16.95" customHeight="1" x14ac:dyDescent="0.25">
      <c r="A57" s="16" t="str">
        <f>Zones!A57</f>
        <v>Corridor_E_FloorM</v>
      </c>
      <c r="B57" s="185">
        <f>Zones!J57</f>
        <v>2.9268000000000001</v>
      </c>
      <c r="C57" s="186">
        <f>Zones!G57</f>
        <v>585.36</v>
      </c>
      <c r="D57" s="493">
        <v>15</v>
      </c>
      <c r="E57" s="493">
        <v>0.15</v>
      </c>
      <c r="F57" s="223"/>
      <c r="G57" s="56">
        <f t="shared" si="6"/>
        <v>43.902000000000001</v>
      </c>
      <c r="H57" s="56">
        <f t="shared" si="7"/>
        <v>87.804000000000002</v>
      </c>
      <c r="I57" s="223"/>
      <c r="J57" s="228">
        <f t="shared" si="3"/>
        <v>87.804000000000002</v>
      </c>
      <c r="K57" s="428"/>
      <c r="L57" s="489"/>
      <c r="M57" s="5"/>
      <c r="N57" s="5"/>
      <c r="O57" s="489"/>
      <c r="P57" s="5"/>
      <c r="Q57" s="5"/>
    </row>
    <row r="58" spans="1:17" ht="16.95" customHeight="1" x14ac:dyDescent="0.25">
      <c r="A58" s="16" t="str">
        <f>Zones!A58</f>
        <v>Plenum_FloorM</v>
      </c>
      <c r="B58" s="185">
        <f>Zones!J58</f>
        <v>0</v>
      </c>
      <c r="C58" s="186">
        <f>Zones!G58</f>
        <v>38352.014999999999</v>
      </c>
      <c r="D58" s="493"/>
      <c r="E58" s="493"/>
      <c r="F58" s="223"/>
      <c r="G58" s="56">
        <f t="shared" si="6"/>
        <v>0</v>
      </c>
      <c r="H58" s="56">
        <f t="shared" si="7"/>
        <v>0</v>
      </c>
      <c r="I58" s="223"/>
      <c r="J58" s="228">
        <f t="shared" si="3"/>
        <v>0</v>
      </c>
      <c r="K58" s="428"/>
      <c r="L58" s="489"/>
      <c r="M58" s="5"/>
      <c r="N58" s="5"/>
      <c r="O58" s="489"/>
      <c r="P58" s="5"/>
      <c r="Q58" s="5"/>
    </row>
    <row r="59" spans="1:17" ht="16.95" customHeight="1" x14ac:dyDescent="0.25">
      <c r="A59" s="224" t="str">
        <f>Zones!A59</f>
        <v>Perimeter_Open_ Office_N_FloorT</v>
      </c>
      <c r="B59" s="225">
        <f>Zones!J59</f>
        <v>35.65645</v>
      </c>
      <c r="C59" s="226">
        <f>Zones!G59</f>
        <v>7131.29</v>
      </c>
      <c r="D59" s="214">
        <v>15</v>
      </c>
      <c r="E59" s="214">
        <v>0.15</v>
      </c>
      <c r="F59" s="227"/>
      <c r="G59" s="226">
        <f t="shared" ref="G59" si="8">B59*D59</f>
        <v>534.84675000000004</v>
      </c>
      <c r="H59" s="226">
        <f t="shared" ref="H59" si="9">C59*E59</f>
        <v>1069.6934999999999</v>
      </c>
      <c r="I59" s="227"/>
      <c r="J59" s="229">
        <f t="shared" si="3"/>
        <v>1069.6934999999999</v>
      </c>
      <c r="K59" s="428"/>
      <c r="L59" s="489"/>
      <c r="M59" s="5"/>
      <c r="N59" s="5"/>
      <c r="O59" s="489"/>
      <c r="P59" s="5"/>
      <c r="Q59" s="5"/>
    </row>
    <row r="60" spans="1:17" ht="16.95" customHeight="1" x14ac:dyDescent="0.25">
      <c r="A60" s="224" t="str">
        <f>Zones!A60</f>
        <v>Perimeter_Open_ Office_S_FloorT</v>
      </c>
      <c r="B60" s="225">
        <f>Zones!J60</f>
        <v>26.18685</v>
      </c>
      <c r="C60" s="226">
        <f>Zones!G60</f>
        <v>5237.37</v>
      </c>
      <c r="D60" s="214">
        <v>15</v>
      </c>
      <c r="E60" s="214">
        <v>0.15</v>
      </c>
      <c r="F60" s="227"/>
      <c r="G60" s="226">
        <f t="shared" ref="G60:G81" si="10">B60*D60</f>
        <v>392.80275</v>
      </c>
      <c r="H60" s="226">
        <f t="shared" ref="H60:H81" si="11">C60*E60</f>
        <v>785.60550000000001</v>
      </c>
      <c r="I60" s="227"/>
      <c r="J60" s="229">
        <f t="shared" si="3"/>
        <v>785.60550000000001</v>
      </c>
      <c r="K60" s="428"/>
      <c r="L60" s="489"/>
      <c r="M60" s="5"/>
      <c r="N60" s="5"/>
      <c r="O60" s="489"/>
      <c r="P60" s="5"/>
      <c r="Q60" s="5"/>
    </row>
    <row r="61" spans="1:17" ht="16.95" customHeight="1" x14ac:dyDescent="0.25">
      <c r="A61" s="224" t="str">
        <f>Zones!A61</f>
        <v>Perimeter_Open_ Office_E_FloorT</v>
      </c>
      <c r="B61" s="225">
        <f>Zones!J61</f>
        <v>22.352199999999996</v>
      </c>
      <c r="C61" s="226">
        <f>Zones!G61</f>
        <v>4470.4399999999996</v>
      </c>
      <c r="D61" s="214">
        <v>15</v>
      </c>
      <c r="E61" s="214">
        <v>0.15</v>
      </c>
      <c r="F61" s="227"/>
      <c r="G61" s="226">
        <f t="shared" si="10"/>
        <v>335.28299999999996</v>
      </c>
      <c r="H61" s="226">
        <f t="shared" si="11"/>
        <v>670.56599999999992</v>
      </c>
      <c r="I61" s="227"/>
      <c r="J61" s="229">
        <f t="shared" si="3"/>
        <v>670.56599999999992</v>
      </c>
      <c r="K61" s="428"/>
      <c r="L61" s="489"/>
      <c r="M61" s="5"/>
      <c r="N61" s="5"/>
      <c r="O61" s="489"/>
      <c r="P61" s="5"/>
      <c r="Q61" s="5"/>
    </row>
    <row r="62" spans="1:17" ht="17.399999999999999" customHeight="1" x14ac:dyDescent="0.25">
      <c r="A62" s="224" t="str">
        <f>Zones!A62</f>
        <v>Perimeter_Open_ Office_W_FloorT</v>
      </c>
      <c r="B62" s="225">
        <f>Zones!J62</f>
        <v>22.243800000000004</v>
      </c>
      <c r="C62" s="226">
        <f>Zones!G62</f>
        <v>4448.76</v>
      </c>
      <c r="D62" s="214">
        <v>15</v>
      </c>
      <c r="E62" s="214">
        <v>0.15</v>
      </c>
      <c r="F62" s="227"/>
      <c r="G62" s="226">
        <f t="shared" si="10"/>
        <v>333.65700000000004</v>
      </c>
      <c r="H62" s="226">
        <f t="shared" si="11"/>
        <v>667.31399999999996</v>
      </c>
      <c r="I62" s="227"/>
      <c r="J62" s="229">
        <f t="shared" si="3"/>
        <v>667.31399999999996</v>
      </c>
      <c r="K62" s="428"/>
      <c r="L62" s="489"/>
      <c r="M62" s="5"/>
      <c r="N62" s="5"/>
      <c r="O62" s="489"/>
      <c r="P62" s="5"/>
      <c r="Q62" s="5"/>
    </row>
    <row r="63" spans="1:17" ht="17.399999999999999" customHeight="1" x14ac:dyDescent="0.25">
      <c r="A63" s="224" t="str">
        <f>Zones!A63</f>
        <v>Perimeter_Enclosed_ Office_NE_FloorT</v>
      </c>
      <c r="B63" s="225">
        <f>Zones!J63</f>
        <v>4.5869</v>
      </c>
      <c r="C63" s="226">
        <f>Zones!G63</f>
        <v>917.38</v>
      </c>
      <c r="D63" s="214">
        <v>15</v>
      </c>
      <c r="E63" s="214">
        <v>0.15</v>
      </c>
      <c r="F63" s="227"/>
      <c r="G63" s="226">
        <f t="shared" si="10"/>
        <v>68.8035</v>
      </c>
      <c r="H63" s="226">
        <f t="shared" si="11"/>
        <v>137.607</v>
      </c>
      <c r="I63" s="227"/>
      <c r="J63" s="229">
        <f t="shared" si="3"/>
        <v>137.607</v>
      </c>
      <c r="K63" s="428"/>
      <c r="L63" s="489"/>
      <c r="M63" s="5"/>
      <c r="N63" s="5"/>
      <c r="O63" s="489"/>
      <c r="P63" s="5"/>
      <c r="Q63" s="5"/>
    </row>
    <row r="64" spans="1:17" ht="17.399999999999999" customHeight="1" x14ac:dyDescent="0.25">
      <c r="A64" s="224" t="str">
        <f>Zones!A64</f>
        <v>Perimeter_Enclosed_ Office_NW_FloorT</v>
      </c>
      <c r="B64" s="225">
        <f>Zones!J64</f>
        <v>5.6560500000000005</v>
      </c>
      <c r="C64" s="226">
        <f>Zones!G64</f>
        <v>1131.21</v>
      </c>
      <c r="D64" s="214">
        <v>15</v>
      </c>
      <c r="E64" s="214">
        <v>0.15</v>
      </c>
      <c r="F64" s="227"/>
      <c r="G64" s="226">
        <f t="shared" si="10"/>
        <v>84.840750000000014</v>
      </c>
      <c r="H64" s="226">
        <f t="shared" si="11"/>
        <v>169.6815</v>
      </c>
      <c r="I64" s="227"/>
      <c r="J64" s="229">
        <f t="shared" si="3"/>
        <v>169.6815</v>
      </c>
      <c r="K64" s="428"/>
      <c r="L64" s="489"/>
      <c r="M64" s="5"/>
      <c r="N64" s="5"/>
      <c r="O64" s="489"/>
      <c r="P64" s="5"/>
      <c r="Q64" s="5"/>
    </row>
    <row r="65" spans="1:17" ht="17.399999999999999" customHeight="1" x14ac:dyDescent="0.25">
      <c r="A65" s="224" t="str">
        <f>Zones!A65</f>
        <v>Perimeter_Enclosed_ Office_SW_FloorT</v>
      </c>
      <c r="B65" s="225">
        <f>Zones!J65</f>
        <v>5.0524499999999994</v>
      </c>
      <c r="C65" s="226">
        <f>Zones!G65</f>
        <v>1010.49</v>
      </c>
      <c r="D65" s="214">
        <v>15</v>
      </c>
      <c r="E65" s="214">
        <v>0.15</v>
      </c>
      <c r="F65" s="227"/>
      <c r="G65" s="226">
        <f t="shared" si="10"/>
        <v>75.786749999999998</v>
      </c>
      <c r="H65" s="226">
        <f t="shared" si="11"/>
        <v>151.5735</v>
      </c>
      <c r="I65" s="227"/>
      <c r="J65" s="229">
        <f t="shared" si="3"/>
        <v>151.5735</v>
      </c>
      <c r="K65" s="428"/>
      <c r="L65" s="489"/>
      <c r="M65" s="5"/>
      <c r="N65" s="5"/>
      <c r="O65" s="489"/>
      <c r="P65" s="5"/>
      <c r="Q65" s="5"/>
    </row>
    <row r="66" spans="1:17" ht="17.399999999999999" customHeight="1" x14ac:dyDescent="0.25">
      <c r="A66" s="224" t="str">
        <f>Zones!A66</f>
        <v>Perimeter_Enclosed_ Office_SE_FloorT</v>
      </c>
      <c r="B66" s="225">
        <f>Zones!J66</f>
        <v>5.1673999999999998</v>
      </c>
      <c r="C66" s="226">
        <f>Zones!G66</f>
        <v>1033.48</v>
      </c>
      <c r="D66" s="214">
        <v>15</v>
      </c>
      <c r="E66" s="214">
        <v>0.15</v>
      </c>
      <c r="F66" s="227"/>
      <c r="G66" s="226">
        <f t="shared" si="10"/>
        <v>77.510999999999996</v>
      </c>
      <c r="H66" s="226">
        <f t="shared" si="11"/>
        <v>155.02199999999999</v>
      </c>
      <c r="I66" s="227"/>
      <c r="J66" s="229">
        <f t="shared" si="3"/>
        <v>155.02199999999999</v>
      </c>
      <c r="K66" s="428"/>
      <c r="L66" s="489"/>
      <c r="M66" s="5"/>
      <c r="N66" s="5"/>
      <c r="O66" s="489"/>
      <c r="P66" s="5"/>
      <c r="Q66" s="5"/>
    </row>
    <row r="67" spans="1:17" ht="17.399999999999999" customHeight="1" x14ac:dyDescent="0.25">
      <c r="A67" s="224" t="str">
        <f>Zones!A67</f>
        <v>Core_Enclosed_ Office_FloorT</v>
      </c>
      <c r="B67" s="225">
        <f>Zones!J67</f>
        <v>16.164999999999999</v>
      </c>
      <c r="C67" s="226">
        <f>Zones!G67</f>
        <v>3233</v>
      </c>
      <c r="D67" s="214">
        <v>15</v>
      </c>
      <c r="E67" s="214">
        <v>0.15</v>
      </c>
      <c r="F67" s="227"/>
      <c r="G67" s="226">
        <f t="shared" si="10"/>
        <v>242.47499999999999</v>
      </c>
      <c r="H67" s="226">
        <f t="shared" si="11"/>
        <v>484.95</v>
      </c>
      <c r="I67" s="227"/>
      <c r="J67" s="229">
        <f t="shared" si="3"/>
        <v>484.95</v>
      </c>
      <c r="K67" s="428"/>
      <c r="L67" s="489"/>
      <c r="M67" s="5"/>
      <c r="N67" s="5"/>
      <c r="O67" s="489"/>
      <c r="P67" s="5"/>
      <c r="Q67" s="5"/>
    </row>
    <row r="68" spans="1:17" ht="17.399999999999999" customHeight="1" x14ac:dyDescent="0.25">
      <c r="A68" s="224" t="str">
        <f>Zones!A68</f>
        <v>Server_Room_FloorT</v>
      </c>
      <c r="B68" s="225">
        <f>Zones!J68</f>
        <v>0</v>
      </c>
      <c r="C68" s="226">
        <f>Zones!G68</f>
        <v>418</v>
      </c>
      <c r="D68" s="214">
        <v>15</v>
      </c>
      <c r="E68" s="214">
        <v>0.15</v>
      </c>
      <c r="F68" s="227"/>
      <c r="G68" s="226">
        <f t="shared" si="10"/>
        <v>0</v>
      </c>
      <c r="H68" s="226">
        <f t="shared" si="11"/>
        <v>62.699999999999996</v>
      </c>
      <c r="I68" s="227"/>
      <c r="J68" s="229">
        <f t="shared" ref="J68:J81" si="12">MAX(G68:I68)</f>
        <v>62.699999999999996</v>
      </c>
      <c r="K68" s="428"/>
      <c r="L68" s="489"/>
      <c r="M68" s="5"/>
      <c r="N68" s="5"/>
      <c r="O68" s="489"/>
      <c r="P68" s="5"/>
      <c r="Q68" s="5"/>
    </row>
    <row r="69" spans="1:17" ht="17.399999999999999" customHeight="1" x14ac:dyDescent="0.25">
      <c r="A69" s="224" t="str">
        <f>Zones!A69</f>
        <v>Mech/Elec_FloorT</v>
      </c>
      <c r="B69" s="225">
        <f>Zones!J69</f>
        <v>0</v>
      </c>
      <c r="C69" s="226">
        <f>Zones!G69</f>
        <v>1070</v>
      </c>
      <c r="D69" s="214">
        <v>15</v>
      </c>
      <c r="E69" s="214">
        <v>0.15</v>
      </c>
      <c r="F69" s="227"/>
      <c r="G69" s="226">
        <f t="shared" si="10"/>
        <v>0</v>
      </c>
      <c r="H69" s="226">
        <f t="shared" si="11"/>
        <v>160.5</v>
      </c>
      <c r="I69" s="227"/>
      <c r="J69" s="229">
        <f t="shared" si="12"/>
        <v>160.5</v>
      </c>
      <c r="K69" s="428"/>
      <c r="L69" s="489"/>
      <c r="M69" s="5"/>
      <c r="N69" s="5"/>
      <c r="O69" s="489"/>
      <c r="P69" s="5"/>
      <c r="Q69" s="5"/>
    </row>
    <row r="70" spans="1:17" ht="17.399999999999999" customHeight="1" x14ac:dyDescent="0.25">
      <c r="A70" s="224" t="str">
        <f>Zones!A70</f>
        <v>Conference_N_FloorT</v>
      </c>
      <c r="B70" s="225">
        <f>Zones!J70</f>
        <v>26.063399999999998</v>
      </c>
      <c r="C70" s="226">
        <f>Zones!G70</f>
        <v>789.8</v>
      </c>
      <c r="D70" s="214">
        <v>15</v>
      </c>
      <c r="E70" s="214">
        <v>0.15</v>
      </c>
      <c r="F70" s="227"/>
      <c r="G70" s="226">
        <f t="shared" si="10"/>
        <v>390.95099999999996</v>
      </c>
      <c r="H70" s="226">
        <f t="shared" si="11"/>
        <v>118.46999999999998</v>
      </c>
      <c r="I70" s="227"/>
      <c r="J70" s="229">
        <f t="shared" si="12"/>
        <v>390.95099999999996</v>
      </c>
      <c r="K70" s="428"/>
      <c r="L70" s="489"/>
      <c r="M70" s="5"/>
      <c r="N70" s="5"/>
      <c r="O70" s="489"/>
      <c r="P70" s="5"/>
      <c r="Q70" s="5"/>
    </row>
    <row r="71" spans="1:17" ht="17.399999999999999" customHeight="1" x14ac:dyDescent="0.25">
      <c r="A71" s="224" t="str">
        <f>Zones!A71</f>
        <v>Conference_W_FloorT</v>
      </c>
      <c r="B71" s="225">
        <f>Zones!J71</f>
        <v>11.10252</v>
      </c>
      <c r="C71" s="226">
        <f>Zones!G71</f>
        <v>336.44</v>
      </c>
      <c r="D71" s="214">
        <v>15</v>
      </c>
      <c r="E71" s="214">
        <v>0.15</v>
      </c>
      <c r="F71" s="227"/>
      <c r="G71" s="226">
        <f t="shared" si="10"/>
        <v>166.5378</v>
      </c>
      <c r="H71" s="226">
        <f t="shared" si="11"/>
        <v>50.466000000000001</v>
      </c>
      <c r="I71" s="227"/>
      <c r="J71" s="229">
        <f t="shared" si="12"/>
        <v>166.5378</v>
      </c>
      <c r="K71" s="428"/>
      <c r="L71" s="489"/>
      <c r="M71" s="5"/>
      <c r="N71" s="5"/>
      <c r="O71" s="489"/>
      <c r="P71" s="5"/>
      <c r="Q71" s="5"/>
    </row>
    <row r="72" spans="1:17" ht="17.399999999999999" customHeight="1" x14ac:dyDescent="0.25">
      <c r="A72" s="224" t="str">
        <f>Zones!A72</f>
        <v>Conference_S_FloorT</v>
      </c>
      <c r="B72" s="225">
        <f>Zones!J72</f>
        <v>25.205399999999997</v>
      </c>
      <c r="C72" s="226">
        <f>Zones!G72</f>
        <v>763.8</v>
      </c>
      <c r="D72" s="214">
        <v>15</v>
      </c>
      <c r="E72" s="214">
        <v>0.15</v>
      </c>
      <c r="F72" s="227"/>
      <c r="G72" s="226">
        <f t="shared" si="10"/>
        <v>378.08099999999996</v>
      </c>
      <c r="H72" s="226">
        <f t="shared" si="11"/>
        <v>114.57</v>
      </c>
      <c r="I72" s="227"/>
      <c r="J72" s="229">
        <f t="shared" si="12"/>
        <v>378.08099999999996</v>
      </c>
      <c r="K72" s="428"/>
      <c r="L72" s="489"/>
      <c r="M72" s="5"/>
      <c r="N72" s="5"/>
      <c r="O72" s="489"/>
      <c r="P72" s="5"/>
      <c r="Q72" s="5"/>
    </row>
    <row r="73" spans="1:17" ht="17.399999999999999" customHeight="1" x14ac:dyDescent="0.25">
      <c r="A73" s="224" t="str">
        <f>Zones!A73</f>
        <v>Conference_E_FloorT</v>
      </c>
      <c r="B73" s="225">
        <f>Zones!J73</f>
        <v>14.2956</v>
      </c>
      <c r="C73" s="226">
        <f>Zones!G73</f>
        <v>433.2</v>
      </c>
      <c r="D73" s="214">
        <v>15</v>
      </c>
      <c r="E73" s="214">
        <v>0.15</v>
      </c>
      <c r="F73" s="227"/>
      <c r="G73" s="226">
        <f t="shared" si="10"/>
        <v>214.434</v>
      </c>
      <c r="H73" s="226">
        <f t="shared" si="11"/>
        <v>64.97999999999999</v>
      </c>
      <c r="I73" s="227"/>
      <c r="J73" s="229">
        <f t="shared" si="12"/>
        <v>214.434</v>
      </c>
      <c r="K73" s="428"/>
      <c r="L73" s="489"/>
      <c r="M73" s="5"/>
      <c r="N73" s="5"/>
      <c r="O73" s="489"/>
      <c r="P73" s="5"/>
      <c r="Q73" s="5"/>
    </row>
    <row r="74" spans="1:17" ht="17.399999999999999" customHeight="1" x14ac:dyDescent="0.25">
      <c r="A74" s="224" t="str">
        <f>Zones!A74</f>
        <v>Break_FloorT</v>
      </c>
      <c r="B74" s="225">
        <f>Zones!J74</f>
        <v>30.03</v>
      </c>
      <c r="C74" s="226">
        <f>Zones!G74</f>
        <v>910</v>
      </c>
      <c r="D74" s="214">
        <v>15</v>
      </c>
      <c r="E74" s="214">
        <v>0.15</v>
      </c>
      <c r="F74" s="227"/>
      <c r="G74" s="226">
        <f t="shared" si="10"/>
        <v>450.45000000000005</v>
      </c>
      <c r="H74" s="226">
        <f t="shared" si="11"/>
        <v>136.5</v>
      </c>
      <c r="I74" s="227"/>
      <c r="J74" s="229">
        <f t="shared" si="12"/>
        <v>450.45000000000005</v>
      </c>
      <c r="K74" s="428"/>
      <c r="L74" s="489"/>
      <c r="M74" s="5"/>
      <c r="N74" s="5"/>
      <c r="O74" s="489"/>
      <c r="P74" s="5"/>
      <c r="Q74" s="5"/>
    </row>
    <row r="75" spans="1:17" ht="17.399999999999999" customHeight="1" x14ac:dyDescent="0.25">
      <c r="A75" s="224" t="str">
        <f>Zones!A75</f>
        <v>Storage_FloorT</v>
      </c>
      <c r="B75" s="225">
        <f>Zones!J75</f>
        <v>0</v>
      </c>
      <c r="C75" s="226">
        <f>Zones!G75</f>
        <v>738</v>
      </c>
      <c r="D75" s="214">
        <v>15</v>
      </c>
      <c r="E75" s="214">
        <v>0.15</v>
      </c>
      <c r="F75" s="227"/>
      <c r="G75" s="226">
        <f t="shared" si="10"/>
        <v>0</v>
      </c>
      <c r="H75" s="226">
        <f t="shared" si="11"/>
        <v>110.7</v>
      </c>
      <c r="I75" s="227"/>
      <c r="J75" s="229">
        <f t="shared" si="12"/>
        <v>110.7</v>
      </c>
      <c r="K75" s="428"/>
      <c r="L75" s="489"/>
      <c r="M75" s="5"/>
      <c r="N75" s="5"/>
      <c r="O75" s="489"/>
      <c r="P75" s="5"/>
      <c r="Q75" s="5"/>
    </row>
    <row r="76" spans="1:17" ht="17.399999999999999" customHeight="1" x14ac:dyDescent="0.25">
      <c r="A76" s="224" t="str">
        <f>Zones!A76</f>
        <v>Lobby_FloorT</v>
      </c>
      <c r="B76" s="225">
        <f>Zones!J76</f>
        <v>6.84</v>
      </c>
      <c r="C76" s="226">
        <f>Zones!G76</f>
        <v>684</v>
      </c>
      <c r="D76" s="214">
        <v>15</v>
      </c>
      <c r="E76" s="214">
        <v>0.15</v>
      </c>
      <c r="F76" s="227"/>
      <c r="G76" s="226">
        <f t="shared" si="10"/>
        <v>102.6</v>
      </c>
      <c r="H76" s="226">
        <f t="shared" si="11"/>
        <v>102.6</v>
      </c>
      <c r="I76" s="227"/>
      <c r="J76" s="229">
        <f t="shared" si="12"/>
        <v>102.6</v>
      </c>
      <c r="K76" s="428"/>
      <c r="L76" s="489"/>
      <c r="M76" s="5"/>
      <c r="N76" s="5"/>
      <c r="O76" s="489"/>
      <c r="P76" s="5"/>
      <c r="Q76" s="5"/>
    </row>
    <row r="77" spans="1:17" ht="16.95" customHeight="1" x14ac:dyDescent="0.25">
      <c r="A77" s="224" t="str">
        <f>Zones!A77</f>
        <v>Restroom_FloorT</v>
      </c>
      <c r="B77" s="225">
        <f>Zones!J77</f>
        <v>0</v>
      </c>
      <c r="C77" s="226">
        <f>Zones!G77</f>
        <v>1155</v>
      </c>
      <c r="D77" s="214">
        <v>15</v>
      </c>
      <c r="E77" s="214">
        <v>0.15</v>
      </c>
      <c r="F77" s="214" t="s">
        <v>480</v>
      </c>
      <c r="G77" s="226">
        <f t="shared" si="10"/>
        <v>0</v>
      </c>
      <c r="H77" s="226">
        <f t="shared" si="11"/>
        <v>173.25</v>
      </c>
      <c r="I77" s="227">
        <f>9*25</f>
        <v>225</v>
      </c>
      <c r="J77" s="229">
        <f t="shared" si="12"/>
        <v>225</v>
      </c>
      <c r="K77" s="428"/>
      <c r="L77" s="489"/>
      <c r="M77" s="5"/>
      <c r="N77" s="5"/>
      <c r="O77" s="4"/>
      <c r="P77" s="4"/>
      <c r="Q77" s="4"/>
    </row>
    <row r="78" spans="1:17" ht="16.95" customHeight="1" x14ac:dyDescent="0.25">
      <c r="A78" s="224" t="str">
        <f>Zones!A78</f>
        <v>Stair/Elevator_FloorT</v>
      </c>
      <c r="B78" s="225">
        <f>Zones!J78</f>
        <v>0</v>
      </c>
      <c r="C78" s="226">
        <f>Zones!G78</f>
        <v>848</v>
      </c>
      <c r="D78" s="214">
        <v>15</v>
      </c>
      <c r="E78" s="214">
        <v>0.15</v>
      </c>
      <c r="F78" s="227"/>
      <c r="G78" s="226">
        <f t="shared" si="10"/>
        <v>0</v>
      </c>
      <c r="H78" s="226">
        <f t="shared" si="11"/>
        <v>127.19999999999999</v>
      </c>
      <c r="I78" s="227"/>
      <c r="J78" s="229">
        <f t="shared" si="12"/>
        <v>127.19999999999999</v>
      </c>
      <c r="K78" s="428"/>
      <c r="L78" s="4"/>
      <c r="M78" s="4"/>
      <c r="N78" s="4"/>
      <c r="O78" s="4"/>
      <c r="P78" s="4"/>
      <c r="Q78" s="4"/>
    </row>
    <row r="79" spans="1:17" ht="16.95" customHeight="1" x14ac:dyDescent="0.25">
      <c r="A79" s="224" t="str">
        <f>Zones!A79</f>
        <v>Corridor_W_FloorT</v>
      </c>
      <c r="B79" s="225">
        <f>Zones!J79</f>
        <v>5.0293999999999999</v>
      </c>
      <c r="C79" s="226">
        <f>Zones!G79</f>
        <v>1005.88</v>
      </c>
      <c r="D79" s="214">
        <v>15</v>
      </c>
      <c r="E79" s="214">
        <v>0.15</v>
      </c>
      <c r="F79" s="227"/>
      <c r="G79" s="226">
        <f t="shared" si="10"/>
        <v>75.441000000000003</v>
      </c>
      <c r="H79" s="226">
        <f t="shared" si="11"/>
        <v>150.88200000000001</v>
      </c>
      <c r="I79" s="227"/>
      <c r="J79" s="229">
        <f t="shared" si="12"/>
        <v>150.88200000000001</v>
      </c>
      <c r="K79" s="428"/>
      <c r="L79" s="4"/>
      <c r="M79" s="4"/>
      <c r="N79" s="4"/>
      <c r="O79" s="4"/>
      <c r="P79" s="4"/>
      <c r="Q79" s="4"/>
    </row>
    <row r="80" spans="1:17" ht="16.95" customHeight="1" x14ac:dyDescent="0.25">
      <c r="A80" s="224" t="str">
        <f>Zones!A80</f>
        <v>Corridor_E_FloorT</v>
      </c>
      <c r="B80" s="225">
        <f>Zones!J80</f>
        <v>2.9268000000000001</v>
      </c>
      <c r="C80" s="226">
        <f>Zones!G80</f>
        <v>585.36</v>
      </c>
      <c r="D80" s="214">
        <v>15</v>
      </c>
      <c r="E80" s="214">
        <v>0.15</v>
      </c>
      <c r="F80" s="227"/>
      <c r="G80" s="226">
        <f t="shared" si="10"/>
        <v>43.902000000000001</v>
      </c>
      <c r="H80" s="226">
        <f t="shared" si="11"/>
        <v>87.804000000000002</v>
      </c>
      <c r="I80" s="227"/>
      <c r="J80" s="229">
        <f t="shared" si="12"/>
        <v>87.804000000000002</v>
      </c>
      <c r="K80" s="428"/>
      <c r="L80" s="4"/>
      <c r="M80" s="4"/>
      <c r="N80" s="4"/>
      <c r="O80" s="4"/>
      <c r="P80" s="4"/>
      <c r="Q80" s="4"/>
    </row>
    <row r="81" spans="1:12" ht="16.95" customHeight="1" x14ac:dyDescent="0.25">
      <c r="A81" s="224" t="str">
        <f>Zones!A81</f>
        <v>Plenum_FloorT</v>
      </c>
      <c r="B81" s="230">
        <f>Zones!J81</f>
        <v>0</v>
      </c>
      <c r="C81" s="231">
        <f>Zones!G81</f>
        <v>38352.014999999999</v>
      </c>
      <c r="D81" s="232">
        <v>15</v>
      </c>
      <c r="E81" s="232"/>
      <c r="F81" s="233"/>
      <c r="G81" s="231">
        <f t="shared" si="10"/>
        <v>0</v>
      </c>
      <c r="H81" s="231">
        <f t="shared" si="11"/>
        <v>0</v>
      </c>
      <c r="I81" s="233"/>
      <c r="J81" s="229">
        <f t="shared" si="12"/>
        <v>0</v>
      </c>
      <c r="K81" s="430"/>
      <c r="L81" s="4"/>
    </row>
    <row r="82" spans="1:12" ht="16.95" customHeight="1" x14ac:dyDescent="0.25">
      <c r="A82" s="4"/>
      <c r="B82" s="4"/>
      <c r="C82" s="4"/>
      <c r="D82" s="4"/>
      <c r="E82" s="4"/>
      <c r="F82" s="4"/>
      <c r="G82" s="4"/>
      <c r="H82" s="4"/>
      <c r="I82" s="4"/>
      <c r="J82" s="209"/>
      <c r="K82" s="4"/>
      <c r="L82" s="4"/>
    </row>
    <row r="83" spans="1:12" ht="16.95" customHeight="1" x14ac:dyDescent="0.25">
      <c r="A83" s="4"/>
      <c r="B83" s="4"/>
      <c r="C83" s="4"/>
      <c r="D83" s="4"/>
      <c r="E83" s="4"/>
      <c r="F83" s="4"/>
      <c r="G83" s="4"/>
      <c r="H83" s="4"/>
      <c r="I83" s="4"/>
      <c r="J83" s="209"/>
      <c r="K83" s="4"/>
      <c r="L83" s="4"/>
    </row>
    <row r="84" spans="1:12" ht="16.95" customHeight="1" x14ac:dyDescent="0.25">
      <c r="A84" s="4"/>
      <c r="B84" s="4"/>
      <c r="C84" s="4"/>
      <c r="D84" s="4"/>
      <c r="E84" s="4"/>
      <c r="F84" s="4"/>
      <c r="G84" s="4"/>
      <c r="H84" s="4"/>
      <c r="I84" s="4"/>
      <c r="J84" s="209"/>
      <c r="K84" s="4"/>
      <c r="L84" s="4"/>
    </row>
    <row r="85" spans="1:12" ht="16.95" customHeight="1" x14ac:dyDescent="0.25">
      <c r="A85" s="4"/>
      <c r="B85" s="4"/>
      <c r="C85" s="4"/>
      <c r="D85" s="4"/>
      <c r="E85" s="4"/>
      <c r="F85" s="4"/>
      <c r="G85" s="4"/>
      <c r="H85" s="4"/>
      <c r="I85" s="4"/>
      <c r="J85" s="209"/>
      <c r="K85" s="4"/>
      <c r="L85" s="4"/>
    </row>
    <row r="86" spans="1:12" ht="16.95" customHeight="1" x14ac:dyDescent="0.25">
      <c r="A86" s="4"/>
      <c r="B86" s="4"/>
      <c r="C86" s="4"/>
      <c r="D86" s="4"/>
      <c r="E86" s="4"/>
      <c r="F86" s="4"/>
      <c r="G86" s="4"/>
      <c r="H86" s="4"/>
      <c r="I86" s="4"/>
      <c r="J86" s="209"/>
      <c r="K86" s="4"/>
      <c r="L86" s="4"/>
    </row>
    <row r="87" spans="1:12" x14ac:dyDescent="0.25">
      <c r="A87" s="4"/>
      <c r="B87" s="262"/>
      <c r="C87" s="4"/>
      <c r="D87" s="4"/>
      <c r="E87" s="4"/>
      <c r="F87" s="4"/>
      <c r="G87" s="4"/>
      <c r="H87" s="4"/>
      <c r="I87" s="4"/>
      <c r="J87" s="209"/>
      <c r="K87" s="4"/>
      <c r="L87" s="4"/>
    </row>
    <row r="88" spans="1:12" x14ac:dyDescent="0.25">
      <c r="A88" s="4"/>
      <c r="B88" s="262"/>
      <c r="C88" s="4"/>
      <c r="D88" s="4"/>
      <c r="E88" s="4"/>
      <c r="F88" s="4"/>
      <c r="G88" s="4"/>
      <c r="H88" s="4"/>
      <c r="I88" s="4"/>
      <c r="J88" s="209"/>
      <c r="K88" s="4"/>
      <c r="L88" s="4"/>
    </row>
    <row r="89" spans="1:12" x14ac:dyDescent="0.25">
      <c r="A89" s="8"/>
      <c r="B89" s="262"/>
      <c r="C89" s="4"/>
      <c r="D89" s="262"/>
      <c r="E89" s="4"/>
      <c r="F89" s="4"/>
      <c r="G89" s="4"/>
      <c r="H89" s="4"/>
      <c r="I89" s="4"/>
      <c r="J89" s="209"/>
      <c r="K89" s="4"/>
      <c r="L89" s="4"/>
    </row>
    <row r="90" spans="1:12" x14ac:dyDescent="0.25">
      <c r="A90" s="8"/>
      <c r="B90" s="262"/>
      <c r="C90" s="4"/>
      <c r="D90" s="262"/>
      <c r="E90" s="4"/>
      <c r="F90" s="4"/>
      <c r="G90" s="4"/>
      <c r="H90" s="4"/>
      <c r="I90" s="4"/>
      <c r="J90" s="4"/>
      <c r="K90" s="4"/>
      <c r="L90" s="4"/>
    </row>
    <row r="91" spans="1:12" x14ac:dyDescent="0.25">
      <c r="A91" s="8"/>
      <c r="B91" s="262"/>
      <c r="C91" s="4"/>
      <c r="D91" s="262"/>
      <c r="E91" s="4"/>
      <c r="F91" s="4"/>
      <c r="G91" s="4"/>
      <c r="H91" s="4"/>
      <c r="I91" s="4"/>
      <c r="J91" s="4"/>
      <c r="K91" s="4"/>
      <c r="L91" s="4"/>
    </row>
    <row r="92" spans="1:12" s="69" customFormat="1" ht="17.399999999999999" hidden="1" x14ac:dyDescent="0.3">
      <c r="A92" s="27" t="s">
        <v>357</v>
      </c>
      <c r="B92" s="210"/>
      <c r="C92" s="210"/>
      <c r="D92" s="210"/>
      <c r="E92" s="210"/>
      <c r="F92" s="210"/>
      <c r="G92" s="210"/>
      <c r="H92" s="210"/>
      <c r="I92" s="210"/>
      <c r="J92" s="210"/>
      <c r="K92" s="211"/>
      <c r="L92" s="212"/>
    </row>
  </sheetData>
  <mergeCells count="2">
    <mergeCell ref="M17:O17"/>
    <mergeCell ref="A1:K1"/>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L126"/>
  <sheetViews>
    <sheetView zoomScaleNormal="100" workbookViewId="0">
      <selection sqref="A1:G1"/>
    </sheetView>
  </sheetViews>
  <sheetFormatPr defaultColWidth="8.6640625" defaultRowHeight="13.2" x14ac:dyDescent="0.25"/>
  <cols>
    <col min="1" max="1" width="36" style="6" customWidth="1"/>
    <col min="2" max="2" width="27.109375" style="6" customWidth="1"/>
    <col min="3" max="4" width="22.5546875" style="6" customWidth="1"/>
    <col min="5" max="5" width="31.33203125" style="6" customWidth="1"/>
    <col min="6" max="6" width="15.109375" style="6" customWidth="1"/>
    <col min="7" max="7" width="23.88671875" style="6" customWidth="1"/>
    <col min="8" max="8" width="6.33203125" style="6" customWidth="1"/>
    <col min="9" max="9" width="14.44140625" style="6" customWidth="1"/>
    <col min="10" max="12" width="15.33203125" style="6" customWidth="1"/>
    <col min="13" max="13" width="12.33203125" style="6" customWidth="1"/>
    <col min="14" max="14" width="13.33203125" style="6" customWidth="1"/>
    <col min="15" max="15" width="15.33203125" style="6" customWidth="1"/>
    <col min="16" max="16" width="11" style="6" customWidth="1"/>
    <col min="17" max="20" width="15.33203125" style="6" customWidth="1"/>
    <col min="21" max="21" width="7.6640625" style="6" hidden="1" customWidth="1"/>
    <col min="22" max="22" width="12.44140625" style="6" hidden="1" customWidth="1"/>
    <col min="23" max="38" width="6.5546875" style="6" hidden="1" customWidth="1"/>
    <col min="39" max="39" width="15.33203125" style="6" customWidth="1"/>
    <col min="40" max="40" width="11.33203125" style="6" customWidth="1"/>
    <col min="41" max="41" width="6.33203125" style="6" customWidth="1"/>
    <col min="42" max="45" width="4.6640625" style="6" customWidth="1"/>
    <col min="46" max="46" width="6.33203125" style="6" customWidth="1"/>
    <col min="47" max="61" width="4.6640625" style="6" customWidth="1"/>
    <col min="62" max="16384" width="8.6640625" style="6"/>
  </cols>
  <sheetData>
    <row r="1" spans="1:7" ht="24" customHeight="1" x14ac:dyDescent="0.25">
      <c r="A1" s="627" t="s">
        <v>730</v>
      </c>
      <c r="B1" s="628"/>
      <c r="C1" s="628"/>
      <c r="D1" s="628"/>
      <c r="E1" s="628"/>
      <c r="F1" s="628"/>
      <c r="G1" s="628"/>
    </row>
    <row r="2" spans="1:7" ht="22.2" customHeight="1" x14ac:dyDescent="0.25">
      <c r="A2" s="129" t="s">
        <v>102</v>
      </c>
      <c r="B2" s="129" t="s">
        <v>481</v>
      </c>
      <c r="C2" s="129" t="s">
        <v>482</v>
      </c>
      <c r="D2" s="129" t="s">
        <v>483</v>
      </c>
      <c r="E2" s="129" t="s">
        <v>484</v>
      </c>
      <c r="F2" s="129" t="s">
        <v>485</v>
      </c>
      <c r="G2" s="503" t="s">
        <v>313</v>
      </c>
    </row>
    <row r="3" spans="1:7" ht="25.2" customHeight="1" x14ac:dyDescent="0.25">
      <c r="A3" s="496" t="s">
        <v>486</v>
      </c>
      <c r="B3" s="496" t="s">
        <v>440</v>
      </c>
      <c r="C3" s="128">
        <v>0.8</v>
      </c>
      <c r="D3" s="425">
        <f>F95</f>
        <v>183</v>
      </c>
      <c r="E3" s="426">
        <f>G95</f>
        <v>1771.9388981996667</v>
      </c>
      <c r="F3" s="426" t="str">
        <f>H95</f>
        <v>Btu/hr</v>
      </c>
      <c r="G3" s="264" t="s">
        <v>487</v>
      </c>
    </row>
    <row r="4" spans="1:7" ht="24" customHeight="1" x14ac:dyDescent="0.25">
      <c r="A4" s="496" t="s">
        <v>328</v>
      </c>
      <c r="B4" s="496" t="s">
        <v>440</v>
      </c>
      <c r="C4" s="128">
        <v>0.8</v>
      </c>
      <c r="D4" s="425">
        <f>F95</f>
        <v>183</v>
      </c>
      <c r="E4" s="426">
        <f>G95</f>
        <v>1771.9388981996667</v>
      </c>
      <c r="F4" s="426" t="str">
        <f>H95</f>
        <v>Btu/hr</v>
      </c>
      <c r="G4" s="426"/>
    </row>
    <row r="5" spans="1:7" ht="14.7" customHeight="1" x14ac:dyDescent="0.25">
      <c r="A5" s="501"/>
      <c r="B5" s="501"/>
      <c r="C5" s="501"/>
      <c r="D5" s="501"/>
      <c r="E5" s="501"/>
    </row>
    <row r="6" spans="1:7" ht="16.2" customHeight="1" x14ac:dyDescent="0.25"/>
    <row r="8" spans="1:7" ht="15.6" x14ac:dyDescent="0.25">
      <c r="A8" s="559" t="s">
        <v>488</v>
      </c>
      <c r="B8" s="559"/>
      <c r="C8" s="559"/>
      <c r="D8" s="559"/>
      <c r="E8" s="559"/>
      <c r="F8" s="559"/>
      <c r="G8" s="559"/>
    </row>
    <row r="9" spans="1:7" ht="52.8" x14ac:dyDescent="0.25">
      <c r="A9" s="351" t="s">
        <v>467</v>
      </c>
      <c r="B9" s="297" t="s">
        <v>489</v>
      </c>
      <c r="C9" s="297" t="s">
        <v>490</v>
      </c>
      <c r="D9" s="297" t="s">
        <v>171</v>
      </c>
      <c r="E9" s="297" t="s">
        <v>491</v>
      </c>
      <c r="F9" s="297" t="s">
        <v>492</v>
      </c>
      <c r="G9" s="297" t="s">
        <v>493</v>
      </c>
    </row>
    <row r="10" spans="1:7" x14ac:dyDescent="0.25">
      <c r="A10" s="353" t="str">
        <f>Zones!A3</f>
        <v>Perimeter_Open_ Office_N_Basement</v>
      </c>
      <c r="B10" s="431" t="s">
        <v>440</v>
      </c>
      <c r="C10" s="424">
        <f>Zones!G3*Zones!I3</f>
        <v>8416.86</v>
      </c>
      <c r="D10" s="423">
        <f>Zones!J3*Zones!I3</f>
        <v>42.084300000000006</v>
      </c>
      <c r="E10" s="353">
        <v>0.18</v>
      </c>
      <c r="F10" s="422">
        <f>D10*E10</f>
        <v>7.5751740000000005</v>
      </c>
      <c r="G10" s="422">
        <f>F10/60</f>
        <v>0.1262529</v>
      </c>
    </row>
    <row r="11" spans="1:7" x14ac:dyDescent="0.25">
      <c r="A11" s="353" t="str">
        <f>Zones!A4</f>
        <v>Perimeter_Open_ Office_S_Basement</v>
      </c>
      <c r="B11" s="431" t="s">
        <v>440</v>
      </c>
      <c r="C11" s="424">
        <f>Zones!G4*Zones!I4</f>
        <v>3662.18</v>
      </c>
      <c r="D11" s="423">
        <f>Zones!J4*Zones!I4</f>
        <v>18.310899999999997</v>
      </c>
      <c r="E11" s="353">
        <v>0.18</v>
      </c>
      <c r="F11" s="422">
        <f t="shared" ref="F11:F12" si="0">D11*E11</f>
        <v>3.2959619999999994</v>
      </c>
      <c r="G11" s="422">
        <f t="shared" ref="G11:G12" si="1">F11/60</f>
        <v>5.4932699999999987E-2</v>
      </c>
    </row>
    <row r="12" spans="1:7" x14ac:dyDescent="0.25">
      <c r="A12" s="353" t="str">
        <f>Zones!A5</f>
        <v>Core_Enclosed_Office_Basement</v>
      </c>
      <c r="B12" s="431" t="s">
        <v>440</v>
      </c>
      <c r="C12" s="424">
        <f>Zones!G5*Zones!I5</f>
        <v>3703.68</v>
      </c>
      <c r="D12" s="423">
        <f>Zones!J5*Zones!I5</f>
        <v>18.518399999999996</v>
      </c>
      <c r="E12" s="353">
        <v>0.18</v>
      </c>
      <c r="F12" s="422">
        <f t="shared" si="0"/>
        <v>3.3333119999999994</v>
      </c>
      <c r="G12" s="422">
        <f t="shared" si="1"/>
        <v>5.5555199999999992E-2</v>
      </c>
    </row>
    <row r="13" spans="1:7" x14ac:dyDescent="0.25">
      <c r="A13" s="353" t="str">
        <f>Zones!A6</f>
        <v>Server_Room_Basement</v>
      </c>
      <c r="B13" s="431" t="s">
        <v>440</v>
      </c>
      <c r="C13" s="424">
        <f>Zones!G6*Zones!I6</f>
        <v>8228</v>
      </c>
      <c r="D13" s="423">
        <f>Zones!J6*Zones!I6</f>
        <v>0</v>
      </c>
      <c r="E13" s="353">
        <v>0.18</v>
      </c>
      <c r="F13" s="422">
        <f t="shared" ref="F13:F76" si="2">D13*E13</f>
        <v>0</v>
      </c>
      <c r="G13" s="422">
        <f t="shared" ref="G13:G76" si="3">F13/60</f>
        <v>0</v>
      </c>
    </row>
    <row r="14" spans="1:7" x14ac:dyDescent="0.25">
      <c r="A14" s="353" t="str">
        <f>Zones!A7</f>
        <v>Mech/Elec_Basement</v>
      </c>
      <c r="B14" s="431" t="s">
        <v>440</v>
      </c>
      <c r="C14" s="424">
        <f>Zones!G7*Zones!I7</f>
        <v>7958</v>
      </c>
      <c r="D14" s="423">
        <f>Zones!J7*Zones!I7</f>
        <v>0</v>
      </c>
      <c r="E14" s="353">
        <v>0.18</v>
      </c>
      <c r="F14" s="422">
        <f t="shared" si="2"/>
        <v>0</v>
      </c>
      <c r="G14" s="422">
        <f t="shared" si="3"/>
        <v>0</v>
      </c>
    </row>
    <row r="15" spans="1:7" x14ac:dyDescent="0.25">
      <c r="A15" s="353" t="str">
        <f>Zones!A8</f>
        <v>Conference_Basement</v>
      </c>
      <c r="B15" s="431" t="s">
        <v>440</v>
      </c>
      <c r="C15" s="424">
        <f>Zones!G8*Zones!I8</f>
        <v>579.70000000000005</v>
      </c>
      <c r="D15" s="423">
        <f>Zones!J8*Zones!I8</f>
        <v>19.130100000000002</v>
      </c>
      <c r="E15" s="353">
        <v>0.09</v>
      </c>
      <c r="F15" s="422">
        <f t="shared" si="2"/>
        <v>1.7217090000000002</v>
      </c>
      <c r="G15" s="422">
        <f t="shared" si="3"/>
        <v>2.8695150000000003E-2</v>
      </c>
    </row>
    <row r="16" spans="1:7" x14ac:dyDescent="0.25">
      <c r="A16" s="353" t="str">
        <f>Zones!A9</f>
        <v>Break_Basement</v>
      </c>
      <c r="B16" s="431" t="s">
        <v>440</v>
      </c>
      <c r="C16" s="424">
        <f>Zones!G9*Zones!I9</f>
        <v>973</v>
      </c>
      <c r="D16" s="423">
        <f>Zones!J9*Zones!I9</f>
        <v>32.109000000000002</v>
      </c>
      <c r="E16" s="353">
        <v>0.09</v>
      </c>
      <c r="F16" s="422">
        <f t="shared" si="2"/>
        <v>2.8898100000000002</v>
      </c>
      <c r="G16" s="422">
        <f t="shared" si="3"/>
        <v>4.8163500000000005E-2</v>
      </c>
    </row>
    <row r="17" spans="1:7" x14ac:dyDescent="0.25">
      <c r="A17" s="353" t="str">
        <f>Zones!A10</f>
        <v>Storage_Basement</v>
      </c>
      <c r="B17" s="431"/>
      <c r="C17" s="424">
        <f>Zones!G10*Zones!I10</f>
        <v>1231</v>
      </c>
      <c r="D17" s="423">
        <f>Zones!J10*Zones!I10</f>
        <v>0</v>
      </c>
      <c r="E17" s="353">
        <v>0</v>
      </c>
      <c r="F17" s="422">
        <f t="shared" si="2"/>
        <v>0</v>
      </c>
      <c r="G17" s="422">
        <f t="shared" si="3"/>
        <v>0</v>
      </c>
    </row>
    <row r="18" spans="1:7" x14ac:dyDescent="0.25">
      <c r="A18" s="353" t="str">
        <f>Zones!A11</f>
        <v>Restroom_Basement</v>
      </c>
      <c r="B18" s="431"/>
      <c r="C18" s="424">
        <f>Zones!G11*Zones!I11</f>
        <v>986</v>
      </c>
      <c r="D18" s="423">
        <f>Zones!J11*Zones!I11</f>
        <v>0</v>
      </c>
      <c r="E18" s="353">
        <v>0</v>
      </c>
      <c r="F18" s="422">
        <f t="shared" si="2"/>
        <v>0</v>
      </c>
      <c r="G18" s="422">
        <f t="shared" si="3"/>
        <v>0</v>
      </c>
    </row>
    <row r="19" spans="1:7" x14ac:dyDescent="0.25">
      <c r="A19" s="353" t="str">
        <f>Zones!A12</f>
        <v>Lobby_Basement</v>
      </c>
      <c r="B19" s="431" t="s">
        <v>440</v>
      </c>
      <c r="C19" s="424">
        <f>Zones!G12*Zones!I12</f>
        <v>707</v>
      </c>
      <c r="D19" s="423">
        <f>Zones!J12*Zones!I12</f>
        <v>7.07</v>
      </c>
      <c r="E19" s="353">
        <v>0.09</v>
      </c>
      <c r="F19" s="422">
        <f t="shared" si="2"/>
        <v>0.63629999999999998</v>
      </c>
      <c r="G19" s="422">
        <f t="shared" si="3"/>
        <v>1.0605E-2</v>
      </c>
    </row>
    <row r="20" spans="1:7" x14ac:dyDescent="0.25">
      <c r="A20" s="353" t="str">
        <f>Zones!A13</f>
        <v>Stair/Elevator_Basement</v>
      </c>
      <c r="B20" s="431"/>
      <c r="C20" s="424">
        <f>Zones!G13*Zones!I13</f>
        <v>941</v>
      </c>
      <c r="D20" s="423">
        <f>Zones!J13*Zones!I13</f>
        <v>0</v>
      </c>
      <c r="E20" s="353">
        <v>0</v>
      </c>
      <c r="F20" s="422">
        <f t="shared" si="2"/>
        <v>0</v>
      </c>
      <c r="G20" s="422">
        <f t="shared" si="3"/>
        <v>0</v>
      </c>
    </row>
    <row r="21" spans="1:7" x14ac:dyDescent="0.25">
      <c r="A21" s="353" t="str">
        <f>Zones!A14</f>
        <v>Corridor_W_Basement</v>
      </c>
      <c r="B21" s="431"/>
      <c r="C21" s="424">
        <f>Zones!G14*Zones!I14</f>
        <v>262.89999999999998</v>
      </c>
      <c r="D21" s="423">
        <f>Zones!J14*Zones!I14</f>
        <v>1.3145</v>
      </c>
      <c r="E21" s="353">
        <v>0</v>
      </c>
      <c r="F21" s="422">
        <f t="shared" si="2"/>
        <v>0</v>
      </c>
      <c r="G21" s="422">
        <f t="shared" si="3"/>
        <v>0</v>
      </c>
    </row>
    <row r="22" spans="1:7" x14ac:dyDescent="0.25">
      <c r="A22" s="353" t="str">
        <f>Zones!A15</f>
        <v>Corridor_E_Basement</v>
      </c>
      <c r="B22" s="431"/>
      <c r="C22" s="424">
        <f>Zones!G15*Zones!I15</f>
        <v>703</v>
      </c>
      <c r="D22" s="423">
        <f>Zones!J15*Zones!I15</f>
        <v>3.5150000000000001</v>
      </c>
      <c r="E22" s="353">
        <v>0</v>
      </c>
      <c r="F22" s="422">
        <f t="shared" si="2"/>
        <v>0</v>
      </c>
      <c r="G22" s="422">
        <f t="shared" si="3"/>
        <v>0</v>
      </c>
    </row>
    <row r="23" spans="1:7" x14ac:dyDescent="0.25">
      <c r="A23" s="353" t="str">
        <f>Zones!A16</f>
        <v>Perimeter_Open_ Office_N_FloorG</v>
      </c>
      <c r="B23" s="431" t="s">
        <v>440</v>
      </c>
      <c r="C23" s="424">
        <f>Zones!G16*Zones!I16</f>
        <v>7031</v>
      </c>
      <c r="D23" s="423">
        <f>Zones!J16*Zones!I16</f>
        <v>35.155000000000001</v>
      </c>
      <c r="E23" s="353">
        <v>0.18</v>
      </c>
      <c r="F23" s="422">
        <f t="shared" si="2"/>
        <v>6.3278999999999996</v>
      </c>
      <c r="G23" s="422">
        <f t="shared" si="3"/>
        <v>0.10546499999999999</v>
      </c>
    </row>
    <row r="24" spans="1:7" x14ac:dyDescent="0.25">
      <c r="A24" s="353" t="str">
        <f>Zones!A17</f>
        <v>Perimeter_Open_ Office_W_FloorG</v>
      </c>
      <c r="B24" s="431" t="s">
        <v>440</v>
      </c>
      <c r="C24" s="424">
        <f>Zones!G17*Zones!I17</f>
        <v>5795.76</v>
      </c>
      <c r="D24" s="423">
        <f>Zones!J17*Zones!I17</f>
        <v>28.978800000000003</v>
      </c>
      <c r="E24" s="353">
        <v>0.18</v>
      </c>
      <c r="F24" s="422">
        <f t="shared" si="2"/>
        <v>5.2161840000000002</v>
      </c>
      <c r="G24" s="422">
        <f t="shared" si="3"/>
        <v>8.6936399999999997E-2</v>
      </c>
    </row>
    <row r="25" spans="1:7" x14ac:dyDescent="0.25">
      <c r="A25" s="353" t="str">
        <f>Zones!A18</f>
        <v>Perimeter_Open_ Office_E_FloorG</v>
      </c>
      <c r="B25" s="431" t="s">
        <v>440</v>
      </c>
      <c r="C25" s="424">
        <f>Zones!G18*Zones!I18</f>
        <v>5875.48</v>
      </c>
      <c r="D25" s="423">
        <f>Zones!J18*Zones!I18</f>
        <v>29.377399999999998</v>
      </c>
      <c r="E25" s="353">
        <v>0.18</v>
      </c>
      <c r="F25" s="422">
        <f t="shared" si="2"/>
        <v>5.2879319999999996</v>
      </c>
      <c r="G25" s="422">
        <f t="shared" si="3"/>
        <v>8.8132199999999994E-2</v>
      </c>
    </row>
    <row r="26" spans="1:7" x14ac:dyDescent="0.25">
      <c r="A26" s="353" t="str">
        <f>Zones!A19</f>
        <v>Perimeter_Enclosed_ Office_NE_FloorG</v>
      </c>
      <c r="B26" s="431" t="s">
        <v>440</v>
      </c>
      <c r="C26" s="424">
        <f>Zones!G19*Zones!I19</f>
        <v>917.38</v>
      </c>
      <c r="D26" s="423">
        <f>Zones!J19*Zones!I19</f>
        <v>4.5869</v>
      </c>
      <c r="E26" s="353">
        <v>0.18</v>
      </c>
      <c r="F26" s="422">
        <f t="shared" si="2"/>
        <v>0.82564199999999999</v>
      </c>
      <c r="G26" s="422">
        <f t="shared" si="3"/>
        <v>1.3760699999999999E-2</v>
      </c>
    </row>
    <row r="27" spans="1:7" x14ac:dyDescent="0.25">
      <c r="A27" s="353" t="str">
        <f>Zones!A20</f>
        <v>Perimeter_Enclosed_ Office_NW_FloorG</v>
      </c>
      <c r="B27" s="431" t="s">
        <v>440</v>
      </c>
      <c r="C27" s="424">
        <f>Zones!G20*Zones!I20</f>
        <v>1130.6099999999999</v>
      </c>
      <c r="D27" s="423">
        <f>Zones!J20*Zones!I20</f>
        <v>5.6530499999999995</v>
      </c>
      <c r="E27" s="353">
        <v>0.18</v>
      </c>
      <c r="F27" s="422">
        <f t="shared" si="2"/>
        <v>1.0175489999999998</v>
      </c>
      <c r="G27" s="422">
        <f t="shared" si="3"/>
        <v>1.6959149999999996E-2</v>
      </c>
    </row>
    <row r="28" spans="1:7" x14ac:dyDescent="0.25">
      <c r="A28" s="353" t="str">
        <f>Zones!A21</f>
        <v>Core_Enclosed_Office_FloorG</v>
      </c>
      <c r="B28" s="431" t="s">
        <v>440</v>
      </c>
      <c r="C28" s="424">
        <f>Zones!G21*Zones!I21</f>
        <v>3312</v>
      </c>
      <c r="D28" s="423">
        <f>Zones!J21*Zones!I21</f>
        <v>16.559999999999999</v>
      </c>
      <c r="E28" s="353">
        <v>0.18</v>
      </c>
      <c r="F28" s="422">
        <f t="shared" si="2"/>
        <v>2.9807999999999995</v>
      </c>
      <c r="G28" s="422">
        <f t="shared" si="3"/>
        <v>4.9679999999999988E-2</v>
      </c>
    </row>
    <row r="29" spans="1:7" x14ac:dyDescent="0.25">
      <c r="A29" s="353" t="str">
        <f>Zones!A22</f>
        <v>Server_Room_FloorG</v>
      </c>
      <c r="B29" s="431" t="s">
        <v>440</v>
      </c>
      <c r="C29" s="424">
        <f>Zones!G22*Zones!I22</f>
        <v>417.94</v>
      </c>
      <c r="D29" s="423">
        <f>Zones!J22*Zones!I22</f>
        <v>0</v>
      </c>
      <c r="E29" s="353">
        <v>0.18</v>
      </c>
      <c r="F29" s="422">
        <f t="shared" si="2"/>
        <v>0</v>
      </c>
      <c r="G29" s="422">
        <f t="shared" si="3"/>
        <v>0</v>
      </c>
    </row>
    <row r="30" spans="1:7" x14ac:dyDescent="0.25">
      <c r="A30" s="353" t="str">
        <f>Zones!A23</f>
        <v>Mech/Elec_FloorG</v>
      </c>
      <c r="B30" s="431" t="s">
        <v>440</v>
      </c>
      <c r="C30" s="424">
        <f>Zones!G23*Zones!I23</f>
        <v>849</v>
      </c>
      <c r="D30" s="423">
        <f>Zones!J23*Zones!I23</f>
        <v>0</v>
      </c>
      <c r="E30" s="353">
        <v>0.18</v>
      </c>
      <c r="F30" s="422">
        <f t="shared" si="2"/>
        <v>0</v>
      </c>
      <c r="G30" s="422">
        <f t="shared" si="3"/>
        <v>0</v>
      </c>
    </row>
    <row r="31" spans="1:7" x14ac:dyDescent="0.25">
      <c r="A31" s="353" t="str">
        <f>Zones!A24</f>
        <v>Conference_FloorG</v>
      </c>
      <c r="B31" s="431" t="s">
        <v>440</v>
      </c>
      <c r="C31" s="424">
        <f>Zones!G24*Zones!I24</f>
        <v>790</v>
      </c>
      <c r="D31" s="423">
        <f>Zones!J24*Zones!I24</f>
        <v>26.07</v>
      </c>
      <c r="E31" s="353">
        <v>0.09</v>
      </c>
      <c r="F31" s="422">
        <f t="shared" si="2"/>
        <v>2.3462999999999998</v>
      </c>
      <c r="G31" s="422">
        <f t="shared" si="3"/>
        <v>3.9104999999999994E-2</v>
      </c>
    </row>
    <row r="32" spans="1:7" x14ac:dyDescent="0.25">
      <c r="A32" s="353" t="str">
        <f>Zones!A25</f>
        <v>Break_FloorG</v>
      </c>
      <c r="B32" s="431" t="s">
        <v>440</v>
      </c>
      <c r="C32" s="424">
        <f>Zones!G25*Zones!I25</f>
        <v>618.04999999999995</v>
      </c>
      <c r="D32" s="423">
        <f>Zones!J25*Zones!I25</f>
        <v>20.395649999999996</v>
      </c>
      <c r="E32" s="353">
        <v>0.09</v>
      </c>
      <c r="F32" s="422">
        <f t="shared" si="2"/>
        <v>1.8356084999999995</v>
      </c>
      <c r="G32" s="422">
        <f t="shared" si="3"/>
        <v>3.0593474999999992E-2</v>
      </c>
    </row>
    <row r="33" spans="1:7" x14ac:dyDescent="0.25">
      <c r="A33" s="353" t="str">
        <f>Zones!A26</f>
        <v>FoodPrep_FloorG</v>
      </c>
      <c r="B33" s="431" t="s">
        <v>440</v>
      </c>
      <c r="C33" s="424">
        <f>Zones!G26*Zones!I26</f>
        <v>936.94</v>
      </c>
      <c r="D33" s="423">
        <f>Zones!J26*Zones!I26</f>
        <v>2.8108200000000001</v>
      </c>
      <c r="E33" s="353">
        <v>0.57799999999999996</v>
      </c>
      <c r="F33" s="422">
        <f t="shared" si="2"/>
        <v>1.6246539599999998</v>
      </c>
      <c r="G33" s="422">
        <f t="shared" si="3"/>
        <v>2.7077565999999997E-2</v>
      </c>
    </row>
    <row r="34" spans="1:7" x14ac:dyDescent="0.25">
      <c r="A34" s="353" t="str">
        <f>Zones!A27</f>
        <v>Storage_FloorG</v>
      </c>
      <c r="B34" s="431" t="s">
        <v>440</v>
      </c>
      <c r="C34" s="424">
        <f>Zones!G27*Zones!I27</f>
        <v>959.02</v>
      </c>
      <c r="D34" s="423">
        <f>Zones!J27*Zones!I27</f>
        <v>0</v>
      </c>
      <c r="E34" s="353">
        <v>0</v>
      </c>
      <c r="F34" s="422">
        <f t="shared" si="2"/>
        <v>0</v>
      </c>
      <c r="G34" s="422">
        <f t="shared" si="3"/>
        <v>0</v>
      </c>
    </row>
    <row r="35" spans="1:7" x14ac:dyDescent="0.25">
      <c r="A35" s="353" t="str">
        <f>Zones!A28</f>
        <v>Locker_FloorG</v>
      </c>
      <c r="B35" s="431" t="s">
        <v>440</v>
      </c>
      <c r="C35" s="424">
        <f>Zones!G28*Zones!I28</f>
        <v>1814.97</v>
      </c>
      <c r="D35" s="423">
        <f>Zones!J28*Zones!I28</f>
        <v>18.149699999999999</v>
      </c>
      <c r="E35" s="353">
        <v>0.57799999999999996</v>
      </c>
      <c r="F35" s="422">
        <f t="shared" si="2"/>
        <v>10.490526599999999</v>
      </c>
      <c r="G35" s="422">
        <f t="shared" si="3"/>
        <v>0.17484211</v>
      </c>
    </row>
    <row r="36" spans="1:7" x14ac:dyDescent="0.25">
      <c r="A36" s="353" t="str">
        <f>Zones!A29</f>
        <v>Lobby_S_FloorG</v>
      </c>
      <c r="B36" s="431" t="s">
        <v>440</v>
      </c>
      <c r="C36" s="424">
        <f>Zones!G29*Zones!I29</f>
        <v>3360.63</v>
      </c>
      <c r="D36" s="423">
        <f>Zones!J29*Zones!I29</f>
        <v>33.606300000000005</v>
      </c>
      <c r="E36" s="353">
        <v>0.09</v>
      </c>
      <c r="F36" s="422">
        <f t="shared" si="2"/>
        <v>3.0245670000000002</v>
      </c>
      <c r="G36" s="422">
        <f t="shared" si="3"/>
        <v>5.0409450000000001E-2</v>
      </c>
    </row>
    <row r="37" spans="1:7" x14ac:dyDescent="0.25">
      <c r="A37" s="353" t="str">
        <f>Zones!A30</f>
        <v>Lobby_FloorG</v>
      </c>
      <c r="B37" s="431" t="s">
        <v>440</v>
      </c>
      <c r="C37" s="424">
        <f>Zones!G30*Zones!I30</f>
        <v>683.36</v>
      </c>
      <c r="D37" s="423">
        <f>Zones!J30*Zones!I30</f>
        <v>6.8336000000000006</v>
      </c>
      <c r="E37" s="353">
        <v>0.09</v>
      </c>
      <c r="F37" s="422">
        <f t="shared" si="2"/>
        <v>0.61502400000000002</v>
      </c>
      <c r="G37" s="422">
        <f t="shared" si="3"/>
        <v>1.02504E-2</v>
      </c>
    </row>
    <row r="38" spans="1:7" x14ac:dyDescent="0.25">
      <c r="A38" s="353" t="str">
        <f>Zones!A31</f>
        <v>Restroom_FloorG</v>
      </c>
      <c r="B38" s="431"/>
      <c r="C38" s="424">
        <f>Zones!G31*Zones!I31</f>
        <v>1156</v>
      </c>
      <c r="D38" s="423">
        <f>Zones!J31*Zones!I31</f>
        <v>0</v>
      </c>
      <c r="E38" s="353">
        <v>0</v>
      </c>
      <c r="F38" s="422">
        <f t="shared" si="2"/>
        <v>0</v>
      </c>
      <c r="G38" s="422">
        <f t="shared" si="3"/>
        <v>0</v>
      </c>
    </row>
    <row r="39" spans="1:7" x14ac:dyDescent="0.25">
      <c r="A39" s="353" t="str">
        <f>Zones!A32</f>
        <v>Stair/Elevator_FloorG</v>
      </c>
      <c r="B39" s="431"/>
      <c r="C39" s="424">
        <f>Zones!G32*Zones!I32</f>
        <v>848</v>
      </c>
      <c r="D39" s="423">
        <f>Zones!J32*Zones!I32</f>
        <v>0</v>
      </c>
      <c r="E39" s="353">
        <v>0</v>
      </c>
      <c r="F39" s="422">
        <f t="shared" si="2"/>
        <v>0</v>
      </c>
      <c r="G39" s="422">
        <f t="shared" si="3"/>
        <v>0</v>
      </c>
    </row>
    <row r="40" spans="1:7" x14ac:dyDescent="0.25">
      <c r="A40" s="353" t="str">
        <f>Zones!A33</f>
        <v>Corridor_W_FloorG</v>
      </c>
      <c r="B40" s="431"/>
      <c r="C40" s="424">
        <f>Zones!G33*Zones!I33</f>
        <v>1005.88</v>
      </c>
      <c r="D40" s="423">
        <f>Zones!J33*Zones!I33</f>
        <v>5.0293999999999999</v>
      </c>
      <c r="E40" s="353">
        <v>0</v>
      </c>
      <c r="F40" s="422">
        <f t="shared" si="2"/>
        <v>0</v>
      </c>
      <c r="G40" s="422">
        <f t="shared" si="3"/>
        <v>0</v>
      </c>
    </row>
    <row r="41" spans="1:7" x14ac:dyDescent="0.25">
      <c r="A41" s="353" t="str">
        <f>Zones!A34</f>
        <v>Corridor_E_FloorG</v>
      </c>
      <c r="B41" s="431"/>
      <c r="C41" s="424">
        <f>Zones!G34*Zones!I34</f>
        <v>798.11</v>
      </c>
      <c r="D41" s="423">
        <f>Zones!J34*Zones!I34</f>
        <v>3.9905500000000003</v>
      </c>
      <c r="E41" s="353">
        <v>0</v>
      </c>
      <c r="F41" s="422">
        <f t="shared" si="2"/>
        <v>0</v>
      </c>
      <c r="G41" s="422">
        <f t="shared" si="3"/>
        <v>0</v>
      </c>
    </row>
    <row r="42" spans="1:7" x14ac:dyDescent="0.25">
      <c r="A42" s="353" t="str">
        <f>Zones!A35</f>
        <v>Plenum_FloorG</v>
      </c>
      <c r="B42" s="431"/>
      <c r="C42" s="424">
        <f>Zones!G35*Zones!I35</f>
        <v>38352.014999999999</v>
      </c>
      <c r="D42" s="423">
        <f>Zones!J35*Zones!I35</f>
        <v>0</v>
      </c>
      <c r="E42" s="353">
        <v>0</v>
      </c>
      <c r="F42" s="422">
        <f t="shared" si="2"/>
        <v>0</v>
      </c>
      <c r="G42" s="422">
        <f t="shared" si="3"/>
        <v>0</v>
      </c>
    </row>
    <row r="43" spans="1:7" x14ac:dyDescent="0.25">
      <c r="A43" s="353" t="str">
        <f>Zones!A36</f>
        <v>Perimeter_Open_ Office_N_FloorM</v>
      </c>
      <c r="B43" s="431" t="s">
        <v>440</v>
      </c>
      <c r="C43" s="424">
        <f>Zones!G36*Zones!I36</f>
        <v>71312.899999999994</v>
      </c>
      <c r="D43" s="423">
        <f>Zones!J36*Zones!I36</f>
        <v>356.56450000000001</v>
      </c>
      <c r="E43" s="353">
        <v>0.18</v>
      </c>
      <c r="F43" s="422">
        <f t="shared" si="2"/>
        <v>64.181610000000006</v>
      </c>
      <c r="G43" s="422">
        <f t="shared" si="3"/>
        <v>1.0696935000000001</v>
      </c>
    </row>
    <row r="44" spans="1:7" x14ac:dyDescent="0.25">
      <c r="A44" s="353" t="str">
        <f>Zones!A37</f>
        <v>Perimeter_Open_ Office_S_FloorM</v>
      </c>
      <c r="B44" s="431" t="s">
        <v>440</v>
      </c>
      <c r="C44" s="424">
        <f>Zones!G37*Zones!I37</f>
        <v>52373.7</v>
      </c>
      <c r="D44" s="423">
        <f>Zones!J37*Zones!I37</f>
        <v>261.86849999999998</v>
      </c>
      <c r="E44" s="353">
        <v>0.18</v>
      </c>
      <c r="F44" s="422">
        <f t="shared" si="2"/>
        <v>47.136329999999994</v>
      </c>
      <c r="G44" s="422">
        <f t="shared" si="3"/>
        <v>0.78560549999999985</v>
      </c>
    </row>
    <row r="45" spans="1:7" x14ac:dyDescent="0.25">
      <c r="A45" s="353" t="str">
        <f>Zones!A38</f>
        <v>Perimeter_Open_ Office_E_FloorM</v>
      </c>
      <c r="B45" s="431" t="s">
        <v>440</v>
      </c>
      <c r="C45" s="424">
        <f>Zones!G38*Zones!I38</f>
        <v>44704.399999999994</v>
      </c>
      <c r="D45" s="423">
        <f>Zones!J38*Zones!I38</f>
        <v>223.52199999999996</v>
      </c>
      <c r="E45" s="353">
        <v>0.18</v>
      </c>
      <c r="F45" s="422">
        <f t="shared" si="2"/>
        <v>40.233959999999989</v>
      </c>
      <c r="G45" s="422">
        <f t="shared" si="3"/>
        <v>0.67056599999999977</v>
      </c>
    </row>
    <row r="46" spans="1:7" x14ac:dyDescent="0.25">
      <c r="A46" s="353" t="str">
        <f>Zones!A39</f>
        <v>Perimeter_Open_ Office_W_FloorM</v>
      </c>
      <c r="B46" s="431" t="s">
        <v>440</v>
      </c>
      <c r="C46" s="424">
        <f>Zones!G39*Zones!I39</f>
        <v>44487.600000000006</v>
      </c>
      <c r="D46" s="423">
        <f>Zones!J39*Zones!I39</f>
        <v>222.43800000000005</v>
      </c>
      <c r="E46" s="353">
        <v>0.18</v>
      </c>
      <c r="F46" s="422">
        <f t="shared" si="2"/>
        <v>40.038840000000008</v>
      </c>
      <c r="G46" s="422">
        <f t="shared" si="3"/>
        <v>0.66731400000000007</v>
      </c>
    </row>
    <row r="47" spans="1:7" x14ac:dyDescent="0.25">
      <c r="A47" s="353" t="str">
        <f>Zones!A40</f>
        <v>Perimeter_Enclosed_ Office_NE_FloorM</v>
      </c>
      <c r="B47" s="431" t="s">
        <v>440</v>
      </c>
      <c r="C47" s="424">
        <f>Zones!G40*Zones!I40</f>
        <v>9173.7999999999993</v>
      </c>
      <c r="D47" s="423">
        <f>Zones!J40*Zones!I40</f>
        <v>45.869</v>
      </c>
      <c r="E47" s="353">
        <v>0.18</v>
      </c>
      <c r="F47" s="422">
        <f t="shared" si="2"/>
        <v>8.2564200000000003</v>
      </c>
      <c r="G47" s="422">
        <f t="shared" si="3"/>
        <v>0.13760700000000001</v>
      </c>
    </row>
    <row r="48" spans="1:7" x14ac:dyDescent="0.25">
      <c r="A48" s="353" t="str">
        <f>Zones!A41</f>
        <v>Perimeter_Enclosed_ Office_NW_FloorM</v>
      </c>
      <c r="B48" s="431" t="s">
        <v>440</v>
      </c>
      <c r="C48" s="424">
        <f>Zones!G41*Zones!I41</f>
        <v>11312.1</v>
      </c>
      <c r="D48" s="423">
        <f>Zones!J41*Zones!I41</f>
        <v>56.560500000000005</v>
      </c>
      <c r="E48" s="353">
        <v>0.18</v>
      </c>
      <c r="F48" s="422">
        <f t="shared" si="2"/>
        <v>10.18089</v>
      </c>
      <c r="G48" s="422">
        <f t="shared" si="3"/>
        <v>0.16968149999999999</v>
      </c>
    </row>
    <row r="49" spans="1:7" x14ac:dyDescent="0.25">
      <c r="A49" s="353" t="str">
        <f>Zones!A42</f>
        <v>Perimeter_Enclosed_ Office_SW_FloorM</v>
      </c>
      <c r="B49" s="431" t="s">
        <v>440</v>
      </c>
      <c r="C49" s="424">
        <f>Zones!G42*Zones!I42</f>
        <v>10104.9</v>
      </c>
      <c r="D49" s="423">
        <f>Zones!J42*Zones!I42</f>
        <v>50.524499999999996</v>
      </c>
      <c r="E49" s="353">
        <v>0.18</v>
      </c>
      <c r="F49" s="422">
        <f t="shared" si="2"/>
        <v>9.0944099999999981</v>
      </c>
      <c r="G49" s="422">
        <f t="shared" si="3"/>
        <v>0.15157349999999997</v>
      </c>
    </row>
    <row r="50" spans="1:7" x14ac:dyDescent="0.25">
      <c r="A50" s="353" t="str">
        <f>Zones!A43</f>
        <v>Perimeter_Enclosed_ Office_SE_FloorM</v>
      </c>
      <c r="B50" s="431" t="s">
        <v>440</v>
      </c>
      <c r="C50" s="424">
        <f>Zones!G43*Zones!I43</f>
        <v>10334.799999999999</v>
      </c>
      <c r="D50" s="423">
        <f>Zones!J43*Zones!I43</f>
        <v>51.673999999999999</v>
      </c>
      <c r="E50" s="353">
        <v>0.18</v>
      </c>
      <c r="F50" s="422">
        <f t="shared" si="2"/>
        <v>9.3013199999999987</v>
      </c>
      <c r="G50" s="422">
        <f t="shared" si="3"/>
        <v>0.15502199999999997</v>
      </c>
    </row>
    <row r="51" spans="1:7" x14ac:dyDescent="0.25">
      <c r="A51" s="353" t="str">
        <f>Zones!A44</f>
        <v>Core_Enclosed_ Office_FloorM</v>
      </c>
      <c r="B51" s="431" t="s">
        <v>440</v>
      </c>
      <c r="C51" s="424">
        <f>Zones!G44*Zones!I44</f>
        <v>32330</v>
      </c>
      <c r="D51" s="423">
        <f>Zones!J44*Zones!I44</f>
        <v>161.64999999999998</v>
      </c>
      <c r="E51" s="353">
        <v>0.18</v>
      </c>
      <c r="F51" s="422">
        <f t="shared" si="2"/>
        <v>29.096999999999994</v>
      </c>
      <c r="G51" s="422">
        <f t="shared" si="3"/>
        <v>0.48494999999999988</v>
      </c>
    </row>
    <row r="52" spans="1:7" x14ac:dyDescent="0.25">
      <c r="A52" s="353" t="str">
        <f>Zones!A45</f>
        <v>Server_Room_FloorM</v>
      </c>
      <c r="B52" s="431" t="s">
        <v>440</v>
      </c>
      <c r="C52" s="424">
        <f>Zones!G45*Zones!I45</f>
        <v>4180</v>
      </c>
      <c r="D52" s="423">
        <f>Zones!J45*Zones!I45</f>
        <v>0</v>
      </c>
      <c r="E52" s="353">
        <v>0.18</v>
      </c>
      <c r="F52" s="422">
        <f t="shared" si="2"/>
        <v>0</v>
      </c>
      <c r="G52" s="422">
        <f t="shared" si="3"/>
        <v>0</v>
      </c>
    </row>
    <row r="53" spans="1:7" x14ac:dyDescent="0.25">
      <c r="A53" s="353" t="str">
        <f>Zones!A46</f>
        <v>Mech/Elec_FloorM</v>
      </c>
      <c r="B53" s="431" t="s">
        <v>440</v>
      </c>
      <c r="C53" s="424">
        <f>Zones!G46*Zones!I46</f>
        <v>10700</v>
      </c>
      <c r="D53" s="423">
        <f>Zones!J46*Zones!I46</f>
        <v>0</v>
      </c>
      <c r="E53" s="353">
        <v>0.18</v>
      </c>
      <c r="F53" s="422">
        <f t="shared" si="2"/>
        <v>0</v>
      </c>
      <c r="G53" s="422">
        <f t="shared" si="3"/>
        <v>0</v>
      </c>
    </row>
    <row r="54" spans="1:7" x14ac:dyDescent="0.25">
      <c r="A54" s="353" t="str">
        <f>Zones!A47</f>
        <v>Conference_N_FloorM</v>
      </c>
      <c r="B54" s="431" t="s">
        <v>440</v>
      </c>
      <c r="C54" s="424">
        <f>Zones!G47*Zones!I47</f>
        <v>7898</v>
      </c>
      <c r="D54" s="423">
        <f>Zones!J47*Zones!I47</f>
        <v>260.63399999999996</v>
      </c>
      <c r="E54" s="353">
        <v>0.09</v>
      </c>
      <c r="F54" s="422">
        <f t="shared" si="2"/>
        <v>23.457059999999995</v>
      </c>
      <c r="G54" s="422">
        <f t="shared" si="3"/>
        <v>0.39095099999999994</v>
      </c>
    </row>
    <row r="55" spans="1:7" x14ac:dyDescent="0.25">
      <c r="A55" s="353" t="str">
        <f>Zones!A48</f>
        <v>Conference_W_FloorM</v>
      </c>
      <c r="B55" s="431" t="s">
        <v>440</v>
      </c>
      <c r="C55" s="424">
        <f>Zones!G48*Zones!I48</f>
        <v>3364.4</v>
      </c>
      <c r="D55" s="423">
        <f>Zones!J48*Zones!I48</f>
        <v>111.0252</v>
      </c>
      <c r="E55" s="353">
        <v>0.09</v>
      </c>
      <c r="F55" s="422">
        <f t="shared" si="2"/>
        <v>9.9922679999999993</v>
      </c>
      <c r="G55" s="422">
        <f t="shared" si="3"/>
        <v>0.16653779999999999</v>
      </c>
    </row>
    <row r="56" spans="1:7" x14ac:dyDescent="0.25">
      <c r="A56" s="353" t="str">
        <f>Zones!A49</f>
        <v>Conference_S_FloorM</v>
      </c>
      <c r="B56" s="431" t="s">
        <v>440</v>
      </c>
      <c r="C56" s="424">
        <f>Zones!G49*Zones!I49</f>
        <v>7638</v>
      </c>
      <c r="D56" s="423">
        <f>Zones!J49*Zones!I49</f>
        <v>252.05399999999997</v>
      </c>
      <c r="E56" s="353">
        <v>0.09</v>
      </c>
      <c r="F56" s="422">
        <f t="shared" si="2"/>
        <v>22.684859999999997</v>
      </c>
      <c r="G56" s="422">
        <f t="shared" si="3"/>
        <v>0.37808099999999994</v>
      </c>
    </row>
    <row r="57" spans="1:7" x14ac:dyDescent="0.25">
      <c r="A57" s="353" t="str">
        <f>Zones!A50</f>
        <v>Conference_E_FloorM</v>
      </c>
      <c r="B57" s="431" t="s">
        <v>440</v>
      </c>
      <c r="C57" s="424">
        <f>Zones!G50*Zones!I50</f>
        <v>4332</v>
      </c>
      <c r="D57" s="423">
        <f>Zones!J50*Zones!I50</f>
        <v>142.95600000000002</v>
      </c>
      <c r="E57" s="353">
        <v>0.09</v>
      </c>
      <c r="F57" s="422">
        <f t="shared" si="2"/>
        <v>12.866040000000002</v>
      </c>
      <c r="G57" s="422">
        <f t="shared" si="3"/>
        <v>0.21443400000000004</v>
      </c>
    </row>
    <row r="58" spans="1:7" x14ac:dyDescent="0.25">
      <c r="A58" s="353" t="str">
        <f>Zones!A51</f>
        <v>Break_FloorM</v>
      </c>
      <c r="B58" s="431" t="s">
        <v>440</v>
      </c>
      <c r="C58" s="424">
        <f>Zones!G51*Zones!I51</f>
        <v>9100</v>
      </c>
      <c r="D58" s="423">
        <f>Zones!J51*Zones!I51</f>
        <v>300.3</v>
      </c>
      <c r="E58" s="353">
        <v>0.09</v>
      </c>
      <c r="F58" s="422">
        <f t="shared" si="2"/>
        <v>27.027000000000001</v>
      </c>
      <c r="G58" s="422">
        <f t="shared" si="3"/>
        <v>0.45045000000000002</v>
      </c>
    </row>
    <row r="59" spans="1:7" x14ac:dyDescent="0.25">
      <c r="A59" s="353" t="str">
        <f>Zones!A52</f>
        <v>Storage_FloorM</v>
      </c>
      <c r="B59" s="431"/>
      <c r="C59" s="424">
        <f>Zones!G52*Zones!I52</f>
        <v>7380</v>
      </c>
      <c r="D59" s="423">
        <f>Zones!J52*Zones!I52</f>
        <v>0</v>
      </c>
      <c r="E59" s="353">
        <v>0</v>
      </c>
      <c r="F59" s="422">
        <f t="shared" si="2"/>
        <v>0</v>
      </c>
      <c r="G59" s="422">
        <f t="shared" si="3"/>
        <v>0</v>
      </c>
    </row>
    <row r="60" spans="1:7" x14ac:dyDescent="0.25">
      <c r="A60" s="353" t="str">
        <f>Zones!A53</f>
        <v>Lobby_FloorM</v>
      </c>
      <c r="B60" s="431" t="s">
        <v>440</v>
      </c>
      <c r="C60" s="424">
        <f>Zones!G53*Zones!I53</f>
        <v>6840</v>
      </c>
      <c r="D60" s="423">
        <f>Zones!J53*Zones!I53</f>
        <v>68.400000000000006</v>
      </c>
      <c r="E60" s="353">
        <v>0.09</v>
      </c>
      <c r="F60" s="422">
        <f t="shared" si="2"/>
        <v>6.1560000000000006</v>
      </c>
      <c r="G60" s="422">
        <f t="shared" si="3"/>
        <v>0.10260000000000001</v>
      </c>
    </row>
    <row r="61" spans="1:7" x14ac:dyDescent="0.25">
      <c r="A61" s="353" t="str">
        <f>Zones!A54</f>
        <v>Restroom_FloorM</v>
      </c>
      <c r="B61" s="431"/>
      <c r="C61" s="424">
        <f>Zones!G54*Zones!I54</f>
        <v>11550</v>
      </c>
      <c r="D61" s="423">
        <f>Zones!J54*Zones!I54</f>
        <v>0</v>
      </c>
      <c r="E61" s="353">
        <v>0</v>
      </c>
      <c r="F61" s="422">
        <f t="shared" si="2"/>
        <v>0</v>
      </c>
      <c r="G61" s="422">
        <f t="shared" si="3"/>
        <v>0</v>
      </c>
    </row>
    <row r="62" spans="1:7" x14ac:dyDescent="0.25">
      <c r="A62" s="353" t="str">
        <f>Zones!A55</f>
        <v>Stair/Elevator_FloorM</v>
      </c>
      <c r="B62" s="431"/>
      <c r="C62" s="424">
        <f>Zones!G55*Zones!I55</f>
        <v>8480</v>
      </c>
      <c r="D62" s="423">
        <f>Zones!J55*Zones!I55</f>
        <v>0</v>
      </c>
      <c r="E62" s="353">
        <v>0</v>
      </c>
      <c r="F62" s="422">
        <f t="shared" si="2"/>
        <v>0</v>
      </c>
      <c r="G62" s="422">
        <f t="shared" si="3"/>
        <v>0</v>
      </c>
    </row>
    <row r="63" spans="1:7" x14ac:dyDescent="0.25">
      <c r="A63" s="353" t="str">
        <f>Zones!A56</f>
        <v>Corridor_W_FloorM</v>
      </c>
      <c r="B63" s="431"/>
      <c r="C63" s="424">
        <f>Zones!G56*Zones!I56</f>
        <v>10058.799999999999</v>
      </c>
      <c r="D63" s="423">
        <f>Zones!J56*Zones!I56</f>
        <v>50.293999999999997</v>
      </c>
      <c r="E63" s="353">
        <v>0</v>
      </c>
      <c r="F63" s="422">
        <f t="shared" si="2"/>
        <v>0</v>
      </c>
      <c r="G63" s="422">
        <f t="shared" si="3"/>
        <v>0</v>
      </c>
    </row>
    <row r="64" spans="1:7" x14ac:dyDescent="0.25">
      <c r="A64" s="353" t="str">
        <f>Zones!A57</f>
        <v>Corridor_E_FloorM</v>
      </c>
      <c r="B64" s="431"/>
      <c r="C64" s="424">
        <f>Zones!G57*Zones!I57</f>
        <v>5853.6</v>
      </c>
      <c r="D64" s="423">
        <f>Zones!J57*Zones!I57</f>
        <v>29.268000000000001</v>
      </c>
      <c r="E64" s="353">
        <v>0</v>
      </c>
      <c r="F64" s="422">
        <f t="shared" si="2"/>
        <v>0</v>
      </c>
      <c r="G64" s="422">
        <f t="shared" si="3"/>
        <v>0</v>
      </c>
    </row>
    <row r="65" spans="1:7" x14ac:dyDescent="0.25">
      <c r="A65" s="353" t="str">
        <f>Zones!A58</f>
        <v>Plenum_FloorM</v>
      </c>
      <c r="B65" s="431"/>
      <c r="C65" s="424">
        <f>Zones!G58*Zones!I58</f>
        <v>383520.15</v>
      </c>
      <c r="D65" s="423">
        <f>Zones!J58*Zones!I58</f>
        <v>0</v>
      </c>
      <c r="E65" s="353">
        <v>0</v>
      </c>
      <c r="F65" s="422">
        <f t="shared" si="2"/>
        <v>0</v>
      </c>
      <c r="G65" s="422">
        <f t="shared" si="3"/>
        <v>0</v>
      </c>
    </row>
    <row r="66" spans="1:7" x14ac:dyDescent="0.25">
      <c r="A66" s="353" t="str">
        <f>Zones!A59</f>
        <v>Perimeter_Open_ Office_N_FloorT</v>
      </c>
      <c r="B66" s="431" t="s">
        <v>440</v>
      </c>
      <c r="C66" s="424">
        <f>Zones!G59*Zones!I59</f>
        <v>7131.29</v>
      </c>
      <c r="D66" s="423">
        <f>Zones!J59*Zones!I59</f>
        <v>35.65645</v>
      </c>
      <c r="E66" s="353">
        <v>0.18</v>
      </c>
      <c r="F66" s="422">
        <f t="shared" si="2"/>
        <v>6.4181609999999996</v>
      </c>
      <c r="G66" s="422">
        <f t="shared" si="3"/>
        <v>0.10696934999999999</v>
      </c>
    </row>
    <row r="67" spans="1:7" x14ac:dyDescent="0.25">
      <c r="A67" s="353" t="str">
        <f>Zones!A60</f>
        <v>Perimeter_Open_ Office_S_FloorT</v>
      </c>
      <c r="B67" s="431" t="s">
        <v>440</v>
      </c>
      <c r="C67" s="424">
        <f>Zones!G60*Zones!I60</f>
        <v>5237.37</v>
      </c>
      <c r="D67" s="423">
        <f>Zones!J60*Zones!I60</f>
        <v>26.18685</v>
      </c>
      <c r="E67" s="353">
        <v>0.18</v>
      </c>
      <c r="F67" s="422">
        <f t="shared" si="2"/>
        <v>4.7136329999999997</v>
      </c>
      <c r="G67" s="422">
        <f t="shared" si="3"/>
        <v>7.8560549999999993E-2</v>
      </c>
    </row>
    <row r="68" spans="1:7" x14ac:dyDescent="0.25">
      <c r="A68" s="353" t="str">
        <f>Zones!A61</f>
        <v>Perimeter_Open_ Office_E_FloorT</v>
      </c>
      <c r="B68" s="431" t="s">
        <v>440</v>
      </c>
      <c r="C68" s="424">
        <f>Zones!G61*Zones!I61</f>
        <v>4470.4399999999996</v>
      </c>
      <c r="D68" s="423">
        <f>Zones!J61*Zones!I61</f>
        <v>22.352199999999996</v>
      </c>
      <c r="E68" s="353">
        <v>0.18</v>
      </c>
      <c r="F68" s="422">
        <f t="shared" si="2"/>
        <v>4.0233959999999991</v>
      </c>
      <c r="G68" s="422">
        <f t="shared" si="3"/>
        <v>6.705659999999998E-2</v>
      </c>
    </row>
    <row r="69" spans="1:7" x14ac:dyDescent="0.25">
      <c r="A69" s="353" t="str">
        <f>Zones!A62</f>
        <v>Perimeter_Open_ Office_W_FloorT</v>
      </c>
      <c r="B69" s="431" t="s">
        <v>440</v>
      </c>
      <c r="C69" s="424">
        <f>Zones!G62*Zones!I62</f>
        <v>4448.76</v>
      </c>
      <c r="D69" s="423">
        <f>Zones!J62*Zones!I62</f>
        <v>22.243800000000004</v>
      </c>
      <c r="E69" s="353">
        <v>0.18</v>
      </c>
      <c r="F69" s="422">
        <f t="shared" si="2"/>
        <v>4.0038840000000002</v>
      </c>
      <c r="G69" s="422">
        <f t="shared" si="3"/>
        <v>6.673140000000001E-2</v>
      </c>
    </row>
    <row r="70" spans="1:7" x14ac:dyDescent="0.25">
      <c r="A70" s="353" t="str">
        <f>Zones!A63</f>
        <v>Perimeter_Enclosed_ Office_NE_FloorT</v>
      </c>
      <c r="B70" s="431" t="s">
        <v>440</v>
      </c>
      <c r="C70" s="424">
        <f>Zones!G63*Zones!I63</f>
        <v>917.38</v>
      </c>
      <c r="D70" s="423">
        <f>Zones!J63*Zones!I63</f>
        <v>4.5869</v>
      </c>
      <c r="E70" s="353">
        <v>0.18</v>
      </c>
      <c r="F70" s="422">
        <f t="shared" si="2"/>
        <v>0.82564199999999999</v>
      </c>
      <c r="G70" s="422">
        <f t="shared" si="3"/>
        <v>1.3760699999999999E-2</v>
      </c>
    </row>
    <row r="71" spans="1:7" x14ac:dyDescent="0.25">
      <c r="A71" s="353" t="str">
        <f>Zones!A64</f>
        <v>Perimeter_Enclosed_ Office_NW_FloorT</v>
      </c>
      <c r="B71" s="431" t="s">
        <v>440</v>
      </c>
      <c r="C71" s="424">
        <f>Zones!G64*Zones!I64</f>
        <v>1131.21</v>
      </c>
      <c r="D71" s="423">
        <f>Zones!J64*Zones!I64</f>
        <v>5.6560500000000005</v>
      </c>
      <c r="E71" s="353">
        <v>0.18</v>
      </c>
      <c r="F71" s="422">
        <f t="shared" si="2"/>
        <v>1.018089</v>
      </c>
      <c r="G71" s="422">
        <f t="shared" si="3"/>
        <v>1.6968150000000001E-2</v>
      </c>
    </row>
    <row r="72" spans="1:7" x14ac:dyDescent="0.25">
      <c r="A72" s="353" t="str">
        <f>Zones!A65</f>
        <v>Perimeter_Enclosed_ Office_SW_FloorT</v>
      </c>
      <c r="B72" s="431" t="s">
        <v>440</v>
      </c>
      <c r="C72" s="424">
        <f>Zones!G65*Zones!I65</f>
        <v>1010.49</v>
      </c>
      <c r="D72" s="423">
        <f>Zones!J65*Zones!I65</f>
        <v>5.0524499999999994</v>
      </c>
      <c r="E72" s="353">
        <v>0.18</v>
      </c>
      <c r="F72" s="422">
        <f t="shared" si="2"/>
        <v>0.90944099999999983</v>
      </c>
      <c r="G72" s="422">
        <f t="shared" si="3"/>
        <v>1.5157349999999997E-2</v>
      </c>
    </row>
    <row r="73" spans="1:7" x14ac:dyDescent="0.25">
      <c r="A73" s="353" t="str">
        <f>Zones!A66</f>
        <v>Perimeter_Enclosed_ Office_SE_FloorT</v>
      </c>
      <c r="B73" s="431" t="s">
        <v>440</v>
      </c>
      <c r="C73" s="424">
        <f>Zones!G66*Zones!I66</f>
        <v>1033.48</v>
      </c>
      <c r="D73" s="423">
        <f>Zones!J66*Zones!I66</f>
        <v>5.1673999999999998</v>
      </c>
      <c r="E73" s="353">
        <v>0.18</v>
      </c>
      <c r="F73" s="422">
        <f t="shared" si="2"/>
        <v>0.93013199999999996</v>
      </c>
      <c r="G73" s="422">
        <f t="shared" si="3"/>
        <v>1.5502199999999999E-2</v>
      </c>
    </row>
    <row r="74" spans="1:7" x14ac:dyDescent="0.25">
      <c r="A74" s="353" t="str">
        <f>Zones!A67</f>
        <v>Core_Enclosed_ Office_FloorT</v>
      </c>
      <c r="B74" s="431" t="s">
        <v>440</v>
      </c>
      <c r="C74" s="424">
        <f>Zones!G67*Zones!I67</f>
        <v>3233</v>
      </c>
      <c r="D74" s="423">
        <f>Zones!J67*Zones!I67</f>
        <v>16.164999999999999</v>
      </c>
      <c r="E74" s="353">
        <v>0.18</v>
      </c>
      <c r="F74" s="422">
        <f t="shared" si="2"/>
        <v>2.9097</v>
      </c>
      <c r="G74" s="422">
        <f t="shared" si="3"/>
        <v>4.8494999999999996E-2</v>
      </c>
    </row>
    <row r="75" spans="1:7" x14ac:dyDescent="0.25">
      <c r="A75" s="353" t="str">
        <f>Zones!A68</f>
        <v>Server_Room_FloorT</v>
      </c>
      <c r="B75" s="431" t="s">
        <v>440</v>
      </c>
      <c r="C75" s="424">
        <f>Zones!G68*Zones!I68</f>
        <v>418</v>
      </c>
      <c r="D75" s="423">
        <f>Zones!J68*Zones!I68</f>
        <v>0</v>
      </c>
      <c r="E75" s="353">
        <v>0.18</v>
      </c>
      <c r="F75" s="422">
        <f t="shared" si="2"/>
        <v>0</v>
      </c>
      <c r="G75" s="422">
        <f t="shared" si="3"/>
        <v>0</v>
      </c>
    </row>
    <row r="76" spans="1:7" x14ac:dyDescent="0.25">
      <c r="A76" s="353" t="str">
        <f>Zones!A69</f>
        <v>Mech/Elec_FloorT</v>
      </c>
      <c r="B76" s="431" t="s">
        <v>440</v>
      </c>
      <c r="C76" s="424">
        <f>Zones!G69*Zones!I69</f>
        <v>1070</v>
      </c>
      <c r="D76" s="423">
        <f>Zones!J69*Zones!I69</f>
        <v>0</v>
      </c>
      <c r="E76" s="353">
        <v>0.18</v>
      </c>
      <c r="F76" s="422">
        <f t="shared" si="2"/>
        <v>0</v>
      </c>
      <c r="G76" s="422">
        <f t="shared" si="3"/>
        <v>0</v>
      </c>
    </row>
    <row r="77" spans="1:7" x14ac:dyDescent="0.25">
      <c r="A77" s="353" t="str">
        <f>Zones!A70</f>
        <v>Conference_N_FloorT</v>
      </c>
      <c r="B77" s="431" t="s">
        <v>440</v>
      </c>
      <c r="C77" s="424">
        <f>Zones!G70*Zones!I70</f>
        <v>789.8</v>
      </c>
      <c r="D77" s="423">
        <f>Zones!J70*Zones!I70</f>
        <v>26.063399999999998</v>
      </c>
      <c r="E77" s="353">
        <v>0.09</v>
      </c>
      <c r="F77" s="422">
        <f t="shared" ref="F77:F88" si="4">D77*E77</f>
        <v>2.3457059999999998</v>
      </c>
      <c r="G77" s="422">
        <f t="shared" ref="G77:G88" si="5">F77/60</f>
        <v>3.9095100000000001E-2</v>
      </c>
    </row>
    <row r="78" spans="1:7" x14ac:dyDescent="0.25">
      <c r="A78" s="353" t="str">
        <f>Zones!A71</f>
        <v>Conference_W_FloorT</v>
      </c>
      <c r="B78" s="431" t="s">
        <v>440</v>
      </c>
      <c r="C78" s="424">
        <f>Zones!G71*Zones!I71</f>
        <v>336.44</v>
      </c>
      <c r="D78" s="423">
        <f>Zones!J71*Zones!I71</f>
        <v>11.10252</v>
      </c>
      <c r="E78" s="353">
        <v>0.09</v>
      </c>
      <c r="F78" s="422">
        <f t="shared" si="4"/>
        <v>0.99922679999999997</v>
      </c>
      <c r="G78" s="422">
        <f t="shared" si="5"/>
        <v>1.665378E-2</v>
      </c>
    </row>
    <row r="79" spans="1:7" x14ac:dyDescent="0.25">
      <c r="A79" s="353" t="str">
        <f>Zones!A72</f>
        <v>Conference_S_FloorT</v>
      </c>
      <c r="B79" s="431" t="s">
        <v>440</v>
      </c>
      <c r="C79" s="424">
        <f>Zones!G72*Zones!I72</f>
        <v>763.8</v>
      </c>
      <c r="D79" s="423">
        <f>Zones!J72*Zones!I72</f>
        <v>25.205399999999997</v>
      </c>
      <c r="E79" s="353">
        <v>0.09</v>
      </c>
      <c r="F79" s="422">
        <f t="shared" si="4"/>
        <v>2.2684859999999998</v>
      </c>
      <c r="G79" s="422">
        <f t="shared" si="5"/>
        <v>3.7808099999999997E-2</v>
      </c>
    </row>
    <row r="80" spans="1:7" x14ac:dyDescent="0.25">
      <c r="A80" s="353" t="str">
        <f>Zones!A73</f>
        <v>Conference_E_FloorT</v>
      </c>
      <c r="B80" s="431" t="s">
        <v>440</v>
      </c>
      <c r="C80" s="424">
        <f>Zones!G73*Zones!I73</f>
        <v>433.2</v>
      </c>
      <c r="D80" s="423">
        <f>Zones!J73*Zones!I73</f>
        <v>14.2956</v>
      </c>
      <c r="E80" s="353">
        <v>0.09</v>
      </c>
      <c r="F80" s="422">
        <f t="shared" si="4"/>
        <v>1.2866040000000001</v>
      </c>
      <c r="G80" s="422">
        <f t="shared" si="5"/>
        <v>2.1443400000000001E-2</v>
      </c>
    </row>
    <row r="81" spans="1:10" x14ac:dyDescent="0.25">
      <c r="A81" s="353" t="str">
        <f>Zones!A74</f>
        <v>Break_FloorT</v>
      </c>
      <c r="B81" s="431" t="s">
        <v>440</v>
      </c>
      <c r="C81" s="424">
        <f>Zones!G74*Zones!I74</f>
        <v>910</v>
      </c>
      <c r="D81" s="423">
        <f>Zones!J74*Zones!I74</f>
        <v>30.03</v>
      </c>
      <c r="E81" s="353">
        <v>0.09</v>
      </c>
      <c r="F81" s="422">
        <f t="shared" si="4"/>
        <v>2.7027000000000001</v>
      </c>
      <c r="G81" s="422">
        <f t="shared" si="5"/>
        <v>4.5045000000000002E-2</v>
      </c>
    </row>
    <row r="82" spans="1:10" x14ac:dyDescent="0.25">
      <c r="A82" s="353" t="str">
        <f>Zones!A75</f>
        <v>Storage_FloorT</v>
      </c>
      <c r="B82" s="431"/>
      <c r="C82" s="424">
        <f>Zones!G75*Zones!I75</f>
        <v>738</v>
      </c>
      <c r="D82" s="423">
        <f>Zones!J75*Zones!I75</f>
        <v>0</v>
      </c>
      <c r="E82" s="353">
        <v>0</v>
      </c>
      <c r="F82" s="422">
        <f t="shared" si="4"/>
        <v>0</v>
      </c>
      <c r="G82" s="422">
        <f t="shared" si="5"/>
        <v>0</v>
      </c>
    </row>
    <row r="83" spans="1:10" x14ac:dyDescent="0.25">
      <c r="A83" s="353" t="str">
        <f>Zones!A76</f>
        <v>Lobby_FloorT</v>
      </c>
      <c r="B83" s="431" t="s">
        <v>440</v>
      </c>
      <c r="C83" s="424">
        <f>Zones!G76*Zones!I76</f>
        <v>684</v>
      </c>
      <c r="D83" s="423">
        <f>Zones!J76*Zones!I76</f>
        <v>6.84</v>
      </c>
      <c r="E83" s="353">
        <v>0.09</v>
      </c>
      <c r="F83" s="422">
        <f t="shared" si="4"/>
        <v>0.61559999999999993</v>
      </c>
      <c r="G83" s="422">
        <f t="shared" si="5"/>
        <v>1.0259999999999998E-2</v>
      </c>
    </row>
    <row r="84" spans="1:10" x14ac:dyDescent="0.25">
      <c r="A84" s="353" t="str">
        <f>Zones!A77</f>
        <v>Restroom_FloorT</v>
      </c>
      <c r="B84" s="431"/>
      <c r="C84" s="424">
        <f>Zones!G77*Zones!I77</f>
        <v>1155</v>
      </c>
      <c r="D84" s="423">
        <f>Zones!J77*Zones!I77</f>
        <v>0</v>
      </c>
      <c r="E84" s="353">
        <v>0</v>
      </c>
      <c r="F84" s="422">
        <f t="shared" si="4"/>
        <v>0</v>
      </c>
      <c r="G84" s="422">
        <f t="shared" si="5"/>
        <v>0</v>
      </c>
    </row>
    <row r="85" spans="1:10" x14ac:dyDescent="0.25">
      <c r="A85" s="353" t="str">
        <f>Zones!A78</f>
        <v>Stair/Elevator_FloorT</v>
      </c>
      <c r="B85" s="431"/>
      <c r="C85" s="424">
        <f>Zones!G78*Zones!I78</f>
        <v>848</v>
      </c>
      <c r="D85" s="423">
        <f>Zones!J78*Zones!I78</f>
        <v>0</v>
      </c>
      <c r="E85" s="353">
        <v>0</v>
      </c>
      <c r="F85" s="422">
        <f t="shared" si="4"/>
        <v>0</v>
      </c>
      <c r="G85" s="422">
        <f t="shared" si="5"/>
        <v>0</v>
      </c>
    </row>
    <row r="86" spans="1:10" x14ac:dyDescent="0.25">
      <c r="A86" s="353" t="str">
        <f>Zones!A79</f>
        <v>Corridor_W_FloorT</v>
      </c>
      <c r="B86" s="431"/>
      <c r="C86" s="424">
        <f>Zones!G79*Zones!I79</f>
        <v>1005.88</v>
      </c>
      <c r="D86" s="423">
        <f>Zones!J79*Zones!I79</f>
        <v>5.0293999999999999</v>
      </c>
      <c r="E86" s="353">
        <v>0</v>
      </c>
      <c r="F86" s="422">
        <f t="shared" si="4"/>
        <v>0</v>
      </c>
      <c r="G86" s="422">
        <f t="shared" si="5"/>
        <v>0</v>
      </c>
    </row>
    <row r="87" spans="1:10" x14ac:dyDescent="0.25">
      <c r="A87" s="353" t="str">
        <f>Zones!A80</f>
        <v>Corridor_E_FloorT</v>
      </c>
      <c r="B87" s="431"/>
      <c r="C87" s="424">
        <f>Zones!G80*Zones!I80</f>
        <v>585.36</v>
      </c>
      <c r="D87" s="423">
        <f>Zones!J80*Zones!I80</f>
        <v>2.9268000000000001</v>
      </c>
      <c r="E87" s="353">
        <v>0</v>
      </c>
      <c r="F87" s="422">
        <f t="shared" si="4"/>
        <v>0</v>
      </c>
      <c r="G87" s="422">
        <f t="shared" si="5"/>
        <v>0</v>
      </c>
    </row>
    <row r="88" spans="1:10" x14ac:dyDescent="0.25">
      <c r="A88" s="352" t="str">
        <f>Zones!A81</f>
        <v>Plenum_FloorT</v>
      </c>
      <c r="B88" s="431"/>
      <c r="C88" s="424">
        <f>Zones!G81*Zones!I81</f>
        <v>38352.014999999999</v>
      </c>
      <c r="D88" s="423">
        <f>Zones!J81*Zones!I81</f>
        <v>0</v>
      </c>
      <c r="E88" s="353">
        <v>0</v>
      </c>
      <c r="F88" s="422">
        <f t="shared" si="4"/>
        <v>0</v>
      </c>
      <c r="G88" s="422">
        <f t="shared" si="5"/>
        <v>0</v>
      </c>
    </row>
    <row r="89" spans="1:10" x14ac:dyDescent="0.25">
      <c r="A89" s="354"/>
    </row>
    <row r="90" spans="1:10" x14ac:dyDescent="0.25">
      <c r="A90" s="354"/>
    </row>
    <row r="91" spans="1:10" x14ac:dyDescent="0.25">
      <c r="A91" s="354"/>
    </row>
    <row r="92" spans="1:10" x14ac:dyDescent="0.25">
      <c r="A92" s="354"/>
    </row>
    <row r="93" spans="1:10" ht="15.6" x14ac:dyDescent="0.25">
      <c r="A93" s="559" t="s">
        <v>494</v>
      </c>
      <c r="B93" s="559"/>
      <c r="C93" s="559"/>
      <c r="D93" s="559"/>
      <c r="E93" s="559"/>
      <c r="F93" s="559"/>
      <c r="G93" s="559"/>
      <c r="H93" s="559"/>
      <c r="I93" s="559"/>
      <c r="J93" s="559"/>
    </row>
    <row r="94" spans="1:10" ht="66" x14ac:dyDescent="0.25">
      <c r="A94" s="406" t="s">
        <v>481</v>
      </c>
      <c r="B94" s="503" t="s">
        <v>492</v>
      </c>
      <c r="C94" s="503" t="s">
        <v>495</v>
      </c>
      <c r="D94" s="503" t="s">
        <v>496</v>
      </c>
      <c r="E94" s="503" t="s">
        <v>497</v>
      </c>
      <c r="F94" s="503" t="s">
        <v>498</v>
      </c>
      <c r="G94" s="629" t="s">
        <v>499</v>
      </c>
      <c r="H94" s="629"/>
      <c r="I94" s="503" t="s">
        <v>500</v>
      </c>
      <c r="J94" s="407" t="s">
        <v>313</v>
      </c>
    </row>
    <row r="95" spans="1:10" x14ac:dyDescent="0.25">
      <c r="A95" s="31" t="s">
        <v>501</v>
      </c>
      <c r="B95" s="408">
        <f>MAX(125,SUMIFS(F10:F88,B10:B88,"Gas"))</f>
        <v>456.71936285999993</v>
      </c>
      <c r="C95" s="408">
        <f>B95*(B99-B100)*8.2877*1</f>
        <v>302812.24508598569</v>
      </c>
      <c r="D95" s="408">
        <f>C95*B101</f>
        <v>181687.34705159141</v>
      </c>
      <c r="E95" s="421">
        <f>D95/$C$3</f>
        <v>227109.18381448925</v>
      </c>
      <c r="F95" s="410">
        <f>ROUNDUP((B95*F97)/B97,0)</f>
        <v>183</v>
      </c>
      <c r="G95" s="411">
        <f>(E95/800)+110*SQRT(F95)</f>
        <v>1771.9388981996667</v>
      </c>
      <c r="H95" s="412" t="s">
        <v>502</v>
      </c>
      <c r="I95" s="413">
        <f>G95/B106</f>
        <v>26.057924973524511</v>
      </c>
      <c r="J95" s="630" t="s">
        <v>503</v>
      </c>
    </row>
    <row r="96" spans="1:10" x14ac:dyDescent="0.25">
      <c r="A96" s="31" t="s">
        <v>504</v>
      </c>
      <c r="B96" s="408">
        <f>SUMIFS(F35:F88,B35:B88,"Electric")</f>
        <v>0</v>
      </c>
      <c r="C96" s="408">
        <f>B96*(B99-B100)*8.2877*1</f>
        <v>0</v>
      </c>
      <c r="D96" s="408">
        <f>C96*B101</f>
        <v>0</v>
      </c>
      <c r="E96" s="409">
        <f>D96/1</f>
        <v>0</v>
      </c>
      <c r="F96" s="410">
        <f>ROUNDUP((B96*F97)/B97,0)</f>
        <v>0</v>
      </c>
      <c r="G96" s="414">
        <f>IFERROR(0.3+(27/F96),0)</f>
        <v>0</v>
      </c>
      <c r="H96" s="412" t="s">
        <v>505</v>
      </c>
      <c r="I96" s="415">
        <f>0.0834*G96*F96</f>
        <v>0</v>
      </c>
      <c r="J96" s="631"/>
    </row>
    <row r="97" spans="1:12" x14ac:dyDescent="0.25">
      <c r="A97" s="416" t="s">
        <v>506</v>
      </c>
      <c r="B97" s="408">
        <f>B95+B96</f>
        <v>456.71936285999993</v>
      </c>
      <c r="C97" s="16"/>
      <c r="D97" s="16"/>
      <c r="E97" s="409"/>
      <c r="F97" s="410">
        <f>B97*1*B102</f>
        <v>182.68774514399999</v>
      </c>
      <c r="G97" s="417"/>
      <c r="H97" s="412"/>
      <c r="I97" s="418"/>
      <c r="J97" s="631"/>
    </row>
    <row r="99" spans="1:12" x14ac:dyDescent="0.25">
      <c r="A99" s="6" t="s">
        <v>507</v>
      </c>
      <c r="B99" s="491">
        <v>135</v>
      </c>
      <c r="C99" s="6" t="s">
        <v>508</v>
      </c>
      <c r="F99" s="419"/>
      <c r="G99" s="420"/>
      <c r="H99" s="155"/>
    </row>
    <row r="100" spans="1:12" x14ac:dyDescent="0.25">
      <c r="A100" s="6" t="s">
        <v>509</v>
      </c>
      <c r="B100" s="491">
        <v>55</v>
      </c>
      <c r="C100" s="6" t="s">
        <v>510</v>
      </c>
    </row>
    <row r="101" spans="1:12" ht="14.4" x14ac:dyDescent="0.3">
      <c r="A101" t="s">
        <v>511</v>
      </c>
      <c r="B101" s="491">
        <v>0.6</v>
      </c>
      <c r="C101" s="6" t="s">
        <v>510</v>
      </c>
    </row>
    <row r="102" spans="1:12" x14ac:dyDescent="0.25">
      <c r="A102" s="6" t="s">
        <v>512</v>
      </c>
      <c r="B102" s="491">
        <v>0.4</v>
      </c>
      <c r="C102" s="6" t="s">
        <v>513</v>
      </c>
    </row>
    <row r="103" spans="1:12" x14ac:dyDescent="0.25">
      <c r="A103" s="626" t="s">
        <v>514</v>
      </c>
      <c r="B103" s="626"/>
      <c r="C103" s="626"/>
      <c r="D103" s="626"/>
      <c r="E103" s="626"/>
      <c r="F103" s="626"/>
      <c r="G103" s="626"/>
      <c r="H103" s="626"/>
      <c r="I103" s="626"/>
      <c r="J103" s="626"/>
    </row>
    <row r="104" spans="1:12" x14ac:dyDescent="0.25">
      <c r="A104" s="166"/>
      <c r="B104" s="166"/>
      <c r="C104" s="166"/>
      <c r="D104" s="166"/>
      <c r="E104" s="166"/>
      <c r="F104" s="166"/>
      <c r="G104" s="166"/>
      <c r="H104" s="166"/>
      <c r="I104" s="166"/>
      <c r="J104" s="166"/>
    </row>
    <row r="105" spans="1:12" x14ac:dyDescent="0.25">
      <c r="A105" s="502"/>
      <c r="B105" s="502"/>
      <c r="C105" s="502"/>
      <c r="D105" s="502"/>
      <c r="E105" s="502"/>
      <c r="F105" s="502"/>
      <c r="G105" s="502"/>
      <c r="H105" s="502"/>
      <c r="I105" s="502"/>
      <c r="J105" s="502"/>
    </row>
    <row r="106" spans="1:12" ht="14.4" x14ac:dyDescent="0.3">
      <c r="A106" t="s">
        <v>515</v>
      </c>
      <c r="B106" s="34">
        <v>68</v>
      </c>
      <c r="C106" s="502"/>
      <c r="D106" s="502"/>
      <c r="E106" s="502"/>
      <c r="F106" s="502"/>
      <c r="G106" s="502"/>
      <c r="H106" s="502"/>
      <c r="I106" s="502"/>
      <c r="J106" s="502"/>
    </row>
    <row r="107" spans="1:12" ht="14.4" x14ac:dyDescent="0.3">
      <c r="A107" t="s">
        <v>516</v>
      </c>
      <c r="B107" s="34">
        <f>B99-B106</f>
        <v>67</v>
      </c>
      <c r="C107" s="502"/>
      <c r="D107" s="502"/>
      <c r="E107" s="502"/>
      <c r="F107" s="502"/>
      <c r="G107" s="502"/>
      <c r="H107" s="502"/>
      <c r="I107" s="502"/>
      <c r="J107" s="502"/>
    </row>
    <row r="108" spans="1:12" x14ac:dyDescent="0.25">
      <c r="A108" s="354"/>
    </row>
    <row r="109" spans="1:12" x14ac:dyDescent="0.25">
      <c r="A109" s="354"/>
    </row>
    <row r="110" spans="1:12" x14ac:dyDescent="0.25">
      <c r="A110" s="354"/>
    </row>
    <row r="111" spans="1:12" s="69" customFormat="1" ht="17.399999999999999" hidden="1" x14ac:dyDescent="0.3">
      <c r="A111" s="27" t="s">
        <v>357</v>
      </c>
      <c r="B111" s="210"/>
      <c r="C111" s="210"/>
      <c r="D111" s="210"/>
      <c r="E111" s="210"/>
      <c r="F111" s="210"/>
      <c r="G111" s="210"/>
      <c r="H111" s="210"/>
      <c r="I111" s="210"/>
      <c r="J111" s="210"/>
      <c r="K111" s="211"/>
      <c r="L111" s="212"/>
    </row>
    <row r="112" spans="1:12" x14ac:dyDescent="0.25">
      <c r="A112" s="354"/>
    </row>
    <row r="113" spans="1:1" x14ac:dyDescent="0.25">
      <c r="A113" s="354"/>
    </row>
    <row r="114" spans="1:1" x14ac:dyDescent="0.25">
      <c r="A114" s="354"/>
    </row>
    <row r="115" spans="1:1" x14ac:dyDescent="0.25">
      <c r="A115" s="354"/>
    </row>
    <row r="116" spans="1:1" x14ac:dyDescent="0.25">
      <c r="A116" s="354"/>
    </row>
    <row r="117" spans="1:1" x14ac:dyDescent="0.25">
      <c r="A117" s="354"/>
    </row>
    <row r="118" spans="1:1" x14ac:dyDescent="0.25">
      <c r="A118" s="354"/>
    </row>
    <row r="119" spans="1:1" x14ac:dyDescent="0.25">
      <c r="A119" s="354"/>
    </row>
    <row r="120" spans="1:1" x14ac:dyDescent="0.25">
      <c r="A120" s="354"/>
    </row>
    <row r="121" spans="1:1" x14ac:dyDescent="0.25">
      <c r="A121" s="354"/>
    </row>
    <row r="122" spans="1:1" x14ac:dyDescent="0.25">
      <c r="A122" s="354"/>
    </row>
    <row r="123" spans="1:1" x14ac:dyDescent="0.25">
      <c r="A123" s="354"/>
    </row>
    <row r="124" spans="1:1" x14ac:dyDescent="0.25">
      <c r="A124" s="354"/>
    </row>
    <row r="125" spans="1:1" x14ac:dyDescent="0.25">
      <c r="A125" s="354"/>
    </row>
    <row r="126" spans="1:1" x14ac:dyDescent="0.25">
      <c r="A126" s="354"/>
    </row>
  </sheetData>
  <mergeCells count="6">
    <mergeCell ref="A103:J103"/>
    <mergeCell ref="A1:G1"/>
    <mergeCell ref="A8:G8"/>
    <mergeCell ref="A93:J93"/>
    <mergeCell ref="G94:H94"/>
    <mergeCell ref="J95:J9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28"/>
  <sheetViews>
    <sheetView zoomScaleNormal="100" workbookViewId="0">
      <selection sqref="A1:H1"/>
    </sheetView>
  </sheetViews>
  <sheetFormatPr defaultColWidth="8.6640625" defaultRowHeight="13.2" x14ac:dyDescent="0.25"/>
  <cols>
    <col min="1" max="1" width="38.88671875" style="6" customWidth="1"/>
    <col min="2" max="2" width="19" style="6" customWidth="1"/>
    <col min="3" max="3" width="26.5546875" style="6" customWidth="1"/>
    <col min="4" max="4" width="26.44140625" style="6" customWidth="1"/>
    <col min="5" max="5" width="21.33203125" style="6" customWidth="1"/>
    <col min="6" max="6" width="25.88671875" style="6" customWidth="1"/>
    <col min="7" max="7" width="32.5546875" style="6" customWidth="1"/>
    <col min="8" max="8" width="17.33203125" style="6" customWidth="1"/>
    <col min="9" max="9" width="13.33203125" style="6" customWidth="1"/>
    <col min="10" max="10" width="24" style="6" customWidth="1"/>
    <col min="11" max="11" width="10.5546875" style="6" customWidth="1"/>
    <col min="12" max="12" width="11.44140625" style="6" customWidth="1"/>
    <col min="13" max="13" width="10.5546875" style="6" customWidth="1"/>
    <col min="14" max="14" width="13.33203125" style="6" customWidth="1"/>
    <col min="15" max="15" width="9.6640625" style="6" customWidth="1"/>
    <col min="16" max="16" width="9.44140625" style="6" customWidth="1"/>
    <col min="17" max="17" width="12.6640625" style="6" customWidth="1"/>
    <col min="18" max="18" width="14.6640625" style="6" customWidth="1"/>
    <col min="19" max="19" width="20.6640625" style="6" customWidth="1"/>
    <col min="20" max="20" width="19.6640625" style="6" customWidth="1"/>
    <col min="21" max="26" width="8.6640625" style="6"/>
    <col min="27" max="27" width="13.6640625" style="6" bestFit="1" customWidth="1"/>
    <col min="28" max="16384" width="8.6640625" style="6"/>
  </cols>
  <sheetData>
    <row r="1" spans="1:8" ht="25.95" customHeight="1" x14ac:dyDescent="0.25">
      <c r="A1" s="636" t="str">
        <f>"Interior Lighting - " &amp; Prototype!A2</f>
        <v>Interior Lighting - OfficeLarge</v>
      </c>
      <c r="B1" s="559"/>
      <c r="C1" s="559"/>
      <c r="D1" s="559"/>
      <c r="E1" s="559"/>
      <c r="F1" s="559"/>
      <c r="G1" s="559"/>
      <c r="H1" s="559"/>
    </row>
    <row r="2" spans="1:8" ht="25.95" customHeight="1" x14ac:dyDescent="0.25">
      <c r="A2" s="637" t="s">
        <v>163</v>
      </c>
      <c r="B2" s="638" t="s">
        <v>517</v>
      </c>
      <c r="C2" s="638"/>
      <c r="D2" s="638"/>
      <c r="E2" s="638" t="s">
        <v>422</v>
      </c>
      <c r="F2" s="638"/>
      <c r="G2" s="638"/>
      <c r="H2" s="638" t="s">
        <v>104</v>
      </c>
    </row>
    <row r="3" spans="1:8" ht="26.4" x14ac:dyDescent="0.25">
      <c r="A3" s="637"/>
      <c r="B3" s="505" t="s">
        <v>518</v>
      </c>
      <c r="C3" s="505" t="s">
        <v>519</v>
      </c>
      <c r="D3" s="505" t="s">
        <v>313</v>
      </c>
      <c r="E3" s="505" t="s">
        <v>520</v>
      </c>
      <c r="F3" s="505" t="s">
        <v>519</v>
      </c>
      <c r="G3" s="505" t="s">
        <v>313</v>
      </c>
      <c r="H3" s="638"/>
    </row>
    <row r="4" spans="1:8" ht="27.6" customHeight="1" x14ac:dyDescent="0.25">
      <c r="A4" s="506" t="s">
        <v>174</v>
      </c>
      <c r="B4" s="506">
        <v>0.6</v>
      </c>
      <c r="C4" s="506"/>
      <c r="D4" s="633" t="s">
        <v>521</v>
      </c>
      <c r="E4" s="397">
        <v>0.75</v>
      </c>
      <c r="F4" s="506"/>
      <c r="G4" s="639" t="s">
        <v>522</v>
      </c>
      <c r="H4" s="506"/>
    </row>
    <row r="5" spans="1:8" ht="39.6" customHeight="1" x14ac:dyDescent="0.25">
      <c r="A5" s="506" t="s">
        <v>187</v>
      </c>
      <c r="B5" s="506">
        <v>0.75</v>
      </c>
      <c r="C5" s="398"/>
      <c r="D5" s="634"/>
      <c r="E5" s="397">
        <v>1.4</v>
      </c>
      <c r="F5" s="399"/>
      <c r="G5" s="639"/>
      <c r="H5" s="399"/>
    </row>
    <row r="6" spans="1:8" ht="16.2" customHeight="1" x14ac:dyDescent="0.25">
      <c r="A6" s="506" t="s">
        <v>195</v>
      </c>
      <c r="B6" s="506">
        <v>0.7</v>
      </c>
      <c r="C6" s="398"/>
      <c r="D6" s="634"/>
      <c r="E6" s="397">
        <v>1.1000000000000001</v>
      </c>
      <c r="F6" s="399"/>
      <c r="G6" s="639"/>
      <c r="H6" s="399"/>
    </row>
    <row r="7" spans="1:8" ht="16.2" customHeight="1" x14ac:dyDescent="0.25">
      <c r="A7" s="400" t="s">
        <v>233</v>
      </c>
      <c r="B7" s="506">
        <v>0.45</v>
      </c>
      <c r="C7" s="398"/>
      <c r="D7" s="634"/>
      <c r="E7" s="397">
        <v>0.8</v>
      </c>
      <c r="F7" s="399"/>
      <c r="G7" s="639"/>
      <c r="H7" s="399"/>
    </row>
    <row r="8" spans="1:8" ht="16.2" customHeight="1" x14ac:dyDescent="0.25">
      <c r="A8" s="506" t="s">
        <v>191</v>
      </c>
      <c r="B8" s="506">
        <v>0.4</v>
      </c>
      <c r="C8" s="398"/>
      <c r="D8" s="634"/>
      <c r="E8" s="397">
        <v>0.6</v>
      </c>
      <c r="F8" s="399"/>
      <c r="G8" s="639"/>
      <c r="H8" s="399"/>
    </row>
    <row r="9" spans="1:8" ht="16.2" customHeight="1" x14ac:dyDescent="0.25">
      <c r="A9" s="506" t="s">
        <v>185</v>
      </c>
      <c r="B9" s="506">
        <v>0.4</v>
      </c>
      <c r="C9" s="398"/>
      <c r="D9" s="634"/>
      <c r="E9" s="397">
        <v>0.7</v>
      </c>
      <c r="F9" s="399"/>
      <c r="G9" s="639"/>
      <c r="H9" s="399"/>
    </row>
    <row r="10" spans="1:8" ht="16.2" customHeight="1" x14ac:dyDescent="0.25">
      <c r="A10" s="400" t="s">
        <v>181</v>
      </c>
      <c r="B10" s="506">
        <v>1.1000000000000001</v>
      </c>
      <c r="C10" s="398"/>
      <c r="D10" s="634"/>
      <c r="E10" s="401">
        <v>1.1000000000000001</v>
      </c>
      <c r="F10" s="399"/>
      <c r="G10" s="639"/>
      <c r="H10" s="399"/>
    </row>
    <row r="11" spans="1:8" ht="16.2" customHeight="1" x14ac:dyDescent="0.25">
      <c r="A11" s="400" t="s">
        <v>213</v>
      </c>
      <c r="B11" s="506">
        <v>1.1000000000000001</v>
      </c>
      <c r="C11" s="398"/>
      <c r="D11" s="634"/>
      <c r="E11" s="401">
        <v>1.1000000000000001</v>
      </c>
      <c r="F11" s="399"/>
      <c r="G11" s="639"/>
      <c r="H11" s="399"/>
    </row>
    <row r="12" spans="1:8" ht="16.2" customHeight="1" x14ac:dyDescent="0.3">
      <c r="A12" s="506" t="s">
        <v>193</v>
      </c>
      <c r="B12" s="506">
        <v>0.6</v>
      </c>
      <c r="C12" s="398"/>
      <c r="D12" s="634"/>
      <c r="E12" s="402">
        <v>0.6</v>
      </c>
      <c r="F12" s="399"/>
      <c r="G12" s="639"/>
      <c r="H12" s="399"/>
    </row>
    <row r="13" spans="1:8" ht="16.2" customHeight="1" x14ac:dyDescent="0.25">
      <c r="A13" s="403" t="s">
        <v>189</v>
      </c>
      <c r="B13" s="506">
        <v>0.55000000000000004</v>
      </c>
      <c r="C13" s="398"/>
      <c r="D13" s="634"/>
      <c r="E13" s="506" t="s">
        <v>523</v>
      </c>
      <c r="F13" s="399"/>
      <c r="G13" s="639"/>
      <c r="H13" s="399"/>
    </row>
    <row r="14" spans="1:8" ht="16.2" customHeight="1" x14ac:dyDescent="0.25">
      <c r="A14" s="405" t="s">
        <v>228</v>
      </c>
      <c r="B14" s="506">
        <v>0.95</v>
      </c>
      <c r="C14" s="398"/>
      <c r="D14" s="634"/>
      <c r="E14" s="506">
        <v>1.6</v>
      </c>
      <c r="F14" s="399"/>
      <c r="G14" s="639"/>
      <c r="H14" s="399"/>
    </row>
    <row r="15" spans="1:8" ht="16.2" customHeight="1" x14ac:dyDescent="0.3">
      <c r="A15" s="506" t="s">
        <v>198</v>
      </c>
      <c r="B15" s="404">
        <v>0.6</v>
      </c>
      <c r="C15" s="398"/>
      <c r="D15" s="634"/>
      <c r="E15" s="402">
        <v>0.6</v>
      </c>
      <c r="F15" s="399"/>
      <c r="G15" s="639"/>
      <c r="H15" s="399"/>
    </row>
    <row r="16" spans="1:8" ht="16.2" customHeight="1" x14ac:dyDescent="0.25">
      <c r="A16" s="506" t="s">
        <v>200</v>
      </c>
      <c r="B16" s="506">
        <v>0.4</v>
      </c>
      <c r="C16" s="398"/>
      <c r="D16" s="634"/>
      <c r="E16" s="401">
        <v>0.6</v>
      </c>
      <c r="F16" s="399"/>
      <c r="G16" s="639"/>
      <c r="H16" s="399"/>
    </row>
    <row r="17" spans="1:8" ht="16.2" customHeight="1" x14ac:dyDescent="0.25">
      <c r="A17" s="506" t="s">
        <v>250</v>
      </c>
      <c r="B17" s="398"/>
      <c r="C17" s="398"/>
      <c r="D17" s="635"/>
      <c r="E17" s="506"/>
      <c r="F17" s="399"/>
      <c r="G17" s="639"/>
      <c r="H17" s="506"/>
    </row>
    <row r="18" spans="1:8" ht="13.2" customHeight="1" x14ac:dyDescent="0.25">
      <c r="B18" s="26"/>
      <c r="C18" s="26"/>
      <c r="D18" s="26"/>
    </row>
    <row r="19" spans="1:8" ht="13.2" customHeight="1" x14ac:dyDescent="0.25">
      <c r="B19" s="26"/>
      <c r="C19" s="26"/>
      <c r="D19" s="26"/>
    </row>
    <row r="20" spans="1:8" ht="13.2" customHeight="1" x14ac:dyDescent="0.25">
      <c r="B20" s="632" t="s">
        <v>524</v>
      </c>
      <c r="C20" s="632"/>
      <c r="D20" s="26"/>
    </row>
    <row r="21" spans="1:8" ht="13.2" customHeight="1" x14ac:dyDescent="0.25">
      <c r="B21" s="123">
        <v>2025</v>
      </c>
      <c r="C21" s="123">
        <v>2013</v>
      </c>
      <c r="D21" s="26"/>
    </row>
    <row r="22" spans="1:8" ht="13.2" customHeight="1" x14ac:dyDescent="0.25">
      <c r="A22" s="263" t="s">
        <v>525</v>
      </c>
      <c r="B22" s="264">
        <v>0.6</v>
      </c>
      <c r="C22" s="264">
        <v>0.8</v>
      </c>
      <c r="D22" s="6" t="s">
        <v>526</v>
      </c>
    </row>
    <row r="23" spans="1:8" ht="13.2" customHeight="1" x14ac:dyDescent="0.25">
      <c r="B23" s="26"/>
      <c r="C23" s="26"/>
      <c r="D23" s="26"/>
    </row>
    <row r="24" spans="1:8" ht="13.2" customHeight="1" x14ac:dyDescent="0.25">
      <c r="B24" s="26"/>
      <c r="C24" s="26"/>
      <c r="D24" s="26"/>
    </row>
    <row r="25" spans="1:8" ht="13.2" customHeight="1" x14ac:dyDescent="0.25">
      <c r="B25" s="26"/>
      <c r="C25" s="26"/>
      <c r="D25" s="26"/>
    </row>
    <row r="26" spans="1:8" ht="13.2" customHeight="1" x14ac:dyDescent="0.25">
      <c r="B26" s="26"/>
      <c r="C26" s="26"/>
      <c r="D26" s="26"/>
    </row>
    <row r="27" spans="1:8" s="27" customFormat="1" hidden="1" x14ac:dyDescent="0.25">
      <c r="A27" s="27" t="s">
        <v>357</v>
      </c>
      <c r="E27" s="28"/>
      <c r="F27" s="30"/>
    </row>
    <row r="28" spans="1:8" ht="17.7" customHeight="1" x14ac:dyDescent="0.25"/>
  </sheetData>
  <mergeCells count="8">
    <mergeCell ref="B20:C20"/>
    <mergeCell ref="D4:D17"/>
    <mergeCell ref="A1:H1"/>
    <mergeCell ref="A2:A3"/>
    <mergeCell ref="B2:D2"/>
    <mergeCell ref="E2:G2"/>
    <mergeCell ref="H2:H3"/>
    <mergeCell ref="G4:G17"/>
  </mergeCells>
  <phoneticPr fontId="6"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B96A833-5746-4457-A429-1536899A012D}">
          <x14:formula1>
            <xm:f>Data!$A$2:$A$200</xm:f>
          </x14:formula1>
          <xm:sqref>A10:A11 A7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32"/>
  <sheetViews>
    <sheetView zoomScaleNormal="100" workbookViewId="0">
      <selection sqref="A1:D1"/>
    </sheetView>
  </sheetViews>
  <sheetFormatPr defaultColWidth="8.6640625" defaultRowHeight="13.2" x14ac:dyDescent="0.25"/>
  <cols>
    <col min="1" max="1" width="27.5546875" style="6" customWidth="1"/>
    <col min="2" max="2" width="34.6640625" style="6" customWidth="1"/>
    <col min="3" max="3" width="19.44140625" style="6" customWidth="1"/>
    <col min="4" max="4" width="19.33203125" style="6" customWidth="1"/>
    <col min="5" max="5" width="24.6640625" style="6" customWidth="1"/>
    <col min="6" max="6" width="17.109375" style="6" customWidth="1"/>
    <col min="7" max="7" width="17.5546875" style="6" customWidth="1"/>
    <col min="8" max="8" width="15.5546875" style="6" customWidth="1"/>
    <col min="9" max="9" width="13.33203125" style="6" customWidth="1"/>
    <col min="10" max="16384" width="8.6640625" style="6"/>
  </cols>
  <sheetData>
    <row r="1" spans="1:7" ht="25.2" customHeight="1" x14ac:dyDescent="0.25">
      <c r="A1" s="577" t="str">
        <f>"Exterior Lighting - "&amp;Prototype!A2</f>
        <v>Exterior Lighting - OfficeLarge</v>
      </c>
      <c r="B1" s="577"/>
      <c r="C1" s="577"/>
      <c r="D1" s="577"/>
    </row>
    <row r="2" spans="1:7" ht="37.200000000000003" customHeight="1" x14ac:dyDescent="0.25">
      <c r="A2" s="44" t="s">
        <v>527</v>
      </c>
      <c r="B2" s="44" t="s">
        <v>528</v>
      </c>
      <c r="C2" s="44" t="s">
        <v>529</v>
      </c>
      <c r="D2" s="44" t="s">
        <v>313</v>
      </c>
    </row>
    <row r="3" spans="1:7" ht="22.2" customHeight="1" x14ac:dyDescent="0.25">
      <c r="A3" s="45">
        <f>G16</f>
        <v>15940.130762692303</v>
      </c>
      <c r="B3" s="45">
        <f>G17</f>
        <v>1548.9586449999999</v>
      </c>
      <c r="C3" s="45">
        <f>A3+B3</f>
        <v>17489.089407692303</v>
      </c>
      <c r="D3" s="263" t="s">
        <v>530</v>
      </c>
    </row>
    <row r="4" spans="1:7" ht="22.2" customHeight="1" x14ac:dyDescent="0.25">
      <c r="A4" s="63"/>
      <c r="B4" s="63"/>
      <c r="C4" s="63"/>
    </row>
    <row r="5" spans="1:7" ht="22.2" customHeight="1" x14ac:dyDescent="0.25">
      <c r="A5" s="63"/>
      <c r="B5" s="63"/>
      <c r="C5" s="63"/>
    </row>
    <row r="6" spans="1:7" ht="13.95" customHeight="1" x14ac:dyDescent="0.25">
      <c r="A6" s="77"/>
      <c r="B6" s="77"/>
      <c r="C6" s="77"/>
    </row>
    <row r="8" spans="1:7" ht="15.6" x14ac:dyDescent="0.25">
      <c r="A8" s="577" t="s">
        <v>531</v>
      </c>
      <c r="B8" s="577"/>
      <c r="C8" s="577"/>
      <c r="D8" s="577"/>
      <c r="E8" s="577"/>
      <c r="F8" s="577"/>
      <c r="G8" s="577"/>
    </row>
    <row r="9" spans="1:7" ht="39.6" x14ac:dyDescent="0.25">
      <c r="A9" s="382" t="s">
        <v>532</v>
      </c>
      <c r="B9" s="641" t="s">
        <v>533</v>
      </c>
      <c r="C9" s="642"/>
      <c r="D9" s="383" t="s">
        <v>485</v>
      </c>
      <c r="E9" s="383" t="s">
        <v>534</v>
      </c>
      <c r="F9" s="383" t="s">
        <v>485</v>
      </c>
      <c r="G9" s="383" t="s">
        <v>535</v>
      </c>
    </row>
    <row r="10" spans="1:7" x14ac:dyDescent="0.25">
      <c r="A10" s="16" t="s">
        <v>536</v>
      </c>
      <c r="B10" s="16"/>
      <c r="C10" s="384"/>
      <c r="D10" s="263"/>
      <c r="E10" s="263">
        <v>200</v>
      </c>
      <c r="F10" s="263" t="s">
        <v>537</v>
      </c>
      <c r="G10" s="385">
        <f>$E10</f>
        <v>200</v>
      </c>
    </row>
    <row r="11" spans="1:7" ht="39.6" x14ac:dyDescent="0.25">
      <c r="A11" s="17" t="s">
        <v>538</v>
      </c>
      <c r="B11" s="17" t="s">
        <v>539</v>
      </c>
      <c r="C11" s="386">
        <f>B23/250*400</f>
        <v>797619.75999999978</v>
      </c>
      <c r="D11" s="263" t="s">
        <v>540</v>
      </c>
      <c r="E11" s="263">
        <v>1.9E-2</v>
      </c>
      <c r="F11" s="263" t="s">
        <v>541</v>
      </c>
      <c r="G11" s="385">
        <f>$E11*C11</f>
        <v>15154.775439999996</v>
      </c>
    </row>
    <row r="12" spans="1:7" ht="26.4" x14ac:dyDescent="0.25">
      <c r="A12" s="16" t="s">
        <v>542</v>
      </c>
      <c r="B12" s="387" t="s">
        <v>543</v>
      </c>
      <c r="C12" s="388">
        <v>4</v>
      </c>
      <c r="D12" s="263" t="s">
        <v>544</v>
      </c>
      <c r="E12" s="263">
        <v>15</v>
      </c>
      <c r="F12" s="263" t="s">
        <v>545</v>
      </c>
      <c r="G12" s="385">
        <f>E12*C12</f>
        <v>60</v>
      </c>
    </row>
    <row r="13" spans="1:7" ht="26.4" x14ac:dyDescent="0.25">
      <c r="A13" s="16" t="s">
        <v>546</v>
      </c>
      <c r="B13" s="387" t="s">
        <v>547</v>
      </c>
      <c r="C13" s="389">
        <f>B23*0.1</f>
        <v>49851.234999999986</v>
      </c>
      <c r="D13" s="263" t="s">
        <v>540</v>
      </c>
      <c r="E13" s="263">
        <v>7.0000000000000001E-3</v>
      </c>
      <c r="F13" s="263" t="s">
        <v>541</v>
      </c>
      <c r="G13" s="390">
        <f>E13*C13</f>
        <v>348.95864499999993</v>
      </c>
    </row>
    <row r="14" spans="1:7" ht="92.4" x14ac:dyDescent="0.25">
      <c r="A14" s="16" t="s">
        <v>548</v>
      </c>
      <c r="B14" s="387" t="s">
        <v>549</v>
      </c>
      <c r="C14" s="389">
        <f>B22*0.5*30</f>
        <v>12000</v>
      </c>
      <c r="D14" s="263" t="s">
        <v>540</v>
      </c>
      <c r="E14" s="263">
        <v>0.1</v>
      </c>
      <c r="F14" s="263" t="s">
        <v>541</v>
      </c>
      <c r="G14" s="390">
        <f>E14*C14</f>
        <v>1200</v>
      </c>
    </row>
    <row r="15" spans="1:7" x14ac:dyDescent="0.25">
      <c r="A15" s="394" t="s">
        <v>550</v>
      </c>
      <c r="B15" s="395"/>
      <c r="C15" s="396">
        <f>(B23/B25)*0.1</f>
        <v>3834.7103846153836</v>
      </c>
      <c r="D15" s="500" t="s">
        <v>540</v>
      </c>
      <c r="E15" s="500">
        <v>0.13700000000000001</v>
      </c>
      <c r="F15" s="500" t="s">
        <v>541</v>
      </c>
      <c r="G15" s="390">
        <f>E15*C15</f>
        <v>525.3553226923076</v>
      </c>
    </row>
    <row r="16" spans="1:7" x14ac:dyDescent="0.25">
      <c r="A16" s="640" t="s">
        <v>551</v>
      </c>
      <c r="B16" s="640"/>
      <c r="C16" s="640"/>
      <c r="D16" s="640"/>
      <c r="E16" s="640"/>
      <c r="F16" s="640"/>
      <c r="G16" s="391">
        <f>G11+G10+G12+G15</f>
        <v>15940.130762692303</v>
      </c>
    </row>
    <row r="17" spans="1:7" x14ac:dyDescent="0.25">
      <c r="A17" s="640" t="s">
        <v>552</v>
      </c>
      <c r="B17" s="640"/>
      <c r="C17" s="640"/>
      <c r="D17" s="640"/>
      <c r="E17" s="640"/>
      <c r="F17" s="640"/>
      <c r="G17" s="391">
        <f>G13+G14</f>
        <v>1548.9586449999999</v>
      </c>
    </row>
    <row r="18" spans="1:7" x14ac:dyDescent="0.25">
      <c r="A18" s="640" t="s">
        <v>506</v>
      </c>
      <c r="B18" s="640"/>
      <c r="C18" s="640"/>
      <c r="D18" s="640"/>
      <c r="E18" s="640"/>
      <c r="F18" s="640"/>
      <c r="G18" s="391">
        <f>G16+G17</f>
        <v>17489.089407692303</v>
      </c>
    </row>
    <row r="19" spans="1:7" x14ac:dyDescent="0.25">
      <c r="A19" s="63"/>
      <c r="B19" s="63"/>
      <c r="C19" s="63"/>
    </row>
    <row r="20" spans="1:7" x14ac:dyDescent="0.25">
      <c r="A20" s="6" t="s">
        <v>553</v>
      </c>
      <c r="C20" s="63"/>
    </row>
    <row r="21" spans="1:7" x14ac:dyDescent="0.25">
      <c r="C21" s="63"/>
    </row>
    <row r="22" spans="1:7" x14ac:dyDescent="0.25">
      <c r="A22" s="6" t="s">
        <v>554</v>
      </c>
      <c r="B22" s="491">
        <f>(240+160)*2</f>
        <v>800</v>
      </c>
      <c r="C22" s="63"/>
    </row>
    <row r="23" spans="1:7" x14ac:dyDescent="0.25">
      <c r="A23" s="6" t="s">
        <v>555</v>
      </c>
      <c r="B23" s="392">
        <f>Zones!G82</f>
        <v>498512.34999999986</v>
      </c>
      <c r="C23" s="63"/>
    </row>
    <row r="24" spans="1:7" x14ac:dyDescent="0.25">
      <c r="A24" s="6" t="s">
        <v>556</v>
      </c>
      <c r="B24" s="491">
        <v>12</v>
      </c>
      <c r="C24" s="63"/>
    </row>
    <row r="25" spans="1:7" x14ac:dyDescent="0.25">
      <c r="A25" s="6" t="s">
        <v>557</v>
      </c>
      <c r="B25" s="491">
        <v>13</v>
      </c>
    </row>
    <row r="32" spans="1:7" s="27" customFormat="1" x14ac:dyDescent="0.25">
      <c r="A32" s="27" t="s">
        <v>357</v>
      </c>
      <c r="E32" s="28"/>
      <c r="F32" s="29"/>
      <c r="G32" s="30"/>
    </row>
  </sheetData>
  <mergeCells count="6">
    <mergeCell ref="A1:D1"/>
    <mergeCell ref="A18:F18"/>
    <mergeCell ref="A16:F16"/>
    <mergeCell ref="A17:F17"/>
    <mergeCell ref="A8:G8"/>
    <mergeCell ref="B9:C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J46"/>
  <sheetViews>
    <sheetView workbookViewId="0">
      <selection sqref="A1:E1"/>
    </sheetView>
  </sheetViews>
  <sheetFormatPr defaultColWidth="8.6640625" defaultRowHeight="13.2" x14ac:dyDescent="0.25"/>
  <cols>
    <col min="1" max="1" width="49" style="6" customWidth="1"/>
    <col min="2" max="2" width="27.44140625" style="6" customWidth="1"/>
    <col min="3" max="3" width="23.44140625" style="6" customWidth="1"/>
    <col min="4" max="4" width="27.5546875" style="6" customWidth="1"/>
    <col min="5" max="5" width="41.33203125" style="6" customWidth="1"/>
    <col min="6" max="6" width="35.33203125" style="6" customWidth="1"/>
    <col min="7" max="7" width="18.6640625" style="6" customWidth="1"/>
    <col min="8" max="8" width="14.33203125" style="6" customWidth="1"/>
    <col min="9" max="9" width="28.5546875" style="6" customWidth="1"/>
    <col min="10" max="10" width="10.5546875" style="6" bestFit="1" customWidth="1"/>
    <col min="11" max="11" width="16.33203125" style="6" customWidth="1"/>
    <col min="12" max="12" width="10.6640625" style="6" bestFit="1" customWidth="1"/>
    <col min="13" max="13" width="10.5546875" style="6" bestFit="1" customWidth="1"/>
    <col min="14" max="16384" width="8.6640625" style="6"/>
  </cols>
  <sheetData>
    <row r="1" spans="1:7" ht="23.4" customHeight="1" x14ac:dyDescent="0.25">
      <c r="A1" s="577" t="str">
        <f>"Equipment - "&amp;Prototype!A2</f>
        <v>Equipment - OfficeLarge</v>
      </c>
      <c r="B1" s="577"/>
      <c r="C1" s="577"/>
      <c r="D1" s="577"/>
      <c r="E1" s="577"/>
      <c r="F1" s="66"/>
    </row>
    <row r="2" spans="1:7" ht="33.6" customHeight="1" x14ac:dyDescent="0.25">
      <c r="A2" s="222" t="s">
        <v>163</v>
      </c>
      <c r="B2" s="222" t="s">
        <v>562</v>
      </c>
      <c r="C2" s="222" t="s">
        <v>563</v>
      </c>
      <c r="D2" s="222" t="s">
        <v>564</v>
      </c>
      <c r="E2" s="510" t="s">
        <v>313</v>
      </c>
      <c r="F2" s="262"/>
    </row>
    <row r="3" spans="1:7" ht="27.6" customHeight="1" x14ac:dyDescent="0.25">
      <c r="A3" s="245" t="s">
        <v>174</v>
      </c>
      <c r="B3" s="123">
        <v>0.7</v>
      </c>
      <c r="C3" s="123"/>
      <c r="D3" s="374"/>
      <c r="E3" s="245" t="s">
        <v>565</v>
      </c>
      <c r="F3" s="262"/>
    </row>
    <row r="4" spans="1:7" ht="21" customHeight="1" x14ac:dyDescent="0.25">
      <c r="A4" s="246" t="s">
        <v>181</v>
      </c>
      <c r="B4" s="263">
        <v>45</v>
      </c>
      <c r="C4" s="373"/>
      <c r="D4" s="374"/>
      <c r="E4" s="507" t="s">
        <v>63</v>
      </c>
      <c r="F4" s="262"/>
    </row>
    <row r="5" spans="1:7" ht="35.4" customHeight="1" x14ac:dyDescent="0.25">
      <c r="A5" s="246" t="s">
        <v>213</v>
      </c>
      <c r="B5" s="263">
        <v>20</v>
      </c>
      <c r="C5" s="373"/>
      <c r="D5" s="374"/>
      <c r="E5" s="264" t="s">
        <v>566</v>
      </c>
      <c r="F5" s="262"/>
    </row>
    <row r="6" spans="1:7" ht="21" customHeight="1" x14ac:dyDescent="0.25">
      <c r="A6" s="246" t="s">
        <v>185</v>
      </c>
      <c r="B6" s="263">
        <v>0.5</v>
      </c>
      <c r="C6" s="373"/>
      <c r="D6" s="374"/>
      <c r="E6" s="646" t="s">
        <v>567</v>
      </c>
      <c r="F6" s="262"/>
    </row>
    <row r="7" spans="1:7" ht="21" customHeight="1" x14ac:dyDescent="0.25">
      <c r="A7" s="246" t="s">
        <v>189</v>
      </c>
      <c r="B7" s="263">
        <v>0.5</v>
      </c>
      <c r="C7" s="373"/>
      <c r="D7" s="374"/>
      <c r="E7" s="647"/>
      <c r="F7" s="262"/>
    </row>
    <row r="8" spans="1:7" ht="21" customHeight="1" x14ac:dyDescent="0.25">
      <c r="A8" s="246" t="s">
        <v>187</v>
      </c>
      <c r="B8" s="263">
        <v>0.8</v>
      </c>
      <c r="C8" s="373"/>
      <c r="D8" s="374"/>
      <c r="E8" s="647"/>
      <c r="F8" s="262"/>
    </row>
    <row r="9" spans="1:7" ht="21" customHeight="1" x14ac:dyDescent="0.25">
      <c r="A9" s="246" t="s">
        <v>191</v>
      </c>
      <c r="B9" s="263">
        <v>0.2</v>
      </c>
      <c r="C9" s="373"/>
      <c r="D9" s="374"/>
      <c r="E9" s="647"/>
      <c r="F9" s="262"/>
    </row>
    <row r="10" spans="1:7" ht="21" customHeight="1" x14ac:dyDescent="0.25">
      <c r="A10" s="246" t="s">
        <v>233</v>
      </c>
      <c r="B10" s="263">
        <v>0.5</v>
      </c>
      <c r="C10" s="373"/>
      <c r="D10" s="374"/>
      <c r="E10" s="647"/>
      <c r="F10" s="262"/>
    </row>
    <row r="11" spans="1:7" ht="21" customHeight="1" x14ac:dyDescent="0.25">
      <c r="A11" s="246" t="s">
        <v>228</v>
      </c>
      <c r="B11" s="263">
        <v>1.5</v>
      </c>
      <c r="C11" s="373"/>
      <c r="D11" s="374"/>
      <c r="E11" s="647"/>
      <c r="F11" s="262"/>
    </row>
    <row r="12" spans="1:7" ht="21" customHeight="1" x14ac:dyDescent="0.25">
      <c r="A12" s="246" t="s">
        <v>195</v>
      </c>
      <c r="B12" s="263">
        <v>0.5</v>
      </c>
      <c r="C12" s="373"/>
      <c r="D12" s="374"/>
      <c r="E12" s="647"/>
      <c r="F12" s="262"/>
    </row>
    <row r="13" spans="1:7" ht="21" customHeight="1" x14ac:dyDescent="0.25">
      <c r="A13" s="246" t="s">
        <v>193</v>
      </c>
      <c r="B13" s="263">
        <v>0</v>
      </c>
      <c r="C13" s="373"/>
      <c r="D13" s="374"/>
      <c r="E13" s="647"/>
      <c r="F13" s="262"/>
    </row>
    <row r="14" spans="1:7" ht="18" customHeight="1" x14ac:dyDescent="0.25">
      <c r="A14" s="246" t="s">
        <v>198</v>
      </c>
      <c r="B14" s="123">
        <v>0</v>
      </c>
      <c r="D14" s="508"/>
      <c r="E14" s="647"/>
      <c r="F14" s="8"/>
      <c r="G14" s="67"/>
    </row>
    <row r="15" spans="1:7" ht="22.95" customHeight="1" x14ac:dyDescent="0.25">
      <c r="A15" s="246" t="s">
        <v>200</v>
      </c>
      <c r="B15" s="263">
        <v>0</v>
      </c>
      <c r="C15" s="263"/>
      <c r="D15" s="264"/>
      <c r="E15" s="647"/>
      <c r="F15" s="8"/>
      <c r="G15" s="67"/>
    </row>
    <row r="16" spans="1:7" ht="18" customHeight="1" x14ac:dyDescent="0.25">
      <c r="A16" s="16" t="s">
        <v>250</v>
      </c>
      <c r="B16" s="123">
        <v>0</v>
      </c>
      <c r="C16" s="263"/>
      <c r="D16" s="264"/>
      <c r="E16" s="648"/>
      <c r="F16" s="8"/>
      <c r="G16" s="67"/>
    </row>
    <row r="17" spans="1:10" ht="18" customHeight="1" x14ac:dyDescent="0.25">
      <c r="A17" s="497" t="s">
        <v>568</v>
      </c>
      <c r="B17" s="81"/>
      <c r="C17" s="262"/>
      <c r="D17" s="501"/>
      <c r="E17" s="262"/>
    </row>
    <row r="18" spans="1:10" ht="18" customHeight="1" x14ac:dyDescent="0.25">
      <c r="A18" s="497"/>
      <c r="B18" s="81"/>
      <c r="C18" s="262"/>
      <c r="D18" s="501"/>
      <c r="E18" s="262"/>
    </row>
    <row r="19" spans="1:10" ht="18" customHeight="1" x14ac:dyDescent="0.25">
      <c r="A19" s="497"/>
      <c r="B19" s="81"/>
      <c r="C19" s="262"/>
      <c r="D19" s="501"/>
      <c r="E19" s="262"/>
    </row>
    <row r="20" spans="1:10" ht="18" customHeight="1" x14ac:dyDescent="0.25">
      <c r="E20" s="262"/>
    </row>
    <row r="21" spans="1:10" ht="18" customHeight="1" x14ac:dyDescent="0.25">
      <c r="A21" s="577" t="s">
        <v>569</v>
      </c>
      <c r="B21" s="577"/>
      <c r="C21" s="577"/>
      <c r="D21" s="577"/>
      <c r="E21" s="262"/>
    </row>
    <row r="22" spans="1:10" ht="18" customHeight="1" x14ac:dyDescent="0.25">
      <c r="A22" s="510" t="s">
        <v>73</v>
      </c>
      <c r="B22" s="510" t="s">
        <v>570</v>
      </c>
      <c r="C22" s="510" t="s">
        <v>571</v>
      </c>
      <c r="D22" s="510" t="s">
        <v>313</v>
      </c>
      <c r="E22" s="262"/>
    </row>
    <row r="23" spans="1:10" ht="23.4" customHeight="1" x14ac:dyDescent="0.25">
      <c r="A23" s="264" t="s">
        <v>572</v>
      </c>
      <c r="B23" s="263">
        <v>10</v>
      </c>
      <c r="C23" s="45">
        <f>140025.3+631.89</f>
        <v>140657.19</v>
      </c>
      <c r="D23" s="264" t="s">
        <v>573</v>
      </c>
      <c r="E23" s="262"/>
    </row>
    <row r="24" spans="1:10" ht="18" customHeight="1" x14ac:dyDescent="0.25">
      <c r="A24" s="497"/>
      <c r="B24" s="81"/>
      <c r="C24" s="262"/>
      <c r="D24" s="501"/>
      <c r="E24" s="262"/>
      <c r="F24" s="8"/>
      <c r="G24" s="25"/>
    </row>
    <row r="25" spans="1:10" ht="18" customHeight="1" x14ac:dyDescent="0.25">
      <c r="A25" s="644" t="s">
        <v>574</v>
      </c>
      <c r="B25" s="644"/>
      <c r="C25" s="644"/>
      <c r="D25" s="644"/>
      <c r="E25" s="644"/>
      <c r="F25" s="8"/>
      <c r="G25" s="25"/>
    </row>
    <row r="26" spans="1:10" ht="18" customHeight="1" x14ac:dyDescent="0.25">
      <c r="A26" s="546" t="s">
        <v>575</v>
      </c>
      <c r="B26" s="546"/>
      <c r="C26" s="546"/>
      <c r="D26" s="546"/>
      <c r="E26" s="546"/>
      <c r="F26" s="650" t="s">
        <v>576</v>
      </c>
      <c r="G26" s="650"/>
      <c r="H26" s="650"/>
      <c r="I26" s="650"/>
      <c r="J26" s="650"/>
    </row>
    <row r="27" spans="1:10" x14ac:dyDescent="0.25">
      <c r="A27" s="546" t="s">
        <v>577</v>
      </c>
      <c r="B27" s="546"/>
      <c r="C27" s="546"/>
      <c r="D27" s="546"/>
      <c r="E27" s="546"/>
      <c r="F27" s="650"/>
      <c r="G27" s="650"/>
      <c r="H27" s="650"/>
      <c r="I27" s="650"/>
      <c r="J27" s="650"/>
    </row>
    <row r="28" spans="1:10" x14ac:dyDescent="0.25">
      <c r="A28" s="524" t="s">
        <v>578</v>
      </c>
      <c r="B28" s="524"/>
      <c r="C28" s="524"/>
      <c r="D28" s="524"/>
      <c r="E28" s="524"/>
      <c r="F28" s="8"/>
      <c r="G28" s="25"/>
    </row>
    <row r="29" spans="1:10" x14ac:dyDescent="0.25">
      <c r="A29" s="524" t="s">
        <v>579</v>
      </c>
      <c r="B29" s="524"/>
      <c r="C29" s="262">
        <f>ROUND((498000*0.7/50000)+ROUND(7/2.5,0),0)</f>
        <v>10</v>
      </c>
      <c r="D29" s="546"/>
      <c r="E29" s="546"/>
      <c r="F29" s="8"/>
      <c r="G29" s="25"/>
    </row>
    <row r="30" spans="1:10" x14ac:dyDescent="0.25">
      <c r="A30" s="524" t="s">
        <v>580</v>
      </c>
      <c r="B30" s="524"/>
      <c r="C30" s="262">
        <f>10*C31</f>
        <v>100</v>
      </c>
      <c r="D30" s="645" t="s">
        <v>581</v>
      </c>
      <c r="E30" s="645"/>
      <c r="F30" s="381">
        <f>(140025.3+631.89)/1000</f>
        <v>140.65719000000001</v>
      </c>
      <c r="G30" s="25"/>
    </row>
    <row r="31" spans="1:10" x14ac:dyDescent="0.25">
      <c r="A31" s="524" t="s">
        <v>582</v>
      </c>
      <c r="B31" s="524"/>
      <c r="C31" s="262">
        <v>10</v>
      </c>
      <c r="D31" s="546"/>
      <c r="E31" s="546"/>
      <c r="F31" s="8"/>
      <c r="G31" s="25"/>
    </row>
    <row r="32" spans="1:10" x14ac:dyDescent="0.25">
      <c r="A32" s="527" t="s">
        <v>583</v>
      </c>
      <c r="B32" s="527"/>
      <c r="C32" s="527"/>
      <c r="D32" s="527"/>
      <c r="E32" s="527"/>
      <c r="F32" s="8"/>
      <c r="G32" s="25"/>
    </row>
    <row r="34" spans="1:7" ht="42.6" customHeight="1" x14ac:dyDescent="0.25">
      <c r="A34" s="649" t="s">
        <v>584</v>
      </c>
      <c r="B34" s="626"/>
      <c r="C34" s="626"/>
      <c r="D34" s="626"/>
      <c r="E34" s="626"/>
      <c r="F34" s="166"/>
    </row>
    <row r="42" spans="1:7" x14ac:dyDescent="0.25">
      <c r="A42" s="7"/>
      <c r="B42" s="7"/>
    </row>
    <row r="43" spans="1:7" ht="15" customHeight="1" x14ac:dyDescent="0.25"/>
    <row r="44" spans="1:7" ht="12.6" customHeight="1" x14ac:dyDescent="0.3">
      <c r="A44" s="1"/>
      <c r="B44" s="1"/>
    </row>
    <row r="45" spans="1:7" ht="13.95" customHeight="1" x14ac:dyDescent="0.25"/>
    <row r="46" spans="1:7" s="27" customFormat="1" x14ac:dyDescent="0.25">
      <c r="A46" s="27" t="s">
        <v>357</v>
      </c>
      <c r="E46" s="28"/>
      <c r="F46" s="29"/>
      <c r="G46" s="30"/>
    </row>
  </sheetData>
  <mergeCells count="16">
    <mergeCell ref="D31:E31"/>
    <mergeCell ref="A32:E32"/>
    <mergeCell ref="E6:E16"/>
    <mergeCell ref="A34:E34"/>
    <mergeCell ref="F26:J27"/>
    <mergeCell ref="A27:E27"/>
    <mergeCell ref="A28:E28"/>
    <mergeCell ref="A29:B29"/>
    <mergeCell ref="D29:E29"/>
    <mergeCell ref="A31:B31"/>
    <mergeCell ref="A1:E1"/>
    <mergeCell ref="A21:D21"/>
    <mergeCell ref="A25:E25"/>
    <mergeCell ref="A26:E26"/>
    <mergeCell ref="A30:B30"/>
    <mergeCell ref="D30:E30"/>
  </mergeCells>
  <phoneticPr fontId="6" type="noConversion"/>
  <hyperlinks>
    <hyperlink ref="F26" r:id="rId1" xr:uid="{C2ACAA3E-89B8-4D6A-8994-13DAF1CD6FB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FC03F74-0C0C-4594-B4DD-73866CAE7ACA}">
          <x14:formula1>
            <xm:f>Data!$A$2:$A$200</xm:f>
          </x14:formula1>
          <xm:sqref>A3:A10 A12:A15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105"/>
  <sheetViews>
    <sheetView zoomScale="85" zoomScaleNormal="85" workbookViewId="0">
      <pane xSplit="5" ySplit="3" topLeftCell="F4" activePane="bottomRight" state="frozen"/>
      <selection pane="topRight" activeCell="F1" sqref="F1"/>
      <selection pane="bottomLeft" activeCell="A4" sqref="A4"/>
      <selection pane="bottomRight" sqref="A1:AC1"/>
    </sheetView>
  </sheetViews>
  <sheetFormatPr defaultColWidth="9.33203125" defaultRowHeight="11.4" x14ac:dyDescent="0.3"/>
  <cols>
    <col min="1" max="1" width="23.6640625" style="46" customWidth="1"/>
    <col min="2" max="2" width="23.5546875" style="46" customWidth="1"/>
    <col min="3" max="3" width="15.33203125" style="46" customWidth="1"/>
    <col min="4" max="4" width="18.88671875" style="46" customWidth="1"/>
    <col min="5" max="5" width="9.33203125" style="46"/>
    <col min="6" max="29" width="5.6640625" style="46" customWidth="1"/>
    <col min="30" max="16384" width="9.33203125" style="46"/>
  </cols>
  <sheetData>
    <row r="1" spans="1:39" ht="24" customHeight="1" x14ac:dyDescent="0.3">
      <c r="A1" s="628" t="str">
        <f>"Schedules - "&amp;Prototype!A2</f>
        <v>Schedules - OfficeLarge</v>
      </c>
      <c r="B1" s="628"/>
      <c r="C1" s="628"/>
      <c r="D1" s="628"/>
      <c r="E1" s="628"/>
      <c r="F1" s="628"/>
      <c r="G1" s="628"/>
      <c r="H1" s="628"/>
      <c r="I1" s="628"/>
      <c r="J1" s="628"/>
      <c r="K1" s="628"/>
      <c r="L1" s="628"/>
      <c r="M1" s="628"/>
      <c r="N1" s="628"/>
      <c r="O1" s="628"/>
      <c r="P1" s="628"/>
      <c r="Q1" s="628"/>
      <c r="R1" s="628"/>
      <c r="S1" s="628"/>
      <c r="T1" s="628"/>
      <c r="U1" s="628"/>
      <c r="V1" s="628"/>
      <c r="W1" s="628"/>
      <c r="X1" s="628"/>
      <c r="Y1" s="628"/>
      <c r="Z1" s="628"/>
      <c r="AA1" s="628"/>
      <c r="AB1" s="628"/>
      <c r="AC1" s="711"/>
      <c r="AD1" s="53"/>
      <c r="AE1" s="53"/>
      <c r="AF1" s="53"/>
      <c r="AG1" s="53"/>
      <c r="AH1" s="53"/>
      <c r="AI1" s="54"/>
      <c r="AJ1" s="54"/>
      <c r="AK1" s="54"/>
    </row>
    <row r="2" spans="1:39" ht="24" customHeight="1" x14ac:dyDescent="0.3">
      <c r="A2" s="712" t="s">
        <v>585</v>
      </c>
      <c r="B2" s="712" t="s">
        <v>165</v>
      </c>
      <c r="C2" s="712" t="s">
        <v>586</v>
      </c>
      <c r="D2" s="712" t="s">
        <v>313</v>
      </c>
      <c r="E2" s="713" t="s">
        <v>587</v>
      </c>
      <c r="F2" s="717" t="s">
        <v>558</v>
      </c>
      <c r="G2" s="718"/>
      <c r="H2" s="718"/>
      <c r="I2" s="718"/>
      <c r="J2" s="718"/>
      <c r="K2" s="718"/>
      <c r="L2" s="718"/>
      <c r="M2" s="718"/>
      <c r="N2" s="718"/>
      <c r="O2" s="718"/>
      <c r="P2" s="718"/>
      <c r="Q2" s="718"/>
      <c r="R2" s="718"/>
      <c r="S2" s="718"/>
      <c r="T2" s="718"/>
      <c r="U2" s="718"/>
      <c r="V2" s="718"/>
      <c r="W2" s="718"/>
      <c r="X2" s="718"/>
      <c r="Y2" s="718"/>
      <c r="Z2" s="718"/>
      <c r="AA2" s="718"/>
      <c r="AB2" s="718"/>
      <c r="AC2" s="719"/>
      <c r="AD2" s="53"/>
      <c r="AE2" s="53"/>
      <c r="AF2" s="53"/>
      <c r="AG2" s="53"/>
      <c r="AH2" s="53"/>
      <c r="AI2" s="54"/>
      <c r="AJ2" s="54"/>
      <c r="AK2" s="54"/>
    </row>
    <row r="3" spans="1:39" ht="25.2" customHeight="1" thickBot="1" x14ac:dyDescent="0.35">
      <c r="A3" s="713"/>
      <c r="B3" s="713"/>
      <c r="C3" s="713"/>
      <c r="D3" s="713"/>
      <c r="E3" s="720"/>
      <c r="F3" s="511">
        <v>1</v>
      </c>
      <c r="G3" s="511">
        <v>2</v>
      </c>
      <c r="H3" s="511">
        <v>3</v>
      </c>
      <c r="I3" s="511">
        <v>4</v>
      </c>
      <c r="J3" s="511">
        <v>5</v>
      </c>
      <c r="K3" s="511">
        <v>6</v>
      </c>
      <c r="L3" s="511">
        <v>7</v>
      </c>
      <c r="M3" s="511">
        <v>8</v>
      </c>
      <c r="N3" s="511">
        <v>9</v>
      </c>
      <c r="O3" s="511">
        <v>10</v>
      </c>
      <c r="P3" s="511">
        <v>11</v>
      </c>
      <c r="Q3" s="511">
        <v>12</v>
      </c>
      <c r="R3" s="511">
        <v>13</v>
      </c>
      <c r="S3" s="511">
        <v>14</v>
      </c>
      <c r="T3" s="511">
        <v>15</v>
      </c>
      <c r="U3" s="511">
        <v>16</v>
      </c>
      <c r="V3" s="511">
        <v>17</v>
      </c>
      <c r="W3" s="511">
        <v>18</v>
      </c>
      <c r="X3" s="511">
        <v>19</v>
      </c>
      <c r="Y3" s="511">
        <v>20</v>
      </c>
      <c r="Z3" s="511">
        <v>21</v>
      </c>
      <c r="AA3" s="511">
        <v>22</v>
      </c>
      <c r="AB3" s="511">
        <v>23</v>
      </c>
      <c r="AC3" s="511">
        <v>24</v>
      </c>
      <c r="AD3" s="54"/>
      <c r="AE3" s="54"/>
      <c r="AF3" s="54"/>
      <c r="AG3" s="54"/>
      <c r="AH3" s="54"/>
      <c r="AI3" s="54"/>
      <c r="AJ3" s="54"/>
      <c r="AK3" s="54"/>
    </row>
    <row r="4" spans="1:39" ht="25.2" customHeight="1" x14ac:dyDescent="0.3">
      <c r="A4" s="658" t="s">
        <v>588</v>
      </c>
      <c r="B4" s="669" t="s">
        <v>176</v>
      </c>
      <c r="C4" s="664" t="s">
        <v>589</v>
      </c>
      <c r="D4" s="666" t="s">
        <v>590</v>
      </c>
      <c r="E4" s="300" t="s">
        <v>561</v>
      </c>
      <c r="F4" s="301">
        <v>0</v>
      </c>
      <c r="G4" s="301">
        <v>0</v>
      </c>
      <c r="H4" s="301">
        <v>0</v>
      </c>
      <c r="I4" s="301">
        <v>0</v>
      </c>
      <c r="J4" s="301">
        <v>0</v>
      </c>
      <c r="K4" s="301">
        <v>0</v>
      </c>
      <c r="L4" s="301">
        <v>0.1</v>
      </c>
      <c r="M4" s="301">
        <v>0.2</v>
      </c>
      <c r="N4" s="301">
        <v>0.95</v>
      </c>
      <c r="O4" s="301">
        <v>0.95</v>
      </c>
      <c r="P4" s="301">
        <v>0.95</v>
      </c>
      <c r="Q4" s="301">
        <v>0.95</v>
      </c>
      <c r="R4" s="301">
        <v>0.5</v>
      </c>
      <c r="S4" s="301">
        <v>0.95</v>
      </c>
      <c r="T4" s="301">
        <v>0.95</v>
      </c>
      <c r="U4" s="301">
        <v>0.95</v>
      </c>
      <c r="V4" s="301">
        <v>0.95</v>
      </c>
      <c r="W4" s="301">
        <v>0.3</v>
      </c>
      <c r="X4" s="301">
        <v>0.1</v>
      </c>
      <c r="Y4" s="301">
        <v>0.1</v>
      </c>
      <c r="Z4" s="301">
        <v>0.1</v>
      </c>
      <c r="AA4" s="301">
        <v>0.1</v>
      </c>
      <c r="AB4" s="301">
        <v>0.05</v>
      </c>
      <c r="AC4" s="302">
        <v>0.05</v>
      </c>
      <c r="AD4" s="54"/>
      <c r="AE4" s="54"/>
      <c r="AF4" s="54"/>
      <c r="AG4" s="54"/>
      <c r="AH4" s="54"/>
      <c r="AI4" s="54"/>
      <c r="AJ4" s="54"/>
      <c r="AK4" s="54"/>
    </row>
    <row r="5" spans="1:39" ht="33" customHeight="1" x14ac:dyDescent="0.3">
      <c r="A5" s="695"/>
      <c r="B5" s="670"/>
      <c r="C5" s="654"/>
      <c r="D5" s="667"/>
      <c r="E5" s="303" t="s">
        <v>559</v>
      </c>
      <c r="F5" s="304">
        <v>0</v>
      </c>
      <c r="G5" s="304">
        <v>0</v>
      </c>
      <c r="H5" s="304">
        <v>0</v>
      </c>
      <c r="I5" s="304">
        <v>0</v>
      </c>
      <c r="J5" s="304">
        <v>0</v>
      </c>
      <c r="K5" s="304">
        <v>0</v>
      </c>
      <c r="L5" s="305">
        <v>0.05</v>
      </c>
      <c r="M5" s="305">
        <v>0.05</v>
      </c>
      <c r="N5" s="305">
        <v>0.05</v>
      </c>
      <c r="O5" s="305">
        <v>0.05</v>
      </c>
      <c r="P5" s="305">
        <v>0.05</v>
      </c>
      <c r="Q5" s="305">
        <v>0.05</v>
      </c>
      <c r="R5" s="305">
        <v>0.05</v>
      </c>
      <c r="S5" s="305">
        <v>0.05</v>
      </c>
      <c r="T5" s="305">
        <v>0.05</v>
      </c>
      <c r="U5" s="305">
        <v>0.05</v>
      </c>
      <c r="V5" s="305">
        <v>0.05</v>
      </c>
      <c r="W5" s="305">
        <v>0.05</v>
      </c>
      <c r="X5" s="306">
        <v>0</v>
      </c>
      <c r="Y5" s="304">
        <v>0</v>
      </c>
      <c r="Z5" s="304">
        <v>0</v>
      </c>
      <c r="AA5" s="304">
        <v>0</v>
      </c>
      <c r="AB5" s="304">
        <v>0</v>
      </c>
      <c r="AC5" s="307">
        <v>0</v>
      </c>
      <c r="AD5" s="54"/>
      <c r="AE5" s="54"/>
      <c r="AF5" s="54"/>
      <c r="AG5" s="54"/>
      <c r="AH5" s="54"/>
      <c r="AI5" s="54"/>
      <c r="AJ5" s="54"/>
      <c r="AK5" s="54"/>
    </row>
    <row r="6" spans="1:39" ht="33" customHeight="1" thickBot="1" x14ac:dyDescent="0.35">
      <c r="A6" s="698"/>
      <c r="B6" s="671"/>
      <c r="C6" s="665"/>
      <c r="D6" s="673"/>
      <c r="E6" s="308" t="s">
        <v>560</v>
      </c>
      <c r="F6" s="309">
        <v>0</v>
      </c>
      <c r="G6" s="309">
        <v>0</v>
      </c>
      <c r="H6" s="309">
        <v>0</v>
      </c>
      <c r="I6" s="309">
        <v>0</v>
      </c>
      <c r="J6" s="309">
        <v>0</v>
      </c>
      <c r="K6" s="309">
        <v>0</v>
      </c>
      <c r="L6" s="309">
        <v>0.05</v>
      </c>
      <c r="M6" s="309">
        <v>0.05</v>
      </c>
      <c r="N6" s="309">
        <v>0.05</v>
      </c>
      <c r="O6" s="309">
        <v>0.05</v>
      </c>
      <c r="P6" s="309">
        <v>0.05</v>
      </c>
      <c r="Q6" s="309">
        <v>0.05</v>
      </c>
      <c r="R6" s="309">
        <v>0.05</v>
      </c>
      <c r="S6" s="309">
        <v>0.05</v>
      </c>
      <c r="T6" s="309">
        <v>0.05</v>
      </c>
      <c r="U6" s="309">
        <v>0.05</v>
      </c>
      <c r="V6" s="309">
        <v>0.05</v>
      </c>
      <c r="W6" s="309">
        <v>0.05</v>
      </c>
      <c r="X6" s="309">
        <v>0</v>
      </c>
      <c r="Y6" s="309">
        <v>0</v>
      </c>
      <c r="Z6" s="309">
        <v>0</v>
      </c>
      <c r="AA6" s="309">
        <v>0</v>
      </c>
      <c r="AB6" s="309">
        <v>0</v>
      </c>
      <c r="AC6" s="310">
        <v>0</v>
      </c>
      <c r="AD6" s="54"/>
      <c r="AE6" s="54"/>
      <c r="AF6" s="54"/>
      <c r="AG6" s="54"/>
      <c r="AH6" s="54"/>
      <c r="AI6" s="54"/>
      <c r="AJ6" s="54"/>
      <c r="AK6" s="54"/>
    </row>
    <row r="7" spans="1:39" ht="38.700000000000003" customHeight="1" x14ac:dyDescent="0.3">
      <c r="A7" s="658" t="str">
        <f>A4</f>
        <v>All zones</v>
      </c>
      <c r="B7" s="669" t="s">
        <v>176</v>
      </c>
      <c r="C7" s="672" t="s">
        <v>591</v>
      </c>
      <c r="D7" s="666" t="s">
        <v>592</v>
      </c>
      <c r="E7" s="311" t="s">
        <v>561</v>
      </c>
      <c r="F7" s="301">
        <v>0.05</v>
      </c>
      <c r="G7" s="301">
        <v>0.05</v>
      </c>
      <c r="H7" s="301">
        <v>0.05</v>
      </c>
      <c r="I7" s="301">
        <v>0.05</v>
      </c>
      <c r="J7" s="301">
        <v>0.05</v>
      </c>
      <c r="K7" s="377">
        <v>0.1</v>
      </c>
      <c r="L7" s="377">
        <v>0.1</v>
      </c>
      <c r="M7" s="377">
        <v>0.3</v>
      </c>
      <c r="N7" s="377">
        <v>0.65</v>
      </c>
      <c r="O7" s="377">
        <v>0.65</v>
      </c>
      <c r="P7" s="377">
        <v>0.65</v>
      </c>
      <c r="Q7" s="377">
        <v>0.65</v>
      </c>
      <c r="R7" s="377">
        <v>0.65</v>
      </c>
      <c r="S7" s="377">
        <v>0.65</v>
      </c>
      <c r="T7" s="377">
        <v>0.65</v>
      </c>
      <c r="U7" s="377">
        <v>0.65</v>
      </c>
      <c r="V7" s="377">
        <v>0.65</v>
      </c>
      <c r="W7" s="377">
        <v>0.35</v>
      </c>
      <c r="X7" s="377">
        <v>0.3</v>
      </c>
      <c r="Y7" s="377">
        <v>0.3</v>
      </c>
      <c r="Z7" s="301">
        <v>0.2</v>
      </c>
      <c r="AA7" s="301">
        <v>0.2</v>
      </c>
      <c r="AB7" s="301">
        <v>0.1</v>
      </c>
      <c r="AC7" s="302">
        <v>0.05</v>
      </c>
      <c r="AD7" s="54"/>
      <c r="AE7" s="54"/>
      <c r="AF7" s="54"/>
      <c r="AG7" s="54"/>
      <c r="AH7" s="54"/>
      <c r="AI7" s="54"/>
      <c r="AJ7" s="54"/>
      <c r="AK7" s="54"/>
      <c r="AM7" s="65"/>
    </row>
    <row r="8" spans="1:39" ht="38.700000000000003" customHeight="1" x14ac:dyDescent="0.3">
      <c r="A8" s="695"/>
      <c r="B8" s="670"/>
      <c r="C8" s="654"/>
      <c r="D8" s="667"/>
      <c r="E8" s="312" t="s">
        <v>559</v>
      </c>
      <c r="F8" s="304">
        <v>0.05</v>
      </c>
      <c r="G8" s="304">
        <v>0.05</v>
      </c>
      <c r="H8" s="304">
        <v>0.05</v>
      </c>
      <c r="I8" s="304">
        <v>0.05</v>
      </c>
      <c r="J8" s="304">
        <v>0.05</v>
      </c>
      <c r="K8" s="306">
        <v>0.05</v>
      </c>
      <c r="L8" s="306">
        <v>0.05</v>
      </c>
      <c r="M8" s="306">
        <v>0.05</v>
      </c>
      <c r="N8" s="306">
        <v>0.05</v>
      </c>
      <c r="O8" s="306">
        <v>0.05</v>
      </c>
      <c r="P8" s="306">
        <v>0.05</v>
      </c>
      <c r="Q8" s="306">
        <v>0.05</v>
      </c>
      <c r="R8" s="306">
        <v>0.05</v>
      </c>
      <c r="S8" s="306">
        <v>0.05</v>
      </c>
      <c r="T8" s="306">
        <v>0.05</v>
      </c>
      <c r="U8" s="306">
        <v>0.05</v>
      </c>
      <c r="V8" s="306">
        <v>0.05</v>
      </c>
      <c r="W8" s="304">
        <v>0.05</v>
      </c>
      <c r="X8" s="304">
        <v>0.05</v>
      </c>
      <c r="Y8" s="304">
        <v>0.05</v>
      </c>
      <c r="Z8" s="304">
        <v>0.05</v>
      </c>
      <c r="AA8" s="304">
        <v>0.05</v>
      </c>
      <c r="AB8" s="304">
        <v>0.05</v>
      </c>
      <c r="AC8" s="307">
        <v>0.05</v>
      </c>
      <c r="AD8" s="54"/>
      <c r="AE8" s="54"/>
      <c r="AF8" s="54"/>
      <c r="AG8" s="54"/>
      <c r="AH8" s="54"/>
      <c r="AI8" s="54"/>
      <c r="AJ8" s="54"/>
      <c r="AK8" s="54"/>
      <c r="AM8" s="65"/>
    </row>
    <row r="9" spans="1:39" ht="38.700000000000003" customHeight="1" thickBot="1" x14ac:dyDescent="0.35">
      <c r="A9" s="698"/>
      <c r="B9" s="671"/>
      <c r="C9" s="665"/>
      <c r="D9" s="668"/>
      <c r="E9" s="313" t="s">
        <v>560</v>
      </c>
      <c r="F9" s="314">
        <v>0.05</v>
      </c>
      <c r="G9" s="314">
        <v>0.05</v>
      </c>
      <c r="H9" s="314">
        <v>0.05</v>
      </c>
      <c r="I9" s="314">
        <v>0.05</v>
      </c>
      <c r="J9" s="314">
        <v>0.05</v>
      </c>
      <c r="K9" s="314">
        <v>0.05</v>
      </c>
      <c r="L9" s="314">
        <v>0.05</v>
      </c>
      <c r="M9" s="314">
        <v>0.05</v>
      </c>
      <c r="N9" s="314">
        <v>0.05</v>
      </c>
      <c r="O9" s="314">
        <v>0.05</v>
      </c>
      <c r="P9" s="314">
        <v>0.05</v>
      </c>
      <c r="Q9" s="314">
        <v>0.05</v>
      </c>
      <c r="R9" s="314">
        <v>0.05</v>
      </c>
      <c r="S9" s="314">
        <v>0.05</v>
      </c>
      <c r="T9" s="314">
        <v>0.05</v>
      </c>
      <c r="U9" s="314">
        <v>0.05</v>
      </c>
      <c r="V9" s="314">
        <v>0.05</v>
      </c>
      <c r="W9" s="314">
        <v>0.05</v>
      </c>
      <c r="X9" s="314">
        <v>0.05</v>
      </c>
      <c r="Y9" s="314">
        <v>0.05</v>
      </c>
      <c r="Z9" s="314">
        <v>0.05</v>
      </c>
      <c r="AA9" s="314">
        <v>0.05</v>
      </c>
      <c r="AB9" s="314">
        <v>0.05</v>
      </c>
      <c r="AC9" s="315">
        <v>0.05</v>
      </c>
      <c r="AD9" s="54"/>
      <c r="AE9" s="54"/>
      <c r="AF9" s="54"/>
      <c r="AG9" s="54"/>
      <c r="AH9" s="54"/>
      <c r="AI9" s="54"/>
      <c r="AJ9" s="54"/>
      <c r="AK9" s="54"/>
      <c r="AM9" s="65"/>
    </row>
    <row r="10" spans="1:39" ht="36" customHeight="1" x14ac:dyDescent="0.3">
      <c r="A10" s="658" t="str">
        <f>A7</f>
        <v>All zones</v>
      </c>
      <c r="B10" s="669" t="s">
        <v>176</v>
      </c>
      <c r="C10" s="672" t="s">
        <v>593</v>
      </c>
      <c r="D10" s="714" t="s">
        <v>594</v>
      </c>
      <c r="E10" s="311" t="s">
        <v>561</v>
      </c>
      <c r="F10" s="316">
        <v>0.45</v>
      </c>
      <c r="G10" s="316">
        <v>0.45</v>
      </c>
      <c r="H10" s="316">
        <v>0.45</v>
      </c>
      <c r="I10" s="316">
        <v>0.45</v>
      </c>
      <c r="J10" s="316">
        <v>0.45</v>
      </c>
      <c r="K10" s="316">
        <v>0.45</v>
      </c>
      <c r="L10" s="316">
        <v>0.45</v>
      </c>
      <c r="M10" s="316">
        <v>0.74</v>
      </c>
      <c r="N10" s="316">
        <v>0.87</v>
      </c>
      <c r="O10" s="316">
        <v>0.9</v>
      </c>
      <c r="P10" s="316">
        <v>0.9</v>
      </c>
      <c r="Q10" s="316">
        <v>0.9</v>
      </c>
      <c r="R10" s="316">
        <v>0.9</v>
      </c>
      <c r="S10" s="316">
        <v>0.9</v>
      </c>
      <c r="T10" s="316">
        <v>0.9</v>
      </c>
      <c r="U10" s="316">
        <v>0.9</v>
      </c>
      <c r="V10" s="316">
        <v>0.9</v>
      </c>
      <c r="W10" s="316">
        <v>0.7</v>
      </c>
      <c r="X10" s="316">
        <v>0.5</v>
      </c>
      <c r="Y10" s="316">
        <v>0.5</v>
      </c>
      <c r="Z10" s="316">
        <v>0.5</v>
      </c>
      <c r="AA10" s="316">
        <v>0.45</v>
      </c>
      <c r="AB10" s="316">
        <v>0.45</v>
      </c>
      <c r="AC10" s="317">
        <v>0.45</v>
      </c>
      <c r="AD10" s="55"/>
      <c r="AE10" s="54"/>
      <c r="AF10" s="54"/>
      <c r="AG10" s="54"/>
      <c r="AH10" s="54"/>
      <c r="AI10" s="54"/>
      <c r="AJ10" s="54"/>
      <c r="AK10" s="54"/>
      <c r="AM10" s="65"/>
    </row>
    <row r="11" spans="1:39" ht="36" customHeight="1" x14ac:dyDescent="0.3">
      <c r="A11" s="695"/>
      <c r="B11" s="670"/>
      <c r="C11" s="654"/>
      <c r="D11" s="715"/>
      <c r="E11" s="312" t="s">
        <v>559</v>
      </c>
      <c r="F11" s="318">
        <v>0.43</v>
      </c>
      <c r="G11" s="318">
        <v>0.43</v>
      </c>
      <c r="H11" s="318">
        <v>0.43</v>
      </c>
      <c r="I11" s="318">
        <v>0.43</v>
      </c>
      <c r="J11" s="318">
        <v>0.43</v>
      </c>
      <c r="K11" s="318">
        <v>0.43</v>
      </c>
      <c r="L11" s="318">
        <v>0.43</v>
      </c>
      <c r="M11" s="318">
        <v>0.43</v>
      </c>
      <c r="N11" s="318">
        <v>0.43</v>
      </c>
      <c r="O11" s="318">
        <v>0.43</v>
      </c>
      <c r="P11" s="318">
        <v>0.43</v>
      </c>
      <c r="Q11" s="318">
        <v>0.43</v>
      </c>
      <c r="R11" s="318">
        <v>0.43</v>
      </c>
      <c r="S11" s="318">
        <v>0.43</v>
      </c>
      <c r="T11" s="318">
        <v>0.43</v>
      </c>
      <c r="U11" s="318">
        <v>0.43</v>
      </c>
      <c r="V11" s="318">
        <v>0.43</v>
      </c>
      <c r="W11" s="318">
        <v>0.43</v>
      </c>
      <c r="X11" s="318">
        <v>0.43</v>
      </c>
      <c r="Y11" s="318">
        <v>0.43</v>
      </c>
      <c r="Z11" s="318">
        <v>0.43</v>
      </c>
      <c r="AA11" s="318">
        <v>0.43</v>
      </c>
      <c r="AB11" s="318">
        <v>0.43</v>
      </c>
      <c r="AC11" s="319">
        <v>0.43</v>
      </c>
      <c r="AD11" s="55"/>
      <c r="AE11" s="54"/>
      <c r="AF11" s="54"/>
      <c r="AG11" s="54"/>
      <c r="AH11" s="54"/>
      <c r="AI11" s="54"/>
      <c r="AJ11" s="54"/>
      <c r="AK11" s="54"/>
      <c r="AM11" s="65"/>
    </row>
    <row r="12" spans="1:39" ht="36" customHeight="1" thickBot="1" x14ac:dyDescent="0.35">
      <c r="A12" s="698"/>
      <c r="B12" s="671"/>
      <c r="C12" s="665"/>
      <c r="D12" s="716"/>
      <c r="E12" s="320" t="s">
        <v>560</v>
      </c>
      <c r="F12" s="321">
        <v>0.43</v>
      </c>
      <c r="G12" s="321">
        <v>0.43</v>
      </c>
      <c r="H12" s="321">
        <v>0.43</v>
      </c>
      <c r="I12" s="321">
        <v>0.43</v>
      </c>
      <c r="J12" s="321">
        <v>0.43</v>
      </c>
      <c r="K12" s="321">
        <v>0.43</v>
      </c>
      <c r="L12" s="321">
        <v>0.43</v>
      </c>
      <c r="M12" s="321">
        <v>0.43</v>
      </c>
      <c r="N12" s="321">
        <v>0.43</v>
      </c>
      <c r="O12" s="321">
        <v>0.43</v>
      </c>
      <c r="P12" s="321">
        <v>0.43</v>
      </c>
      <c r="Q12" s="321">
        <v>0.43</v>
      </c>
      <c r="R12" s="321">
        <v>0.43</v>
      </c>
      <c r="S12" s="321">
        <v>0.43</v>
      </c>
      <c r="T12" s="321">
        <v>0.43</v>
      </c>
      <c r="U12" s="321">
        <v>0.43</v>
      </c>
      <c r="V12" s="321">
        <v>0.43</v>
      </c>
      <c r="W12" s="321">
        <v>0.43</v>
      </c>
      <c r="X12" s="321">
        <v>0.43</v>
      </c>
      <c r="Y12" s="321">
        <v>0.43</v>
      </c>
      <c r="Z12" s="321">
        <v>0.43</v>
      </c>
      <c r="AA12" s="321">
        <v>0.43</v>
      </c>
      <c r="AB12" s="321">
        <v>0.43</v>
      </c>
      <c r="AC12" s="322">
        <v>0.43</v>
      </c>
      <c r="AD12" s="55"/>
      <c r="AE12" s="54"/>
      <c r="AF12" s="54"/>
      <c r="AG12" s="54"/>
      <c r="AH12" s="54"/>
      <c r="AI12" s="54"/>
      <c r="AJ12" s="54"/>
      <c r="AK12" s="54"/>
      <c r="AM12" s="65"/>
    </row>
    <row r="13" spans="1:39" ht="36" customHeight="1" x14ac:dyDescent="0.3">
      <c r="A13" s="658" t="str">
        <f>A4</f>
        <v>All zones</v>
      </c>
      <c r="B13" s="669" t="s">
        <v>176</v>
      </c>
      <c r="C13" s="672" t="s">
        <v>595</v>
      </c>
      <c r="D13" s="666" t="s">
        <v>596</v>
      </c>
      <c r="E13" s="323" t="s">
        <v>561</v>
      </c>
      <c r="F13" s="324">
        <v>0</v>
      </c>
      <c r="G13" s="324">
        <v>0</v>
      </c>
      <c r="H13" s="324">
        <v>0</v>
      </c>
      <c r="I13" s="324">
        <v>0</v>
      </c>
      <c r="J13" s="324">
        <v>0</v>
      </c>
      <c r="K13" s="324">
        <v>1</v>
      </c>
      <c r="L13" s="324">
        <v>1</v>
      </c>
      <c r="M13" s="324">
        <v>1</v>
      </c>
      <c r="N13" s="324">
        <v>1</v>
      </c>
      <c r="O13" s="324">
        <v>1</v>
      </c>
      <c r="P13" s="324">
        <v>1</v>
      </c>
      <c r="Q13" s="324">
        <v>1</v>
      </c>
      <c r="R13" s="324">
        <v>1</v>
      </c>
      <c r="S13" s="324">
        <v>1</v>
      </c>
      <c r="T13" s="324">
        <v>1</v>
      </c>
      <c r="U13" s="324">
        <v>1</v>
      </c>
      <c r="V13" s="324">
        <v>1</v>
      </c>
      <c r="W13" s="324">
        <v>1</v>
      </c>
      <c r="X13" s="324">
        <v>1</v>
      </c>
      <c r="Y13" s="324">
        <v>1</v>
      </c>
      <c r="Z13" s="324">
        <v>1</v>
      </c>
      <c r="AA13" s="324">
        <v>1</v>
      </c>
      <c r="AB13" s="324">
        <v>1</v>
      </c>
      <c r="AC13" s="325">
        <v>1</v>
      </c>
      <c r="AD13" s="55"/>
      <c r="AE13" s="54"/>
      <c r="AF13" s="54"/>
      <c r="AG13" s="54"/>
      <c r="AH13" s="54"/>
      <c r="AI13" s="54"/>
      <c r="AJ13" s="54"/>
      <c r="AK13" s="54"/>
      <c r="AM13" s="65"/>
    </row>
    <row r="14" spans="1:39" ht="36" customHeight="1" x14ac:dyDescent="0.3">
      <c r="A14" s="695"/>
      <c r="B14" s="670"/>
      <c r="C14" s="654"/>
      <c r="D14" s="667"/>
      <c r="E14" s="312" t="s">
        <v>559</v>
      </c>
      <c r="F14" s="304">
        <v>0</v>
      </c>
      <c r="G14" s="304">
        <v>0</v>
      </c>
      <c r="H14" s="304">
        <v>0</v>
      </c>
      <c r="I14" s="304">
        <v>0</v>
      </c>
      <c r="J14" s="304">
        <v>0</v>
      </c>
      <c r="K14" s="306">
        <v>0</v>
      </c>
      <c r="L14" s="306">
        <v>0</v>
      </c>
      <c r="M14" s="306">
        <v>0</v>
      </c>
      <c r="N14" s="306">
        <v>0</v>
      </c>
      <c r="O14" s="306">
        <v>0</v>
      </c>
      <c r="P14" s="306">
        <v>0</v>
      </c>
      <c r="Q14" s="306">
        <v>0</v>
      </c>
      <c r="R14" s="306">
        <v>0</v>
      </c>
      <c r="S14" s="306">
        <v>0</v>
      </c>
      <c r="T14" s="306">
        <v>0</v>
      </c>
      <c r="U14" s="306">
        <v>0</v>
      </c>
      <c r="V14" s="306">
        <v>0</v>
      </c>
      <c r="W14" s="306">
        <v>0</v>
      </c>
      <c r="X14" s="306">
        <v>0</v>
      </c>
      <c r="Y14" s="304">
        <v>0</v>
      </c>
      <c r="Z14" s="304">
        <v>0</v>
      </c>
      <c r="AA14" s="304">
        <v>0</v>
      </c>
      <c r="AB14" s="304">
        <v>0</v>
      </c>
      <c r="AC14" s="307">
        <v>0</v>
      </c>
      <c r="AD14" s="55"/>
      <c r="AE14" s="54"/>
      <c r="AF14" s="54"/>
      <c r="AG14" s="54"/>
      <c r="AH14" s="54"/>
      <c r="AI14" s="54"/>
      <c r="AJ14" s="54"/>
      <c r="AK14" s="54"/>
      <c r="AM14" s="65"/>
    </row>
    <row r="15" spans="1:39" ht="36" customHeight="1" thickBot="1" x14ac:dyDescent="0.35">
      <c r="A15" s="698"/>
      <c r="B15" s="671"/>
      <c r="C15" s="665"/>
      <c r="D15" s="673"/>
      <c r="E15" s="320" t="s">
        <v>560</v>
      </c>
      <c r="F15" s="314">
        <v>0</v>
      </c>
      <c r="G15" s="314">
        <v>0</v>
      </c>
      <c r="H15" s="314">
        <v>0</v>
      </c>
      <c r="I15" s="314">
        <v>0</v>
      </c>
      <c r="J15" s="314">
        <v>0</v>
      </c>
      <c r="K15" s="314">
        <v>0</v>
      </c>
      <c r="L15" s="314">
        <v>0</v>
      </c>
      <c r="M15" s="314">
        <v>0</v>
      </c>
      <c r="N15" s="314">
        <v>0</v>
      </c>
      <c r="O15" s="314">
        <v>0</v>
      </c>
      <c r="P15" s="314">
        <v>0</v>
      </c>
      <c r="Q15" s="314">
        <v>0</v>
      </c>
      <c r="R15" s="314">
        <v>0</v>
      </c>
      <c r="S15" s="314">
        <v>0</v>
      </c>
      <c r="T15" s="314">
        <v>0</v>
      </c>
      <c r="U15" s="314">
        <v>0</v>
      </c>
      <c r="V15" s="314">
        <v>0</v>
      </c>
      <c r="W15" s="314">
        <v>0</v>
      </c>
      <c r="X15" s="314">
        <v>0</v>
      </c>
      <c r="Y15" s="314">
        <v>0</v>
      </c>
      <c r="Z15" s="314">
        <v>0</v>
      </c>
      <c r="AA15" s="314">
        <v>0</v>
      </c>
      <c r="AB15" s="314">
        <v>0</v>
      </c>
      <c r="AC15" s="315">
        <v>0</v>
      </c>
      <c r="AD15" s="55"/>
      <c r="AE15" s="54"/>
      <c r="AF15" s="54"/>
      <c r="AG15" s="54"/>
      <c r="AH15" s="54"/>
      <c r="AI15" s="54"/>
      <c r="AJ15" s="54"/>
      <c r="AK15" s="54"/>
      <c r="AM15" s="65"/>
    </row>
    <row r="16" spans="1:39" ht="36" customHeight="1" x14ac:dyDescent="0.3">
      <c r="A16" s="658" t="str">
        <f>A4</f>
        <v>All zones</v>
      </c>
      <c r="B16" s="669" t="s">
        <v>176</v>
      </c>
      <c r="C16" s="674" t="s">
        <v>597</v>
      </c>
      <c r="D16" s="662" t="s">
        <v>592</v>
      </c>
      <c r="E16" s="323" t="s">
        <v>561</v>
      </c>
      <c r="F16" s="326">
        <v>0.05</v>
      </c>
      <c r="G16" s="326">
        <v>0.05</v>
      </c>
      <c r="H16" s="326">
        <v>0.05</v>
      </c>
      <c r="I16" s="326">
        <v>0.05</v>
      </c>
      <c r="J16" s="326">
        <v>0.05</v>
      </c>
      <c r="K16" s="326">
        <v>0.08</v>
      </c>
      <c r="L16" s="326">
        <v>7.0000000000000007E-2</v>
      </c>
      <c r="M16" s="326">
        <v>0.19</v>
      </c>
      <c r="N16" s="326">
        <v>0.35</v>
      </c>
      <c r="O16" s="326">
        <v>0.38</v>
      </c>
      <c r="P16" s="326">
        <v>0.39</v>
      </c>
      <c r="Q16" s="326">
        <v>0.47</v>
      </c>
      <c r="R16" s="326">
        <v>0.56999999999999995</v>
      </c>
      <c r="S16" s="326">
        <v>0.54</v>
      </c>
      <c r="T16" s="326">
        <v>0.34</v>
      </c>
      <c r="U16" s="326">
        <v>0.33</v>
      </c>
      <c r="V16" s="326">
        <v>0.44</v>
      </c>
      <c r="W16" s="326">
        <v>0.26</v>
      </c>
      <c r="X16" s="326">
        <v>0.21</v>
      </c>
      <c r="Y16" s="326">
        <v>0.15</v>
      </c>
      <c r="Z16" s="326">
        <v>0.17</v>
      </c>
      <c r="AA16" s="326">
        <v>0.08</v>
      </c>
      <c r="AB16" s="326">
        <v>0.05</v>
      </c>
      <c r="AC16" s="327">
        <v>0.05</v>
      </c>
      <c r="AD16" s="55"/>
      <c r="AE16" s="54"/>
      <c r="AF16" s="54"/>
      <c r="AG16" s="54"/>
      <c r="AH16" s="54"/>
      <c r="AI16" s="54"/>
      <c r="AJ16" s="54"/>
      <c r="AK16" s="54"/>
      <c r="AM16" s="65"/>
    </row>
    <row r="17" spans="1:39" ht="36" customHeight="1" x14ac:dyDescent="0.3">
      <c r="A17" s="695"/>
      <c r="B17" s="670"/>
      <c r="C17" s="675"/>
      <c r="D17" s="656"/>
      <c r="E17" s="312" t="s">
        <v>559</v>
      </c>
      <c r="F17" s="328">
        <v>0.05</v>
      </c>
      <c r="G17" s="328">
        <v>0.05</v>
      </c>
      <c r="H17" s="328">
        <v>0.05</v>
      </c>
      <c r="I17" s="328">
        <v>0.05</v>
      </c>
      <c r="J17" s="328">
        <v>0.05</v>
      </c>
      <c r="K17" s="328">
        <v>0.08</v>
      </c>
      <c r="L17" s="328">
        <v>7.0000000000000007E-2</v>
      </c>
      <c r="M17" s="328">
        <v>0.11</v>
      </c>
      <c r="N17" s="328">
        <v>0.15</v>
      </c>
      <c r="O17" s="328">
        <v>0.21</v>
      </c>
      <c r="P17" s="328">
        <v>0.19</v>
      </c>
      <c r="Q17" s="328">
        <v>0.23</v>
      </c>
      <c r="R17" s="328">
        <v>0.2</v>
      </c>
      <c r="S17" s="328">
        <v>0.19</v>
      </c>
      <c r="T17" s="328">
        <v>0.15</v>
      </c>
      <c r="U17" s="328">
        <v>0.12</v>
      </c>
      <c r="V17" s="328">
        <v>0.14000000000000001</v>
      </c>
      <c r="W17" s="328">
        <v>7.0000000000000007E-2</v>
      </c>
      <c r="X17" s="328">
        <v>7.0000000000000007E-2</v>
      </c>
      <c r="Y17" s="328">
        <v>7.0000000000000007E-2</v>
      </c>
      <c r="Z17" s="328">
        <v>7.0000000000000007E-2</v>
      </c>
      <c r="AA17" s="328">
        <v>0.09</v>
      </c>
      <c r="AB17" s="328">
        <v>0.05</v>
      </c>
      <c r="AC17" s="329">
        <v>0.05</v>
      </c>
      <c r="AD17" s="55"/>
      <c r="AE17" s="54"/>
      <c r="AF17" s="54"/>
      <c r="AG17" s="54"/>
      <c r="AH17" s="54"/>
      <c r="AI17" s="54"/>
      <c r="AJ17" s="54"/>
      <c r="AK17" s="54"/>
      <c r="AM17" s="65"/>
    </row>
    <row r="18" spans="1:39" ht="36" customHeight="1" thickBot="1" x14ac:dyDescent="0.35">
      <c r="A18" s="698"/>
      <c r="B18" s="671"/>
      <c r="C18" s="676"/>
      <c r="D18" s="657"/>
      <c r="E18" s="320" t="s">
        <v>560</v>
      </c>
      <c r="F18" s="330">
        <v>0.04</v>
      </c>
      <c r="G18" s="330">
        <v>0.04</v>
      </c>
      <c r="H18" s="330">
        <v>0.04</v>
      </c>
      <c r="I18" s="330">
        <v>0.04</v>
      </c>
      <c r="J18" s="330">
        <v>0.04</v>
      </c>
      <c r="K18" s="330">
        <v>7.0000000000000007E-2</v>
      </c>
      <c r="L18" s="330">
        <v>0.04</v>
      </c>
      <c r="M18" s="330">
        <v>0.04</v>
      </c>
      <c r="N18" s="330">
        <v>0.04</v>
      </c>
      <c r="O18" s="330">
        <v>0.04</v>
      </c>
      <c r="P18" s="330">
        <v>0.04</v>
      </c>
      <c r="Q18" s="330">
        <v>0.06</v>
      </c>
      <c r="R18" s="330">
        <v>0.06</v>
      </c>
      <c r="S18" s="330">
        <v>0.09</v>
      </c>
      <c r="T18" s="330">
        <v>0.06</v>
      </c>
      <c r="U18" s="330">
        <v>0.04</v>
      </c>
      <c r="V18" s="330">
        <v>0.04</v>
      </c>
      <c r="W18" s="330">
        <v>0.04</v>
      </c>
      <c r="X18" s="330">
        <v>0.04</v>
      </c>
      <c r="Y18" s="330">
        <v>0.04</v>
      </c>
      <c r="Z18" s="330">
        <v>0.04</v>
      </c>
      <c r="AA18" s="330">
        <v>7.0000000000000007E-2</v>
      </c>
      <c r="AB18" s="330">
        <v>0.04</v>
      </c>
      <c r="AC18" s="331">
        <v>0.04</v>
      </c>
      <c r="AD18" s="55"/>
      <c r="AE18" s="54"/>
      <c r="AF18" s="54"/>
      <c r="AG18" s="54"/>
      <c r="AH18" s="54"/>
      <c r="AI18" s="54"/>
      <c r="AJ18" s="54"/>
      <c r="AK18" s="54"/>
      <c r="AM18" s="65"/>
    </row>
    <row r="19" spans="1:39" ht="36" customHeight="1" x14ac:dyDescent="0.3">
      <c r="A19" s="658" t="str">
        <f>A4</f>
        <v>All zones</v>
      </c>
      <c r="B19" s="669" t="s">
        <v>176</v>
      </c>
      <c r="C19" s="653" t="s">
        <v>145</v>
      </c>
      <c r="D19" s="662" t="s">
        <v>596</v>
      </c>
      <c r="E19" s="311" t="s">
        <v>561</v>
      </c>
      <c r="F19" s="324">
        <v>1</v>
      </c>
      <c r="G19" s="324">
        <v>1</v>
      </c>
      <c r="H19" s="324">
        <v>1</v>
      </c>
      <c r="I19" s="324">
        <v>1</v>
      </c>
      <c r="J19" s="324">
        <v>1</v>
      </c>
      <c r="K19" s="324">
        <v>0.25</v>
      </c>
      <c r="L19" s="324">
        <v>0.25</v>
      </c>
      <c r="M19" s="324">
        <v>0.25</v>
      </c>
      <c r="N19" s="324">
        <v>0.25</v>
      </c>
      <c r="O19" s="324">
        <v>0.25</v>
      </c>
      <c r="P19" s="324">
        <v>0.25</v>
      </c>
      <c r="Q19" s="324">
        <v>0.25</v>
      </c>
      <c r="R19" s="324">
        <v>0.25</v>
      </c>
      <c r="S19" s="324">
        <v>0.25</v>
      </c>
      <c r="T19" s="324">
        <v>0.25</v>
      </c>
      <c r="U19" s="324">
        <v>0.25</v>
      </c>
      <c r="V19" s="324">
        <v>0.25</v>
      </c>
      <c r="W19" s="324">
        <v>0.25</v>
      </c>
      <c r="X19" s="324">
        <v>0.25</v>
      </c>
      <c r="Y19" s="324">
        <v>0.25</v>
      </c>
      <c r="Z19" s="324">
        <v>0.25</v>
      </c>
      <c r="AA19" s="324">
        <v>0.25</v>
      </c>
      <c r="AB19" s="324">
        <v>0.25</v>
      </c>
      <c r="AC19" s="325">
        <v>0.25</v>
      </c>
      <c r="AD19" s="55"/>
      <c r="AE19" s="54"/>
      <c r="AF19" s="54"/>
      <c r="AG19" s="54"/>
      <c r="AH19" s="54"/>
      <c r="AI19" s="54"/>
      <c r="AJ19" s="54"/>
      <c r="AK19" s="54"/>
      <c r="AM19" s="65"/>
    </row>
    <row r="20" spans="1:39" ht="36" customHeight="1" x14ac:dyDescent="0.3">
      <c r="A20" s="695"/>
      <c r="B20" s="670"/>
      <c r="C20" s="675"/>
      <c r="D20" s="656"/>
      <c r="E20" s="312" t="s">
        <v>559</v>
      </c>
      <c r="F20" s="304">
        <v>1</v>
      </c>
      <c r="G20" s="304">
        <v>1</v>
      </c>
      <c r="H20" s="304">
        <v>1</v>
      </c>
      <c r="I20" s="304">
        <v>1</v>
      </c>
      <c r="J20" s="304">
        <v>1</v>
      </c>
      <c r="K20" s="306">
        <v>1</v>
      </c>
      <c r="L20" s="306">
        <v>1</v>
      </c>
      <c r="M20" s="306">
        <v>1</v>
      </c>
      <c r="N20" s="306">
        <v>1</v>
      </c>
      <c r="O20" s="306">
        <v>1</v>
      </c>
      <c r="P20" s="306">
        <v>1</v>
      </c>
      <c r="Q20" s="306">
        <v>1</v>
      </c>
      <c r="R20" s="306">
        <v>1</v>
      </c>
      <c r="S20" s="306">
        <v>1</v>
      </c>
      <c r="T20" s="306">
        <v>1</v>
      </c>
      <c r="U20" s="306">
        <v>1</v>
      </c>
      <c r="V20" s="306">
        <v>1</v>
      </c>
      <c r="W20" s="306">
        <v>1</v>
      </c>
      <c r="X20" s="306">
        <v>1</v>
      </c>
      <c r="Y20" s="304">
        <v>1</v>
      </c>
      <c r="Z20" s="304">
        <v>1</v>
      </c>
      <c r="AA20" s="304">
        <v>1</v>
      </c>
      <c r="AB20" s="304">
        <v>1</v>
      </c>
      <c r="AC20" s="307">
        <v>1</v>
      </c>
      <c r="AD20" s="55"/>
      <c r="AE20" s="54"/>
      <c r="AF20" s="54"/>
      <c r="AG20" s="54"/>
      <c r="AH20" s="54"/>
      <c r="AI20" s="54"/>
      <c r="AJ20" s="54"/>
      <c r="AK20" s="54"/>
      <c r="AM20" s="65"/>
    </row>
    <row r="21" spans="1:39" ht="36" customHeight="1" thickBot="1" x14ac:dyDescent="0.35">
      <c r="A21" s="698"/>
      <c r="B21" s="671"/>
      <c r="C21" s="688"/>
      <c r="D21" s="657"/>
      <c r="E21" s="313" t="s">
        <v>560</v>
      </c>
      <c r="F21" s="309">
        <v>1</v>
      </c>
      <c r="G21" s="309">
        <v>1</v>
      </c>
      <c r="H21" s="309">
        <v>1</v>
      </c>
      <c r="I21" s="309">
        <v>1</v>
      </c>
      <c r="J21" s="309">
        <v>1</v>
      </c>
      <c r="K21" s="309">
        <v>1</v>
      </c>
      <c r="L21" s="309">
        <v>1</v>
      </c>
      <c r="M21" s="309">
        <v>1</v>
      </c>
      <c r="N21" s="309">
        <v>1</v>
      </c>
      <c r="O21" s="309">
        <v>1</v>
      </c>
      <c r="P21" s="309">
        <v>1</v>
      </c>
      <c r="Q21" s="309">
        <v>1</v>
      </c>
      <c r="R21" s="309">
        <v>1</v>
      </c>
      <c r="S21" s="309">
        <v>1</v>
      </c>
      <c r="T21" s="309">
        <v>1</v>
      </c>
      <c r="U21" s="309">
        <v>1</v>
      </c>
      <c r="V21" s="309">
        <v>1</v>
      </c>
      <c r="W21" s="309">
        <v>1</v>
      </c>
      <c r="X21" s="309">
        <v>1</v>
      </c>
      <c r="Y21" s="309">
        <v>1</v>
      </c>
      <c r="Z21" s="309">
        <v>1</v>
      </c>
      <c r="AA21" s="309">
        <v>1</v>
      </c>
      <c r="AB21" s="309">
        <v>1</v>
      </c>
      <c r="AC21" s="310">
        <v>1</v>
      </c>
      <c r="AD21" s="55"/>
      <c r="AE21" s="54"/>
      <c r="AF21" s="54"/>
      <c r="AG21" s="54"/>
      <c r="AH21" s="54"/>
      <c r="AI21" s="54"/>
      <c r="AJ21" s="54"/>
      <c r="AK21" s="54"/>
      <c r="AM21" s="65"/>
    </row>
    <row r="22" spans="1:39" ht="36" customHeight="1" x14ac:dyDescent="0.3">
      <c r="A22" s="658" t="str">
        <f t="shared" ref="A22" si="0">A7</f>
        <v>All zones</v>
      </c>
      <c r="B22" s="669" t="s">
        <v>176</v>
      </c>
      <c r="C22" s="682" t="s">
        <v>598</v>
      </c>
      <c r="D22" s="689"/>
      <c r="E22" s="266" t="s">
        <v>561</v>
      </c>
      <c r="F22" s="332">
        <f>IF((F13=1),Thermostat!$C$3,Thermostat!$C$4)</f>
        <v>60</v>
      </c>
      <c r="G22" s="332">
        <f>IF((G13=1),Thermostat!$C$3,Thermostat!$C$4)</f>
        <v>60</v>
      </c>
      <c r="H22" s="332">
        <f>IF((H13=1),Thermostat!$C$3,Thermostat!$C$4)</f>
        <v>60</v>
      </c>
      <c r="I22" s="332">
        <f>IF((I13=1),Thermostat!$C$3,Thermostat!$C$4)</f>
        <v>60</v>
      </c>
      <c r="J22" s="332">
        <f>IF((J13=1),Thermostat!$C$3,Thermostat!$C$4)</f>
        <v>60</v>
      </c>
      <c r="K22" s="332">
        <f>IF((K13=1),Thermostat!$C$3,Thermostat!$C$4)</f>
        <v>70</v>
      </c>
      <c r="L22" s="332">
        <f>IF((L13=1),Thermostat!$C$3,Thermostat!$C$4)</f>
        <v>70</v>
      </c>
      <c r="M22" s="332">
        <f>IF((M13=1),Thermostat!$C$3,Thermostat!$C$4)</f>
        <v>70</v>
      </c>
      <c r="N22" s="332">
        <f>IF((N13=1),Thermostat!$C$3,Thermostat!$C$4)</f>
        <v>70</v>
      </c>
      <c r="O22" s="332">
        <f>IF((O13=1),Thermostat!$C$3,Thermostat!$C$4)</f>
        <v>70</v>
      </c>
      <c r="P22" s="332">
        <f>IF((P13=1),Thermostat!$C$3,Thermostat!$C$4)</f>
        <v>70</v>
      </c>
      <c r="Q22" s="332">
        <f>IF((Q13=1),Thermostat!$C$3,Thermostat!$C$4)</f>
        <v>70</v>
      </c>
      <c r="R22" s="332">
        <f>IF((R13=1),Thermostat!$C$3,Thermostat!$C$4)</f>
        <v>70</v>
      </c>
      <c r="S22" s="332">
        <f>IF((S13=1),Thermostat!$C$3,Thermostat!$C$4)</f>
        <v>70</v>
      </c>
      <c r="T22" s="332">
        <f>IF((T13=1),Thermostat!$C$3,Thermostat!$C$4)</f>
        <v>70</v>
      </c>
      <c r="U22" s="332">
        <f>IF((U13=1),Thermostat!$C$3,Thermostat!$C$4)</f>
        <v>70</v>
      </c>
      <c r="V22" s="332">
        <f>IF((V13=1),Thermostat!$C$3,Thermostat!$C$4)</f>
        <v>70</v>
      </c>
      <c r="W22" s="332">
        <f>IF((W13=1),Thermostat!$C$3,Thermostat!$C$4)</f>
        <v>70</v>
      </c>
      <c r="X22" s="332">
        <f>IF((X13=1),Thermostat!$C$3,Thermostat!$C$4)</f>
        <v>70</v>
      </c>
      <c r="Y22" s="332">
        <f>IF((Y13=1),Thermostat!$C$3,Thermostat!$C$4)</f>
        <v>70</v>
      </c>
      <c r="Z22" s="332">
        <f>IF((Z13=1),Thermostat!$C$3,Thermostat!$C$4)</f>
        <v>70</v>
      </c>
      <c r="AA22" s="332">
        <f>IF((AA13=1),Thermostat!$C$3,Thermostat!$C$4)</f>
        <v>70</v>
      </c>
      <c r="AB22" s="332">
        <f>IF((AB13=1),Thermostat!$C$3,Thermostat!$C$4)</f>
        <v>70</v>
      </c>
      <c r="AC22" s="333">
        <f>IF((AC13=1),Thermostat!$C$3,Thermostat!$C$4)</f>
        <v>70</v>
      </c>
      <c r="AD22" s="55"/>
      <c r="AE22" s="54"/>
      <c r="AF22" s="54"/>
      <c r="AG22" s="54"/>
      <c r="AH22" s="54"/>
      <c r="AI22" s="54"/>
      <c r="AJ22" s="54"/>
      <c r="AK22" s="54"/>
      <c r="AM22" s="65"/>
    </row>
    <row r="23" spans="1:39" ht="36" customHeight="1" x14ac:dyDescent="0.3">
      <c r="A23" s="695"/>
      <c r="B23" s="670"/>
      <c r="C23" s="683"/>
      <c r="D23" s="690"/>
      <c r="E23" s="267" t="s">
        <v>559</v>
      </c>
      <c r="F23" s="334">
        <f>IF((F14=1),Thermostat!$C$3,Thermostat!$C$4)</f>
        <v>60</v>
      </c>
      <c r="G23" s="334">
        <f>IF((G14=1),Thermostat!$C$3,Thermostat!$C$4)</f>
        <v>60</v>
      </c>
      <c r="H23" s="334">
        <f>IF((H14=1),Thermostat!$C$3,Thermostat!$C$4)</f>
        <v>60</v>
      </c>
      <c r="I23" s="334">
        <f>IF((I14=1),Thermostat!$C$3,Thermostat!$C$4)</f>
        <v>60</v>
      </c>
      <c r="J23" s="334">
        <f>IF((J14=1),Thermostat!$C$3,Thermostat!$C$4)</f>
        <v>60</v>
      </c>
      <c r="K23" s="334">
        <f>IF((K14=1),Thermostat!$C$3,Thermostat!$C$4)</f>
        <v>60</v>
      </c>
      <c r="L23" s="334">
        <f>IF((L14=1),Thermostat!$C$3,Thermostat!$C$4)</f>
        <v>60</v>
      </c>
      <c r="M23" s="334">
        <f>IF((M14=1),Thermostat!$C$3,Thermostat!$C$4)</f>
        <v>60</v>
      </c>
      <c r="N23" s="334">
        <f>IF((N14=1),Thermostat!$C$3,Thermostat!$C$4)</f>
        <v>60</v>
      </c>
      <c r="O23" s="334">
        <f>IF((O14=1),Thermostat!$C$3,Thermostat!$C$4)</f>
        <v>60</v>
      </c>
      <c r="P23" s="334">
        <f>IF((P14=1),Thermostat!$C$3,Thermostat!$C$4)</f>
        <v>60</v>
      </c>
      <c r="Q23" s="334">
        <f>IF((Q14=1),Thermostat!$C$3,Thermostat!$C$4)</f>
        <v>60</v>
      </c>
      <c r="R23" s="334">
        <f>IF((R14=1),Thermostat!$C$3,Thermostat!$C$4)</f>
        <v>60</v>
      </c>
      <c r="S23" s="334">
        <f>IF((S14=1),Thermostat!$C$3,Thermostat!$C$4)</f>
        <v>60</v>
      </c>
      <c r="T23" s="334">
        <f>IF((T14=1),Thermostat!$C$3,Thermostat!$C$4)</f>
        <v>60</v>
      </c>
      <c r="U23" s="334">
        <f>IF((U14=1),Thermostat!$C$3,Thermostat!$C$4)</f>
        <v>60</v>
      </c>
      <c r="V23" s="334">
        <f>IF((V14=1),Thermostat!$C$3,Thermostat!$C$4)</f>
        <v>60</v>
      </c>
      <c r="W23" s="334">
        <f>IF((W14=1),Thermostat!$C$3,Thermostat!$C$4)</f>
        <v>60</v>
      </c>
      <c r="X23" s="334">
        <f>IF((X14=1),Thermostat!$C$3,Thermostat!$C$4)</f>
        <v>60</v>
      </c>
      <c r="Y23" s="334">
        <f>IF((Y14=1),Thermostat!$C$3,Thermostat!$C$4)</f>
        <v>60</v>
      </c>
      <c r="Z23" s="334">
        <f>IF((Z14=1),Thermostat!$C$3,Thermostat!$C$4)</f>
        <v>60</v>
      </c>
      <c r="AA23" s="334">
        <f>IF((AA14=1),Thermostat!$C$3,Thermostat!$C$4)</f>
        <v>60</v>
      </c>
      <c r="AB23" s="334">
        <f>IF((AB14=1),Thermostat!$C$3,Thermostat!$C$4)</f>
        <v>60</v>
      </c>
      <c r="AC23" s="335">
        <f>IF((AC14=1),Thermostat!$C$3,Thermostat!$C$4)</f>
        <v>60</v>
      </c>
      <c r="AD23" s="55"/>
      <c r="AE23" s="54"/>
      <c r="AF23" s="54"/>
      <c r="AG23" s="54"/>
      <c r="AH23" s="54"/>
      <c r="AI23" s="54"/>
      <c r="AJ23" s="54"/>
      <c r="AK23" s="54"/>
      <c r="AM23" s="65"/>
    </row>
    <row r="24" spans="1:39" ht="36" customHeight="1" thickBot="1" x14ac:dyDescent="0.35">
      <c r="A24" s="698"/>
      <c r="B24" s="671"/>
      <c r="C24" s="684"/>
      <c r="D24" s="691"/>
      <c r="E24" s="268" t="s">
        <v>560</v>
      </c>
      <c r="F24" s="336">
        <f>IF((F15=1),Thermostat!$C$3,Thermostat!$C$4)</f>
        <v>60</v>
      </c>
      <c r="G24" s="336">
        <f>IF((G15=1),Thermostat!$C$3,Thermostat!$C$4)</f>
        <v>60</v>
      </c>
      <c r="H24" s="336">
        <f>IF((H15=1),Thermostat!$C$3,Thermostat!$C$4)</f>
        <v>60</v>
      </c>
      <c r="I24" s="336">
        <f>IF((I15=1),Thermostat!$C$3,Thermostat!$C$4)</f>
        <v>60</v>
      </c>
      <c r="J24" s="336">
        <f>IF((J15=1),Thermostat!$C$3,Thermostat!$C$4)</f>
        <v>60</v>
      </c>
      <c r="K24" s="336">
        <f>IF((K15=1),Thermostat!$C$3,Thermostat!$C$4)</f>
        <v>60</v>
      </c>
      <c r="L24" s="336">
        <f>IF((L15=1),Thermostat!$C$3,Thermostat!$C$4)</f>
        <v>60</v>
      </c>
      <c r="M24" s="336">
        <f>IF((M15=1),Thermostat!$C$3,Thermostat!$C$4)</f>
        <v>60</v>
      </c>
      <c r="N24" s="336">
        <f>IF((N15=1),Thermostat!$C$3,Thermostat!$C$4)</f>
        <v>60</v>
      </c>
      <c r="O24" s="336">
        <f>IF((O15=1),Thermostat!$C$3,Thermostat!$C$4)</f>
        <v>60</v>
      </c>
      <c r="P24" s="336">
        <f>IF((P15=1),Thermostat!$C$3,Thermostat!$C$4)</f>
        <v>60</v>
      </c>
      <c r="Q24" s="336">
        <f>IF((Q15=1),Thermostat!$C$3,Thermostat!$C$4)</f>
        <v>60</v>
      </c>
      <c r="R24" s="336">
        <f>IF((R15=1),Thermostat!$C$3,Thermostat!$C$4)</f>
        <v>60</v>
      </c>
      <c r="S24" s="336">
        <f>IF((S15=1),Thermostat!$C$3,Thermostat!$C$4)</f>
        <v>60</v>
      </c>
      <c r="T24" s="336">
        <f>IF((T15=1),Thermostat!$C$3,Thermostat!$C$4)</f>
        <v>60</v>
      </c>
      <c r="U24" s="336">
        <f>IF((U15=1),Thermostat!$C$3,Thermostat!$C$4)</f>
        <v>60</v>
      </c>
      <c r="V24" s="336">
        <f>IF((V15=1),Thermostat!$C$3,Thermostat!$C$4)</f>
        <v>60</v>
      </c>
      <c r="W24" s="336">
        <f>IF((W15=1),Thermostat!$C$3,Thermostat!$C$4)</f>
        <v>60</v>
      </c>
      <c r="X24" s="336">
        <f>IF((X15=1),Thermostat!$C$3,Thermostat!$C$4)</f>
        <v>60</v>
      </c>
      <c r="Y24" s="336">
        <f>IF((Y15=1),Thermostat!$C$3,Thermostat!$C$4)</f>
        <v>60</v>
      </c>
      <c r="Z24" s="336">
        <f>IF((Z15=1),Thermostat!$C$3,Thermostat!$C$4)</f>
        <v>60</v>
      </c>
      <c r="AA24" s="336">
        <f>IF((AA15=1),Thermostat!$C$3,Thermostat!$C$4)</f>
        <v>60</v>
      </c>
      <c r="AB24" s="336">
        <f>IF((AB15=1),Thermostat!$C$3,Thermostat!$C$4)</f>
        <v>60</v>
      </c>
      <c r="AC24" s="337">
        <f>IF((AC15=1),Thermostat!$C$3,Thermostat!$C$4)</f>
        <v>60</v>
      </c>
      <c r="AD24" s="55"/>
      <c r="AE24" s="54"/>
      <c r="AF24" s="54"/>
      <c r="AG24" s="54"/>
      <c r="AH24" s="54"/>
      <c r="AI24" s="54"/>
      <c r="AJ24" s="54"/>
      <c r="AK24" s="54"/>
      <c r="AM24" s="65"/>
    </row>
    <row r="25" spans="1:39" ht="36" customHeight="1" x14ac:dyDescent="0.3">
      <c r="A25" s="658" t="str">
        <f t="shared" ref="A25" si="1">A10</f>
        <v>All zones</v>
      </c>
      <c r="B25" s="669" t="s">
        <v>176</v>
      </c>
      <c r="C25" s="682" t="s">
        <v>599</v>
      </c>
      <c r="D25" s="685"/>
      <c r="E25" s="338" t="s">
        <v>561</v>
      </c>
      <c r="F25" s="339">
        <f>IF((F13=1),Thermostat!$C$5,Thermostat!$C$6)</f>
        <v>85</v>
      </c>
      <c r="G25" s="339">
        <f>IF((G13=1),Thermostat!$C$5,Thermostat!$C$6)</f>
        <v>85</v>
      </c>
      <c r="H25" s="339">
        <f>IF((H13=1),Thermostat!$C$5,Thermostat!$C$6)</f>
        <v>85</v>
      </c>
      <c r="I25" s="339">
        <f>IF((I13=1),Thermostat!$C$5,Thermostat!$C$6)</f>
        <v>85</v>
      </c>
      <c r="J25" s="339">
        <f>IF((J13=1),Thermostat!$C$5,Thermostat!$C$6)</f>
        <v>85</v>
      </c>
      <c r="K25" s="339">
        <f>IF((K13=1),Thermostat!$C$5,Thermostat!$C$6)</f>
        <v>75</v>
      </c>
      <c r="L25" s="339">
        <f>IF((L13=1),Thermostat!$C$5,Thermostat!$C$6)</f>
        <v>75</v>
      </c>
      <c r="M25" s="339">
        <f>IF((M13=1),Thermostat!$C$5,Thermostat!$C$6)</f>
        <v>75</v>
      </c>
      <c r="N25" s="339">
        <f>IF((N13=1),Thermostat!$C$5,Thermostat!$C$6)</f>
        <v>75</v>
      </c>
      <c r="O25" s="339">
        <f>IF((O13=1),Thermostat!$C$5,Thermostat!$C$6)</f>
        <v>75</v>
      </c>
      <c r="P25" s="339">
        <f>IF((P13=1),Thermostat!$C$5,Thermostat!$C$6)</f>
        <v>75</v>
      </c>
      <c r="Q25" s="339">
        <f>IF((Q13=1),Thermostat!$C$5,Thermostat!$C$6)</f>
        <v>75</v>
      </c>
      <c r="R25" s="339">
        <f>IF((R13=1),Thermostat!$C$5,Thermostat!$C$6)</f>
        <v>75</v>
      </c>
      <c r="S25" s="339">
        <f>IF((S13=1),Thermostat!$C$5,Thermostat!$C$6)</f>
        <v>75</v>
      </c>
      <c r="T25" s="339">
        <f>IF((T13=1),Thermostat!$C$5,Thermostat!$C$6)</f>
        <v>75</v>
      </c>
      <c r="U25" s="339">
        <f>IF((U13=1),Thermostat!$C$5,Thermostat!$C$6)</f>
        <v>75</v>
      </c>
      <c r="V25" s="339">
        <f>IF((V13=1),Thermostat!$C$5,Thermostat!$C$6)</f>
        <v>75</v>
      </c>
      <c r="W25" s="339">
        <f>IF((W13=1),Thermostat!$C$5,Thermostat!$C$6)</f>
        <v>75</v>
      </c>
      <c r="X25" s="339">
        <f>IF((X13=1),Thermostat!$C$5,Thermostat!$C$6)</f>
        <v>75</v>
      </c>
      <c r="Y25" s="339">
        <f>IF((Y13=1),Thermostat!$C$5,Thermostat!$C$6)</f>
        <v>75</v>
      </c>
      <c r="Z25" s="339">
        <f>IF((Z13=1),Thermostat!$C$5,Thermostat!$C$6)</f>
        <v>75</v>
      </c>
      <c r="AA25" s="339">
        <f>IF((AA13=1),Thermostat!$C$5,Thermostat!$C$6)</f>
        <v>75</v>
      </c>
      <c r="AB25" s="339">
        <f>IF((AB13=1),Thermostat!$C$5,Thermostat!$C$6)</f>
        <v>75</v>
      </c>
      <c r="AC25" s="340">
        <f>IF((AC13=1),Thermostat!$C$5,Thermostat!$C$6)</f>
        <v>75</v>
      </c>
      <c r="AD25" s="55"/>
      <c r="AE25" s="54"/>
      <c r="AF25" s="54"/>
      <c r="AG25" s="54"/>
      <c r="AH25" s="54"/>
      <c r="AI25" s="54"/>
      <c r="AJ25" s="54"/>
      <c r="AK25" s="54"/>
      <c r="AM25" s="65"/>
    </row>
    <row r="26" spans="1:39" ht="36" customHeight="1" x14ac:dyDescent="0.3">
      <c r="A26" s="695"/>
      <c r="B26" s="670"/>
      <c r="C26" s="683"/>
      <c r="D26" s="686"/>
      <c r="E26" s="267" t="s">
        <v>559</v>
      </c>
      <c r="F26" s="334">
        <f>IF((F14=1),Thermostat!$C$5,Thermostat!$C$6)</f>
        <v>85</v>
      </c>
      <c r="G26" s="334">
        <f>IF((G14=1),Thermostat!$C$5,Thermostat!$C$6)</f>
        <v>85</v>
      </c>
      <c r="H26" s="334">
        <f>IF((H14=1),Thermostat!$C$5,Thermostat!$C$6)</f>
        <v>85</v>
      </c>
      <c r="I26" s="334">
        <f>IF((I14=1),Thermostat!$C$5,Thermostat!$C$6)</f>
        <v>85</v>
      </c>
      <c r="J26" s="334">
        <f>IF((J14=1),Thermostat!$C$5,Thermostat!$C$6)</f>
        <v>85</v>
      </c>
      <c r="K26" s="334">
        <f>IF((K14=1),Thermostat!$C$5,Thermostat!$C$6)</f>
        <v>85</v>
      </c>
      <c r="L26" s="334">
        <f>IF((L14=1),Thermostat!$C$5,Thermostat!$C$6)</f>
        <v>85</v>
      </c>
      <c r="M26" s="334">
        <f>IF((M14=1),Thermostat!$C$5,Thermostat!$C$6)</f>
        <v>85</v>
      </c>
      <c r="N26" s="334">
        <f>IF((N14=1),Thermostat!$C$5,Thermostat!$C$6)</f>
        <v>85</v>
      </c>
      <c r="O26" s="334">
        <f>IF((O14=1),Thermostat!$C$5,Thermostat!$C$6)</f>
        <v>85</v>
      </c>
      <c r="P26" s="334">
        <f>IF((P14=1),Thermostat!$C$5,Thermostat!$C$6)</f>
        <v>85</v>
      </c>
      <c r="Q26" s="334">
        <f>IF((Q14=1),Thermostat!$C$5,Thermostat!$C$6)</f>
        <v>85</v>
      </c>
      <c r="R26" s="334">
        <f>IF((R14=1),Thermostat!$C$5,Thermostat!$C$6)</f>
        <v>85</v>
      </c>
      <c r="S26" s="334">
        <f>IF((S14=1),Thermostat!$C$5,Thermostat!$C$6)</f>
        <v>85</v>
      </c>
      <c r="T26" s="334">
        <f>IF((T14=1),Thermostat!$C$5,Thermostat!$C$6)</f>
        <v>85</v>
      </c>
      <c r="U26" s="334">
        <f>IF((U14=1),Thermostat!$C$5,Thermostat!$C$6)</f>
        <v>85</v>
      </c>
      <c r="V26" s="334">
        <f>IF((V14=1),Thermostat!$C$5,Thermostat!$C$6)</f>
        <v>85</v>
      </c>
      <c r="W26" s="334">
        <f>IF((W14=1),Thermostat!$C$5,Thermostat!$C$6)</f>
        <v>85</v>
      </c>
      <c r="X26" s="334">
        <f>IF((X14=1),Thermostat!$C$5,Thermostat!$C$6)</f>
        <v>85</v>
      </c>
      <c r="Y26" s="334">
        <f>IF((Y14=1),Thermostat!$C$5,Thermostat!$C$6)</f>
        <v>85</v>
      </c>
      <c r="Z26" s="334">
        <f>IF((Z14=1),Thermostat!$C$5,Thermostat!$C$6)</f>
        <v>85</v>
      </c>
      <c r="AA26" s="334">
        <f>IF((AA14=1),Thermostat!$C$5,Thermostat!$C$6)</f>
        <v>85</v>
      </c>
      <c r="AB26" s="334">
        <f>IF((AB14=1),Thermostat!$C$5,Thermostat!$C$6)</f>
        <v>85</v>
      </c>
      <c r="AC26" s="335">
        <f>IF((AC14=1),Thermostat!$C$5,Thermostat!$C$6)</f>
        <v>85</v>
      </c>
      <c r="AD26" s="55"/>
      <c r="AE26" s="54"/>
      <c r="AF26" s="54"/>
      <c r="AG26" s="54"/>
      <c r="AH26" s="54"/>
      <c r="AI26" s="54"/>
      <c r="AJ26" s="54"/>
      <c r="AK26" s="54"/>
      <c r="AM26" s="65"/>
    </row>
    <row r="27" spans="1:39" ht="36" customHeight="1" thickBot="1" x14ac:dyDescent="0.35">
      <c r="A27" s="696"/>
      <c r="B27" s="681"/>
      <c r="C27" s="684"/>
      <c r="D27" s="687"/>
      <c r="E27" s="268" t="s">
        <v>560</v>
      </c>
      <c r="F27" s="336">
        <f>IF((F15=1),Thermostat!$C$5,Thermostat!$C$6)</f>
        <v>85</v>
      </c>
      <c r="G27" s="336">
        <f>IF((G15=1),Thermostat!$C$5,Thermostat!$C$6)</f>
        <v>85</v>
      </c>
      <c r="H27" s="336">
        <f>IF((H15=1),Thermostat!$C$5,Thermostat!$C$6)</f>
        <v>85</v>
      </c>
      <c r="I27" s="336">
        <f>IF((I15=1),Thermostat!$C$5,Thermostat!$C$6)</f>
        <v>85</v>
      </c>
      <c r="J27" s="336">
        <f>IF((J15=1),Thermostat!$C$5,Thermostat!$C$6)</f>
        <v>85</v>
      </c>
      <c r="K27" s="336">
        <f>IF((K15=1),Thermostat!$C$5,Thermostat!$C$6)</f>
        <v>85</v>
      </c>
      <c r="L27" s="336">
        <f>IF((L15=1),Thermostat!$C$5,Thermostat!$C$6)</f>
        <v>85</v>
      </c>
      <c r="M27" s="336">
        <f>IF((M15=1),Thermostat!$C$5,Thermostat!$C$6)</f>
        <v>85</v>
      </c>
      <c r="N27" s="336">
        <f>IF((N15=1),Thermostat!$C$5,Thermostat!$C$6)</f>
        <v>85</v>
      </c>
      <c r="O27" s="336">
        <f>IF((O15=1),Thermostat!$C$5,Thermostat!$C$6)</f>
        <v>85</v>
      </c>
      <c r="P27" s="336">
        <f>IF((P15=1),Thermostat!$C$5,Thermostat!$C$6)</f>
        <v>85</v>
      </c>
      <c r="Q27" s="336">
        <f>IF((Q15=1),Thermostat!$C$5,Thermostat!$C$6)</f>
        <v>85</v>
      </c>
      <c r="R27" s="336">
        <f>IF((R15=1),Thermostat!$C$5,Thermostat!$C$6)</f>
        <v>85</v>
      </c>
      <c r="S27" s="336">
        <f>IF((S15=1),Thermostat!$C$5,Thermostat!$C$6)</f>
        <v>85</v>
      </c>
      <c r="T27" s="336">
        <f>IF((T15=1),Thermostat!$C$5,Thermostat!$C$6)</f>
        <v>85</v>
      </c>
      <c r="U27" s="336">
        <f>IF((U15=1),Thermostat!$C$5,Thermostat!$C$6)</f>
        <v>85</v>
      </c>
      <c r="V27" s="336">
        <f>IF((V15=1),Thermostat!$C$5,Thermostat!$C$6)</f>
        <v>85</v>
      </c>
      <c r="W27" s="336">
        <f>IF((W15=1),Thermostat!$C$5,Thermostat!$C$6)</f>
        <v>85</v>
      </c>
      <c r="X27" s="336">
        <f>IF((X15=1),Thermostat!$C$5,Thermostat!$C$6)</f>
        <v>85</v>
      </c>
      <c r="Y27" s="336">
        <f>IF((Y15=1),Thermostat!$C$5,Thermostat!$C$6)</f>
        <v>85</v>
      </c>
      <c r="Z27" s="336">
        <f>IF((Z15=1),Thermostat!$C$5,Thermostat!$C$6)</f>
        <v>85</v>
      </c>
      <c r="AA27" s="336">
        <f>IF((AA15=1),Thermostat!$C$5,Thermostat!$C$6)</f>
        <v>85</v>
      </c>
      <c r="AB27" s="336">
        <f>IF((AB15=1),Thermostat!$C$5,Thermostat!$C$6)</f>
        <v>85</v>
      </c>
      <c r="AC27" s="337">
        <f>IF((AC15=1),Thermostat!$C$5,Thermostat!$C$6)</f>
        <v>85</v>
      </c>
      <c r="AD27" s="55"/>
      <c r="AE27" s="54"/>
      <c r="AF27" s="54"/>
      <c r="AG27" s="54"/>
      <c r="AH27" s="54"/>
      <c r="AI27" s="54"/>
      <c r="AJ27" s="54"/>
      <c r="AK27" s="54"/>
      <c r="AM27" s="65"/>
    </row>
    <row r="28" spans="1:39" ht="31.2" customHeight="1" thickBot="1" x14ac:dyDescent="0.35">
      <c r="A28" s="692" t="s">
        <v>183</v>
      </c>
      <c r="B28" s="693"/>
      <c r="C28" s="693"/>
      <c r="D28" s="693"/>
      <c r="E28" s="693"/>
      <c r="F28" s="693"/>
      <c r="G28" s="693"/>
      <c r="H28" s="693"/>
      <c r="I28" s="693"/>
      <c r="J28" s="693"/>
      <c r="K28" s="693"/>
      <c r="L28" s="693"/>
      <c r="M28" s="693"/>
      <c r="N28" s="693"/>
      <c r="O28" s="693"/>
      <c r="P28" s="693"/>
      <c r="Q28" s="693"/>
      <c r="R28" s="693"/>
      <c r="S28" s="693"/>
      <c r="T28" s="693"/>
      <c r="U28" s="693"/>
      <c r="V28" s="693"/>
      <c r="W28" s="693"/>
      <c r="X28" s="693"/>
      <c r="Y28" s="693"/>
      <c r="Z28" s="693"/>
      <c r="AA28" s="693"/>
      <c r="AB28" s="693"/>
      <c r="AC28" s="694"/>
      <c r="AD28" s="54"/>
      <c r="AE28" s="54"/>
      <c r="AF28" s="54"/>
      <c r="AG28" s="54"/>
      <c r="AH28" s="54"/>
      <c r="AI28" s="54"/>
      <c r="AJ28" s="54"/>
    </row>
    <row r="29" spans="1:39" ht="36" customHeight="1" x14ac:dyDescent="0.3">
      <c r="A29" s="658" t="s">
        <v>453</v>
      </c>
      <c r="B29" s="669" t="s">
        <v>183</v>
      </c>
      <c r="C29" s="660" t="s">
        <v>589</v>
      </c>
      <c r="D29" s="662" t="s">
        <v>600</v>
      </c>
      <c r="E29" s="300" t="s">
        <v>561</v>
      </c>
      <c r="F29" s="301">
        <v>0</v>
      </c>
      <c r="G29" s="301">
        <v>0</v>
      </c>
      <c r="H29" s="301">
        <v>0</v>
      </c>
      <c r="I29" s="301">
        <v>0</v>
      </c>
      <c r="J29" s="301">
        <v>0.05</v>
      </c>
      <c r="K29" s="301">
        <v>0.1</v>
      </c>
      <c r="L29" s="301">
        <v>0.25</v>
      </c>
      <c r="M29" s="301">
        <v>0.65</v>
      </c>
      <c r="N29" s="301">
        <v>0.65</v>
      </c>
      <c r="O29" s="301">
        <v>0.65</v>
      </c>
      <c r="P29" s="301">
        <v>0.65</v>
      </c>
      <c r="Q29" s="301">
        <v>0.6</v>
      </c>
      <c r="R29" s="301">
        <v>0.6</v>
      </c>
      <c r="S29" s="301">
        <v>0.65</v>
      </c>
      <c r="T29" s="301">
        <v>0.65</v>
      </c>
      <c r="U29" s="301">
        <v>0.65</v>
      </c>
      <c r="V29" s="301">
        <v>0.65</v>
      </c>
      <c r="W29" s="301">
        <v>0.4</v>
      </c>
      <c r="X29" s="301">
        <v>0.25</v>
      </c>
      <c r="Y29" s="301">
        <v>0.1</v>
      </c>
      <c r="Z29" s="301">
        <v>0.05</v>
      </c>
      <c r="AA29" s="301">
        <v>0.05</v>
      </c>
      <c r="AB29" s="301">
        <v>0.05</v>
      </c>
      <c r="AC29" s="302">
        <v>0</v>
      </c>
      <c r="AD29" s="54"/>
      <c r="AE29" s="54"/>
      <c r="AF29" s="54"/>
      <c r="AG29" s="54"/>
      <c r="AH29" s="54"/>
      <c r="AI29" s="54"/>
      <c r="AJ29" s="54"/>
      <c r="AK29" s="54"/>
    </row>
    <row r="30" spans="1:39" ht="36" customHeight="1" x14ac:dyDescent="0.3">
      <c r="A30" s="695"/>
      <c r="B30" s="670"/>
      <c r="C30" s="675"/>
      <c r="D30" s="656"/>
      <c r="E30" s="303" t="s">
        <v>559</v>
      </c>
      <c r="F30" s="304">
        <v>0</v>
      </c>
      <c r="G30" s="304">
        <v>0</v>
      </c>
      <c r="H30" s="304">
        <v>0</v>
      </c>
      <c r="I30" s="304">
        <v>0</v>
      </c>
      <c r="J30" s="304">
        <v>0</v>
      </c>
      <c r="K30" s="304">
        <v>0</v>
      </c>
      <c r="L30" s="305">
        <v>0</v>
      </c>
      <c r="M30" s="305">
        <v>0.05</v>
      </c>
      <c r="N30" s="305">
        <v>0.05</v>
      </c>
      <c r="O30" s="305">
        <v>0.05</v>
      </c>
      <c r="P30" s="305">
        <v>0.05</v>
      </c>
      <c r="Q30" s="305">
        <v>0.05</v>
      </c>
      <c r="R30" s="305">
        <v>0.05</v>
      </c>
      <c r="S30" s="305">
        <v>0.05</v>
      </c>
      <c r="T30" s="305">
        <v>0.05</v>
      </c>
      <c r="U30" s="305">
        <v>0.05</v>
      </c>
      <c r="V30" s="305">
        <v>0.05</v>
      </c>
      <c r="W30" s="305">
        <v>0.05</v>
      </c>
      <c r="X30" s="306">
        <v>0.05</v>
      </c>
      <c r="Y30" s="304">
        <v>0.05</v>
      </c>
      <c r="Z30" s="304">
        <v>0</v>
      </c>
      <c r="AA30" s="304">
        <v>0</v>
      </c>
      <c r="AB30" s="304">
        <v>0</v>
      </c>
      <c r="AC30" s="307">
        <v>0</v>
      </c>
      <c r="AD30" s="54"/>
      <c r="AE30" s="54"/>
      <c r="AF30" s="54"/>
      <c r="AG30" s="54"/>
      <c r="AH30" s="54"/>
      <c r="AI30" s="54"/>
      <c r="AJ30" s="54"/>
      <c r="AK30" s="54"/>
    </row>
    <row r="31" spans="1:39" ht="36" customHeight="1" thickBot="1" x14ac:dyDescent="0.35">
      <c r="A31" s="698"/>
      <c r="B31" s="681"/>
      <c r="C31" s="688"/>
      <c r="D31" s="657"/>
      <c r="E31" s="308" t="s">
        <v>560</v>
      </c>
      <c r="F31" s="309">
        <v>0</v>
      </c>
      <c r="G31" s="309">
        <v>0</v>
      </c>
      <c r="H31" s="309">
        <v>0</v>
      </c>
      <c r="I31" s="309">
        <v>0</v>
      </c>
      <c r="J31" s="309">
        <v>0</v>
      </c>
      <c r="K31" s="309">
        <v>0</v>
      </c>
      <c r="L31" s="309">
        <v>0</v>
      </c>
      <c r="M31" s="309">
        <v>0.05</v>
      </c>
      <c r="N31" s="309">
        <v>0.05</v>
      </c>
      <c r="O31" s="309">
        <v>0.05</v>
      </c>
      <c r="P31" s="309">
        <v>0.05</v>
      </c>
      <c r="Q31" s="309">
        <v>0.05</v>
      </c>
      <c r="R31" s="309">
        <v>0.05</v>
      </c>
      <c r="S31" s="309">
        <v>0.05</v>
      </c>
      <c r="T31" s="309">
        <v>0.05</v>
      </c>
      <c r="U31" s="309">
        <v>0.05</v>
      </c>
      <c r="V31" s="309">
        <v>0.05</v>
      </c>
      <c r="W31" s="309">
        <v>0.05</v>
      </c>
      <c r="X31" s="309">
        <v>0.05</v>
      </c>
      <c r="Y31" s="309">
        <v>0.05</v>
      </c>
      <c r="Z31" s="309">
        <v>0</v>
      </c>
      <c r="AA31" s="309">
        <v>0</v>
      </c>
      <c r="AB31" s="309">
        <v>0</v>
      </c>
      <c r="AC31" s="310">
        <v>0</v>
      </c>
      <c r="AD31" s="54"/>
      <c r="AE31" s="54"/>
      <c r="AF31" s="54"/>
      <c r="AG31" s="54"/>
      <c r="AH31" s="54"/>
      <c r="AI31" s="54"/>
      <c r="AJ31" s="54"/>
      <c r="AK31" s="54"/>
    </row>
    <row r="32" spans="1:39" ht="36" customHeight="1" x14ac:dyDescent="0.3">
      <c r="A32" s="658" t="str">
        <f>A29</f>
        <v>Server rooms</v>
      </c>
      <c r="B32" s="669" t="str">
        <f>B29</f>
        <v>Data</v>
      </c>
      <c r="C32" s="660" t="s">
        <v>591</v>
      </c>
      <c r="D32" s="662" t="s">
        <v>600</v>
      </c>
      <c r="E32" s="341" t="s">
        <v>561</v>
      </c>
      <c r="F32" s="301">
        <v>0.05</v>
      </c>
      <c r="G32" s="301">
        <v>0.05</v>
      </c>
      <c r="H32" s="301">
        <v>0.05</v>
      </c>
      <c r="I32" s="301">
        <v>0.05</v>
      </c>
      <c r="J32" s="301">
        <v>0.1</v>
      </c>
      <c r="K32" s="301">
        <v>0.2</v>
      </c>
      <c r="L32" s="301">
        <v>0.4</v>
      </c>
      <c r="M32" s="301">
        <v>0.7</v>
      </c>
      <c r="N32" s="301">
        <v>0.8</v>
      </c>
      <c r="O32" s="301">
        <v>0.85</v>
      </c>
      <c r="P32" s="301">
        <v>0.85</v>
      </c>
      <c r="Q32" s="301">
        <v>0.85</v>
      </c>
      <c r="R32" s="301">
        <v>0.85</v>
      </c>
      <c r="S32" s="301">
        <v>0.85</v>
      </c>
      <c r="T32" s="301">
        <v>0.85</v>
      </c>
      <c r="U32" s="301">
        <v>0.85</v>
      </c>
      <c r="V32" s="301">
        <v>0.85</v>
      </c>
      <c r="W32" s="301">
        <v>0.8</v>
      </c>
      <c r="X32" s="301">
        <v>0.35</v>
      </c>
      <c r="Y32" s="301">
        <v>0.1</v>
      </c>
      <c r="Z32" s="301">
        <v>0.1</v>
      </c>
      <c r="AA32" s="301">
        <v>0.1</v>
      </c>
      <c r="AB32" s="301">
        <v>0.1</v>
      </c>
      <c r="AC32" s="302">
        <v>0.1</v>
      </c>
      <c r="AD32" s="54"/>
      <c r="AE32" s="54"/>
      <c r="AF32" s="54"/>
      <c r="AG32" s="54"/>
      <c r="AH32" s="54"/>
      <c r="AI32" s="54"/>
      <c r="AJ32" s="54"/>
      <c r="AK32" s="54"/>
      <c r="AM32" s="65"/>
    </row>
    <row r="33" spans="1:39" ht="36" customHeight="1" x14ac:dyDescent="0.3">
      <c r="A33" s="695"/>
      <c r="B33" s="670"/>
      <c r="C33" s="675"/>
      <c r="D33" s="656"/>
      <c r="E33" s="312" t="s">
        <v>559</v>
      </c>
      <c r="F33" s="304">
        <v>0.05</v>
      </c>
      <c r="G33" s="304">
        <v>0.05</v>
      </c>
      <c r="H33" s="304">
        <v>0.05</v>
      </c>
      <c r="I33" s="304">
        <v>0.05</v>
      </c>
      <c r="J33" s="304">
        <v>0.05</v>
      </c>
      <c r="K33" s="304">
        <v>0.1</v>
      </c>
      <c r="L33" s="306">
        <v>0.1</v>
      </c>
      <c r="M33" s="306">
        <v>0.15</v>
      </c>
      <c r="N33" s="306">
        <v>0.15</v>
      </c>
      <c r="O33" s="306">
        <v>0.15</v>
      </c>
      <c r="P33" s="306">
        <v>0.15</v>
      </c>
      <c r="Q33" s="306">
        <v>0.15</v>
      </c>
      <c r="R33" s="306">
        <v>0.15</v>
      </c>
      <c r="S33" s="306">
        <v>0.15</v>
      </c>
      <c r="T33" s="306">
        <v>0.15</v>
      </c>
      <c r="U33" s="306">
        <v>0.15</v>
      </c>
      <c r="V33" s="306">
        <v>0.15</v>
      </c>
      <c r="W33" s="306">
        <v>0.1</v>
      </c>
      <c r="X33" s="304">
        <v>0.1</v>
      </c>
      <c r="Y33" s="304">
        <v>0.1</v>
      </c>
      <c r="Z33" s="306">
        <v>0.05</v>
      </c>
      <c r="AA33" s="306">
        <v>0.05</v>
      </c>
      <c r="AB33" s="306">
        <v>0.05</v>
      </c>
      <c r="AC33" s="379">
        <v>0.05</v>
      </c>
      <c r="AD33" s="54"/>
      <c r="AE33" s="54"/>
      <c r="AF33" s="54"/>
      <c r="AG33" s="54"/>
      <c r="AH33" s="54"/>
      <c r="AI33" s="54"/>
      <c r="AJ33" s="54"/>
      <c r="AK33" s="54"/>
      <c r="AM33" s="65"/>
    </row>
    <row r="34" spans="1:39" ht="36" customHeight="1" thickBot="1" x14ac:dyDescent="0.35">
      <c r="A34" s="698"/>
      <c r="B34" s="681"/>
      <c r="C34" s="688"/>
      <c r="D34" s="657"/>
      <c r="E34" s="342" t="s">
        <v>560</v>
      </c>
      <c r="F34" s="314">
        <v>0.05</v>
      </c>
      <c r="G34" s="314">
        <v>0.05</v>
      </c>
      <c r="H34" s="314">
        <v>0.05</v>
      </c>
      <c r="I34" s="314">
        <v>0.05</v>
      </c>
      <c r="J34" s="314">
        <v>0.05</v>
      </c>
      <c r="K34" s="314">
        <v>0.1</v>
      </c>
      <c r="L34" s="378">
        <v>0.1</v>
      </c>
      <c r="M34" s="378">
        <v>0.15</v>
      </c>
      <c r="N34" s="378">
        <v>0.15</v>
      </c>
      <c r="O34" s="378">
        <v>0.15</v>
      </c>
      <c r="P34" s="378">
        <v>0.15</v>
      </c>
      <c r="Q34" s="378">
        <v>0.15</v>
      </c>
      <c r="R34" s="378">
        <v>0.15</v>
      </c>
      <c r="S34" s="378">
        <v>0.15</v>
      </c>
      <c r="T34" s="378">
        <v>0.15</v>
      </c>
      <c r="U34" s="378">
        <v>0.15</v>
      </c>
      <c r="V34" s="378">
        <v>0.15</v>
      </c>
      <c r="W34" s="378">
        <v>0.1</v>
      </c>
      <c r="X34" s="314">
        <v>0.1</v>
      </c>
      <c r="Y34" s="314">
        <v>0.1</v>
      </c>
      <c r="Z34" s="378">
        <v>0.05</v>
      </c>
      <c r="AA34" s="378">
        <v>0.05</v>
      </c>
      <c r="AB34" s="378">
        <v>0.05</v>
      </c>
      <c r="AC34" s="380">
        <v>0.05</v>
      </c>
      <c r="AD34" s="54"/>
      <c r="AE34" s="54"/>
      <c r="AF34" s="54"/>
      <c r="AG34" s="54"/>
      <c r="AH34" s="54"/>
      <c r="AI34" s="54"/>
      <c r="AJ34" s="54"/>
      <c r="AK34" s="54"/>
      <c r="AM34" s="65"/>
    </row>
    <row r="35" spans="1:39" ht="36" customHeight="1" x14ac:dyDescent="0.3">
      <c r="A35" s="658" t="str">
        <f>A29</f>
        <v>Server rooms</v>
      </c>
      <c r="B35" s="669" t="str">
        <f>B29</f>
        <v>Data</v>
      </c>
      <c r="C35" s="660" t="s">
        <v>595</v>
      </c>
      <c r="D35" s="662" t="s">
        <v>601</v>
      </c>
      <c r="E35" s="323" t="s">
        <v>561</v>
      </c>
      <c r="F35" s="324">
        <v>1</v>
      </c>
      <c r="G35" s="324">
        <v>1</v>
      </c>
      <c r="H35" s="324">
        <v>1</v>
      </c>
      <c r="I35" s="324">
        <v>1</v>
      </c>
      <c r="J35" s="324">
        <v>1</v>
      </c>
      <c r="K35" s="324">
        <v>1</v>
      </c>
      <c r="L35" s="324">
        <v>1</v>
      </c>
      <c r="M35" s="324">
        <v>1</v>
      </c>
      <c r="N35" s="324">
        <v>1</v>
      </c>
      <c r="O35" s="324">
        <v>1</v>
      </c>
      <c r="P35" s="324">
        <v>1</v>
      </c>
      <c r="Q35" s="324">
        <v>1</v>
      </c>
      <c r="R35" s="324">
        <v>1</v>
      </c>
      <c r="S35" s="324">
        <v>1</v>
      </c>
      <c r="T35" s="324">
        <v>1</v>
      </c>
      <c r="U35" s="324">
        <v>1</v>
      </c>
      <c r="V35" s="324">
        <v>1</v>
      </c>
      <c r="W35" s="324">
        <v>1</v>
      </c>
      <c r="X35" s="324">
        <v>1</v>
      </c>
      <c r="Y35" s="324">
        <v>1</v>
      </c>
      <c r="Z35" s="324">
        <v>1</v>
      </c>
      <c r="AA35" s="324">
        <v>1</v>
      </c>
      <c r="AB35" s="324">
        <v>1</v>
      </c>
      <c r="AC35" s="325">
        <v>1</v>
      </c>
      <c r="AD35" s="55"/>
      <c r="AE35" s="54"/>
      <c r="AF35" s="54"/>
      <c r="AG35" s="54"/>
      <c r="AH35" s="54"/>
      <c r="AI35" s="54"/>
      <c r="AJ35" s="54"/>
      <c r="AK35" s="54"/>
      <c r="AM35" s="65"/>
    </row>
    <row r="36" spans="1:39" ht="36" customHeight="1" x14ac:dyDescent="0.3">
      <c r="A36" s="695"/>
      <c r="B36" s="670"/>
      <c r="C36" s="675"/>
      <c r="D36" s="656"/>
      <c r="E36" s="312" t="s">
        <v>559</v>
      </c>
      <c r="F36" s="304">
        <v>1</v>
      </c>
      <c r="G36" s="304">
        <v>1</v>
      </c>
      <c r="H36" s="304">
        <v>1</v>
      </c>
      <c r="I36" s="304">
        <v>1</v>
      </c>
      <c r="J36" s="304">
        <v>1</v>
      </c>
      <c r="K36" s="304">
        <v>1</v>
      </c>
      <c r="L36" s="304">
        <v>1</v>
      </c>
      <c r="M36" s="304">
        <v>1</v>
      </c>
      <c r="N36" s="304">
        <v>1</v>
      </c>
      <c r="O36" s="304">
        <v>1</v>
      </c>
      <c r="P36" s="304">
        <v>1</v>
      </c>
      <c r="Q36" s="304">
        <v>1</v>
      </c>
      <c r="R36" s="304">
        <v>1</v>
      </c>
      <c r="S36" s="304">
        <v>1</v>
      </c>
      <c r="T36" s="304">
        <v>1</v>
      </c>
      <c r="U36" s="304">
        <v>1</v>
      </c>
      <c r="V36" s="304">
        <v>1</v>
      </c>
      <c r="W36" s="304">
        <v>1</v>
      </c>
      <c r="X36" s="304">
        <v>1</v>
      </c>
      <c r="Y36" s="304">
        <v>1</v>
      </c>
      <c r="Z36" s="304">
        <v>1</v>
      </c>
      <c r="AA36" s="304">
        <v>1</v>
      </c>
      <c r="AB36" s="304">
        <v>1</v>
      </c>
      <c r="AC36" s="307">
        <v>1</v>
      </c>
      <c r="AD36" s="55"/>
      <c r="AE36" s="54"/>
      <c r="AF36" s="54"/>
      <c r="AG36" s="54"/>
      <c r="AH36" s="54"/>
      <c r="AI36" s="54"/>
      <c r="AJ36" s="54"/>
      <c r="AK36" s="54"/>
      <c r="AM36" s="65"/>
    </row>
    <row r="37" spans="1:39" ht="36" customHeight="1" thickBot="1" x14ac:dyDescent="0.35">
      <c r="A37" s="698"/>
      <c r="B37" s="681"/>
      <c r="C37" s="729"/>
      <c r="D37" s="663"/>
      <c r="E37" s="320" t="s">
        <v>560</v>
      </c>
      <c r="F37" s="314">
        <v>1</v>
      </c>
      <c r="G37" s="314">
        <v>1</v>
      </c>
      <c r="H37" s="314">
        <v>1</v>
      </c>
      <c r="I37" s="314">
        <v>1</v>
      </c>
      <c r="J37" s="314">
        <v>1</v>
      </c>
      <c r="K37" s="314">
        <v>1</v>
      </c>
      <c r="L37" s="314">
        <v>1</v>
      </c>
      <c r="M37" s="314">
        <v>1</v>
      </c>
      <c r="N37" s="314">
        <v>1</v>
      </c>
      <c r="O37" s="314">
        <v>1</v>
      </c>
      <c r="P37" s="314">
        <v>1</v>
      </c>
      <c r="Q37" s="314">
        <v>1</v>
      </c>
      <c r="R37" s="314">
        <v>1</v>
      </c>
      <c r="S37" s="314">
        <v>1</v>
      </c>
      <c r="T37" s="314">
        <v>1</v>
      </c>
      <c r="U37" s="314">
        <v>1</v>
      </c>
      <c r="V37" s="314">
        <v>1</v>
      </c>
      <c r="W37" s="314">
        <v>1</v>
      </c>
      <c r="X37" s="314">
        <v>1</v>
      </c>
      <c r="Y37" s="314">
        <v>1</v>
      </c>
      <c r="Z37" s="314">
        <v>1</v>
      </c>
      <c r="AA37" s="314">
        <v>1</v>
      </c>
      <c r="AB37" s="314">
        <v>1</v>
      </c>
      <c r="AC37" s="315">
        <v>1</v>
      </c>
      <c r="AD37" s="55"/>
      <c r="AE37" s="54"/>
      <c r="AF37" s="54"/>
      <c r="AG37" s="54"/>
      <c r="AH37" s="54"/>
      <c r="AI37" s="54"/>
      <c r="AJ37" s="54"/>
      <c r="AK37" s="54"/>
      <c r="AM37" s="65"/>
    </row>
    <row r="38" spans="1:39" ht="36" customHeight="1" x14ac:dyDescent="0.3">
      <c r="A38" s="658" t="str">
        <f>A29</f>
        <v>Server rooms</v>
      </c>
      <c r="B38" s="669" t="str">
        <f>B29</f>
        <v>Data</v>
      </c>
      <c r="C38" s="674" t="s">
        <v>597</v>
      </c>
      <c r="D38" s="699" t="s">
        <v>602</v>
      </c>
      <c r="E38" s="323" t="s">
        <v>561</v>
      </c>
      <c r="F38" s="326">
        <v>0</v>
      </c>
      <c r="G38" s="326">
        <v>0</v>
      </c>
      <c r="H38" s="326">
        <v>0</v>
      </c>
      <c r="I38" s="326">
        <v>0</v>
      </c>
      <c r="J38" s="326">
        <v>0.1</v>
      </c>
      <c r="K38" s="326">
        <v>0.1</v>
      </c>
      <c r="L38" s="326">
        <v>0.5</v>
      </c>
      <c r="M38" s="326">
        <v>0.5</v>
      </c>
      <c r="N38" s="326">
        <v>0.5</v>
      </c>
      <c r="O38" s="326">
        <v>0.5</v>
      </c>
      <c r="P38" s="326">
        <v>0.7</v>
      </c>
      <c r="Q38" s="326">
        <v>0.9</v>
      </c>
      <c r="R38" s="326">
        <v>0.9</v>
      </c>
      <c r="S38" s="326">
        <v>0.5</v>
      </c>
      <c r="T38" s="326">
        <v>0.5</v>
      </c>
      <c r="U38" s="326">
        <v>0.7</v>
      </c>
      <c r="V38" s="326">
        <v>0.5</v>
      </c>
      <c r="W38" s="326">
        <v>0.5</v>
      </c>
      <c r="X38" s="326">
        <v>0.5</v>
      </c>
      <c r="Y38" s="326">
        <v>0.1</v>
      </c>
      <c r="Z38" s="326">
        <v>0.1</v>
      </c>
      <c r="AA38" s="326">
        <v>0.1</v>
      </c>
      <c r="AB38" s="326">
        <v>0.1</v>
      </c>
      <c r="AC38" s="327">
        <v>0</v>
      </c>
      <c r="AD38" s="55"/>
      <c r="AE38" s="54"/>
      <c r="AF38" s="54"/>
      <c r="AG38" s="54"/>
      <c r="AH38" s="54"/>
      <c r="AI38" s="54"/>
      <c r="AJ38" s="54"/>
      <c r="AK38" s="54"/>
      <c r="AM38" s="65"/>
    </row>
    <row r="39" spans="1:39" ht="36" customHeight="1" x14ac:dyDescent="0.3">
      <c r="A39" s="695"/>
      <c r="B39" s="670"/>
      <c r="C39" s="675"/>
      <c r="D39" s="656"/>
      <c r="E39" s="312" t="s">
        <v>559</v>
      </c>
      <c r="F39" s="328">
        <v>0</v>
      </c>
      <c r="G39" s="328">
        <v>0</v>
      </c>
      <c r="H39" s="328">
        <v>0</v>
      </c>
      <c r="I39" s="328">
        <v>0</v>
      </c>
      <c r="J39" s="328">
        <v>0</v>
      </c>
      <c r="K39" s="328">
        <v>0</v>
      </c>
      <c r="L39" s="328">
        <v>0</v>
      </c>
      <c r="M39" s="328">
        <v>0</v>
      </c>
      <c r="N39" s="328">
        <v>0</v>
      </c>
      <c r="O39" s="328">
        <v>0</v>
      </c>
      <c r="P39" s="328">
        <v>0</v>
      </c>
      <c r="Q39" s="328">
        <v>0</v>
      </c>
      <c r="R39" s="328">
        <v>0</v>
      </c>
      <c r="S39" s="328">
        <v>0</v>
      </c>
      <c r="T39" s="328">
        <v>0</v>
      </c>
      <c r="U39" s="328">
        <v>0</v>
      </c>
      <c r="V39" s="328">
        <v>0</v>
      </c>
      <c r="W39" s="328">
        <v>0</v>
      </c>
      <c r="X39" s="328">
        <v>0</v>
      </c>
      <c r="Y39" s="328">
        <v>0</v>
      </c>
      <c r="Z39" s="328">
        <v>0</v>
      </c>
      <c r="AA39" s="328">
        <v>0</v>
      </c>
      <c r="AB39" s="328">
        <v>0</v>
      </c>
      <c r="AC39" s="329">
        <v>0</v>
      </c>
      <c r="AD39" s="55"/>
      <c r="AE39" s="54"/>
      <c r="AF39" s="54"/>
      <c r="AG39" s="54"/>
      <c r="AH39" s="54"/>
      <c r="AI39" s="54"/>
      <c r="AJ39" s="54"/>
      <c r="AK39" s="54"/>
      <c r="AM39" s="65"/>
    </row>
    <row r="40" spans="1:39" ht="36" customHeight="1" thickBot="1" x14ac:dyDescent="0.35">
      <c r="A40" s="698"/>
      <c r="B40" s="681"/>
      <c r="C40" s="676"/>
      <c r="D40" s="657"/>
      <c r="E40" s="320" t="s">
        <v>560</v>
      </c>
      <c r="F40" s="330">
        <v>0</v>
      </c>
      <c r="G40" s="330">
        <v>0</v>
      </c>
      <c r="H40" s="330">
        <v>0</v>
      </c>
      <c r="I40" s="330">
        <v>0</v>
      </c>
      <c r="J40" s="330">
        <v>0</v>
      </c>
      <c r="K40" s="330">
        <v>0</v>
      </c>
      <c r="L40" s="330">
        <v>0</v>
      </c>
      <c r="M40" s="330">
        <v>0</v>
      </c>
      <c r="N40" s="330">
        <v>0</v>
      </c>
      <c r="O40" s="330">
        <v>0</v>
      </c>
      <c r="P40" s="330">
        <v>0</v>
      </c>
      <c r="Q40" s="330">
        <v>0</v>
      </c>
      <c r="R40" s="330">
        <v>0</v>
      </c>
      <c r="S40" s="330">
        <v>0</v>
      </c>
      <c r="T40" s="330">
        <v>0</v>
      </c>
      <c r="U40" s="330">
        <v>0</v>
      </c>
      <c r="V40" s="330">
        <v>0</v>
      </c>
      <c r="W40" s="330">
        <v>0</v>
      </c>
      <c r="X40" s="330">
        <v>0</v>
      </c>
      <c r="Y40" s="330">
        <v>0</v>
      </c>
      <c r="Z40" s="330">
        <v>0</v>
      </c>
      <c r="AA40" s="330">
        <v>0</v>
      </c>
      <c r="AB40" s="330">
        <v>0</v>
      </c>
      <c r="AC40" s="331">
        <v>0</v>
      </c>
      <c r="AD40" s="55"/>
      <c r="AE40" s="54"/>
      <c r="AF40" s="54"/>
      <c r="AG40" s="54"/>
      <c r="AH40" s="54"/>
      <c r="AI40" s="54"/>
      <c r="AJ40" s="54"/>
      <c r="AK40" s="54"/>
      <c r="AM40" s="65"/>
    </row>
    <row r="41" spans="1:39" ht="36" customHeight="1" x14ac:dyDescent="0.3">
      <c r="A41" s="658" t="str">
        <f>A29</f>
        <v>Server rooms</v>
      </c>
      <c r="B41" s="669" t="str">
        <f>B29</f>
        <v>Data</v>
      </c>
      <c r="C41" s="653" t="s">
        <v>145</v>
      </c>
      <c r="D41" s="662" t="s">
        <v>601</v>
      </c>
      <c r="E41" s="311" t="s">
        <v>561</v>
      </c>
      <c r="F41" s="324">
        <v>0.25</v>
      </c>
      <c r="G41" s="324">
        <v>0.25</v>
      </c>
      <c r="H41" s="324">
        <v>0.25</v>
      </c>
      <c r="I41" s="324">
        <v>0.25</v>
      </c>
      <c r="J41" s="324">
        <v>0.25</v>
      </c>
      <c r="K41" s="324">
        <v>0.25</v>
      </c>
      <c r="L41" s="324">
        <v>0.25</v>
      </c>
      <c r="M41" s="324">
        <v>0.25</v>
      </c>
      <c r="N41" s="324">
        <v>0.25</v>
      </c>
      <c r="O41" s="324">
        <v>0.25</v>
      </c>
      <c r="P41" s="324">
        <v>0.25</v>
      </c>
      <c r="Q41" s="324">
        <v>0.25</v>
      </c>
      <c r="R41" s="324">
        <v>0.25</v>
      </c>
      <c r="S41" s="324">
        <v>0.25</v>
      </c>
      <c r="T41" s="324">
        <v>0.25</v>
      </c>
      <c r="U41" s="324">
        <v>0.25</v>
      </c>
      <c r="V41" s="324">
        <v>0.25</v>
      </c>
      <c r="W41" s="324">
        <v>0.25</v>
      </c>
      <c r="X41" s="324">
        <v>0.25</v>
      </c>
      <c r="Y41" s="324">
        <v>0.25</v>
      </c>
      <c r="Z41" s="324">
        <v>0.25</v>
      </c>
      <c r="AA41" s="324">
        <v>0.25</v>
      </c>
      <c r="AB41" s="324">
        <v>0.25</v>
      </c>
      <c r="AC41" s="325">
        <v>0.25</v>
      </c>
      <c r="AD41" s="55"/>
      <c r="AE41" s="54"/>
      <c r="AF41" s="54"/>
      <c r="AG41" s="54"/>
      <c r="AH41" s="54"/>
      <c r="AI41" s="54"/>
      <c r="AJ41" s="54"/>
      <c r="AK41" s="54"/>
      <c r="AM41" s="65"/>
    </row>
    <row r="42" spans="1:39" ht="36" customHeight="1" x14ac:dyDescent="0.3">
      <c r="A42" s="695"/>
      <c r="B42" s="670"/>
      <c r="C42" s="675"/>
      <c r="D42" s="656"/>
      <c r="E42" s="312" t="s">
        <v>559</v>
      </c>
      <c r="F42" s="304">
        <v>0.25</v>
      </c>
      <c r="G42" s="304">
        <v>0.25</v>
      </c>
      <c r="H42" s="304">
        <v>0.25</v>
      </c>
      <c r="I42" s="304">
        <v>0.25</v>
      </c>
      <c r="J42" s="304">
        <v>0.25</v>
      </c>
      <c r="K42" s="304">
        <v>0.25</v>
      </c>
      <c r="L42" s="304">
        <v>0.25</v>
      </c>
      <c r="M42" s="304">
        <v>0.25</v>
      </c>
      <c r="N42" s="304">
        <v>0.25</v>
      </c>
      <c r="O42" s="304">
        <v>0.25</v>
      </c>
      <c r="P42" s="304">
        <v>0.25</v>
      </c>
      <c r="Q42" s="304">
        <v>0.25</v>
      </c>
      <c r="R42" s="304">
        <v>0.25</v>
      </c>
      <c r="S42" s="304">
        <v>0.25</v>
      </c>
      <c r="T42" s="304">
        <v>0.25</v>
      </c>
      <c r="U42" s="304">
        <v>0.25</v>
      </c>
      <c r="V42" s="304">
        <v>0.25</v>
      </c>
      <c r="W42" s="304">
        <v>0.25</v>
      </c>
      <c r="X42" s="304">
        <v>0.25</v>
      </c>
      <c r="Y42" s="304">
        <v>0.25</v>
      </c>
      <c r="Z42" s="304">
        <v>0.25</v>
      </c>
      <c r="AA42" s="304">
        <v>0.25</v>
      </c>
      <c r="AB42" s="304">
        <v>0.25</v>
      </c>
      <c r="AC42" s="307">
        <v>0.25</v>
      </c>
      <c r="AD42" s="55"/>
      <c r="AE42" s="54"/>
      <c r="AF42" s="54"/>
      <c r="AG42" s="54"/>
      <c r="AH42" s="54"/>
      <c r="AI42" s="54"/>
      <c r="AJ42" s="54"/>
      <c r="AK42" s="54"/>
      <c r="AM42" s="65"/>
    </row>
    <row r="43" spans="1:39" ht="36" customHeight="1" thickBot="1" x14ac:dyDescent="0.35">
      <c r="A43" s="698"/>
      <c r="B43" s="681"/>
      <c r="C43" s="688"/>
      <c r="D43" s="663"/>
      <c r="E43" s="313" t="s">
        <v>560</v>
      </c>
      <c r="F43" s="309">
        <v>0.25</v>
      </c>
      <c r="G43" s="309">
        <v>0.25</v>
      </c>
      <c r="H43" s="309">
        <v>0.25</v>
      </c>
      <c r="I43" s="309">
        <v>0.25</v>
      </c>
      <c r="J43" s="309">
        <v>0.25</v>
      </c>
      <c r="K43" s="309">
        <v>0.25</v>
      </c>
      <c r="L43" s="309">
        <v>0.25</v>
      </c>
      <c r="M43" s="309">
        <v>0.25</v>
      </c>
      <c r="N43" s="309">
        <v>0.25</v>
      </c>
      <c r="O43" s="309">
        <v>0.25</v>
      </c>
      <c r="P43" s="309">
        <v>0.25</v>
      </c>
      <c r="Q43" s="309">
        <v>0.25</v>
      </c>
      <c r="R43" s="309">
        <v>0.25</v>
      </c>
      <c r="S43" s="309">
        <v>0.25</v>
      </c>
      <c r="T43" s="309">
        <v>0.25</v>
      </c>
      <c r="U43" s="309">
        <v>0.25</v>
      </c>
      <c r="V43" s="309">
        <v>0.25</v>
      </c>
      <c r="W43" s="309">
        <v>0.25</v>
      </c>
      <c r="X43" s="309">
        <v>0.25</v>
      </c>
      <c r="Y43" s="309">
        <v>0.25</v>
      </c>
      <c r="Z43" s="309">
        <v>0.25</v>
      </c>
      <c r="AA43" s="309">
        <v>0.25</v>
      </c>
      <c r="AB43" s="309">
        <v>0.25</v>
      </c>
      <c r="AC43" s="310">
        <v>0.25</v>
      </c>
      <c r="AD43" s="55"/>
      <c r="AE43" s="54"/>
      <c r="AF43" s="54"/>
      <c r="AG43" s="54"/>
      <c r="AH43" s="54"/>
      <c r="AI43" s="54"/>
      <c r="AJ43" s="54"/>
      <c r="AK43" s="54"/>
      <c r="AM43" s="65"/>
    </row>
    <row r="44" spans="1:39" ht="36" customHeight="1" x14ac:dyDescent="0.3">
      <c r="A44" s="658" t="str">
        <f>A29</f>
        <v>Server rooms</v>
      </c>
      <c r="B44" s="669" t="str">
        <f>B29</f>
        <v>Data</v>
      </c>
      <c r="C44" s="682" t="s">
        <v>599</v>
      </c>
      <c r="D44" s="655" t="s">
        <v>603</v>
      </c>
      <c r="E44" s="266" t="s">
        <v>561</v>
      </c>
      <c r="F44" s="332">
        <f>Thermostat!$C$7</f>
        <v>80</v>
      </c>
      <c r="G44" s="332">
        <f>Thermostat!$C$7</f>
        <v>80</v>
      </c>
      <c r="H44" s="332">
        <f>Thermostat!$C$7</f>
        <v>80</v>
      </c>
      <c r="I44" s="332">
        <f>Thermostat!$C$7</f>
        <v>80</v>
      </c>
      <c r="J44" s="332">
        <f>Thermostat!$C$7</f>
        <v>80</v>
      </c>
      <c r="K44" s="332">
        <f>Thermostat!$C$7</f>
        <v>80</v>
      </c>
      <c r="L44" s="332">
        <f>Thermostat!$C$7</f>
        <v>80</v>
      </c>
      <c r="M44" s="332">
        <f>Thermostat!$C$7</f>
        <v>80</v>
      </c>
      <c r="N44" s="332">
        <f>Thermostat!$C$7</f>
        <v>80</v>
      </c>
      <c r="O44" s="332">
        <f>Thermostat!$C$7</f>
        <v>80</v>
      </c>
      <c r="P44" s="332">
        <f>Thermostat!$C$7</f>
        <v>80</v>
      </c>
      <c r="Q44" s="332">
        <f>Thermostat!$C$7</f>
        <v>80</v>
      </c>
      <c r="R44" s="332">
        <f>Thermostat!$C$7</f>
        <v>80</v>
      </c>
      <c r="S44" s="332">
        <f>Thermostat!$C$7</f>
        <v>80</v>
      </c>
      <c r="T44" s="332">
        <f>Thermostat!$C$7</f>
        <v>80</v>
      </c>
      <c r="U44" s="332">
        <f>Thermostat!$C$7</f>
        <v>80</v>
      </c>
      <c r="V44" s="332">
        <f>Thermostat!$C$7</f>
        <v>80</v>
      </c>
      <c r="W44" s="332">
        <f>Thermostat!$C$7</f>
        <v>80</v>
      </c>
      <c r="X44" s="332">
        <f>Thermostat!$C$7</f>
        <v>80</v>
      </c>
      <c r="Y44" s="332">
        <f>Thermostat!$C$7</f>
        <v>80</v>
      </c>
      <c r="Z44" s="332">
        <f>Thermostat!$C$7</f>
        <v>80</v>
      </c>
      <c r="AA44" s="332">
        <f>Thermostat!$C$7</f>
        <v>80</v>
      </c>
      <c r="AB44" s="332">
        <f>Thermostat!$C$7</f>
        <v>80</v>
      </c>
      <c r="AC44" s="333">
        <f>Thermostat!$C$7</f>
        <v>80</v>
      </c>
      <c r="AD44" s="55"/>
      <c r="AE44" s="54"/>
      <c r="AF44" s="54"/>
      <c r="AG44" s="54"/>
      <c r="AH44" s="54"/>
      <c r="AI44" s="54"/>
      <c r="AJ44" s="54"/>
      <c r="AK44" s="54"/>
      <c r="AM44" s="65"/>
    </row>
    <row r="45" spans="1:39" ht="36" customHeight="1" x14ac:dyDescent="0.3">
      <c r="A45" s="695"/>
      <c r="B45" s="670"/>
      <c r="C45" s="683"/>
      <c r="D45" s="656"/>
      <c r="E45" s="267" t="s">
        <v>559</v>
      </c>
      <c r="F45" s="334">
        <f>Thermostat!$C$7</f>
        <v>80</v>
      </c>
      <c r="G45" s="334">
        <f>Thermostat!$C$7</f>
        <v>80</v>
      </c>
      <c r="H45" s="334">
        <f>Thermostat!$C$7</f>
        <v>80</v>
      </c>
      <c r="I45" s="334">
        <f>Thermostat!$C$7</f>
        <v>80</v>
      </c>
      <c r="J45" s="334">
        <f>Thermostat!$C$7</f>
        <v>80</v>
      </c>
      <c r="K45" s="334">
        <f>Thermostat!$C$7</f>
        <v>80</v>
      </c>
      <c r="L45" s="334">
        <f>Thermostat!$C$7</f>
        <v>80</v>
      </c>
      <c r="M45" s="334">
        <f>Thermostat!$C$7</f>
        <v>80</v>
      </c>
      <c r="N45" s="334">
        <f>Thermostat!$C$7</f>
        <v>80</v>
      </c>
      <c r="O45" s="334">
        <f>Thermostat!$C$7</f>
        <v>80</v>
      </c>
      <c r="P45" s="334">
        <f>Thermostat!$C$7</f>
        <v>80</v>
      </c>
      <c r="Q45" s="334">
        <f>Thermostat!$C$7</f>
        <v>80</v>
      </c>
      <c r="R45" s="334">
        <f>Thermostat!$C$7</f>
        <v>80</v>
      </c>
      <c r="S45" s="334">
        <f>Thermostat!$C$7</f>
        <v>80</v>
      </c>
      <c r="T45" s="334">
        <f>Thermostat!$C$7</f>
        <v>80</v>
      </c>
      <c r="U45" s="334">
        <f>Thermostat!$C$7</f>
        <v>80</v>
      </c>
      <c r="V45" s="334">
        <f>Thermostat!$C$7</f>
        <v>80</v>
      </c>
      <c r="W45" s="334">
        <f>Thermostat!$C$7</f>
        <v>80</v>
      </c>
      <c r="X45" s="334">
        <f>Thermostat!$C$7</f>
        <v>80</v>
      </c>
      <c r="Y45" s="334">
        <f>Thermostat!$C$7</f>
        <v>80</v>
      </c>
      <c r="Z45" s="334">
        <f>Thermostat!$C$7</f>
        <v>80</v>
      </c>
      <c r="AA45" s="334">
        <f>Thermostat!$C$7</f>
        <v>80</v>
      </c>
      <c r="AB45" s="334">
        <f>Thermostat!$C$7</f>
        <v>80</v>
      </c>
      <c r="AC45" s="335">
        <f>Thermostat!$C$7</f>
        <v>80</v>
      </c>
      <c r="AD45" s="55"/>
      <c r="AE45" s="54"/>
      <c r="AF45" s="54"/>
      <c r="AG45" s="54"/>
      <c r="AH45" s="54"/>
      <c r="AI45" s="54"/>
      <c r="AJ45" s="54"/>
      <c r="AK45" s="54"/>
      <c r="AM45" s="65"/>
    </row>
    <row r="46" spans="1:39" ht="36" customHeight="1" thickBot="1" x14ac:dyDescent="0.35">
      <c r="A46" s="696"/>
      <c r="B46" s="681"/>
      <c r="C46" s="684"/>
      <c r="D46" s="697"/>
      <c r="E46" s="268" t="s">
        <v>560</v>
      </c>
      <c r="F46" s="336">
        <f>Thermostat!$C$7</f>
        <v>80</v>
      </c>
      <c r="G46" s="336">
        <f>Thermostat!$C$7</f>
        <v>80</v>
      </c>
      <c r="H46" s="336">
        <f>Thermostat!$C$7</f>
        <v>80</v>
      </c>
      <c r="I46" s="336">
        <f>Thermostat!$C$7</f>
        <v>80</v>
      </c>
      <c r="J46" s="336">
        <f>Thermostat!$C$7</f>
        <v>80</v>
      </c>
      <c r="K46" s="336">
        <f>Thermostat!$C$7</f>
        <v>80</v>
      </c>
      <c r="L46" s="336">
        <f>Thermostat!$C$7</f>
        <v>80</v>
      </c>
      <c r="M46" s="336">
        <f>Thermostat!$C$7</f>
        <v>80</v>
      </c>
      <c r="N46" s="336">
        <f>Thermostat!$C$7</f>
        <v>80</v>
      </c>
      <c r="O46" s="336">
        <f>Thermostat!$C$7</f>
        <v>80</v>
      </c>
      <c r="P46" s="336">
        <f>Thermostat!$C$7</f>
        <v>80</v>
      </c>
      <c r="Q46" s="336">
        <f>Thermostat!$C$7</f>
        <v>80</v>
      </c>
      <c r="R46" s="336">
        <f>Thermostat!$C$7</f>
        <v>80</v>
      </c>
      <c r="S46" s="336">
        <f>Thermostat!$C$7</f>
        <v>80</v>
      </c>
      <c r="T46" s="336">
        <f>Thermostat!$C$7</f>
        <v>80</v>
      </c>
      <c r="U46" s="336">
        <f>Thermostat!$C$7</f>
        <v>80</v>
      </c>
      <c r="V46" s="336">
        <f>Thermostat!$C$7</f>
        <v>80</v>
      </c>
      <c r="W46" s="336">
        <f>Thermostat!$C$7</f>
        <v>80</v>
      </c>
      <c r="X46" s="336">
        <f>Thermostat!$C$7</f>
        <v>80</v>
      </c>
      <c r="Y46" s="336">
        <f>Thermostat!$C$7</f>
        <v>80</v>
      </c>
      <c r="Z46" s="336">
        <f>Thermostat!$C$7</f>
        <v>80</v>
      </c>
      <c r="AA46" s="336">
        <f>Thermostat!$C$7</f>
        <v>80</v>
      </c>
      <c r="AB46" s="336">
        <f>Thermostat!$C$7</f>
        <v>80</v>
      </c>
      <c r="AC46" s="337">
        <f>Thermostat!$C$7</f>
        <v>80</v>
      </c>
      <c r="AD46" s="55"/>
      <c r="AE46" s="54"/>
      <c r="AF46" s="54"/>
      <c r="AG46" s="54"/>
      <c r="AH46" s="54"/>
      <c r="AI46" s="54"/>
      <c r="AJ46" s="54"/>
      <c r="AK46" s="54"/>
      <c r="AM46" s="65"/>
    </row>
    <row r="47" spans="1:39" ht="31.2" customHeight="1" x14ac:dyDescent="0.3">
      <c r="A47" s="692" t="s">
        <v>604</v>
      </c>
      <c r="B47" s="693"/>
      <c r="C47" s="693"/>
      <c r="D47" s="693"/>
      <c r="E47" s="693"/>
      <c r="F47" s="693"/>
      <c r="G47" s="693"/>
      <c r="H47" s="693"/>
      <c r="I47" s="693"/>
      <c r="J47" s="693"/>
      <c r="K47" s="693"/>
      <c r="L47" s="693"/>
      <c r="M47" s="693"/>
      <c r="N47" s="693"/>
      <c r="O47" s="693"/>
      <c r="P47" s="693"/>
      <c r="Q47" s="693"/>
      <c r="R47" s="693"/>
      <c r="S47" s="693"/>
      <c r="T47" s="693"/>
      <c r="U47" s="693"/>
      <c r="V47" s="693"/>
      <c r="W47" s="693"/>
      <c r="X47" s="693"/>
      <c r="Y47" s="693"/>
      <c r="Z47" s="693"/>
      <c r="AA47" s="693"/>
      <c r="AB47" s="693"/>
      <c r="AC47" s="694"/>
    </row>
    <row r="48" spans="1:39" ht="31.2" customHeight="1" x14ac:dyDescent="0.3">
      <c r="A48" s="739"/>
      <c r="B48" s="742" t="s">
        <v>605</v>
      </c>
      <c r="C48" s="744" t="s">
        <v>569</v>
      </c>
      <c r="D48" s="666" t="s">
        <v>606</v>
      </c>
      <c r="E48" s="341" t="s">
        <v>561</v>
      </c>
      <c r="F48" s="435">
        <v>0</v>
      </c>
      <c r="G48" s="435">
        <v>0</v>
      </c>
      <c r="H48" s="435">
        <v>0</v>
      </c>
      <c r="I48" s="435">
        <v>0</v>
      </c>
      <c r="J48" s="435">
        <v>0</v>
      </c>
      <c r="K48" s="435">
        <v>1</v>
      </c>
      <c r="L48" s="435">
        <v>1</v>
      </c>
      <c r="M48" s="435">
        <v>1</v>
      </c>
      <c r="N48" s="435">
        <v>1</v>
      </c>
      <c r="O48" s="435">
        <v>1</v>
      </c>
      <c r="P48" s="435">
        <v>1</v>
      </c>
      <c r="Q48" s="435">
        <v>1</v>
      </c>
      <c r="R48" s="435">
        <v>1</v>
      </c>
      <c r="S48" s="435">
        <v>1</v>
      </c>
      <c r="T48" s="435">
        <v>1</v>
      </c>
      <c r="U48" s="435">
        <v>1</v>
      </c>
      <c r="V48" s="435">
        <v>1</v>
      </c>
      <c r="W48" s="435">
        <v>1</v>
      </c>
      <c r="X48" s="435">
        <v>1</v>
      </c>
      <c r="Y48" s="435">
        <v>1</v>
      </c>
      <c r="Z48" s="435">
        <v>1</v>
      </c>
      <c r="AA48" s="435">
        <v>1</v>
      </c>
      <c r="AB48" s="435">
        <v>1</v>
      </c>
      <c r="AC48" s="436">
        <v>1</v>
      </c>
    </row>
    <row r="49" spans="1:39" ht="31.2" customHeight="1" x14ac:dyDescent="0.3">
      <c r="A49" s="740"/>
      <c r="B49" s="722"/>
      <c r="C49" s="654"/>
      <c r="D49" s="667"/>
      <c r="E49" s="312" t="s">
        <v>559</v>
      </c>
      <c r="F49" s="375">
        <v>0</v>
      </c>
      <c r="G49" s="375">
        <v>0</v>
      </c>
      <c r="H49" s="375">
        <v>0</v>
      </c>
      <c r="I49" s="375">
        <v>0</v>
      </c>
      <c r="J49" s="375">
        <v>0</v>
      </c>
      <c r="K49" s="455">
        <v>0</v>
      </c>
      <c r="L49" s="455">
        <v>0</v>
      </c>
      <c r="M49" s="455">
        <v>0</v>
      </c>
      <c r="N49" s="455">
        <v>0</v>
      </c>
      <c r="O49" s="455">
        <v>0</v>
      </c>
      <c r="P49" s="455">
        <v>0</v>
      </c>
      <c r="Q49" s="455">
        <v>0</v>
      </c>
      <c r="R49" s="455">
        <v>0</v>
      </c>
      <c r="S49" s="455">
        <v>0</v>
      </c>
      <c r="T49" s="455">
        <v>0</v>
      </c>
      <c r="U49" s="455">
        <v>0</v>
      </c>
      <c r="V49" s="455">
        <v>0</v>
      </c>
      <c r="W49" s="455">
        <v>0</v>
      </c>
      <c r="X49" s="455">
        <v>0</v>
      </c>
      <c r="Y49" s="375">
        <v>0</v>
      </c>
      <c r="Z49" s="375">
        <v>0</v>
      </c>
      <c r="AA49" s="375">
        <v>0</v>
      </c>
      <c r="AB49" s="375">
        <v>0</v>
      </c>
      <c r="AC49" s="437">
        <v>0</v>
      </c>
    </row>
    <row r="50" spans="1:39" ht="31.2" customHeight="1" x14ac:dyDescent="0.3">
      <c r="A50" s="741"/>
      <c r="B50" s="743"/>
      <c r="C50" s="745"/>
      <c r="D50" s="673"/>
      <c r="E50" s="342" t="s">
        <v>560</v>
      </c>
      <c r="F50" s="438">
        <v>0</v>
      </c>
      <c r="G50" s="438">
        <v>0</v>
      </c>
      <c r="H50" s="438">
        <v>0</v>
      </c>
      <c r="I50" s="438">
        <v>0</v>
      </c>
      <c r="J50" s="438">
        <v>0</v>
      </c>
      <c r="K50" s="438">
        <v>0</v>
      </c>
      <c r="L50" s="438">
        <v>0</v>
      </c>
      <c r="M50" s="438">
        <v>0</v>
      </c>
      <c r="N50" s="438">
        <v>0</v>
      </c>
      <c r="O50" s="438">
        <v>0</v>
      </c>
      <c r="P50" s="438">
        <v>0</v>
      </c>
      <c r="Q50" s="438">
        <v>0</v>
      </c>
      <c r="R50" s="438">
        <v>0</v>
      </c>
      <c r="S50" s="438">
        <v>0</v>
      </c>
      <c r="T50" s="438">
        <v>0</v>
      </c>
      <c r="U50" s="438">
        <v>0</v>
      </c>
      <c r="V50" s="438">
        <v>0</v>
      </c>
      <c r="W50" s="438">
        <v>0</v>
      </c>
      <c r="X50" s="438">
        <v>0</v>
      </c>
      <c r="Y50" s="438">
        <v>0</v>
      </c>
      <c r="Z50" s="438">
        <v>0</v>
      </c>
      <c r="AA50" s="438">
        <v>0</v>
      </c>
      <c r="AB50" s="438">
        <v>0</v>
      </c>
      <c r="AC50" s="439">
        <v>0</v>
      </c>
    </row>
    <row r="51" spans="1:39" ht="37.200000000000003" customHeight="1" x14ac:dyDescent="0.3">
      <c r="A51" s="658"/>
      <c r="B51" s="721" t="s">
        <v>605</v>
      </c>
      <c r="C51" s="771" t="s">
        <v>607</v>
      </c>
      <c r="D51" s="756"/>
      <c r="E51" s="757" t="s">
        <v>561</v>
      </c>
      <c r="F51" s="758">
        <v>1</v>
      </c>
      <c r="G51" s="758">
        <v>1</v>
      </c>
      <c r="H51" s="758">
        <v>1</v>
      </c>
      <c r="I51" s="758">
        <v>1</v>
      </c>
      <c r="J51" s="758">
        <v>1</v>
      </c>
      <c r="K51" s="758">
        <v>1</v>
      </c>
      <c r="L51" s="758">
        <v>1</v>
      </c>
      <c r="M51" s="758">
        <v>1</v>
      </c>
      <c r="N51" s="758">
        <v>1</v>
      </c>
      <c r="O51" s="758">
        <v>1</v>
      </c>
      <c r="P51" s="758">
        <v>1</v>
      </c>
      <c r="Q51" s="758">
        <v>1</v>
      </c>
      <c r="R51" s="758">
        <v>1</v>
      </c>
      <c r="S51" s="758">
        <v>1</v>
      </c>
      <c r="T51" s="758">
        <v>1</v>
      </c>
      <c r="U51" s="758">
        <v>1</v>
      </c>
      <c r="V51" s="758">
        <v>1</v>
      </c>
      <c r="W51" s="758">
        <v>1</v>
      </c>
      <c r="X51" s="758">
        <v>1</v>
      </c>
      <c r="Y51" s="758">
        <v>1</v>
      </c>
      <c r="Z51" s="758">
        <v>1</v>
      </c>
      <c r="AA51" s="758">
        <v>1</v>
      </c>
      <c r="AB51" s="758">
        <v>1</v>
      </c>
      <c r="AC51" s="759">
        <v>1</v>
      </c>
    </row>
    <row r="52" spans="1:39" ht="37.200000000000003" customHeight="1" x14ac:dyDescent="0.3">
      <c r="A52" s="695"/>
      <c r="B52" s="722"/>
      <c r="C52" s="772"/>
      <c r="D52" s="760"/>
      <c r="E52" s="761" t="s">
        <v>559</v>
      </c>
      <c r="F52" s="762">
        <v>1</v>
      </c>
      <c r="G52" s="762">
        <v>1</v>
      </c>
      <c r="H52" s="762">
        <v>1</v>
      </c>
      <c r="I52" s="762">
        <v>1</v>
      </c>
      <c r="J52" s="762">
        <v>1</v>
      </c>
      <c r="K52" s="762">
        <v>1</v>
      </c>
      <c r="L52" s="762">
        <v>1</v>
      </c>
      <c r="M52" s="762">
        <v>1</v>
      </c>
      <c r="N52" s="762">
        <v>1</v>
      </c>
      <c r="O52" s="762">
        <v>1</v>
      </c>
      <c r="P52" s="762">
        <v>1</v>
      </c>
      <c r="Q52" s="762">
        <v>1</v>
      </c>
      <c r="R52" s="762">
        <v>1</v>
      </c>
      <c r="S52" s="762">
        <v>1</v>
      </c>
      <c r="T52" s="762">
        <v>1</v>
      </c>
      <c r="U52" s="762">
        <v>1</v>
      </c>
      <c r="V52" s="762">
        <v>1</v>
      </c>
      <c r="W52" s="762">
        <v>1</v>
      </c>
      <c r="X52" s="762">
        <v>1</v>
      </c>
      <c r="Y52" s="762">
        <v>1</v>
      </c>
      <c r="Z52" s="762">
        <v>1</v>
      </c>
      <c r="AA52" s="762">
        <v>1</v>
      </c>
      <c r="AB52" s="762">
        <v>1</v>
      </c>
      <c r="AC52" s="763">
        <v>1</v>
      </c>
    </row>
    <row r="53" spans="1:39" ht="37.200000000000003" customHeight="1" thickBot="1" x14ac:dyDescent="0.35">
      <c r="A53" s="696"/>
      <c r="B53" s="723"/>
      <c r="C53" s="773"/>
      <c r="D53" s="764"/>
      <c r="E53" s="765" t="s">
        <v>560</v>
      </c>
      <c r="F53" s="766">
        <v>1</v>
      </c>
      <c r="G53" s="766">
        <v>1</v>
      </c>
      <c r="H53" s="766">
        <v>1</v>
      </c>
      <c r="I53" s="766">
        <v>1</v>
      </c>
      <c r="J53" s="766">
        <v>1</v>
      </c>
      <c r="K53" s="766">
        <v>1</v>
      </c>
      <c r="L53" s="766">
        <v>1</v>
      </c>
      <c r="M53" s="766">
        <v>1</v>
      </c>
      <c r="N53" s="766">
        <v>1</v>
      </c>
      <c r="O53" s="766">
        <v>1</v>
      </c>
      <c r="P53" s="766">
        <v>1</v>
      </c>
      <c r="Q53" s="766">
        <v>1</v>
      </c>
      <c r="R53" s="766">
        <v>1</v>
      </c>
      <c r="S53" s="766">
        <v>1</v>
      </c>
      <c r="T53" s="766">
        <v>1</v>
      </c>
      <c r="U53" s="766">
        <v>1</v>
      </c>
      <c r="V53" s="766">
        <v>1</v>
      </c>
      <c r="W53" s="766">
        <v>1</v>
      </c>
      <c r="X53" s="766">
        <v>1</v>
      </c>
      <c r="Y53" s="766">
        <v>1</v>
      </c>
      <c r="Z53" s="766">
        <v>1</v>
      </c>
      <c r="AA53" s="766">
        <v>1</v>
      </c>
      <c r="AB53" s="766">
        <v>1</v>
      </c>
      <c r="AC53" s="767">
        <v>1</v>
      </c>
    </row>
    <row r="54" spans="1:39" ht="37.200000000000003" customHeight="1" x14ac:dyDescent="0.3">
      <c r="A54" s="724"/>
      <c r="B54" s="727" t="s">
        <v>605</v>
      </c>
      <c r="C54" s="774" t="s">
        <v>608</v>
      </c>
      <c r="D54" s="760"/>
      <c r="E54" s="768" t="s">
        <v>561</v>
      </c>
      <c r="F54" s="775">
        <v>0</v>
      </c>
      <c r="G54" s="775">
        <v>0</v>
      </c>
      <c r="H54" s="775">
        <v>0</v>
      </c>
      <c r="I54" s="775">
        <v>0</v>
      </c>
      <c r="J54" s="775">
        <v>0</v>
      </c>
      <c r="K54" s="775">
        <v>1</v>
      </c>
      <c r="L54" s="775">
        <v>1</v>
      </c>
      <c r="M54" s="775">
        <v>1</v>
      </c>
      <c r="N54" s="775">
        <v>1</v>
      </c>
      <c r="O54" s="775">
        <v>1</v>
      </c>
      <c r="P54" s="775">
        <v>1</v>
      </c>
      <c r="Q54" s="775">
        <v>1</v>
      </c>
      <c r="R54" s="775">
        <v>1</v>
      </c>
      <c r="S54" s="775">
        <v>1</v>
      </c>
      <c r="T54" s="775">
        <v>1</v>
      </c>
      <c r="U54" s="775">
        <v>1</v>
      </c>
      <c r="V54" s="775">
        <v>1</v>
      </c>
      <c r="W54" s="775">
        <v>1</v>
      </c>
      <c r="X54" s="775">
        <v>1</v>
      </c>
      <c r="Y54" s="775">
        <v>1</v>
      </c>
      <c r="Z54" s="775">
        <v>1</v>
      </c>
      <c r="AA54" s="775">
        <v>1</v>
      </c>
      <c r="AB54" s="775">
        <v>0</v>
      </c>
      <c r="AC54" s="776">
        <v>0</v>
      </c>
    </row>
    <row r="55" spans="1:39" ht="37.200000000000003" customHeight="1" x14ac:dyDescent="0.3">
      <c r="A55" s="725"/>
      <c r="B55" s="722"/>
      <c r="C55" s="772"/>
      <c r="D55" s="760"/>
      <c r="E55" s="761" t="s">
        <v>559</v>
      </c>
      <c r="F55" s="762">
        <v>0</v>
      </c>
      <c r="G55" s="762">
        <v>0</v>
      </c>
      <c r="H55" s="762">
        <v>0</v>
      </c>
      <c r="I55" s="762">
        <v>0</v>
      </c>
      <c r="J55" s="762">
        <v>0</v>
      </c>
      <c r="K55" s="762">
        <v>1</v>
      </c>
      <c r="L55" s="762">
        <v>1</v>
      </c>
      <c r="M55" s="762">
        <v>1</v>
      </c>
      <c r="N55" s="762">
        <v>1</v>
      </c>
      <c r="O55" s="762">
        <v>1</v>
      </c>
      <c r="P55" s="762">
        <v>1</v>
      </c>
      <c r="Q55" s="762">
        <v>1</v>
      </c>
      <c r="R55" s="762">
        <v>1</v>
      </c>
      <c r="S55" s="762">
        <v>1</v>
      </c>
      <c r="T55" s="762">
        <v>1</v>
      </c>
      <c r="U55" s="762">
        <v>1</v>
      </c>
      <c r="V55" s="762">
        <v>1</v>
      </c>
      <c r="W55" s="762">
        <v>1</v>
      </c>
      <c r="X55" s="762">
        <v>1</v>
      </c>
      <c r="Y55" s="762">
        <v>1</v>
      </c>
      <c r="Z55" s="762">
        <v>1</v>
      </c>
      <c r="AA55" s="762">
        <v>1</v>
      </c>
      <c r="AB55" s="762">
        <v>1</v>
      </c>
      <c r="AC55" s="777">
        <v>1</v>
      </c>
    </row>
    <row r="56" spans="1:39" ht="37.200000000000003" customHeight="1" thickBot="1" x14ac:dyDescent="0.35">
      <c r="A56" s="726"/>
      <c r="B56" s="728"/>
      <c r="C56" s="778"/>
      <c r="D56" s="769"/>
      <c r="E56" s="770" t="s">
        <v>560</v>
      </c>
      <c r="F56" s="779">
        <v>0</v>
      </c>
      <c r="G56" s="779">
        <v>0</v>
      </c>
      <c r="H56" s="779">
        <v>0</v>
      </c>
      <c r="I56" s="779">
        <v>0</v>
      </c>
      <c r="J56" s="779">
        <v>0</v>
      </c>
      <c r="K56" s="779">
        <v>1</v>
      </c>
      <c r="L56" s="779">
        <v>1</v>
      </c>
      <c r="M56" s="779">
        <v>1</v>
      </c>
      <c r="N56" s="779">
        <v>1</v>
      </c>
      <c r="O56" s="779">
        <v>1</v>
      </c>
      <c r="P56" s="779">
        <v>1</v>
      </c>
      <c r="Q56" s="779">
        <v>1</v>
      </c>
      <c r="R56" s="779">
        <v>1</v>
      </c>
      <c r="S56" s="779">
        <v>1</v>
      </c>
      <c r="T56" s="779">
        <v>1</v>
      </c>
      <c r="U56" s="779">
        <v>1</v>
      </c>
      <c r="V56" s="779">
        <v>1</v>
      </c>
      <c r="W56" s="779">
        <v>1</v>
      </c>
      <c r="X56" s="779">
        <v>1</v>
      </c>
      <c r="Y56" s="779">
        <v>1</v>
      </c>
      <c r="Z56" s="779">
        <v>1</v>
      </c>
      <c r="AA56" s="779">
        <v>1</v>
      </c>
      <c r="AB56" s="779">
        <v>1</v>
      </c>
      <c r="AC56" s="780">
        <v>1</v>
      </c>
    </row>
    <row r="57" spans="1:39" ht="37.200000000000003" customHeight="1" x14ac:dyDescent="0.3">
      <c r="A57" s="651" t="s">
        <v>176</v>
      </c>
      <c r="B57" s="653" t="s">
        <v>605</v>
      </c>
      <c r="C57" s="653" t="s">
        <v>609</v>
      </c>
      <c r="D57" s="655" t="s">
        <v>610</v>
      </c>
      <c r="E57" s="311" t="s">
        <v>561</v>
      </c>
      <c r="F57" s="343">
        <v>131.9</v>
      </c>
      <c r="G57" s="343">
        <v>131.9</v>
      </c>
      <c r="H57" s="343">
        <v>131.9</v>
      </c>
      <c r="I57" s="343">
        <v>131.9</v>
      </c>
      <c r="J57" s="343">
        <v>131.9</v>
      </c>
      <c r="K57" s="343">
        <v>131.9</v>
      </c>
      <c r="L57" s="343">
        <v>131.9</v>
      </c>
      <c r="M57" s="343">
        <v>131.9</v>
      </c>
      <c r="N57" s="343">
        <v>131.9</v>
      </c>
      <c r="O57" s="343">
        <v>131.9</v>
      </c>
      <c r="P57" s="343">
        <v>131.9</v>
      </c>
      <c r="Q57" s="343">
        <v>131.9</v>
      </c>
      <c r="R57" s="343">
        <v>131.9</v>
      </c>
      <c r="S57" s="343">
        <v>131.9</v>
      </c>
      <c r="T57" s="343">
        <v>131.9</v>
      </c>
      <c r="U57" s="343">
        <v>131.9</v>
      </c>
      <c r="V57" s="343">
        <v>131.9</v>
      </c>
      <c r="W57" s="343">
        <v>131.9</v>
      </c>
      <c r="X57" s="343">
        <v>131.9</v>
      </c>
      <c r="Y57" s="343">
        <v>131.9</v>
      </c>
      <c r="Z57" s="343">
        <v>131.9</v>
      </c>
      <c r="AA57" s="343">
        <v>131.9</v>
      </c>
      <c r="AB57" s="343">
        <v>131.9</v>
      </c>
      <c r="AC57" s="344">
        <v>131.9</v>
      </c>
    </row>
    <row r="58" spans="1:39" s="261" customFormat="1" ht="37.200000000000003" customHeight="1" x14ac:dyDescent="0.3">
      <c r="A58" s="652"/>
      <c r="B58" s="654"/>
      <c r="C58" s="654"/>
      <c r="D58" s="656"/>
      <c r="E58" s="312" t="s">
        <v>559</v>
      </c>
      <c r="F58" s="375">
        <v>131.9</v>
      </c>
      <c r="G58" s="375">
        <v>131.9</v>
      </c>
      <c r="H58" s="375">
        <v>131.9</v>
      </c>
      <c r="I58" s="375">
        <v>131.9</v>
      </c>
      <c r="J58" s="375">
        <v>131.9</v>
      </c>
      <c r="K58" s="375">
        <v>131.9</v>
      </c>
      <c r="L58" s="375">
        <v>131.9</v>
      </c>
      <c r="M58" s="375">
        <v>131.9</v>
      </c>
      <c r="N58" s="375">
        <v>131.9</v>
      </c>
      <c r="O58" s="375">
        <v>131.9</v>
      </c>
      <c r="P58" s="375">
        <v>131.9</v>
      </c>
      <c r="Q58" s="375">
        <v>131.9</v>
      </c>
      <c r="R58" s="375">
        <v>131.9</v>
      </c>
      <c r="S58" s="375">
        <v>131.9</v>
      </c>
      <c r="T58" s="375">
        <v>131.9</v>
      </c>
      <c r="U58" s="375">
        <v>131.9</v>
      </c>
      <c r="V58" s="375">
        <v>131.9</v>
      </c>
      <c r="W58" s="375">
        <v>131.9</v>
      </c>
      <c r="X58" s="375">
        <v>131.9</v>
      </c>
      <c r="Y58" s="375">
        <v>131.9</v>
      </c>
      <c r="Z58" s="375">
        <v>131.9</v>
      </c>
      <c r="AA58" s="375">
        <v>131.9</v>
      </c>
      <c r="AB58" s="375">
        <v>131.9</v>
      </c>
      <c r="AC58" s="376">
        <v>131.9</v>
      </c>
    </row>
    <row r="59" spans="1:39" ht="37.200000000000003" customHeight="1" x14ac:dyDescent="0.3">
      <c r="A59" s="659"/>
      <c r="B59" s="665"/>
      <c r="C59" s="661"/>
      <c r="D59" s="697"/>
      <c r="E59" s="320" t="s">
        <v>560</v>
      </c>
      <c r="F59" s="345">
        <v>131.9</v>
      </c>
      <c r="G59" s="345">
        <v>131.9</v>
      </c>
      <c r="H59" s="345">
        <v>131.9</v>
      </c>
      <c r="I59" s="345">
        <v>131.9</v>
      </c>
      <c r="J59" s="345">
        <v>131.9</v>
      </c>
      <c r="K59" s="345">
        <v>131.9</v>
      </c>
      <c r="L59" s="345">
        <v>131.9</v>
      </c>
      <c r="M59" s="345">
        <v>131.9</v>
      </c>
      <c r="N59" s="345">
        <v>131.9</v>
      </c>
      <c r="O59" s="345">
        <v>131.9</v>
      </c>
      <c r="P59" s="345">
        <v>131.9</v>
      </c>
      <c r="Q59" s="345">
        <v>131.9</v>
      </c>
      <c r="R59" s="345">
        <v>131.9</v>
      </c>
      <c r="S59" s="345">
        <v>131.9</v>
      </c>
      <c r="T59" s="345">
        <v>131.9</v>
      </c>
      <c r="U59" s="345">
        <v>131.9</v>
      </c>
      <c r="V59" s="345">
        <v>131.9</v>
      </c>
      <c r="W59" s="345">
        <v>131.9</v>
      </c>
      <c r="X59" s="345">
        <v>131.9</v>
      </c>
      <c r="Y59" s="345">
        <v>131.9</v>
      </c>
      <c r="Z59" s="345">
        <v>131.9</v>
      </c>
      <c r="AA59" s="345">
        <v>131.9</v>
      </c>
      <c r="AB59" s="345">
        <v>131.9</v>
      </c>
      <c r="AC59" s="346">
        <v>131.9</v>
      </c>
    </row>
    <row r="60" spans="1:39" ht="37.200000000000003" customHeight="1" x14ac:dyDescent="0.3">
      <c r="A60" s="730" t="s">
        <v>611</v>
      </c>
      <c r="B60" s="733" t="s">
        <v>605</v>
      </c>
      <c r="C60" s="733" t="s">
        <v>612</v>
      </c>
      <c r="D60" s="736" t="s">
        <v>613</v>
      </c>
      <c r="E60" s="440" t="s">
        <v>561</v>
      </c>
      <c r="F60" s="441">
        <v>120</v>
      </c>
      <c r="G60" s="441">
        <v>120</v>
      </c>
      <c r="H60" s="441">
        <v>120</v>
      </c>
      <c r="I60" s="441">
        <v>120</v>
      </c>
      <c r="J60" s="441">
        <v>120</v>
      </c>
      <c r="K60" s="441">
        <v>120</v>
      </c>
      <c r="L60" s="441">
        <v>120</v>
      </c>
      <c r="M60" s="441">
        <v>120</v>
      </c>
      <c r="N60" s="441">
        <v>120</v>
      </c>
      <c r="O60" s="441">
        <v>120</v>
      </c>
      <c r="P60" s="441">
        <v>120</v>
      </c>
      <c r="Q60" s="441">
        <v>120</v>
      </c>
      <c r="R60" s="441">
        <v>120</v>
      </c>
      <c r="S60" s="441">
        <v>120</v>
      </c>
      <c r="T60" s="441">
        <v>120</v>
      </c>
      <c r="U60" s="441">
        <v>120</v>
      </c>
      <c r="V60" s="441">
        <v>120</v>
      </c>
      <c r="W60" s="441">
        <v>120</v>
      </c>
      <c r="X60" s="441">
        <v>120</v>
      </c>
      <c r="Y60" s="441">
        <v>120</v>
      </c>
      <c r="Z60" s="441">
        <v>120</v>
      </c>
      <c r="AA60" s="441">
        <v>120</v>
      </c>
      <c r="AB60" s="441">
        <v>120</v>
      </c>
      <c r="AC60" s="442">
        <v>120</v>
      </c>
      <c r="AD60" s="443"/>
      <c r="AE60" s="443"/>
      <c r="AF60" s="443"/>
      <c r="AG60" s="443"/>
      <c r="AH60" s="443"/>
      <c r="AI60" s="443"/>
      <c r="AJ60" s="443"/>
      <c r="AK60" s="443"/>
      <c r="AL60" s="444"/>
      <c r="AM60" s="444"/>
    </row>
    <row r="61" spans="1:39" ht="37.200000000000003" customHeight="1" x14ac:dyDescent="0.3">
      <c r="A61" s="731"/>
      <c r="B61" s="734"/>
      <c r="C61" s="734"/>
      <c r="D61" s="737"/>
      <c r="E61" s="445" t="s">
        <v>559</v>
      </c>
      <c r="F61" s="446">
        <v>120</v>
      </c>
      <c r="G61" s="446">
        <v>120</v>
      </c>
      <c r="H61" s="446">
        <v>120</v>
      </c>
      <c r="I61" s="446">
        <v>120</v>
      </c>
      <c r="J61" s="446">
        <v>120</v>
      </c>
      <c r="K61" s="446">
        <v>120</v>
      </c>
      <c r="L61" s="446">
        <v>120</v>
      </c>
      <c r="M61" s="446">
        <v>120</v>
      </c>
      <c r="N61" s="446">
        <v>120</v>
      </c>
      <c r="O61" s="446">
        <v>120</v>
      </c>
      <c r="P61" s="446">
        <v>120</v>
      </c>
      <c r="Q61" s="446">
        <v>120</v>
      </c>
      <c r="R61" s="446">
        <v>120</v>
      </c>
      <c r="S61" s="446">
        <v>120</v>
      </c>
      <c r="T61" s="446">
        <v>120</v>
      </c>
      <c r="U61" s="446">
        <v>120</v>
      </c>
      <c r="V61" s="446">
        <v>120</v>
      </c>
      <c r="W61" s="446">
        <v>120</v>
      </c>
      <c r="X61" s="446">
        <v>120</v>
      </c>
      <c r="Y61" s="446">
        <v>120</v>
      </c>
      <c r="Z61" s="446">
        <v>120</v>
      </c>
      <c r="AA61" s="446">
        <v>120</v>
      </c>
      <c r="AB61" s="446">
        <v>120</v>
      </c>
      <c r="AC61" s="447">
        <v>120</v>
      </c>
      <c r="AD61" s="443"/>
      <c r="AE61" s="443"/>
      <c r="AF61" s="443"/>
      <c r="AG61" s="443"/>
      <c r="AH61" s="443"/>
      <c r="AI61" s="443"/>
      <c r="AJ61" s="443"/>
      <c r="AK61" s="443"/>
      <c r="AL61" s="444"/>
      <c r="AM61" s="444"/>
    </row>
    <row r="62" spans="1:39" ht="37.200000000000003" customHeight="1" x14ac:dyDescent="0.3">
      <c r="A62" s="732"/>
      <c r="B62" s="735"/>
      <c r="C62" s="735"/>
      <c r="D62" s="738"/>
      <c r="E62" s="448" t="s">
        <v>560</v>
      </c>
      <c r="F62" s="449">
        <v>120</v>
      </c>
      <c r="G62" s="449">
        <v>120</v>
      </c>
      <c r="H62" s="449">
        <v>120</v>
      </c>
      <c r="I62" s="449">
        <v>120</v>
      </c>
      <c r="J62" s="449">
        <v>120</v>
      </c>
      <c r="K62" s="449">
        <v>120</v>
      </c>
      <c r="L62" s="449">
        <v>120</v>
      </c>
      <c r="M62" s="449">
        <v>120</v>
      </c>
      <c r="N62" s="449">
        <v>120</v>
      </c>
      <c r="O62" s="449">
        <v>120</v>
      </c>
      <c r="P62" s="449">
        <v>120</v>
      </c>
      <c r="Q62" s="449">
        <v>120</v>
      </c>
      <c r="R62" s="449">
        <v>120</v>
      </c>
      <c r="S62" s="449">
        <v>120</v>
      </c>
      <c r="T62" s="449">
        <v>120</v>
      </c>
      <c r="U62" s="449">
        <v>120</v>
      </c>
      <c r="V62" s="449">
        <v>120</v>
      </c>
      <c r="W62" s="449">
        <v>120</v>
      </c>
      <c r="X62" s="449">
        <v>120</v>
      </c>
      <c r="Y62" s="449">
        <v>120</v>
      </c>
      <c r="Z62" s="449">
        <v>120</v>
      </c>
      <c r="AA62" s="449">
        <v>120</v>
      </c>
      <c r="AB62" s="449">
        <v>120</v>
      </c>
      <c r="AC62" s="450">
        <v>120</v>
      </c>
      <c r="AD62" s="443"/>
      <c r="AE62" s="443"/>
      <c r="AF62" s="443"/>
      <c r="AG62" s="443"/>
      <c r="AH62" s="443"/>
      <c r="AI62" s="443"/>
      <c r="AJ62" s="443"/>
      <c r="AK62" s="443"/>
      <c r="AL62" s="444"/>
      <c r="AM62" s="444"/>
    </row>
    <row r="63" spans="1:39" ht="37.200000000000003" customHeight="1" x14ac:dyDescent="0.3">
      <c r="A63" s="651" t="s">
        <v>614</v>
      </c>
      <c r="B63" s="653" t="s">
        <v>605</v>
      </c>
      <c r="C63" s="653" t="s">
        <v>615</v>
      </c>
      <c r="D63" s="655" t="s">
        <v>613</v>
      </c>
      <c r="E63" s="311" t="s">
        <v>561</v>
      </c>
      <c r="F63" s="343">
        <v>117.2</v>
      </c>
      <c r="G63" s="343">
        <v>117.2</v>
      </c>
      <c r="H63" s="343">
        <v>117.2</v>
      </c>
      <c r="I63" s="343">
        <v>117.2</v>
      </c>
      <c r="J63" s="343">
        <v>117.2</v>
      </c>
      <c r="K63" s="343">
        <v>117.2</v>
      </c>
      <c r="L63" s="343">
        <v>117.2</v>
      </c>
      <c r="M63" s="343">
        <v>117.2</v>
      </c>
      <c r="N63" s="343">
        <v>117.2</v>
      </c>
      <c r="O63" s="343">
        <v>117.2</v>
      </c>
      <c r="P63" s="343">
        <v>117.2</v>
      </c>
      <c r="Q63" s="343">
        <v>117.2</v>
      </c>
      <c r="R63" s="343">
        <v>117.2</v>
      </c>
      <c r="S63" s="343">
        <v>117.2</v>
      </c>
      <c r="T63" s="343">
        <v>117.2</v>
      </c>
      <c r="U63" s="343">
        <v>117.2</v>
      </c>
      <c r="V63" s="343">
        <v>117.2</v>
      </c>
      <c r="W63" s="343">
        <v>117.2</v>
      </c>
      <c r="X63" s="343">
        <v>117.2</v>
      </c>
      <c r="Y63" s="343">
        <v>117.2</v>
      </c>
      <c r="Z63" s="343">
        <v>117.2</v>
      </c>
      <c r="AA63" s="343">
        <v>117.2</v>
      </c>
      <c r="AB63" s="343">
        <v>117.2</v>
      </c>
      <c r="AC63" s="344">
        <v>117.2</v>
      </c>
    </row>
    <row r="64" spans="1:39" ht="37.200000000000003" customHeight="1" x14ac:dyDescent="0.3">
      <c r="A64" s="652"/>
      <c r="B64" s="654"/>
      <c r="C64" s="654"/>
      <c r="D64" s="656"/>
      <c r="E64" s="312" t="s">
        <v>559</v>
      </c>
      <c r="F64" s="375">
        <v>117.2</v>
      </c>
      <c r="G64" s="375">
        <v>117.2</v>
      </c>
      <c r="H64" s="375">
        <v>117.2</v>
      </c>
      <c r="I64" s="375">
        <v>117.2</v>
      </c>
      <c r="J64" s="375">
        <v>117.2</v>
      </c>
      <c r="K64" s="375">
        <v>117.2</v>
      </c>
      <c r="L64" s="375">
        <v>117.2</v>
      </c>
      <c r="M64" s="375">
        <v>117.2</v>
      </c>
      <c r="N64" s="375">
        <v>117.2</v>
      </c>
      <c r="O64" s="375">
        <v>117.2</v>
      </c>
      <c r="P64" s="375">
        <v>117.2</v>
      </c>
      <c r="Q64" s="375">
        <v>117.2</v>
      </c>
      <c r="R64" s="375">
        <v>117.2</v>
      </c>
      <c r="S64" s="375">
        <v>117.2</v>
      </c>
      <c r="T64" s="375">
        <v>117.2</v>
      </c>
      <c r="U64" s="375">
        <v>117.2</v>
      </c>
      <c r="V64" s="375">
        <v>117.2</v>
      </c>
      <c r="W64" s="375">
        <v>117.2</v>
      </c>
      <c r="X64" s="375">
        <v>117.2</v>
      </c>
      <c r="Y64" s="375">
        <v>117.2</v>
      </c>
      <c r="Z64" s="375">
        <v>117.2</v>
      </c>
      <c r="AA64" s="375">
        <v>117.2</v>
      </c>
      <c r="AB64" s="375">
        <v>117.2</v>
      </c>
      <c r="AC64" s="376">
        <v>117.2</v>
      </c>
    </row>
    <row r="65" spans="1:29" ht="37.200000000000003" customHeight="1" thickBot="1" x14ac:dyDescent="0.35">
      <c r="A65" s="652"/>
      <c r="B65" s="654"/>
      <c r="C65" s="654"/>
      <c r="D65" s="657"/>
      <c r="E65" s="313" t="s">
        <v>560</v>
      </c>
      <c r="F65" s="433">
        <v>117.2</v>
      </c>
      <c r="G65" s="433">
        <v>117.2</v>
      </c>
      <c r="H65" s="433">
        <v>117.2</v>
      </c>
      <c r="I65" s="433">
        <v>117.2</v>
      </c>
      <c r="J65" s="433">
        <v>117.2</v>
      </c>
      <c r="K65" s="433">
        <v>117.2</v>
      </c>
      <c r="L65" s="433">
        <v>117.2</v>
      </c>
      <c r="M65" s="433">
        <v>117.2</v>
      </c>
      <c r="N65" s="433">
        <v>117.2</v>
      </c>
      <c r="O65" s="433">
        <v>117.2</v>
      </c>
      <c r="P65" s="433">
        <v>117.2</v>
      </c>
      <c r="Q65" s="433">
        <v>117.2</v>
      </c>
      <c r="R65" s="433">
        <v>117.2</v>
      </c>
      <c r="S65" s="433">
        <v>117.2</v>
      </c>
      <c r="T65" s="433">
        <v>117.2</v>
      </c>
      <c r="U65" s="433">
        <v>117.2</v>
      </c>
      <c r="V65" s="433">
        <v>117.2</v>
      </c>
      <c r="W65" s="433">
        <v>117.2</v>
      </c>
      <c r="X65" s="433">
        <v>117.2</v>
      </c>
      <c r="Y65" s="433">
        <v>117.2</v>
      </c>
      <c r="Z65" s="433">
        <v>117.2</v>
      </c>
      <c r="AA65" s="433">
        <v>117.2</v>
      </c>
      <c r="AB65" s="433">
        <v>117.2</v>
      </c>
      <c r="AC65" s="434">
        <v>117.2</v>
      </c>
    </row>
    <row r="66" spans="1:29" ht="37.200000000000003" customHeight="1" x14ac:dyDescent="0.3">
      <c r="A66" s="658" t="s">
        <v>616</v>
      </c>
      <c r="B66" s="660" t="s">
        <v>605</v>
      </c>
      <c r="C66" s="660" t="s">
        <v>617</v>
      </c>
      <c r="D66" s="662" t="s">
        <v>613</v>
      </c>
      <c r="E66" s="341" t="s">
        <v>561</v>
      </c>
      <c r="F66" s="435">
        <v>146.5</v>
      </c>
      <c r="G66" s="435">
        <v>146.5</v>
      </c>
      <c r="H66" s="435">
        <v>146.5</v>
      </c>
      <c r="I66" s="435">
        <v>146.5</v>
      </c>
      <c r="J66" s="435">
        <v>146.5</v>
      </c>
      <c r="K66" s="435">
        <v>146.5</v>
      </c>
      <c r="L66" s="435">
        <v>146.5</v>
      </c>
      <c r="M66" s="435">
        <v>146.5</v>
      </c>
      <c r="N66" s="435">
        <v>146.5</v>
      </c>
      <c r="O66" s="435">
        <v>146.5</v>
      </c>
      <c r="P66" s="435">
        <v>146.5</v>
      </c>
      <c r="Q66" s="435">
        <v>146.5</v>
      </c>
      <c r="R66" s="435">
        <v>146.5</v>
      </c>
      <c r="S66" s="435">
        <v>146.5</v>
      </c>
      <c r="T66" s="435">
        <v>146.5</v>
      </c>
      <c r="U66" s="435">
        <v>146.5</v>
      </c>
      <c r="V66" s="435">
        <v>146.5</v>
      </c>
      <c r="W66" s="435">
        <v>146.5</v>
      </c>
      <c r="X66" s="435">
        <v>146.5</v>
      </c>
      <c r="Y66" s="435">
        <v>146.5</v>
      </c>
      <c r="Z66" s="435">
        <v>146.5</v>
      </c>
      <c r="AA66" s="435">
        <v>146.5</v>
      </c>
      <c r="AB66" s="435">
        <v>146.5</v>
      </c>
      <c r="AC66" s="436">
        <v>146.5</v>
      </c>
    </row>
    <row r="67" spans="1:29" ht="37.200000000000003" customHeight="1" x14ac:dyDescent="0.3">
      <c r="A67" s="652"/>
      <c r="B67" s="654"/>
      <c r="C67" s="654"/>
      <c r="D67" s="656"/>
      <c r="E67" s="312" t="s">
        <v>559</v>
      </c>
      <c r="F67" s="375">
        <v>146.5</v>
      </c>
      <c r="G67" s="375">
        <v>146.5</v>
      </c>
      <c r="H67" s="375">
        <v>146.5</v>
      </c>
      <c r="I67" s="375">
        <v>146.5</v>
      </c>
      <c r="J67" s="375">
        <v>146.5</v>
      </c>
      <c r="K67" s="375">
        <v>146.5</v>
      </c>
      <c r="L67" s="375">
        <v>146.5</v>
      </c>
      <c r="M67" s="375">
        <v>146.5</v>
      </c>
      <c r="N67" s="375">
        <v>146.5</v>
      </c>
      <c r="O67" s="375">
        <v>146.5</v>
      </c>
      <c r="P67" s="375">
        <v>146.5</v>
      </c>
      <c r="Q67" s="375">
        <v>146.5</v>
      </c>
      <c r="R67" s="375">
        <v>146.5</v>
      </c>
      <c r="S67" s="375">
        <v>146.5</v>
      </c>
      <c r="T67" s="375">
        <v>146.5</v>
      </c>
      <c r="U67" s="375">
        <v>146.5</v>
      </c>
      <c r="V67" s="375">
        <v>146.5</v>
      </c>
      <c r="W67" s="375">
        <v>146.5</v>
      </c>
      <c r="X67" s="375">
        <v>146.5</v>
      </c>
      <c r="Y67" s="375">
        <v>146.5</v>
      </c>
      <c r="Z67" s="375">
        <v>146.5</v>
      </c>
      <c r="AA67" s="375">
        <v>146.5</v>
      </c>
      <c r="AB67" s="375">
        <v>146.5</v>
      </c>
      <c r="AC67" s="437">
        <v>146.5</v>
      </c>
    </row>
    <row r="68" spans="1:29" ht="37.200000000000003" customHeight="1" thickBot="1" x14ac:dyDescent="0.35">
      <c r="A68" s="659"/>
      <c r="B68" s="661"/>
      <c r="C68" s="661"/>
      <c r="D68" s="663"/>
      <c r="E68" s="342" t="s">
        <v>560</v>
      </c>
      <c r="F68" s="438">
        <v>146.5</v>
      </c>
      <c r="G68" s="438">
        <v>146.5</v>
      </c>
      <c r="H68" s="438">
        <v>146.5</v>
      </c>
      <c r="I68" s="438">
        <v>146.5</v>
      </c>
      <c r="J68" s="438">
        <v>146.5</v>
      </c>
      <c r="K68" s="438">
        <v>146.5</v>
      </c>
      <c r="L68" s="438">
        <v>146.5</v>
      </c>
      <c r="M68" s="438">
        <v>146.5</v>
      </c>
      <c r="N68" s="438">
        <v>146.5</v>
      </c>
      <c r="O68" s="438">
        <v>146.5</v>
      </c>
      <c r="P68" s="438">
        <v>146.5</v>
      </c>
      <c r="Q68" s="438">
        <v>146.5</v>
      </c>
      <c r="R68" s="438">
        <v>146.5</v>
      </c>
      <c r="S68" s="438">
        <v>146.5</v>
      </c>
      <c r="T68" s="438">
        <v>146.5</v>
      </c>
      <c r="U68" s="438">
        <v>146.5</v>
      </c>
      <c r="V68" s="438">
        <v>146.5</v>
      </c>
      <c r="W68" s="438">
        <v>146.5</v>
      </c>
      <c r="X68" s="438">
        <v>146.5</v>
      </c>
      <c r="Y68" s="438">
        <v>146.5</v>
      </c>
      <c r="Z68" s="438">
        <v>146.5</v>
      </c>
      <c r="AA68" s="438">
        <v>146.5</v>
      </c>
      <c r="AB68" s="438">
        <v>146.5</v>
      </c>
      <c r="AC68" s="439">
        <v>146.5</v>
      </c>
    </row>
    <row r="69" spans="1:29" ht="37.200000000000003" customHeight="1" x14ac:dyDescent="0.3">
      <c r="A69" s="651" t="s">
        <v>618</v>
      </c>
      <c r="B69" s="653" t="s">
        <v>605</v>
      </c>
      <c r="C69" s="653" t="s">
        <v>619</v>
      </c>
      <c r="D69" s="655" t="s">
        <v>613</v>
      </c>
      <c r="E69" s="311" t="s">
        <v>561</v>
      </c>
      <c r="F69" s="343">
        <v>219.8</v>
      </c>
      <c r="G69" s="343">
        <v>219.8</v>
      </c>
      <c r="H69" s="343">
        <v>219.8</v>
      </c>
      <c r="I69" s="343">
        <v>219.8</v>
      </c>
      <c r="J69" s="343">
        <v>219.8</v>
      </c>
      <c r="K69" s="343">
        <v>219.8</v>
      </c>
      <c r="L69" s="343">
        <v>219.8</v>
      </c>
      <c r="M69" s="343">
        <v>219.8</v>
      </c>
      <c r="N69" s="343">
        <v>219.8</v>
      </c>
      <c r="O69" s="343">
        <v>219.8</v>
      </c>
      <c r="P69" s="343">
        <v>219.8</v>
      </c>
      <c r="Q69" s="343">
        <v>219.8</v>
      </c>
      <c r="R69" s="343">
        <v>219.8</v>
      </c>
      <c r="S69" s="343">
        <v>219.8</v>
      </c>
      <c r="T69" s="343">
        <v>219.8</v>
      </c>
      <c r="U69" s="343">
        <v>219.8</v>
      </c>
      <c r="V69" s="343">
        <v>219.8</v>
      </c>
      <c r="W69" s="343">
        <v>219.8</v>
      </c>
      <c r="X69" s="343">
        <v>219.8</v>
      </c>
      <c r="Y69" s="343">
        <v>219.8</v>
      </c>
      <c r="Z69" s="343">
        <v>219.8</v>
      </c>
      <c r="AA69" s="343">
        <v>219.8</v>
      </c>
      <c r="AB69" s="343">
        <v>219.8</v>
      </c>
      <c r="AC69" s="344">
        <v>219.8</v>
      </c>
    </row>
    <row r="70" spans="1:29" ht="37.200000000000003" customHeight="1" x14ac:dyDescent="0.3">
      <c r="A70" s="652"/>
      <c r="B70" s="654"/>
      <c r="C70" s="654"/>
      <c r="D70" s="656"/>
      <c r="E70" s="312" t="s">
        <v>559</v>
      </c>
      <c r="F70" s="375">
        <v>219.8</v>
      </c>
      <c r="G70" s="375">
        <v>219.8</v>
      </c>
      <c r="H70" s="375">
        <v>219.8</v>
      </c>
      <c r="I70" s="375">
        <v>219.8</v>
      </c>
      <c r="J70" s="375">
        <v>219.8</v>
      </c>
      <c r="K70" s="375">
        <v>219.8</v>
      </c>
      <c r="L70" s="375">
        <v>219.8</v>
      </c>
      <c r="M70" s="375">
        <v>219.8</v>
      </c>
      <c r="N70" s="375">
        <v>219.8</v>
      </c>
      <c r="O70" s="375">
        <v>219.8</v>
      </c>
      <c r="P70" s="375">
        <v>219.8</v>
      </c>
      <c r="Q70" s="375">
        <v>219.8</v>
      </c>
      <c r="R70" s="375">
        <v>219.8</v>
      </c>
      <c r="S70" s="375">
        <v>219.8</v>
      </c>
      <c r="T70" s="375">
        <v>219.8</v>
      </c>
      <c r="U70" s="375">
        <v>219.8</v>
      </c>
      <c r="V70" s="375">
        <v>219.8</v>
      </c>
      <c r="W70" s="375">
        <v>219.8</v>
      </c>
      <c r="X70" s="375">
        <v>219.8</v>
      </c>
      <c r="Y70" s="375">
        <v>219.8</v>
      </c>
      <c r="Z70" s="375">
        <v>219.8</v>
      </c>
      <c r="AA70" s="375">
        <v>219.8</v>
      </c>
      <c r="AB70" s="375">
        <v>219.8</v>
      </c>
      <c r="AC70" s="376">
        <v>219.8</v>
      </c>
    </row>
    <row r="71" spans="1:29" ht="37.200000000000003" customHeight="1" thickBot="1" x14ac:dyDescent="0.35">
      <c r="A71" s="652"/>
      <c r="B71" s="654"/>
      <c r="C71" s="654"/>
      <c r="D71" s="657"/>
      <c r="E71" s="313" t="s">
        <v>560</v>
      </c>
      <c r="F71" s="433">
        <v>219.8</v>
      </c>
      <c r="G71" s="433">
        <v>219.8</v>
      </c>
      <c r="H71" s="433">
        <v>219.8</v>
      </c>
      <c r="I71" s="433">
        <v>219.8</v>
      </c>
      <c r="J71" s="433">
        <v>219.8</v>
      </c>
      <c r="K71" s="433">
        <v>219.8</v>
      </c>
      <c r="L71" s="433">
        <v>219.8</v>
      </c>
      <c r="M71" s="433">
        <v>219.8</v>
      </c>
      <c r="N71" s="433">
        <v>219.8</v>
      </c>
      <c r="O71" s="433">
        <v>219.8</v>
      </c>
      <c r="P71" s="433">
        <v>219.8</v>
      </c>
      <c r="Q71" s="433">
        <v>219.8</v>
      </c>
      <c r="R71" s="433">
        <v>219.8</v>
      </c>
      <c r="S71" s="433">
        <v>219.8</v>
      </c>
      <c r="T71" s="433">
        <v>219.8</v>
      </c>
      <c r="U71" s="433">
        <v>219.8</v>
      </c>
      <c r="V71" s="433">
        <v>219.8</v>
      </c>
      <c r="W71" s="433">
        <v>219.8</v>
      </c>
      <c r="X71" s="433">
        <v>219.8</v>
      </c>
      <c r="Y71" s="433">
        <v>219.8</v>
      </c>
      <c r="Z71" s="433">
        <v>219.8</v>
      </c>
      <c r="AA71" s="433">
        <v>219.8</v>
      </c>
      <c r="AB71" s="433">
        <v>219.8</v>
      </c>
      <c r="AC71" s="434">
        <v>219.8</v>
      </c>
    </row>
    <row r="72" spans="1:29" ht="37.200000000000003" customHeight="1" x14ac:dyDescent="0.3">
      <c r="A72" s="658" t="s">
        <v>620</v>
      </c>
      <c r="B72" s="660" t="s">
        <v>605</v>
      </c>
      <c r="C72" s="660" t="s">
        <v>621</v>
      </c>
      <c r="D72" s="662" t="s">
        <v>613</v>
      </c>
      <c r="E72" s="341" t="s">
        <v>561</v>
      </c>
      <c r="F72" s="435">
        <v>213.9</v>
      </c>
      <c r="G72" s="435">
        <v>213.9</v>
      </c>
      <c r="H72" s="435">
        <v>213.9</v>
      </c>
      <c r="I72" s="435">
        <v>213.9</v>
      </c>
      <c r="J72" s="435">
        <v>213.9</v>
      </c>
      <c r="K72" s="435">
        <v>213.9</v>
      </c>
      <c r="L72" s="435">
        <v>213.9</v>
      </c>
      <c r="M72" s="435">
        <v>213.9</v>
      </c>
      <c r="N72" s="435">
        <v>213.9</v>
      </c>
      <c r="O72" s="435">
        <v>213.9</v>
      </c>
      <c r="P72" s="435">
        <v>213.9</v>
      </c>
      <c r="Q72" s="435">
        <v>213.9</v>
      </c>
      <c r="R72" s="435">
        <v>213.9</v>
      </c>
      <c r="S72" s="435">
        <v>213.9</v>
      </c>
      <c r="T72" s="435">
        <v>213.9</v>
      </c>
      <c r="U72" s="435">
        <v>213.9</v>
      </c>
      <c r="V72" s="435">
        <v>213.9</v>
      </c>
      <c r="W72" s="435">
        <v>213.9</v>
      </c>
      <c r="X72" s="435">
        <v>213.9</v>
      </c>
      <c r="Y72" s="435">
        <v>213.9</v>
      </c>
      <c r="Z72" s="435">
        <v>213.9</v>
      </c>
      <c r="AA72" s="435">
        <v>213.9</v>
      </c>
      <c r="AB72" s="435">
        <v>213.9</v>
      </c>
      <c r="AC72" s="436">
        <v>213.9</v>
      </c>
    </row>
    <row r="73" spans="1:29" ht="37.200000000000003" customHeight="1" x14ac:dyDescent="0.3">
      <c r="A73" s="652"/>
      <c r="B73" s="654"/>
      <c r="C73" s="654"/>
      <c r="D73" s="656"/>
      <c r="E73" s="312" t="s">
        <v>559</v>
      </c>
      <c r="F73" s="375">
        <v>213.9</v>
      </c>
      <c r="G73" s="375">
        <v>213.9</v>
      </c>
      <c r="H73" s="375">
        <v>213.9</v>
      </c>
      <c r="I73" s="375">
        <v>213.9</v>
      </c>
      <c r="J73" s="375">
        <v>213.9</v>
      </c>
      <c r="K73" s="375">
        <v>213.9</v>
      </c>
      <c r="L73" s="375">
        <v>213.9</v>
      </c>
      <c r="M73" s="375">
        <v>213.9</v>
      </c>
      <c r="N73" s="375">
        <v>213.9</v>
      </c>
      <c r="O73" s="375">
        <v>213.9</v>
      </c>
      <c r="P73" s="375">
        <v>213.9</v>
      </c>
      <c r="Q73" s="375">
        <v>213.9</v>
      </c>
      <c r="R73" s="375">
        <v>213.9</v>
      </c>
      <c r="S73" s="375">
        <v>213.9</v>
      </c>
      <c r="T73" s="375">
        <v>213.9</v>
      </c>
      <c r="U73" s="375">
        <v>213.9</v>
      </c>
      <c r="V73" s="375">
        <v>213.9</v>
      </c>
      <c r="W73" s="375">
        <v>213.9</v>
      </c>
      <c r="X73" s="375">
        <v>213.9</v>
      </c>
      <c r="Y73" s="375">
        <v>213.9</v>
      </c>
      <c r="Z73" s="375">
        <v>213.9</v>
      </c>
      <c r="AA73" s="375">
        <v>213.9</v>
      </c>
      <c r="AB73" s="375">
        <v>213.9</v>
      </c>
      <c r="AC73" s="437">
        <v>213.9</v>
      </c>
    </row>
    <row r="74" spans="1:29" ht="31.2" customHeight="1" thickBot="1" x14ac:dyDescent="0.35">
      <c r="A74" s="659"/>
      <c r="B74" s="661"/>
      <c r="C74" s="661"/>
      <c r="D74" s="663"/>
      <c r="E74" s="342" t="s">
        <v>560</v>
      </c>
      <c r="F74" s="438">
        <v>213.9</v>
      </c>
      <c r="G74" s="438">
        <v>213.9</v>
      </c>
      <c r="H74" s="438">
        <v>213.9</v>
      </c>
      <c r="I74" s="438">
        <v>213.9</v>
      </c>
      <c r="J74" s="438">
        <v>213.9</v>
      </c>
      <c r="K74" s="438">
        <v>213.9</v>
      </c>
      <c r="L74" s="438">
        <v>213.9</v>
      </c>
      <c r="M74" s="438">
        <v>213.9</v>
      </c>
      <c r="N74" s="438">
        <v>213.9</v>
      </c>
      <c r="O74" s="438">
        <v>213.9</v>
      </c>
      <c r="P74" s="438">
        <v>213.9</v>
      </c>
      <c r="Q74" s="438">
        <v>213.9</v>
      </c>
      <c r="R74" s="438">
        <v>213.9</v>
      </c>
      <c r="S74" s="438">
        <v>213.9</v>
      </c>
      <c r="T74" s="438">
        <v>213.9</v>
      </c>
      <c r="U74" s="438">
        <v>213.9</v>
      </c>
      <c r="V74" s="438">
        <v>213.9</v>
      </c>
      <c r="W74" s="438">
        <v>213.9</v>
      </c>
      <c r="X74" s="438">
        <v>213.9</v>
      </c>
      <c r="Y74" s="438">
        <v>213.9</v>
      </c>
      <c r="Z74" s="438">
        <v>213.9</v>
      </c>
      <c r="AA74" s="438">
        <v>213.9</v>
      </c>
      <c r="AB74" s="438">
        <v>213.9</v>
      </c>
      <c r="AC74" s="439">
        <v>213.9</v>
      </c>
    </row>
    <row r="75" spans="1:29" ht="22.2" customHeight="1" x14ac:dyDescent="0.3"/>
    <row r="76" spans="1:29" ht="22.2" customHeight="1" x14ac:dyDescent="0.3"/>
    <row r="77" spans="1:29" ht="22.2" customHeight="1" x14ac:dyDescent="0.3"/>
    <row r="78" spans="1:29" ht="22.2" customHeight="1" x14ac:dyDescent="0.3"/>
    <row r="79" spans="1:29" ht="22.2" customHeight="1" x14ac:dyDescent="0.3"/>
    <row r="80" spans="1:29" ht="22.2" customHeight="1" x14ac:dyDescent="0.3"/>
    <row r="81" spans="1:37" ht="22.2" customHeight="1" x14ac:dyDescent="0.3"/>
    <row r="82" spans="1:37" s="64" customFormat="1" ht="22.2" hidden="1" customHeight="1" x14ac:dyDescent="0.25">
      <c r="A82" s="27" t="s">
        <v>357</v>
      </c>
    </row>
    <row r="83" spans="1:37" ht="22.2" hidden="1" customHeight="1" x14ac:dyDescent="0.3"/>
    <row r="84" spans="1:37" ht="22.2" hidden="1" customHeight="1" x14ac:dyDescent="0.3"/>
    <row r="85" spans="1:37" ht="22.2" hidden="1" customHeight="1" x14ac:dyDescent="0.3"/>
    <row r="86" spans="1:37" ht="22.2" hidden="1" customHeight="1" x14ac:dyDescent="0.3"/>
    <row r="87" spans="1:37" ht="22.2" hidden="1" customHeight="1" x14ac:dyDescent="0.3"/>
    <row r="88" spans="1:37" ht="22.2" hidden="1" customHeight="1" thickBot="1" x14ac:dyDescent="0.35"/>
    <row r="89" spans="1:37" ht="22.2" hidden="1" customHeight="1" thickBot="1" x14ac:dyDescent="0.35">
      <c r="B89" s="677" t="s">
        <v>622</v>
      </c>
      <c r="C89" s="678"/>
      <c r="D89" s="678"/>
      <c r="E89" s="678"/>
      <c r="F89" s="678"/>
      <c r="G89" s="678"/>
      <c r="H89" s="678"/>
      <c r="I89" s="678"/>
      <c r="J89" s="678"/>
      <c r="K89" s="678"/>
      <c r="L89" s="678"/>
      <c r="M89" s="678"/>
      <c r="N89" s="678"/>
      <c r="O89" s="678"/>
      <c r="P89" s="678"/>
      <c r="Q89" s="678"/>
      <c r="R89" s="678"/>
      <c r="S89" s="678"/>
      <c r="T89" s="678"/>
      <c r="U89" s="678"/>
      <c r="V89" s="678"/>
      <c r="W89" s="678"/>
      <c r="X89" s="678"/>
      <c r="Y89" s="678"/>
      <c r="Z89" s="678"/>
      <c r="AA89" s="678"/>
      <c r="AB89" s="678"/>
      <c r="AC89" s="679"/>
      <c r="AD89" s="55"/>
      <c r="AE89" s="54"/>
      <c r="AF89" s="54"/>
      <c r="AG89" s="54"/>
      <c r="AH89" s="54"/>
      <c r="AI89" s="54"/>
      <c r="AJ89" s="54"/>
      <c r="AK89" s="54"/>
    </row>
    <row r="90" spans="1:37" ht="22.2" hidden="1" customHeight="1" x14ac:dyDescent="0.3">
      <c r="B90" s="709" t="s">
        <v>623</v>
      </c>
      <c r="C90" s="706" t="s">
        <v>624</v>
      </c>
      <c r="D90" s="706"/>
      <c r="E90" s="48" t="s">
        <v>561</v>
      </c>
      <c r="F90" s="48"/>
      <c r="G90" s="48"/>
      <c r="H90" s="48"/>
      <c r="I90" s="48"/>
      <c r="J90" s="48"/>
      <c r="K90" s="48"/>
      <c r="L90" s="48"/>
      <c r="M90" s="48"/>
      <c r="N90" s="48"/>
      <c r="O90" s="48"/>
      <c r="P90" s="48"/>
      <c r="Q90" s="48"/>
      <c r="R90" s="48"/>
      <c r="S90" s="48"/>
      <c r="T90" s="48"/>
      <c r="U90" s="48"/>
      <c r="V90" s="48"/>
      <c r="W90" s="48"/>
      <c r="X90" s="48"/>
      <c r="Y90" s="48"/>
      <c r="Z90" s="48"/>
      <c r="AA90" s="48"/>
      <c r="AB90" s="48"/>
      <c r="AC90" s="49"/>
      <c r="AD90" s="54"/>
      <c r="AE90" s="54"/>
      <c r="AF90" s="54"/>
      <c r="AG90" s="54"/>
      <c r="AH90" s="54"/>
      <c r="AI90" s="54"/>
      <c r="AJ90" s="54"/>
      <c r="AK90" s="54"/>
    </row>
    <row r="91" spans="1:37" ht="22.2" hidden="1" customHeight="1" thickBot="1" x14ac:dyDescent="0.35">
      <c r="B91" s="710"/>
      <c r="C91" s="708"/>
      <c r="D91" s="708"/>
      <c r="E91" s="51" t="s">
        <v>559</v>
      </c>
      <c r="F91" s="51"/>
      <c r="G91" s="51"/>
      <c r="H91" s="51"/>
      <c r="I91" s="51"/>
      <c r="J91" s="51"/>
      <c r="K91" s="51"/>
      <c r="L91" s="51"/>
      <c r="M91" s="51"/>
      <c r="N91" s="51"/>
      <c r="O91" s="51"/>
      <c r="P91" s="51"/>
      <c r="Q91" s="51"/>
      <c r="R91" s="51"/>
      <c r="S91" s="51"/>
      <c r="T91" s="51"/>
      <c r="U91" s="51"/>
      <c r="V91" s="51"/>
      <c r="W91" s="51"/>
      <c r="X91" s="51"/>
      <c r="Y91" s="51"/>
      <c r="Z91" s="51"/>
      <c r="AA91" s="51"/>
      <c r="AB91" s="51"/>
      <c r="AC91" s="52"/>
      <c r="AD91" s="54"/>
      <c r="AE91" s="54"/>
      <c r="AF91" s="54"/>
      <c r="AG91" s="54"/>
      <c r="AH91" s="54"/>
      <c r="AI91" s="54"/>
      <c r="AJ91" s="54"/>
      <c r="AK91" s="54"/>
    </row>
    <row r="92" spans="1:37" ht="22.2" hidden="1" customHeight="1" thickBot="1" x14ac:dyDescent="0.35">
      <c r="B92" s="680" t="s">
        <v>625</v>
      </c>
      <c r="C92" s="680"/>
      <c r="D92" s="680"/>
      <c r="E92" s="680"/>
      <c r="F92" s="680"/>
      <c r="G92" s="680"/>
      <c r="H92" s="680"/>
      <c r="I92" s="680"/>
      <c r="J92" s="680"/>
      <c r="K92" s="680"/>
      <c r="L92" s="680"/>
      <c r="M92" s="680"/>
      <c r="N92" s="680"/>
      <c r="O92" s="680"/>
      <c r="P92" s="680"/>
      <c r="Q92" s="680"/>
      <c r="R92" s="680"/>
      <c r="S92" s="680"/>
      <c r="T92" s="680"/>
      <c r="U92" s="680"/>
      <c r="V92" s="680"/>
      <c r="W92" s="680"/>
      <c r="X92" s="680"/>
      <c r="Y92" s="680"/>
      <c r="Z92" s="680"/>
      <c r="AA92" s="680"/>
      <c r="AB92" s="680"/>
      <c r="AC92" s="680"/>
      <c r="AD92" s="54"/>
      <c r="AE92" s="54"/>
      <c r="AF92" s="54"/>
      <c r="AG92" s="54"/>
      <c r="AH92" s="54"/>
      <c r="AI92" s="54"/>
      <c r="AJ92" s="54"/>
      <c r="AK92" s="54"/>
    </row>
    <row r="93" spans="1:37" ht="22.2" hidden="1" customHeight="1" x14ac:dyDescent="0.3">
      <c r="B93" s="703" t="s">
        <v>626</v>
      </c>
      <c r="C93" s="700" t="s">
        <v>627</v>
      </c>
      <c r="D93" s="706"/>
      <c r="E93" s="48" t="s">
        <v>561</v>
      </c>
      <c r="F93" s="48"/>
      <c r="G93" s="48"/>
      <c r="H93" s="48"/>
      <c r="I93" s="48"/>
      <c r="J93" s="48"/>
      <c r="K93" s="48"/>
      <c r="L93" s="48"/>
      <c r="M93" s="48"/>
      <c r="N93" s="48"/>
      <c r="O93" s="48"/>
      <c r="P93" s="48"/>
      <c r="Q93" s="48"/>
      <c r="R93" s="48"/>
      <c r="S93" s="48"/>
      <c r="T93" s="48"/>
      <c r="U93" s="48"/>
      <c r="V93" s="48"/>
      <c r="W93" s="48"/>
      <c r="X93" s="48"/>
      <c r="Y93" s="48"/>
      <c r="Z93" s="48"/>
      <c r="AA93" s="48"/>
      <c r="AB93" s="48"/>
      <c r="AC93" s="49"/>
      <c r="AD93" s="54"/>
      <c r="AE93" s="54"/>
      <c r="AF93" s="54"/>
      <c r="AG93" s="54"/>
      <c r="AH93" s="54"/>
      <c r="AI93" s="54"/>
      <c r="AJ93" s="54"/>
      <c r="AK93" s="54"/>
    </row>
    <row r="94" spans="1:37" ht="22.2" hidden="1" customHeight="1" x14ac:dyDescent="0.3">
      <c r="B94" s="704"/>
      <c r="C94" s="701"/>
      <c r="D94" s="707"/>
      <c r="E94" s="47" t="s">
        <v>559</v>
      </c>
      <c r="F94" s="47"/>
      <c r="G94" s="47"/>
      <c r="H94" s="47"/>
      <c r="I94" s="47"/>
      <c r="J94" s="47"/>
      <c r="K94" s="47"/>
      <c r="L94" s="47"/>
      <c r="M94" s="47"/>
      <c r="N94" s="47"/>
      <c r="O94" s="47"/>
      <c r="P94" s="47"/>
      <c r="Q94" s="47"/>
      <c r="R94" s="47"/>
      <c r="S94" s="47"/>
      <c r="T94" s="47"/>
      <c r="U94" s="47"/>
      <c r="V94" s="47"/>
      <c r="W94" s="47"/>
      <c r="X94" s="47"/>
      <c r="Y94" s="47"/>
      <c r="Z94" s="47"/>
      <c r="AA94" s="47"/>
      <c r="AB94" s="47"/>
      <c r="AC94" s="50"/>
      <c r="AD94" s="54"/>
      <c r="AE94" s="54"/>
      <c r="AF94" s="54"/>
      <c r="AG94" s="54"/>
      <c r="AH94" s="54"/>
      <c r="AI94" s="54"/>
      <c r="AJ94" s="54"/>
      <c r="AK94" s="54"/>
    </row>
    <row r="95" spans="1:37" ht="22.2" hidden="1" customHeight="1" x14ac:dyDescent="0.3">
      <c r="B95" s="704"/>
      <c r="C95" s="701"/>
      <c r="D95" s="707"/>
      <c r="E95" s="47" t="s">
        <v>628</v>
      </c>
      <c r="F95" s="47"/>
      <c r="G95" s="47"/>
      <c r="H95" s="47"/>
      <c r="I95" s="47"/>
      <c r="J95" s="47"/>
      <c r="K95" s="47"/>
      <c r="L95" s="47"/>
      <c r="M95" s="47"/>
      <c r="N95" s="47"/>
      <c r="O95" s="47"/>
      <c r="P95" s="47"/>
      <c r="Q95" s="47"/>
      <c r="R95" s="47"/>
      <c r="S95" s="47"/>
      <c r="T95" s="47"/>
      <c r="U95" s="47"/>
      <c r="V95" s="47"/>
      <c r="W95" s="47"/>
      <c r="X95" s="47"/>
      <c r="Y95" s="47"/>
      <c r="Z95" s="47"/>
      <c r="AA95" s="47"/>
      <c r="AB95" s="47"/>
      <c r="AC95" s="50"/>
      <c r="AD95" s="54"/>
      <c r="AE95" s="54"/>
      <c r="AF95" s="54"/>
      <c r="AG95" s="54"/>
      <c r="AH95" s="54"/>
      <c r="AI95" s="54"/>
      <c r="AJ95" s="54"/>
      <c r="AK95" s="54"/>
    </row>
    <row r="96" spans="1:37" ht="22.2" hidden="1" customHeight="1" x14ac:dyDescent="0.3">
      <c r="B96" s="704"/>
      <c r="C96" s="701"/>
      <c r="D96" s="707"/>
      <c r="E96" s="47" t="s">
        <v>561</v>
      </c>
      <c r="F96" s="47"/>
      <c r="G96" s="47"/>
      <c r="H96" s="47"/>
      <c r="I96" s="47"/>
      <c r="J96" s="47"/>
      <c r="K96" s="47"/>
      <c r="L96" s="47"/>
      <c r="M96" s="47"/>
      <c r="N96" s="47"/>
      <c r="O96" s="47"/>
      <c r="P96" s="47"/>
      <c r="Q96" s="47"/>
      <c r="R96" s="47"/>
      <c r="S96" s="47"/>
      <c r="T96" s="47"/>
      <c r="U96" s="47"/>
      <c r="V96" s="47"/>
      <c r="W96" s="47"/>
      <c r="X96" s="47"/>
      <c r="Y96" s="47"/>
      <c r="Z96" s="47"/>
      <c r="AA96" s="47"/>
      <c r="AB96" s="47"/>
      <c r="AC96" s="50"/>
      <c r="AD96" s="54"/>
      <c r="AE96" s="54"/>
      <c r="AF96" s="54"/>
      <c r="AG96" s="54"/>
      <c r="AH96" s="54"/>
      <c r="AI96" s="54"/>
      <c r="AJ96" s="54"/>
      <c r="AK96" s="54"/>
    </row>
    <row r="97" spans="2:37" ht="22.2" hidden="1" customHeight="1" x14ac:dyDescent="0.3">
      <c r="B97" s="704"/>
      <c r="C97" s="701"/>
      <c r="D97" s="707"/>
      <c r="E97" s="47" t="s">
        <v>559</v>
      </c>
      <c r="F97" s="47"/>
      <c r="G97" s="47"/>
      <c r="H97" s="47"/>
      <c r="I97" s="47"/>
      <c r="J97" s="47"/>
      <c r="K97" s="47"/>
      <c r="L97" s="47"/>
      <c r="M97" s="47"/>
      <c r="N97" s="47"/>
      <c r="O97" s="47"/>
      <c r="P97" s="47"/>
      <c r="Q97" s="47"/>
      <c r="R97" s="47"/>
      <c r="S97" s="47"/>
      <c r="T97" s="47"/>
      <c r="U97" s="47"/>
      <c r="V97" s="47"/>
      <c r="W97" s="47"/>
      <c r="X97" s="47"/>
      <c r="Y97" s="47"/>
      <c r="Z97" s="47"/>
      <c r="AA97" s="47"/>
      <c r="AB97" s="47"/>
      <c r="AC97" s="50"/>
      <c r="AD97" s="54"/>
      <c r="AE97" s="54"/>
      <c r="AF97" s="54"/>
      <c r="AG97" s="54"/>
      <c r="AH97" s="54"/>
      <c r="AI97" s="54"/>
      <c r="AJ97" s="54"/>
      <c r="AK97" s="54"/>
    </row>
    <row r="98" spans="2:37" ht="22.2" hidden="1" customHeight="1" thickBot="1" x14ac:dyDescent="0.35">
      <c r="B98" s="705"/>
      <c r="C98" s="702"/>
      <c r="D98" s="708"/>
      <c r="E98" s="51" t="s">
        <v>628</v>
      </c>
      <c r="F98" s="51"/>
      <c r="G98" s="51"/>
      <c r="H98" s="51"/>
      <c r="I98" s="51"/>
      <c r="J98" s="51"/>
      <c r="K98" s="51"/>
      <c r="L98" s="51"/>
      <c r="M98" s="51"/>
      <c r="N98" s="51"/>
      <c r="O98" s="51"/>
      <c r="P98" s="51"/>
      <c r="Q98" s="51"/>
      <c r="R98" s="51"/>
      <c r="S98" s="51"/>
      <c r="T98" s="51"/>
      <c r="U98" s="51"/>
      <c r="V98" s="51"/>
      <c r="W98" s="51"/>
      <c r="X98" s="51"/>
      <c r="Y98" s="51"/>
      <c r="Z98" s="51"/>
      <c r="AA98" s="51"/>
      <c r="AB98" s="51"/>
      <c r="AC98" s="52"/>
      <c r="AD98" s="54"/>
      <c r="AE98" s="54"/>
      <c r="AF98" s="54"/>
      <c r="AG98" s="54"/>
      <c r="AH98" s="54"/>
      <c r="AI98" s="54"/>
      <c r="AJ98" s="54"/>
      <c r="AK98" s="54"/>
    </row>
    <row r="99" spans="2:37" ht="22.2" hidden="1" customHeight="1" x14ac:dyDescent="0.3"/>
    <row r="100" spans="2:37" ht="22.2" hidden="1" customHeight="1" x14ac:dyDescent="0.3"/>
    <row r="101" spans="2:37" ht="22.2" hidden="1" customHeight="1" x14ac:dyDescent="0.3"/>
    <row r="102" spans="2:37" ht="22.2" hidden="1" customHeight="1" x14ac:dyDescent="0.3"/>
    <row r="103" spans="2:37" ht="22.2" customHeight="1" x14ac:dyDescent="0.3"/>
    <row r="104" spans="2:37" ht="22.2" customHeight="1" x14ac:dyDescent="0.3"/>
    <row r="105" spans="2:37" ht="22.2" customHeight="1" x14ac:dyDescent="0.3"/>
  </sheetData>
  <mergeCells count="110">
    <mergeCell ref="C41:C43"/>
    <mergeCell ref="D41:D43"/>
    <mergeCell ref="B35:B37"/>
    <mergeCell ref="C35:C37"/>
    <mergeCell ref="D35:D37"/>
    <mergeCell ref="A60:A62"/>
    <mergeCell ref="B60:B62"/>
    <mergeCell ref="C60:C62"/>
    <mergeCell ref="D60:D62"/>
    <mergeCell ref="A48:A50"/>
    <mergeCell ref="B48:B50"/>
    <mergeCell ref="C48:C50"/>
    <mergeCell ref="D48:D50"/>
    <mergeCell ref="A16:A18"/>
    <mergeCell ref="A19:A21"/>
    <mergeCell ref="A22:A24"/>
    <mergeCell ref="A25:A27"/>
    <mergeCell ref="A57:A59"/>
    <mergeCell ref="B57:B59"/>
    <mergeCell ref="C57:C59"/>
    <mergeCell ref="D57:D59"/>
    <mergeCell ref="A35:A37"/>
    <mergeCell ref="B51:B53"/>
    <mergeCell ref="C51:C53"/>
    <mergeCell ref="D51:D53"/>
    <mergeCell ref="A54:A56"/>
    <mergeCell ref="B54:B56"/>
    <mergeCell ref="C54:C56"/>
    <mergeCell ref="D54:D56"/>
    <mergeCell ref="A29:A31"/>
    <mergeCell ref="B29:B31"/>
    <mergeCell ref="C29:C31"/>
    <mergeCell ref="D29:D31"/>
    <mergeCell ref="A32:A34"/>
    <mergeCell ref="B32:B34"/>
    <mergeCell ref="C32:C34"/>
    <mergeCell ref="D32:D34"/>
    <mergeCell ref="C93:C98"/>
    <mergeCell ref="B93:B98"/>
    <mergeCell ref="D93:D95"/>
    <mergeCell ref="C90:C91"/>
    <mergeCell ref="B90:B91"/>
    <mergeCell ref="D90:D91"/>
    <mergeCell ref="D96:D98"/>
    <mergeCell ref="A1:AC1"/>
    <mergeCell ref="A2:A3"/>
    <mergeCell ref="A4:A6"/>
    <mergeCell ref="A7:A9"/>
    <mergeCell ref="A10:A12"/>
    <mergeCell ref="D10:D12"/>
    <mergeCell ref="B4:B6"/>
    <mergeCell ref="B7:B9"/>
    <mergeCell ref="B2:B3"/>
    <mergeCell ref="C10:C12"/>
    <mergeCell ref="C7:C9"/>
    <mergeCell ref="F2:AC2"/>
    <mergeCell ref="E2:E3"/>
    <mergeCell ref="D2:D3"/>
    <mergeCell ref="C2:C3"/>
    <mergeCell ref="D4:D6"/>
    <mergeCell ref="A13:A15"/>
    <mergeCell ref="B89:AC89"/>
    <mergeCell ref="B92:AC92"/>
    <mergeCell ref="B25:B27"/>
    <mergeCell ref="C25:C27"/>
    <mergeCell ref="D25:D27"/>
    <mergeCell ref="C19:C21"/>
    <mergeCell ref="D19:D21"/>
    <mergeCell ref="B22:B24"/>
    <mergeCell ref="C22:C24"/>
    <mergeCell ref="D22:D24"/>
    <mergeCell ref="B19:B21"/>
    <mergeCell ref="A47:AC47"/>
    <mergeCell ref="A51:A53"/>
    <mergeCell ref="A28:AC28"/>
    <mergeCell ref="D44:D46"/>
    <mergeCell ref="A44:A46"/>
    <mergeCell ref="B44:B46"/>
    <mergeCell ref="C44:C46"/>
    <mergeCell ref="A38:A40"/>
    <mergeCell ref="B38:B40"/>
    <mergeCell ref="C38:C40"/>
    <mergeCell ref="D38:D40"/>
    <mergeCell ref="A41:A43"/>
    <mergeCell ref="B41:B43"/>
    <mergeCell ref="C4:C6"/>
    <mergeCell ref="D7:D9"/>
    <mergeCell ref="B10:B12"/>
    <mergeCell ref="B13:B15"/>
    <mergeCell ref="C13:C15"/>
    <mergeCell ref="D13:D15"/>
    <mergeCell ref="B16:B18"/>
    <mergeCell ref="C16:C18"/>
    <mergeCell ref="D16:D18"/>
    <mergeCell ref="A69:A71"/>
    <mergeCell ref="B69:B71"/>
    <mergeCell ref="C69:C71"/>
    <mergeCell ref="D69:D71"/>
    <mergeCell ref="A72:A74"/>
    <mergeCell ref="B72:B74"/>
    <mergeCell ref="C72:C74"/>
    <mergeCell ref="D72:D74"/>
    <mergeCell ref="A63:A65"/>
    <mergeCell ref="B63:B65"/>
    <mergeCell ref="C63:C65"/>
    <mergeCell ref="D63:D65"/>
    <mergeCell ref="A66:A68"/>
    <mergeCell ref="B66:B68"/>
    <mergeCell ref="C66:C68"/>
    <mergeCell ref="D66:D6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5"/>
  <sheetViews>
    <sheetView zoomScale="63" zoomScaleNormal="100" workbookViewId="0">
      <selection activeCell="R31" sqref="R31"/>
    </sheetView>
  </sheetViews>
  <sheetFormatPr defaultColWidth="8.6640625" defaultRowHeight="12.75" customHeight="1" x14ac:dyDescent="0.25"/>
  <cols>
    <col min="1" max="11" width="15.6640625" style="6" customWidth="1"/>
    <col min="12" max="12" width="16.5546875" style="6" customWidth="1"/>
    <col min="13" max="13" width="22.109375" style="6" customWidth="1"/>
    <col min="14" max="14" width="14.44140625" style="6" customWidth="1"/>
    <col min="15" max="15" width="15.44140625" style="6" customWidth="1"/>
    <col min="16" max="16" width="19.33203125" style="6" customWidth="1"/>
    <col min="17" max="18" width="18.33203125" style="6" customWidth="1"/>
    <col min="19" max="21" width="13.6640625" style="6" customWidth="1"/>
    <col min="22" max="22" width="10.6640625" style="6" customWidth="1"/>
    <col min="23" max="24" width="8.6640625" style="6"/>
    <col min="25" max="25" width="13.6640625" style="6" customWidth="1"/>
    <col min="26" max="28" width="8.6640625" style="6"/>
    <col min="29" max="29" width="12.44140625" style="6" customWidth="1"/>
    <col min="30" max="16384" width="8.6640625" style="6"/>
  </cols>
  <sheetData>
    <row r="1" spans="1:22" ht="27" customHeight="1" x14ac:dyDescent="0.25">
      <c r="A1" s="750" t="s">
        <v>629</v>
      </c>
      <c r="B1" s="750"/>
      <c r="C1" s="750"/>
      <c r="D1" s="750"/>
      <c r="E1" s="750"/>
      <c r="F1" s="750"/>
      <c r="G1" s="750"/>
      <c r="H1" s="750"/>
      <c r="I1" s="750" t="s">
        <v>630</v>
      </c>
      <c r="J1" s="750"/>
      <c r="K1" s="750"/>
      <c r="L1" s="750"/>
      <c r="N1" s="522" t="str">
        <f>"CEUS Energy Consumption - "&amp;Prototype!A2</f>
        <v>CEUS Energy Consumption - OfficeLarge</v>
      </c>
      <c r="O1" s="522"/>
      <c r="P1" s="522"/>
      <c r="Q1" s="522"/>
      <c r="R1" s="522"/>
      <c r="S1" s="522"/>
      <c r="T1" s="522"/>
      <c r="U1" s="522"/>
      <c r="V1" s="522"/>
    </row>
    <row r="2" spans="1:22" ht="62.25" customHeight="1" x14ac:dyDescent="0.25">
      <c r="A2" s="458" t="s">
        <v>6</v>
      </c>
      <c r="B2" s="516" t="s">
        <v>407</v>
      </c>
      <c r="C2" s="459" t="s">
        <v>631</v>
      </c>
      <c r="D2" s="517" t="s">
        <v>632</v>
      </c>
      <c r="E2" s="518" t="s">
        <v>633</v>
      </c>
      <c r="F2" s="459" t="s">
        <v>634</v>
      </c>
      <c r="G2" s="460" t="s">
        <v>635</v>
      </c>
      <c r="H2" s="461" t="s">
        <v>636</v>
      </c>
      <c r="I2" s="462" t="s">
        <v>637</v>
      </c>
      <c r="J2" s="463" t="s">
        <v>638</v>
      </c>
      <c r="K2" s="471" t="s">
        <v>639</v>
      </c>
      <c r="L2" s="474" t="s">
        <v>640</v>
      </c>
      <c r="M2" s="488" t="s">
        <v>641</v>
      </c>
      <c r="N2" s="477" t="s">
        <v>6</v>
      </c>
      <c r="O2" s="478" t="s">
        <v>407</v>
      </c>
      <c r="P2" s="478" t="s">
        <v>642</v>
      </c>
      <c r="Q2" s="478" t="s">
        <v>643</v>
      </c>
      <c r="R2" s="478" t="s">
        <v>644</v>
      </c>
      <c r="S2" s="479" t="s">
        <v>645</v>
      </c>
      <c r="T2" s="479" t="s">
        <v>646</v>
      </c>
      <c r="U2" s="480" t="s">
        <v>647</v>
      </c>
      <c r="V2" s="481" t="s">
        <v>648</v>
      </c>
    </row>
    <row r="3" spans="1:22" ht="19.2" customHeight="1" x14ac:dyDescent="0.3">
      <c r="A3" s="748" t="s">
        <v>649</v>
      </c>
      <c r="B3" s="513">
        <v>1</v>
      </c>
      <c r="C3" s="514">
        <v>47.7</v>
      </c>
      <c r="D3" s="514">
        <v>9.6999999999999993</v>
      </c>
      <c r="E3" s="514">
        <v>57.4</v>
      </c>
      <c r="F3" s="515">
        <v>44.8</v>
      </c>
      <c r="G3" s="515">
        <v>8.1999999999999993</v>
      </c>
      <c r="H3" s="515">
        <v>53.1</v>
      </c>
      <c r="I3" s="486">
        <v>71.5</v>
      </c>
      <c r="J3" s="468">
        <f>I3*1.25</f>
        <v>89.375</v>
      </c>
      <c r="K3" s="472">
        <f>I3*0.75</f>
        <v>53.625</v>
      </c>
      <c r="L3" s="470">
        <f>J3-K3</f>
        <v>35.75</v>
      </c>
      <c r="M3" s="6">
        <v>95521</v>
      </c>
      <c r="N3" s="746" t="str">
        <f>Prototype!B4</f>
        <v>Large Office</v>
      </c>
      <c r="O3" s="464">
        <v>1</v>
      </c>
      <c r="P3" s="465">
        <v>5279</v>
      </c>
      <c r="Q3" s="466">
        <v>16.7</v>
      </c>
      <c r="R3" s="466">
        <v>5.01</v>
      </c>
      <c r="S3" s="467">
        <f>(Q3+R3)*3.412</f>
        <v>74.074520000000007</v>
      </c>
      <c r="T3" s="467">
        <f>S3*1.25</f>
        <v>92.593150000000009</v>
      </c>
      <c r="U3" s="467">
        <f>S3*0.75</f>
        <v>55.555890000000005</v>
      </c>
      <c r="V3" s="470">
        <f>T3-U3</f>
        <v>37.037260000000003</v>
      </c>
    </row>
    <row r="4" spans="1:22" ht="19.2" customHeight="1" x14ac:dyDescent="0.3">
      <c r="A4" s="748"/>
      <c r="B4" s="513">
        <v>2</v>
      </c>
      <c r="C4" s="514">
        <v>56</v>
      </c>
      <c r="D4" s="514">
        <v>8.5</v>
      </c>
      <c r="E4" s="514">
        <v>64.5</v>
      </c>
      <c r="F4" s="515">
        <v>47.9</v>
      </c>
      <c r="G4" s="515">
        <v>7.3</v>
      </c>
      <c r="H4" s="515">
        <v>55.3</v>
      </c>
      <c r="I4" s="486">
        <v>77.3</v>
      </c>
      <c r="J4" s="468">
        <f t="shared" ref="J4:J18" si="0">I4*1.25</f>
        <v>96.625</v>
      </c>
      <c r="K4" s="472">
        <f t="shared" ref="K4:K18" si="1">I4*0.75</f>
        <v>57.974999999999994</v>
      </c>
      <c r="L4" s="470">
        <f t="shared" ref="L4:L18" si="2">J4-K4</f>
        <v>38.650000000000006</v>
      </c>
      <c r="M4" s="6">
        <v>95476</v>
      </c>
      <c r="N4" s="746"/>
      <c r="O4" s="464">
        <v>2</v>
      </c>
      <c r="P4" s="465">
        <v>12449</v>
      </c>
      <c r="Q4" s="466">
        <v>15.2</v>
      </c>
      <c r="R4" s="466">
        <v>6.24</v>
      </c>
      <c r="S4" s="467">
        <f t="shared" ref="S4:S18" si="3">(Q4+R4)*3.412</f>
        <v>73.153279999999995</v>
      </c>
      <c r="T4" s="467">
        <f t="shared" ref="T4:T18" si="4">S4*1.25</f>
        <v>91.441599999999994</v>
      </c>
      <c r="U4" s="467">
        <f t="shared" ref="U4:U18" si="5">S4*0.75</f>
        <v>54.864959999999996</v>
      </c>
      <c r="V4" s="470">
        <f t="shared" ref="V4:V18" si="6">T4-U4</f>
        <v>36.576639999999998</v>
      </c>
    </row>
    <row r="5" spans="1:22" ht="19.2" customHeight="1" x14ac:dyDescent="0.3">
      <c r="A5" s="748"/>
      <c r="B5" s="513">
        <v>3</v>
      </c>
      <c r="C5" s="514">
        <v>52</v>
      </c>
      <c r="D5" s="514">
        <v>7.6</v>
      </c>
      <c r="E5" s="514">
        <v>59.6</v>
      </c>
      <c r="F5" s="515">
        <v>46.7</v>
      </c>
      <c r="G5" s="515">
        <v>6.9</v>
      </c>
      <c r="H5" s="515">
        <v>53.5</v>
      </c>
      <c r="I5" s="486">
        <v>74</v>
      </c>
      <c r="J5" s="468">
        <f t="shared" si="0"/>
        <v>92.5</v>
      </c>
      <c r="K5" s="473">
        <f t="shared" si="1"/>
        <v>55.5</v>
      </c>
      <c r="L5" s="470">
        <f t="shared" si="2"/>
        <v>37</v>
      </c>
      <c r="M5" s="6">
        <v>94612</v>
      </c>
      <c r="N5" s="746"/>
      <c r="O5" s="464">
        <v>3</v>
      </c>
      <c r="P5" s="465">
        <v>242565</v>
      </c>
      <c r="Q5" s="466">
        <v>14.3</v>
      </c>
      <c r="R5" s="466">
        <v>4.83</v>
      </c>
      <c r="S5" s="467">
        <f t="shared" si="3"/>
        <v>65.271560000000008</v>
      </c>
      <c r="T5" s="467">
        <f t="shared" si="4"/>
        <v>81.589450000000014</v>
      </c>
      <c r="U5" s="467">
        <f t="shared" si="5"/>
        <v>48.953670000000002</v>
      </c>
      <c r="V5" s="470">
        <f t="shared" si="6"/>
        <v>32.635780000000011</v>
      </c>
    </row>
    <row r="6" spans="1:22" ht="19.2" customHeight="1" x14ac:dyDescent="0.3">
      <c r="A6" s="748"/>
      <c r="B6" s="513">
        <v>4</v>
      </c>
      <c r="C6" s="514">
        <v>56.6</v>
      </c>
      <c r="D6" s="514">
        <v>7.5</v>
      </c>
      <c r="E6" s="514">
        <v>64.099999999999994</v>
      </c>
      <c r="F6" s="515">
        <v>50.4</v>
      </c>
      <c r="G6" s="515">
        <v>6.5</v>
      </c>
      <c r="H6" s="515">
        <v>56.9</v>
      </c>
      <c r="I6" s="486">
        <v>79.5</v>
      </c>
      <c r="J6" s="468">
        <f t="shared" si="0"/>
        <v>99.375</v>
      </c>
      <c r="K6" s="473">
        <f t="shared" si="1"/>
        <v>59.625</v>
      </c>
      <c r="L6" s="470">
        <f t="shared" si="2"/>
        <v>39.75</v>
      </c>
      <c r="M6" s="6">
        <v>93446</v>
      </c>
      <c r="N6" s="746"/>
      <c r="O6" s="464">
        <v>4</v>
      </c>
      <c r="P6" s="465">
        <v>137610</v>
      </c>
      <c r="Q6" s="466">
        <v>14.4</v>
      </c>
      <c r="R6" s="466">
        <v>4.76</v>
      </c>
      <c r="S6" s="467">
        <f t="shared" si="3"/>
        <v>65.373919999999998</v>
      </c>
      <c r="T6" s="467">
        <f t="shared" si="4"/>
        <v>81.717399999999998</v>
      </c>
      <c r="U6" s="467">
        <f t="shared" si="5"/>
        <v>49.030439999999999</v>
      </c>
      <c r="V6" s="470">
        <f t="shared" si="6"/>
        <v>32.686959999999999</v>
      </c>
    </row>
    <row r="7" spans="1:22" ht="19.2" customHeight="1" x14ac:dyDescent="0.3">
      <c r="A7" s="748"/>
      <c r="B7" s="513">
        <v>5</v>
      </c>
      <c r="C7" s="514">
        <v>53.2</v>
      </c>
      <c r="D7" s="514">
        <v>7.8</v>
      </c>
      <c r="E7" s="514">
        <v>61</v>
      </c>
      <c r="F7" s="515">
        <v>48.1</v>
      </c>
      <c r="G7" s="515">
        <v>7.1</v>
      </c>
      <c r="H7" s="515">
        <v>55.2</v>
      </c>
      <c r="I7" s="486">
        <v>71.400000000000006</v>
      </c>
      <c r="J7" s="468">
        <f t="shared" si="0"/>
        <v>89.25</v>
      </c>
      <c r="K7" s="473">
        <f t="shared" si="1"/>
        <v>53.550000000000004</v>
      </c>
      <c r="L7" s="470">
        <f t="shared" si="2"/>
        <v>35.699999999999996</v>
      </c>
      <c r="M7" s="6">
        <v>93455</v>
      </c>
      <c r="N7" s="746"/>
      <c r="O7" s="464">
        <v>5</v>
      </c>
      <c r="P7" s="465">
        <v>3834</v>
      </c>
      <c r="Q7" s="466">
        <v>8.6</v>
      </c>
      <c r="R7" s="466">
        <v>9.32</v>
      </c>
      <c r="S7" s="467">
        <f t="shared" si="3"/>
        <v>61.143040000000006</v>
      </c>
      <c r="T7" s="467">
        <f t="shared" si="4"/>
        <v>76.42880000000001</v>
      </c>
      <c r="U7" s="467">
        <f t="shared" si="5"/>
        <v>45.857280000000003</v>
      </c>
      <c r="V7" s="470">
        <f t="shared" si="6"/>
        <v>30.571520000000007</v>
      </c>
    </row>
    <row r="8" spans="1:22" ht="19.2" customHeight="1" x14ac:dyDescent="0.3">
      <c r="A8" s="748"/>
      <c r="B8" s="513">
        <v>6</v>
      </c>
      <c r="C8" s="514">
        <v>53.4</v>
      </c>
      <c r="D8" s="514">
        <v>5.4</v>
      </c>
      <c r="E8" s="514">
        <v>58.8</v>
      </c>
      <c r="F8" s="515">
        <v>49.8</v>
      </c>
      <c r="G8" s="515">
        <v>4.9000000000000004</v>
      </c>
      <c r="H8" s="515">
        <v>54.7</v>
      </c>
      <c r="I8" s="486">
        <v>80.8</v>
      </c>
      <c r="J8" s="468">
        <f t="shared" si="0"/>
        <v>101</v>
      </c>
      <c r="K8" s="473">
        <f t="shared" si="1"/>
        <v>60.599999999999994</v>
      </c>
      <c r="L8" s="470">
        <f t="shared" si="2"/>
        <v>40.400000000000006</v>
      </c>
      <c r="M8" s="6">
        <v>93550</v>
      </c>
      <c r="N8" s="746"/>
      <c r="O8" s="464">
        <v>6</v>
      </c>
      <c r="P8" s="465">
        <v>109980</v>
      </c>
      <c r="Q8" s="466">
        <v>10.9</v>
      </c>
      <c r="R8" s="466">
        <v>4.88</v>
      </c>
      <c r="S8" s="467">
        <f t="shared" si="3"/>
        <v>53.841360000000002</v>
      </c>
      <c r="T8" s="467">
        <f t="shared" si="4"/>
        <v>67.301699999999997</v>
      </c>
      <c r="U8" s="467">
        <f t="shared" si="5"/>
        <v>40.381019999999999</v>
      </c>
      <c r="V8" s="470">
        <f t="shared" si="6"/>
        <v>26.920679999999997</v>
      </c>
    </row>
    <row r="9" spans="1:22" ht="19.2" customHeight="1" x14ac:dyDescent="0.3">
      <c r="A9" s="748"/>
      <c r="B9" s="513">
        <v>7</v>
      </c>
      <c r="C9" s="514">
        <v>55.4</v>
      </c>
      <c r="D9" s="514">
        <v>5.3</v>
      </c>
      <c r="E9" s="514">
        <v>60.7</v>
      </c>
      <c r="F9" s="515">
        <v>49.8</v>
      </c>
      <c r="G9" s="515">
        <v>4.5999999999999996</v>
      </c>
      <c r="H9" s="515">
        <v>54.4</v>
      </c>
      <c r="I9" s="486">
        <v>76.7</v>
      </c>
      <c r="J9" s="468">
        <f t="shared" si="0"/>
        <v>95.875</v>
      </c>
      <c r="K9" s="473">
        <f t="shared" si="1"/>
        <v>57.525000000000006</v>
      </c>
      <c r="L9" s="470">
        <f t="shared" si="2"/>
        <v>38.349999999999994</v>
      </c>
      <c r="M9" s="6">
        <v>92101</v>
      </c>
      <c r="N9" s="746"/>
      <c r="O9" s="464">
        <v>7</v>
      </c>
      <c r="P9" s="465">
        <v>76710</v>
      </c>
      <c r="Q9" s="466">
        <v>14.8</v>
      </c>
      <c r="R9" s="466">
        <v>9.36</v>
      </c>
      <c r="S9" s="467">
        <f t="shared" si="3"/>
        <v>82.433920000000001</v>
      </c>
      <c r="T9" s="467">
        <f t="shared" si="4"/>
        <v>103.0424</v>
      </c>
      <c r="U9" s="467">
        <f t="shared" si="5"/>
        <v>61.82544</v>
      </c>
      <c r="V9" s="470">
        <f t="shared" si="6"/>
        <v>41.21696</v>
      </c>
    </row>
    <row r="10" spans="1:22" ht="19.2" customHeight="1" x14ac:dyDescent="0.3">
      <c r="A10" s="748"/>
      <c r="B10" s="513">
        <v>8</v>
      </c>
      <c r="C10" s="514">
        <v>55.3</v>
      </c>
      <c r="D10" s="514">
        <v>5.4</v>
      </c>
      <c r="E10" s="514">
        <v>60.7</v>
      </c>
      <c r="F10" s="515">
        <v>51.4</v>
      </c>
      <c r="G10" s="515">
        <v>5</v>
      </c>
      <c r="H10" s="515">
        <v>56.4</v>
      </c>
      <c r="I10" s="486">
        <v>77.599999999999994</v>
      </c>
      <c r="J10" s="468">
        <f t="shared" si="0"/>
        <v>97</v>
      </c>
      <c r="K10" s="473">
        <f t="shared" si="1"/>
        <v>58.199999999999996</v>
      </c>
      <c r="L10" s="470">
        <f t="shared" si="2"/>
        <v>38.800000000000004</v>
      </c>
      <c r="M10" s="6">
        <v>92831</v>
      </c>
      <c r="N10" s="746"/>
      <c r="O10" s="464">
        <v>8</v>
      </c>
      <c r="P10" s="465">
        <v>177013</v>
      </c>
      <c r="Q10" s="466">
        <v>10.4</v>
      </c>
      <c r="R10" s="466">
        <v>4.24</v>
      </c>
      <c r="S10" s="467">
        <f t="shared" si="3"/>
        <v>49.951680000000003</v>
      </c>
      <c r="T10" s="467">
        <f t="shared" si="4"/>
        <v>62.439600000000006</v>
      </c>
      <c r="U10" s="467">
        <f t="shared" si="5"/>
        <v>37.463760000000001</v>
      </c>
      <c r="V10" s="470">
        <f t="shared" si="6"/>
        <v>24.975840000000005</v>
      </c>
    </row>
    <row r="11" spans="1:22" ht="19.2" customHeight="1" x14ac:dyDescent="0.3">
      <c r="A11" s="748"/>
      <c r="B11" s="513">
        <v>9</v>
      </c>
      <c r="C11" s="514">
        <v>56.2</v>
      </c>
      <c r="D11" s="514">
        <v>5.6</v>
      </c>
      <c r="E11" s="514">
        <v>61.9</v>
      </c>
      <c r="F11" s="515">
        <v>51</v>
      </c>
      <c r="G11" s="515">
        <v>5.0999999999999996</v>
      </c>
      <c r="H11" s="515">
        <v>56.1</v>
      </c>
      <c r="I11" s="486">
        <v>77.7</v>
      </c>
      <c r="J11" s="468">
        <f t="shared" si="0"/>
        <v>97.125</v>
      </c>
      <c r="K11" s="473">
        <f t="shared" si="1"/>
        <v>58.275000000000006</v>
      </c>
      <c r="L11" s="470">
        <f t="shared" si="2"/>
        <v>38.849999999999994</v>
      </c>
      <c r="M11" s="6">
        <v>91505</v>
      </c>
      <c r="N11" s="746"/>
      <c r="O11" s="464">
        <v>9</v>
      </c>
      <c r="P11" s="465">
        <v>240000</v>
      </c>
      <c r="Q11" s="466">
        <v>10.9</v>
      </c>
      <c r="R11" s="466">
        <v>4.38</v>
      </c>
      <c r="S11" s="467">
        <f t="shared" si="3"/>
        <v>52.135360000000006</v>
      </c>
      <c r="T11" s="467">
        <f t="shared" si="4"/>
        <v>65.169200000000004</v>
      </c>
      <c r="U11" s="467">
        <f t="shared" si="5"/>
        <v>39.101520000000008</v>
      </c>
      <c r="V11" s="470">
        <f t="shared" si="6"/>
        <v>26.067679999999996</v>
      </c>
    </row>
    <row r="12" spans="1:22" ht="19.2" customHeight="1" x14ac:dyDescent="0.3">
      <c r="A12" s="748"/>
      <c r="B12" s="513">
        <v>10</v>
      </c>
      <c r="C12" s="514">
        <v>55.8</v>
      </c>
      <c r="D12" s="514">
        <v>5.5</v>
      </c>
      <c r="E12" s="514">
        <v>61.2</v>
      </c>
      <c r="F12" s="515">
        <v>51.7</v>
      </c>
      <c r="G12" s="515">
        <v>5.2</v>
      </c>
      <c r="H12" s="515">
        <v>56.9</v>
      </c>
      <c r="I12" s="486">
        <v>78.099999999999994</v>
      </c>
      <c r="J12" s="468">
        <f t="shared" si="0"/>
        <v>97.625</v>
      </c>
      <c r="K12" s="473">
        <f t="shared" si="1"/>
        <v>58.574999999999996</v>
      </c>
      <c r="L12" s="470">
        <f t="shared" si="2"/>
        <v>39.050000000000004</v>
      </c>
      <c r="M12" s="6">
        <v>92501</v>
      </c>
      <c r="N12" s="746"/>
      <c r="O12" s="464">
        <v>10</v>
      </c>
      <c r="P12" s="465">
        <v>65927</v>
      </c>
      <c r="Q12" s="466">
        <v>11.9</v>
      </c>
      <c r="R12" s="466">
        <v>7.21</v>
      </c>
      <c r="S12" s="467">
        <f t="shared" si="3"/>
        <v>65.203319999999991</v>
      </c>
      <c r="T12" s="467">
        <f t="shared" si="4"/>
        <v>81.504149999999981</v>
      </c>
      <c r="U12" s="467">
        <f t="shared" si="5"/>
        <v>48.902489999999993</v>
      </c>
      <c r="V12" s="470">
        <f t="shared" si="6"/>
        <v>32.601659999999988</v>
      </c>
    </row>
    <row r="13" spans="1:22" ht="19.2" customHeight="1" x14ac:dyDescent="0.3">
      <c r="A13" s="748"/>
      <c r="B13" s="513">
        <v>11</v>
      </c>
      <c r="C13" s="514">
        <v>51.5</v>
      </c>
      <c r="D13" s="514">
        <v>6.7</v>
      </c>
      <c r="E13" s="514">
        <v>58.2</v>
      </c>
      <c r="F13" s="515">
        <v>51.2</v>
      </c>
      <c r="G13" s="515">
        <v>6.3</v>
      </c>
      <c r="H13" s="515">
        <v>57.5</v>
      </c>
      <c r="I13" s="486">
        <v>80.3</v>
      </c>
      <c r="J13" s="468">
        <f t="shared" si="0"/>
        <v>100.375</v>
      </c>
      <c r="K13" s="473">
        <f t="shared" si="1"/>
        <v>60.224999999999994</v>
      </c>
      <c r="L13" s="470">
        <f t="shared" si="2"/>
        <v>40.150000000000006</v>
      </c>
      <c r="M13" s="6">
        <v>96080</v>
      </c>
      <c r="N13" s="746"/>
      <c r="O13" s="464">
        <v>11</v>
      </c>
      <c r="P13" s="465">
        <v>18413</v>
      </c>
      <c r="Q13" s="466">
        <v>11.4</v>
      </c>
      <c r="R13" s="466">
        <v>4.29</v>
      </c>
      <c r="S13" s="467">
        <f t="shared" si="3"/>
        <v>53.534280000000003</v>
      </c>
      <c r="T13" s="467">
        <f t="shared" si="4"/>
        <v>66.917850000000001</v>
      </c>
      <c r="U13" s="467">
        <f t="shared" si="5"/>
        <v>40.150710000000004</v>
      </c>
      <c r="V13" s="470">
        <f t="shared" si="6"/>
        <v>26.767139999999998</v>
      </c>
    </row>
    <row r="14" spans="1:22" ht="19.2" customHeight="1" x14ac:dyDescent="0.3">
      <c r="A14" s="748"/>
      <c r="B14" s="513">
        <v>12</v>
      </c>
      <c r="C14" s="514">
        <v>54.2</v>
      </c>
      <c r="D14" s="514">
        <v>7.1</v>
      </c>
      <c r="E14" s="514">
        <v>61.3</v>
      </c>
      <c r="F14" s="515">
        <v>50</v>
      </c>
      <c r="G14" s="515">
        <v>6.4</v>
      </c>
      <c r="H14" s="515">
        <v>56.3</v>
      </c>
      <c r="I14" s="486">
        <v>79.599999999999994</v>
      </c>
      <c r="J14" s="468">
        <f t="shared" si="0"/>
        <v>99.5</v>
      </c>
      <c r="K14" s="473">
        <f t="shared" si="1"/>
        <v>59.699999999999996</v>
      </c>
      <c r="L14" s="470">
        <f t="shared" si="2"/>
        <v>39.800000000000004</v>
      </c>
      <c r="M14" s="6">
        <v>95814</v>
      </c>
      <c r="N14" s="746"/>
      <c r="O14" s="464">
        <v>12</v>
      </c>
      <c r="P14" s="465">
        <v>171620</v>
      </c>
      <c r="Q14" s="466">
        <v>14.4</v>
      </c>
      <c r="R14" s="466">
        <v>6.12</v>
      </c>
      <c r="S14" s="467">
        <f t="shared" si="3"/>
        <v>70.014240000000001</v>
      </c>
      <c r="T14" s="467">
        <f t="shared" si="4"/>
        <v>87.517799999999994</v>
      </c>
      <c r="U14" s="467">
        <f t="shared" si="5"/>
        <v>52.510680000000001</v>
      </c>
      <c r="V14" s="470">
        <f t="shared" si="6"/>
        <v>35.007119999999993</v>
      </c>
    </row>
    <row r="15" spans="1:22" ht="19.2" customHeight="1" x14ac:dyDescent="0.3">
      <c r="A15" s="748"/>
      <c r="B15" s="513">
        <v>13</v>
      </c>
      <c r="C15" s="514">
        <v>55</v>
      </c>
      <c r="D15" s="514">
        <v>6.2</v>
      </c>
      <c r="E15" s="514">
        <v>61.2</v>
      </c>
      <c r="F15" s="515">
        <v>51.3</v>
      </c>
      <c r="G15" s="515">
        <v>5.7</v>
      </c>
      <c r="H15" s="515">
        <v>57</v>
      </c>
      <c r="I15" s="486">
        <v>80</v>
      </c>
      <c r="J15" s="468">
        <f t="shared" si="0"/>
        <v>100</v>
      </c>
      <c r="K15" s="473">
        <f t="shared" si="1"/>
        <v>60</v>
      </c>
      <c r="L15" s="470">
        <f t="shared" si="2"/>
        <v>40</v>
      </c>
      <c r="M15" s="6">
        <v>93721</v>
      </c>
      <c r="N15" s="746"/>
      <c r="O15" s="464">
        <v>13</v>
      </c>
      <c r="P15" s="465">
        <v>19959</v>
      </c>
      <c r="Q15" s="466">
        <v>15.9</v>
      </c>
      <c r="R15" s="466">
        <v>3.71</v>
      </c>
      <c r="S15" s="467">
        <f t="shared" si="3"/>
        <v>66.909319999999994</v>
      </c>
      <c r="T15" s="467">
        <f t="shared" si="4"/>
        <v>83.636649999999989</v>
      </c>
      <c r="U15" s="467">
        <f t="shared" si="5"/>
        <v>50.181989999999999</v>
      </c>
      <c r="V15" s="470">
        <f t="shared" si="6"/>
        <v>33.45465999999999</v>
      </c>
    </row>
    <row r="16" spans="1:22" ht="19.2" customHeight="1" x14ac:dyDescent="0.3">
      <c r="A16" s="748"/>
      <c r="B16" s="513">
        <v>14</v>
      </c>
      <c r="C16" s="514">
        <v>54.6</v>
      </c>
      <c r="D16" s="514">
        <v>6.1</v>
      </c>
      <c r="E16" s="514">
        <v>60.7</v>
      </c>
      <c r="F16" s="515">
        <v>51.7</v>
      </c>
      <c r="G16" s="515">
        <v>5.6</v>
      </c>
      <c r="H16" s="515">
        <v>57.4</v>
      </c>
      <c r="I16" s="486">
        <v>80.8</v>
      </c>
      <c r="J16" s="468">
        <f t="shared" si="0"/>
        <v>101</v>
      </c>
      <c r="K16" s="473">
        <f t="shared" si="1"/>
        <v>60.599999999999994</v>
      </c>
      <c r="L16" s="470">
        <f t="shared" si="2"/>
        <v>40.400000000000006</v>
      </c>
      <c r="M16">
        <v>93550</v>
      </c>
      <c r="N16" s="746"/>
      <c r="O16" s="464">
        <v>14</v>
      </c>
      <c r="P16" s="465">
        <v>18934</v>
      </c>
      <c r="Q16" s="466">
        <v>9.8000000000000007</v>
      </c>
      <c r="R16" s="466">
        <v>4.4000000000000004</v>
      </c>
      <c r="S16" s="467">
        <f t="shared" si="3"/>
        <v>48.450400000000002</v>
      </c>
      <c r="T16" s="467">
        <f t="shared" si="4"/>
        <v>60.563000000000002</v>
      </c>
      <c r="U16" s="467">
        <f t="shared" si="5"/>
        <v>36.337800000000001</v>
      </c>
      <c r="V16" s="470">
        <f t="shared" si="6"/>
        <v>24.225200000000001</v>
      </c>
    </row>
    <row r="17" spans="1:22" ht="19.2" customHeight="1" x14ac:dyDescent="0.3">
      <c r="A17" s="748"/>
      <c r="B17" s="513">
        <v>15</v>
      </c>
      <c r="C17" s="514">
        <v>58.2</v>
      </c>
      <c r="D17" s="514">
        <v>4.0999999999999996</v>
      </c>
      <c r="E17" s="514">
        <v>62.3</v>
      </c>
      <c r="F17" s="515">
        <v>54.9</v>
      </c>
      <c r="G17" s="515">
        <v>4.2</v>
      </c>
      <c r="H17" s="515">
        <v>59.1</v>
      </c>
      <c r="I17" s="486">
        <v>79.5</v>
      </c>
      <c r="J17" s="468">
        <f t="shared" si="0"/>
        <v>99.375</v>
      </c>
      <c r="K17" s="473">
        <f t="shared" si="1"/>
        <v>59.625</v>
      </c>
      <c r="L17" s="470">
        <f t="shared" si="2"/>
        <v>39.75</v>
      </c>
      <c r="M17" s="6">
        <v>92262</v>
      </c>
      <c r="N17" s="746"/>
      <c r="O17" s="464">
        <v>15</v>
      </c>
      <c r="P17" s="465">
        <v>23127</v>
      </c>
      <c r="Q17" s="466">
        <v>9.6999999999999993</v>
      </c>
      <c r="R17" s="466">
        <v>5.14</v>
      </c>
      <c r="S17" s="467">
        <f t="shared" si="3"/>
        <v>50.634079999999997</v>
      </c>
      <c r="T17" s="467">
        <f t="shared" si="4"/>
        <v>63.292599999999993</v>
      </c>
      <c r="U17" s="467">
        <f t="shared" si="5"/>
        <v>37.975560000000002</v>
      </c>
      <c r="V17" s="470">
        <f t="shared" si="6"/>
        <v>25.317039999999992</v>
      </c>
    </row>
    <row r="18" spans="1:22" ht="19.2" customHeight="1" x14ac:dyDescent="0.3">
      <c r="A18" s="749"/>
      <c r="B18" s="519">
        <v>16</v>
      </c>
      <c r="C18" s="520">
        <v>50.1</v>
      </c>
      <c r="D18" s="520">
        <v>7.7</v>
      </c>
      <c r="E18" s="520">
        <v>57.8</v>
      </c>
      <c r="F18" s="521">
        <v>49.3</v>
      </c>
      <c r="G18" s="521">
        <v>6.2</v>
      </c>
      <c r="H18" s="521">
        <v>55.5</v>
      </c>
      <c r="I18" s="487">
        <v>82.3</v>
      </c>
      <c r="J18" s="469">
        <f t="shared" si="0"/>
        <v>102.875</v>
      </c>
      <c r="K18" s="475">
        <f t="shared" si="1"/>
        <v>61.724999999999994</v>
      </c>
      <c r="L18" s="476">
        <f t="shared" si="2"/>
        <v>41.150000000000006</v>
      </c>
      <c r="M18" s="6">
        <v>95715</v>
      </c>
      <c r="N18" s="747"/>
      <c r="O18" s="482">
        <v>16</v>
      </c>
      <c r="P18" s="483">
        <v>39406</v>
      </c>
      <c r="Q18" s="484">
        <v>11.6</v>
      </c>
      <c r="R18" s="484">
        <v>4.42</v>
      </c>
      <c r="S18" s="485">
        <f t="shared" si="3"/>
        <v>54.660239999999995</v>
      </c>
      <c r="T18" s="485">
        <f t="shared" si="4"/>
        <v>68.325299999999999</v>
      </c>
      <c r="U18" s="485">
        <f t="shared" si="5"/>
        <v>40.995179999999998</v>
      </c>
      <c r="V18" s="476">
        <f t="shared" si="6"/>
        <v>27.330120000000001</v>
      </c>
    </row>
    <row r="19" spans="1:22" ht="12.75" customHeight="1" x14ac:dyDescent="0.25">
      <c r="V19" s="372"/>
    </row>
    <row r="20" spans="1:22" ht="13.2" x14ac:dyDescent="0.25">
      <c r="N20" s="6" t="s">
        <v>650</v>
      </c>
      <c r="V20" s="372"/>
    </row>
    <row r="21" spans="1:22" ht="13.2" x14ac:dyDescent="0.25">
      <c r="N21" s="6" t="s">
        <v>651</v>
      </c>
    </row>
    <row r="25" spans="1:22" s="27" customFormat="1" ht="13.2" hidden="1" x14ac:dyDescent="0.25">
      <c r="N25" s="27" t="s">
        <v>357</v>
      </c>
      <c r="R25" s="28"/>
      <c r="S25" s="29"/>
      <c r="T25" s="30"/>
    </row>
  </sheetData>
  <mergeCells count="5">
    <mergeCell ref="N3:N18"/>
    <mergeCell ref="A3:A18"/>
    <mergeCell ref="N1:V1"/>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F29"/>
  <sheetViews>
    <sheetView zoomScaleNormal="100" workbookViewId="0">
      <selection activeCell="D23" sqref="A23:D24"/>
    </sheetView>
  </sheetViews>
  <sheetFormatPr defaultColWidth="8.6640625" defaultRowHeight="13.2" x14ac:dyDescent="0.25"/>
  <cols>
    <col min="1" max="2" width="12" style="6" customWidth="1"/>
    <col min="3" max="6" width="13.6640625" style="6" customWidth="1"/>
    <col min="7" max="7" width="13.33203125" style="6" customWidth="1"/>
    <col min="8" max="8" width="12.6640625" style="6" bestFit="1" customWidth="1"/>
    <col min="9" max="9" width="9.88671875" style="6" customWidth="1"/>
    <col min="10" max="10" width="17.6640625" style="6" customWidth="1"/>
    <col min="11" max="11" width="18.5546875" style="6" customWidth="1"/>
    <col min="12" max="12" width="19" style="6" customWidth="1"/>
    <col min="13" max="13" width="8.88671875" style="6" customWidth="1"/>
    <col min="14" max="14" width="12" style="6" customWidth="1"/>
    <col min="15" max="15" width="14.109375" style="6" customWidth="1"/>
    <col min="16" max="31" width="5.6640625" style="6" customWidth="1"/>
    <col min="32" max="16384" width="8.6640625" style="6"/>
  </cols>
  <sheetData>
    <row r="1" spans="1:32" ht="28.95" customHeight="1" x14ac:dyDescent="0.25">
      <c r="A1" s="559" t="str">
        <f>"% of floor area per CZ and vintage bin - "&amp;Prototype!A2</f>
        <v>% of floor area per CZ and vintage bin - OfficeLarge</v>
      </c>
      <c r="B1" s="559"/>
      <c r="C1" s="559"/>
      <c r="D1" s="559"/>
      <c r="E1" s="559"/>
      <c r="F1" s="559"/>
      <c r="G1" s="559"/>
      <c r="N1" s="121"/>
      <c r="O1" s="121"/>
      <c r="P1" s="121"/>
      <c r="Q1" s="121"/>
      <c r="R1" s="121"/>
      <c r="S1" s="121"/>
      <c r="T1" s="121"/>
      <c r="U1" s="121"/>
      <c r="V1" s="121"/>
      <c r="W1" s="121"/>
      <c r="X1" s="121"/>
      <c r="Y1" s="121"/>
      <c r="Z1" s="121"/>
      <c r="AA1" s="121"/>
      <c r="AB1" s="121"/>
      <c r="AC1" s="121"/>
      <c r="AD1" s="121"/>
      <c r="AE1" s="121"/>
    </row>
    <row r="2" spans="1:32" ht="27.6" customHeight="1" x14ac:dyDescent="0.25">
      <c r="A2" s="754" t="s">
        <v>6</v>
      </c>
      <c r="B2" s="754" t="s">
        <v>407</v>
      </c>
      <c r="C2" s="754" t="s">
        <v>652</v>
      </c>
      <c r="D2" s="754"/>
      <c r="E2" s="754"/>
      <c r="F2" s="754"/>
      <c r="G2" s="754"/>
      <c r="J2" s="751" t="s">
        <v>653</v>
      </c>
      <c r="K2" s="751"/>
      <c r="L2" s="751"/>
      <c r="N2" s="122"/>
      <c r="O2" s="122"/>
      <c r="P2" s="122"/>
      <c r="Q2" s="122"/>
      <c r="R2" s="122"/>
      <c r="S2" s="122"/>
      <c r="T2" s="122"/>
      <c r="U2" s="122"/>
      <c r="V2" s="122"/>
      <c r="W2" s="122"/>
      <c r="X2" s="122"/>
      <c r="Y2" s="122"/>
      <c r="Z2" s="122"/>
      <c r="AA2" s="122"/>
      <c r="AB2" s="122"/>
      <c r="AC2" s="122"/>
      <c r="AD2" s="122"/>
      <c r="AE2" s="122"/>
    </row>
    <row r="3" spans="1:32" ht="21" customHeight="1" x14ac:dyDescent="0.25">
      <c r="A3" s="754"/>
      <c r="B3" s="754"/>
      <c r="C3" s="512" t="s">
        <v>654</v>
      </c>
      <c r="D3" s="512" t="s">
        <v>40</v>
      </c>
      <c r="E3" s="512" t="s">
        <v>41</v>
      </c>
      <c r="F3" s="512" t="s">
        <v>42</v>
      </c>
      <c r="G3" s="512" t="s">
        <v>655</v>
      </c>
      <c r="J3" s="116" t="s">
        <v>442</v>
      </c>
      <c r="K3" s="116" t="s">
        <v>656</v>
      </c>
      <c r="L3" s="116" t="s">
        <v>395</v>
      </c>
      <c r="N3" s="122"/>
      <c r="O3" s="122"/>
      <c r="P3" s="118"/>
      <c r="Q3" s="118"/>
      <c r="R3" s="118"/>
      <c r="S3" s="118"/>
      <c r="T3" s="118"/>
      <c r="U3" s="118"/>
      <c r="V3" s="118"/>
      <c r="W3" s="118"/>
      <c r="X3" s="118"/>
      <c r="Y3" s="118"/>
      <c r="Z3" s="118"/>
      <c r="AA3" s="118"/>
      <c r="AB3" s="118"/>
      <c r="AC3" s="118"/>
      <c r="AD3" s="118"/>
      <c r="AE3" s="118"/>
    </row>
    <row r="4" spans="1:32" ht="16.95" customHeight="1" x14ac:dyDescent="0.3">
      <c r="A4" s="752" t="s">
        <v>657</v>
      </c>
      <c r="B4" s="74">
        <v>1</v>
      </c>
      <c r="C4" s="115">
        <v>0.58416858423571771</v>
      </c>
      <c r="D4" s="115">
        <v>0.23368803175651617</v>
      </c>
      <c r="E4" s="115">
        <v>8.0589257324727673E-2</v>
      </c>
      <c r="F4" s="115">
        <v>3.5655035074731521E-2</v>
      </c>
      <c r="G4" s="115">
        <v>6.5899091608306926E-2</v>
      </c>
      <c r="H4" s="76">
        <f>SUM(C4:G4)</f>
        <v>1</v>
      </c>
      <c r="I4" s="76"/>
      <c r="J4" s="117">
        <v>0.35389988454261673</v>
      </c>
      <c r="K4" s="117">
        <v>0.29432530367139048</v>
      </c>
      <c r="L4" s="117">
        <v>0.35177481178599351</v>
      </c>
      <c r="M4" s="76"/>
      <c r="N4" s="120"/>
      <c r="O4" s="119"/>
      <c r="P4" s="32"/>
      <c r="Q4" s="32"/>
      <c r="R4" s="32"/>
      <c r="S4" s="32"/>
      <c r="T4" s="32"/>
      <c r="U4" s="32"/>
      <c r="V4" s="32"/>
      <c r="W4" s="32"/>
      <c r="X4" s="32"/>
      <c r="Y4" s="32"/>
      <c r="Z4" s="32"/>
      <c r="AA4" s="32"/>
      <c r="AB4" s="32"/>
      <c r="AC4" s="32"/>
      <c r="AD4" s="32"/>
      <c r="AE4" s="32"/>
      <c r="AF4" s="76"/>
    </row>
    <row r="5" spans="1:32" ht="16.95" customHeight="1" x14ac:dyDescent="0.3">
      <c r="A5" s="753"/>
      <c r="B5" s="75">
        <v>2</v>
      </c>
      <c r="C5" s="115">
        <v>0.49146763186748776</v>
      </c>
      <c r="D5" s="115">
        <v>0.36417246230291739</v>
      </c>
      <c r="E5" s="115">
        <v>0.14389230427067698</v>
      </c>
      <c r="F5" s="115">
        <v>1.6417205808145474E-4</v>
      </c>
      <c r="G5" s="115">
        <v>3.0342950083651085E-4</v>
      </c>
      <c r="H5" s="76">
        <f t="shared" ref="H5:H19" si="0">SUM(C5:G5)</f>
        <v>1.0000000000000002</v>
      </c>
      <c r="I5" s="76"/>
      <c r="J5" s="76"/>
      <c r="K5" s="76"/>
      <c r="L5" s="76"/>
      <c r="M5" s="76"/>
      <c r="N5" s="120"/>
      <c r="O5" s="119"/>
      <c r="P5" s="32"/>
      <c r="Q5" s="32"/>
      <c r="R5" s="32"/>
      <c r="S5" s="32"/>
      <c r="T5" s="32"/>
      <c r="U5" s="32"/>
      <c r="V5" s="32"/>
      <c r="W5" s="32"/>
      <c r="X5" s="32"/>
      <c r="Y5" s="32"/>
      <c r="Z5" s="32"/>
      <c r="AA5" s="32"/>
      <c r="AB5" s="32"/>
      <c r="AC5" s="32"/>
      <c r="AD5" s="32"/>
      <c r="AE5" s="32"/>
      <c r="AF5" s="76"/>
    </row>
    <row r="6" spans="1:32" ht="16.95" customHeight="1" x14ac:dyDescent="0.3">
      <c r="A6" s="753"/>
      <c r="B6" s="75">
        <v>3</v>
      </c>
      <c r="C6" s="115">
        <v>0.39038790545248364</v>
      </c>
      <c r="D6" s="115">
        <v>0.34620320004962379</v>
      </c>
      <c r="E6" s="115">
        <v>0.15643681511597263</v>
      </c>
      <c r="F6" s="115">
        <v>7.9942242255856125E-2</v>
      </c>
      <c r="G6" s="115">
        <v>2.7029837126063803E-2</v>
      </c>
      <c r="H6" s="76">
        <f t="shared" si="0"/>
        <v>1</v>
      </c>
      <c r="I6" s="76"/>
      <c r="J6" s="76"/>
      <c r="K6" s="76"/>
      <c r="L6" s="76"/>
      <c r="M6" s="76"/>
      <c r="N6" s="120"/>
      <c r="O6" s="119"/>
      <c r="P6" s="32"/>
      <c r="Q6" s="32"/>
      <c r="R6" s="32"/>
      <c r="S6" s="32"/>
      <c r="T6" s="32"/>
      <c r="U6" s="32"/>
      <c r="V6" s="32"/>
      <c r="W6" s="32"/>
      <c r="X6" s="32"/>
      <c r="Y6" s="32"/>
      <c r="Z6" s="32"/>
      <c r="AA6" s="32"/>
      <c r="AB6" s="32"/>
      <c r="AC6" s="32"/>
      <c r="AD6" s="32"/>
      <c r="AE6" s="32"/>
      <c r="AF6" s="76"/>
    </row>
    <row r="7" spans="1:32" ht="16.95" customHeight="1" x14ac:dyDescent="0.3">
      <c r="A7" s="753"/>
      <c r="B7" s="75">
        <v>4</v>
      </c>
      <c r="C7" s="115">
        <v>0.39416524289017729</v>
      </c>
      <c r="D7" s="115">
        <v>0.34192239100463012</v>
      </c>
      <c r="E7" s="115">
        <v>0.15720657625452711</v>
      </c>
      <c r="F7" s="115">
        <v>8.0510019069449226E-2</v>
      </c>
      <c r="G7" s="115">
        <v>2.6195770781216175E-2</v>
      </c>
      <c r="H7" s="76">
        <f t="shared" si="0"/>
        <v>1</v>
      </c>
      <c r="I7" s="76"/>
      <c r="J7" s="76"/>
      <c r="K7" s="76"/>
      <c r="L7" s="76"/>
      <c r="M7" s="76"/>
      <c r="N7" s="120"/>
      <c r="O7" s="119"/>
      <c r="P7" s="32"/>
      <c r="Q7" s="32"/>
      <c r="R7" s="32"/>
      <c r="S7" s="32"/>
      <c r="T7" s="32"/>
      <c r="U7" s="32"/>
      <c r="V7" s="32"/>
      <c r="W7" s="32"/>
      <c r="X7" s="32"/>
      <c r="Y7" s="32"/>
      <c r="Z7" s="32"/>
      <c r="AA7" s="32"/>
      <c r="AB7" s="32"/>
      <c r="AC7" s="32"/>
      <c r="AD7" s="32"/>
      <c r="AE7" s="32"/>
      <c r="AF7" s="76"/>
    </row>
    <row r="8" spans="1:32" ht="16.95" customHeight="1" x14ac:dyDescent="0.3">
      <c r="A8" s="753"/>
      <c r="B8" s="75">
        <v>5</v>
      </c>
      <c r="C8" s="115">
        <v>0.18231852365632323</v>
      </c>
      <c r="D8" s="115">
        <v>0.72976781490435016</v>
      </c>
      <c r="E8" s="115">
        <v>3.4824867088042145E-2</v>
      </c>
      <c r="F8" s="115">
        <v>3.0231360474524273E-2</v>
      </c>
      <c r="G8" s="115">
        <v>2.2857433876760144E-2</v>
      </c>
      <c r="H8" s="76">
        <f t="shared" si="0"/>
        <v>0.99999999999999989</v>
      </c>
      <c r="I8" s="76"/>
      <c r="J8" s="76"/>
      <c r="K8" s="76"/>
      <c r="L8" s="76"/>
      <c r="M8" s="76"/>
      <c r="N8" s="120"/>
      <c r="O8" s="119"/>
      <c r="P8" s="32"/>
      <c r="Q8" s="32"/>
      <c r="R8" s="32"/>
      <c r="S8" s="32"/>
      <c r="T8" s="32"/>
      <c r="U8" s="32"/>
      <c r="V8" s="32"/>
      <c r="W8" s="32"/>
      <c r="X8" s="32"/>
      <c r="Y8" s="32"/>
      <c r="Z8" s="32"/>
      <c r="AA8" s="32"/>
      <c r="AB8" s="32"/>
      <c r="AC8" s="32"/>
      <c r="AD8" s="32"/>
      <c r="AE8" s="32"/>
      <c r="AF8" s="76"/>
    </row>
    <row r="9" spans="1:32" ht="16.95" customHeight="1" x14ac:dyDescent="0.3">
      <c r="A9" s="753"/>
      <c r="B9" s="75">
        <v>6</v>
      </c>
      <c r="C9" s="115">
        <v>0.33042937319460475</v>
      </c>
      <c r="D9" s="115">
        <v>0.40085064300513529</v>
      </c>
      <c r="E9" s="115">
        <v>0.15452474474202355</v>
      </c>
      <c r="F9" s="115">
        <v>6.4158610637039939E-2</v>
      </c>
      <c r="G9" s="115">
        <v>5.0036628421196584E-2</v>
      </c>
      <c r="H9" s="76">
        <f t="shared" si="0"/>
        <v>1.0000000000000002</v>
      </c>
      <c r="I9" s="76"/>
      <c r="J9" s="76"/>
      <c r="K9" s="76"/>
      <c r="L9" s="76"/>
      <c r="M9" s="76"/>
      <c r="N9" s="120"/>
      <c r="O9" s="119"/>
      <c r="P9" s="32"/>
      <c r="Q9" s="32"/>
      <c r="R9" s="32"/>
      <c r="S9" s="32"/>
      <c r="T9" s="32"/>
      <c r="U9" s="32"/>
      <c r="V9" s="32"/>
      <c r="W9" s="32"/>
      <c r="X9" s="32"/>
      <c r="Y9" s="32"/>
      <c r="Z9" s="32"/>
      <c r="AA9" s="32"/>
      <c r="AB9" s="32"/>
      <c r="AC9" s="32"/>
      <c r="AD9" s="32"/>
      <c r="AE9" s="32"/>
      <c r="AF9" s="36"/>
    </row>
    <row r="10" spans="1:32" ht="16.95" customHeight="1" x14ac:dyDescent="0.3">
      <c r="A10" s="753"/>
      <c r="B10" s="75">
        <v>7</v>
      </c>
      <c r="C10" s="115">
        <v>0.16640128355197242</v>
      </c>
      <c r="D10" s="115">
        <v>0.53222331424116376</v>
      </c>
      <c r="E10" s="115">
        <v>0.21554310902495269</v>
      </c>
      <c r="F10" s="115">
        <v>6.977528117714521E-2</v>
      </c>
      <c r="G10" s="115">
        <v>1.6057012004765794E-2</v>
      </c>
      <c r="H10" s="76">
        <f t="shared" si="0"/>
        <v>1</v>
      </c>
      <c r="I10" s="76"/>
      <c r="J10" s="76"/>
      <c r="K10" s="76"/>
      <c r="L10" s="76"/>
      <c r="M10" s="76"/>
      <c r="N10" s="8"/>
      <c r="O10" s="72"/>
      <c r="P10" s="32"/>
      <c r="Q10" s="32"/>
      <c r="R10" s="32"/>
      <c r="S10" s="32"/>
      <c r="T10" s="73"/>
    </row>
    <row r="11" spans="1:32" ht="16.95" customHeight="1" x14ac:dyDescent="0.3">
      <c r="A11" s="753"/>
      <c r="B11" s="75">
        <v>8</v>
      </c>
      <c r="C11" s="115">
        <v>0.35090245339033721</v>
      </c>
      <c r="D11" s="115">
        <v>0.41331991851014249</v>
      </c>
      <c r="E11" s="115">
        <v>0.11308818876032821</v>
      </c>
      <c r="F11" s="115">
        <v>5.1793646344390466E-2</v>
      </c>
      <c r="G11" s="115">
        <v>7.0895792994801643E-2</v>
      </c>
      <c r="H11" s="76">
        <f t="shared" si="0"/>
        <v>1</v>
      </c>
      <c r="I11" s="76"/>
      <c r="J11" s="76"/>
      <c r="K11" s="76"/>
      <c r="L11" s="76"/>
      <c r="M11" s="76"/>
      <c r="N11" s="8"/>
      <c r="O11" s="72"/>
      <c r="P11" s="32"/>
      <c r="Q11" s="32"/>
      <c r="R11" s="32"/>
      <c r="S11" s="32"/>
      <c r="T11" s="73"/>
    </row>
    <row r="12" spans="1:32" ht="16.95" customHeight="1" x14ac:dyDescent="0.3">
      <c r="A12" s="753"/>
      <c r="B12" s="75">
        <v>9</v>
      </c>
      <c r="C12" s="115">
        <v>0.38396158194148067</v>
      </c>
      <c r="D12" s="115">
        <v>0.40666613814470476</v>
      </c>
      <c r="E12" s="115">
        <v>9.2304311148304022E-2</v>
      </c>
      <c r="F12" s="115">
        <v>6.322920280966654E-2</v>
      </c>
      <c r="G12" s="115">
        <v>5.3838765955844005E-2</v>
      </c>
      <c r="H12" s="76">
        <f t="shared" si="0"/>
        <v>1</v>
      </c>
      <c r="I12" s="76"/>
      <c r="J12" s="73"/>
      <c r="K12" s="76"/>
      <c r="L12" s="76"/>
      <c r="M12" s="76"/>
      <c r="N12" s="8"/>
      <c r="R12" s="32"/>
      <c r="S12" s="32"/>
      <c r="T12" s="73"/>
    </row>
    <row r="13" spans="1:32" ht="16.95" customHeight="1" x14ac:dyDescent="0.3">
      <c r="A13" s="753"/>
      <c r="B13" s="75">
        <v>10</v>
      </c>
      <c r="C13" s="115">
        <v>0.16196628377447275</v>
      </c>
      <c r="D13" s="115">
        <v>0.41330991756079627</v>
      </c>
      <c r="E13" s="115">
        <v>0.26423682318792296</v>
      </c>
      <c r="F13" s="115">
        <v>9.8549959782339713E-2</v>
      </c>
      <c r="G13" s="115">
        <v>6.193701569446821E-2</v>
      </c>
      <c r="H13" s="76">
        <f t="shared" si="0"/>
        <v>0.99999999999999989</v>
      </c>
      <c r="I13" s="76"/>
      <c r="J13" s="76"/>
      <c r="K13" s="76"/>
      <c r="L13" s="76"/>
      <c r="M13" s="76"/>
      <c r="N13" s="8"/>
      <c r="R13" s="32"/>
      <c r="S13" s="32"/>
      <c r="T13" s="73"/>
    </row>
    <row r="14" spans="1:32" ht="16.95" customHeight="1" x14ac:dyDescent="0.3">
      <c r="A14" s="753"/>
      <c r="B14" s="75">
        <v>11</v>
      </c>
      <c r="C14" s="115">
        <v>0.46794721495178143</v>
      </c>
      <c r="D14" s="115">
        <v>0.16134049169179066</v>
      </c>
      <c r="E14" s="115">
        <v>0.14624531738763658</v>
      </c>
      <c r="F14" s="115">
        <v>8.8280087265749929E-2</v>
      </c>
      <c r="G14" s="115">
        <v>0.13618688870304146</v>
      </c>
      <c r="H14" s="76">
        <f t="shared" si="0"/>
        <v>1</v>
      </c>
      <c r="I14" s="76"/>
      <c r="J14" s="76"/>
      <c r="K14" s="76"/>
      <c r="L14" s="76"/>
      <c r="M14" s="76"/>
      <c r="N14" s="8"/>
      <c r="R14" s="32"/>
      <c r="S14" s="32"/>
      <c r="T14" s="73"/>
    </row>
    <row r="15" spans="1:32" ht="16.95" customHeight="1" x14ac:dyDescent="0.3">
      <c r="A15" s="753"/>
      <c r="B15" s="75">
        <v>12</v>
      </c>
      <c r="C15" s="115">
        <v>0.37431596072623147</v>
      </c>
      <c r="D15" s="115">
        <v>0.31214220667624254</v>
      </c>
      <c r="E15" s="115">
        <v>0.16493079507493916</v>
      </c>
      <c r="F15" s="115">
        <v>8.7939491493124564E-2</v>
      </c>
      <c r="G15" s="115">
        <v>6.0671546029462273E-2</v>
      </c>
      <c r="H15" s="76">
        <f t="shared" si="0"/>
        <v>0.99999999999999989</v>
      </c>
      <c r="I15" s="76"/>
      <c r="J15" s="76"/>
      <c r="K15" s="76"/>
      <c r="L15" s="76"/>
      <c r="M15" s="76"/>
      <c r="N15" s="8"/>
      <c r="O15" s="72"/>
      <c r="P15" s="32"/>
      <c r="Q15" s="32"/>
      <c r="R15" s="32"/>
      <c r="S15" s="32"/>
      <c r="T15" s="73"/>
    </row>
    <row r="16" spans="1:32" ht="16.95" customHeight="1" x14ac:dyDescent="0.3">
      <c r="A16" s="753"/>
      <c r="B16" s="75">
        <v>13</v>
      </c>
      <c r="C16" s="115">
        <v>0.68744185567771976</v>
      </c>
      <c r="D16" s="115">
        <v>0.130715365150535</v>
      </c>
      <c r="E16" s="115">
        <v>3.9793065325846283E-2</v>
      </c>
      <c r="F16" s="115">
        <v>4.9872788974286215E-2</v>
      </c>
      <c r="G16" s="115">
        <v>9.2176924871612803E-2</v>
      </c>
      <c r="H16" s="76">
        <f t="shared" si="0"/>
        <v>1.0000000000000002</v>
      </c>
      <c r="I16" s="76"/>
      <c r="J16" s="76"/>
      <c r="K16" s="76"/>
      <c r="L16" s="76"/>
      <c r="M16" s="76"/>
      <c r="N16" s="8"/>
      <c r="O16" s="72"/>
      <c r="P16" s="32"/>
      <c r="Q16" s="32"/>
      <c r="R16" s="32"/>
      <c r="S16" s="32"/>
      <c r="T16" s="73"/>
    </row>
    <row r="17" spans="1:20" ht="16.95" customHeight="1" x14ac:dyDescent="0.3">
      <c r="A17" s="753"/>
      <c r="B17" s="75">
        <v>14</v>
      </c>
      <c r="C17" s="115">
        <v>0.21025203237486476</v>
      </c>
      <c r="D17" s="115">
        <v>0.41588544219398826</v>
      </c>
      <c r="E17" s="115">
        <v>0.21254859691320868</v>
      </c>
      <c r="F17" s="115">
        <v>6.0236044659894815E-2</v>
      </c>
      <c r="G17" s="115">
        <v>0.10107788385804346</v>
      </c>
      <c r="H17" s="76">
        <f t="shared" si="0"/>
        <v>1</v>
      </c>
      <c r="I17" s="76"/>
      <c r="J17" s="76"/>
      <c r="K17" s="76"/>
      <c r="L17" s="76"/>
      <c r="M17" s="76"/>
      <c r="N17" s="8"/>
      <c r="O17" s="72"/>
      <c r="P17" s="32"/>
      <c r="Q17" s="32"/>
      <c r="R17" s="32"/>
      <c r="S17" s="32"/>
      <c r="T17" s="73"/>
    </row>
    <row r="18" spans="1:20" ht="16.95" customHeight="1" x14ac:dyDescent="0.3">
      <c r="A18" s="753"/>
      <c r="B18" s="75">
        <v>15</v>
      </c>
      <c r="C18" s="115">
        <v>0.30202483716259815</v>
      </c>
      <c r="D18" s="115">
        <v>0.16756759918230449</v>
      </c>
      <c r="E18" s="115">
        <v>0.25287062467750043</v>
      </c>
      <c r="F18" s="115">
        <v>0.17736792803498194</v>
      </c>
      <c r="G18" s="115">
        <v>0.10016901094261485</v>
      </c>
      <c r="H18" s="76">
        <f t="shared" si="0"/>
        <v>0.99999999999999989</v>
      </c>
      <c r="I18" s="76"/>
      <c r="J18" s="76"/>
      <c r="K18" s="76"/>
      <c r="L18" s="76"/>
      <c r="M18" s="76"/>
      <c r="N18" s="8"/>
      <c r="O18" s="72"/>
      <c r="P18" s="32"/>
      <c r="Q18" s="32"/>
      <c r="R18" s="32"/>
      <c r="S18" s="32"/>
      <c r="T18" s="73"/>
    </row>
    <row r="19" spans="1:20" ht="16.95" customHeight="1" x14ac:dyDescent="0.3">
      <c r="A19" s="753"/>
      <c r="B19" s="75">
        <v>16</v>
      </c>
      <c r="C19" s="115">
        <v>0.27081429859232081</v>
      </c>
      <c r="D19" s="115">
        <v>0.30945550231581431</v>
      </c>
      <c r="E19" s="115">
        <v>0.23934765466894697</v>
      </c>
      <c r="F19" s="115">
        <v>6.6132420610680101E-2</v>
      </c>
      <c r="G19" s="115">
        <v>0.11425012381223795</v>
      </c>
      <c r="H19" s="76">
        <f t="shared" si="0"/>
        <v>1.0000000000000002</v>
      </c>
      <c r="I19" s="76"/>
      <c r="J19" s="76"/>
      <c r="K19" s="76"/>
      <c r="L19" s="76"/>
      <c r="M19" s="76"/>
      <c r="N19" s="8"/>
      <c r="O19" s="72"/>
      <c r="P19" s="32"/>
      <c r="Q19" s="32"/>
      <c r="R19" s="32"/>
      <c r="S19" s="32"/>
      <c r="T19" s="73"/>
    </row>
    <row r="20" spans="1:20" ht="14.4" x14ac:dyDescent="0.3">
      <c r="A20" s="753"/>
      <c r="B20" s="125" t="s">
        <v>441</v>
      </c>
      <c r="C20" s="126">
        <v>0.34876466977424414</v>
      </c>
      <c r="D20" s="126">
        <v>0.38184428761074246</v>
      </c>
      <c r="E20" s="126">
        <v>0.15173083362070491</v>
      </c>
      <c r="F20" s="126">
        <v>7.1156687325647006E-2</v>
      </c>
      <c r="G20" s="126">
        <v>4.6503521668660813E-2</v>
      </c>
    </row>
    <row r="22" spans="1:20" x14ac:dyDescent="0.25">
      <c r="A22" s="6" t="s">
        <v>658</v>
      </c>
    </row>
    <row r="23" spans="1:20" x14ac:dyDescent="0.25">
      <c r="A23" s="6" t="s">
        <v>659</v>
      </c>
    </row>
    <row r="29" spans="1:20" s="27" customFormat="1" hidden="1" x14ac:dyDescent="0.25">
      <c r="A29" s="27" t="s">
        <v>357</v>
      </c>
      <c r="E29" s="28"/>
      <c r="F29" s="29"/>
      <c r="G29" s="30"/>
    </row>
  </sheetData>
  <mergeCells count="6">
    <mergeCell ref="J2:L2"/>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1"/>
  <sheetViews>
    <sheetView workbookViewId="0">
      <selection sqref="A1:J1"/>
    </sheetView>
  </sheetViews>
  <sheetFormatPr defaultRowHeight="14.4" x14ac:dyDescent="0.3"/>
  <sheetData>
    <row r="1" spans="1:10" ht="15.6" customHeight="1" x14ac:dyDescent="0.3">
      <c r="A1" s="643" t="str">
        <f>"PV - "&amp;Prototype!A2</f>
        <v>PV - OfficeLarge</v>
      </c>
      <c r="B1" s="643"/>
      <c r="C1" s="643"/>
      <c r="D1" s="643"/>
      <c r="E1" s="643"/>
      <c r="F1" s="643"/>
      <c r="G1" s="643"/>
      <c r="H1" s="643"/>
      <c r="I1" s="643"/>
      <c r="J1" s="643"/>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x14ac:dyDescent="0.25"/>
  <cols>
    <col min="1" max="1" width="21" style="6" customWidth="1"/>
    <col min="2" max="2" width="14.33203125" style="6" customWidth="1"/>
    <col min="3" max="3" width="14.5546875" style="6" customWidth="1"/>
    <col min="4" max="8" width="8.6640625" style="6"/>
    <col min="9" max="9" width="13.6640625" style="6" customWidth="1"/>
    <col min="10" max="10" width="14.44140625" style="6" customWidth="1"/>
    <col min="11" max="16384" width="8.6640625" style="6"/>
  </cols>
  <sheetData>
    <row r="1" spans="1:8" ht="15.6" x14ac:dyDescent="0.25">
      <c r="A1" s="559" t="str">
        <f>"EV Charger - "&amp;Prototype!A2</f>
        <v>EV Charger - OfficeLarge</v>
      </c>
      <c r="B1" s="559"/>
      <c r="C1" s="559"/>
      <c r="D1" s="559"/>
      <c r="E1" s="559"/>
      <c r="F1" s="559"/>
      <c r="G1" s="559"/>
      <c r="H1" s="559"/>
    </row>
    <row r="2" spans="1:8" x14ac:dyDescent="0.25">
      <c r="B2" s="58"/>
      <c r="C2" s="199"/>
      <c r="D2" s="59"/>
      <c r="E2" s="59"/>
    </row>
    <row r="3" spans="1:8" x14ac:dyDescent="0.25">
      <c r="A3" s="43"/>
      <c r="B3" s="57"/>
      <c r="C3" s="491"/>
      <c r="D3" s="60"/>
      <c r="E3" s="60"/>
    </row>
    <row r="11" spans="1:8" s="27" customFormat="1" hidden="1" x14ac:dyDescent="0.25">
      <c r="A11" s="27" t="s">
        <v>357</v>
      </c>
      <c r="E11" s="28"/>
      <c r="F11" s="29"/>
      <c r="G11" s="30"/>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E011-13EA-4575-9C3B-666832DB0B87}">
  <sheetPr codeName="Sheet16"/>
  <dimension ref="A1:G83"/>
  <sheetViews>
    <sheetView workbookViewId="0">
      <selection activeCell="A17" sqref="A17"/>
    </sheetView>
  </sheetViews>
  <sheetFormatPr defaultRowHeight="14.4" x14ac:dyDescent="0.3"/>
  <cols>
    <col min="1" max="1" width="58.6640625" customWidth="1"/>
    <col min="2" max="2" width="30.88671875" customWidth="1"/>
    <col min="3" max="3" width="30.33203125" customWidth="1"/>
  </cols>
  <sheetData>
    <row r="1" spans="1:7" x14ac:dyDescent="0.3">
      <c r="A1" t="s">
        <v>660</v>
      </c>
      <c r="B1" t="s">
        <v>661</v>
      </c>
      <c r="C1" t="s">
        <v>661</v>
      </c>
      <c r="D1" s="755" t="s">
        <v>662</v>
      </c>
      <c r="E1" s="755"/>
      <c r="F1" s="755"/>
      <c r="G1" s="755"/>
    </row>
    <row r="2" spans="1:7" x14ac:dyDescent="0.3">
      <c r="A2" s="489" t="s">
        <v>663</v>
      </c>
      <c r="D2">
        <v>2013</v>
      </c>
      <c r="E2">
        <v>2016</v>
      </c>
      <c r="F2">
        <v>2019</v>
      </c>
      <c r="G2">
        <v>2025</v>
      </c>
    </row>
    <row r="3" spans="1:7" x14ac:dyDescent="0.3">
      <c r="A3" s="489" t="s">
        <v>664</v>
      </c>
    </row>
    <row r="4" spans="1:7" x14ac:dyDescent="0.3">
      <c r="A4" t="s">
        <v>665</v>
      </c>
    </row>
    <row r="5" spans="1:7" x14ac:dyDescent="0.3">
      <c r="A5" t="s">
        <v>666</v>
      </c>
    </row>
    <row r="6" spans="1:7" x14ac:dyDescent="0.3">
      <c r="A6" t="s">
        <v>667</v>
      </c>
    </row>
    <row r="7" spans="1:7" x14ac:dyDescent="0.3">
      <c r="A7" t="s">
        <v>668</v>
      </c>
    </row>
    <row r="8" spans="1:7" x14ac:dyDescent="0.3">
      <c r="A8" t="s">
        <v>669</v>
      </c>
    </row>
    <row r="9" spans="1:7" x14ac:dyDescent="0.3">
      <c r="A9" t="s">
        <v>670</v>
      </c>
    </row>
    <row r="10" spans="1:7" x14ac:dyDescent="0.3">
      <c r="A10" t="s">
        <v>671</v>
      </c>
    </row>
    <row r="11" spans="1:7" x14ac:dyDescent="0.3">
      <c r="A11" t="s">
        <v>672</v>
      </c>
    </row>
    <row r="12" spans="1:7" x14ac:dyDescent="0.3">
      <c r="A12" t="s">
        <v>673</v>
      </c>
    </row>
    <row r="13" spans="1:7" x14ac:dyDescent="0.3">
      <c r="A13" t="s">
        <v>674</v>
      </c>
    </row>
    <row r="14" spans="1:7" x14ac:dyDescent="0.3">
      <c r="A14" t="s">
        <v>675</v>
      </c>
    </row>
    <row r="15" spans="1:7" x14ac:dyDescent="0.3">
      <c r="A15" t="s">
        <v>676</v>
      </c>
    </row>
    <row r="16" spans="1:7" x14ac:dyDescent="0.3">
      <c r="A16" t="s">
        <v>677</v>
      </c>
    </row>
    <row r="17" spans="1:1" x14ac:dyDescent="0.3">
      <c r="A17" t="s">
        <v>187</v>
      </c>
    </row>
    <row r="18" spans="1:1" x14ac:dyDescent="0.3">
      <c r="A18" t="s">
        <v>678</v>
      </c>
    </row>
    <row r="19" spans="1:1" x14ac:dyDescent="0.3">
      <c r="A19" t="s">
        <v>200</v>
      </c>
    </row>
    <row r="20" spans="1:1" x14ac:dyDescent="0.3">
      <c r="A20" t="s">
        <v>679</v>
      </c>
    </row>
    <row r="21" spans="1:1" x14ac:dyDescent="0.3">
      <c r="A21" t="s">
        <v>680</v>
      </c>
    </row>
    <row r="22" spans="1:1" x14ac:dyDescent="0.3">
      <c r="A22" t="s">
        <v>681</v>
      </c>
    </row>
    <row r="23" spans="1:1" x14ac:dyDescent="0.3">
      <c r="A23" t="s">
        <v>185</v>
      </c>
    </row>
    <row r="24" spans="1:1" x14ac:dyDescent="0.3">
      <c r="A24" t="s">
        <v>682</v>
      </c>
    </row>
    <row r="25" spans="1:1" x14ac:dyDescent="0.3">
      <c r="A25" t="s">
        <v>683</v>
      </c>
    </row>
    <row r="26" spans="1:1" x14ac:dyDescent="0.3">
      <c r="A26" t="s">
        <v>684</v>
      </c>
    </row>
    <row r="27" spans="1:1" x14ac:dyDescent="0.3">
      <c r="A27" t="s">
        <v>685</v>
      </c>
    </row>
    <row r="28" spans="1:1" x14ac:dyDescent="0.3">
      <c r="A28" t="s">
        <v>686</v>
      </c>
    </row>
    <row r="29" spans="1:1" x14ac:dyDescent="0.3">
      <c r="A29" t="s">
        <v>687</v>
      </c>
    </row>
    <row r="30" spans="1:1" x14ac:dyDescent="0.3">
      <c r="A30" t="s">
        <v>688</v>
      </c>
    </row>
    <row r="31" spans="1:1" x14ac:dyDescent="0.3">
      <c r="A31" t="s">
        <v>689</v>
      </c>
    </row>
    <row r="32" spans="1:1" x14ac:dyDescent="0.3">
      <c r="A32" t="s">
        <v>690</v>
      </c>
    </row>
    <row r="33" spans="1:1" x14ac:dyDescent="0.3">
      <c r="A33" t="s">
        <v>691</v>
      </c>
    </row>
    <row r="34" spans="1:1" x14ac:dyDescent="0.3">
      <c r="A34" t="s">
        <v>692</v>
      </c>
    </row>
    <row r="35" spans="1:1" x14ac:dyDescent="0.3">
      <c r="A35" t="s">
        <v>693</v>
      </c>
    </row>
    <row r="36" spans="1:1" x14ac:dyDescent="0.3">
      <c r="A36" t="s">
        <v>228</v>
      </c>
    </row>
    <row r="37" spans="1:1" x14ac:dyDescent="0.3">
      <c r="A37" t="s">
        <v>694</v>
      </c>
    </row>
    <row r="38" spans="1:1" x14ac:dyDescent="0.3">
      <c r="A38" t="s">
        <v>695</v>
      </c>
    </row>
    <row r="39" spans="1:1" x14ac:dyDescent="0.3">
      <c r="A39" t="s">
        <v>696</v>
      </c>
    </row>
    <row r="40" spans="1:1" x14ac:dyDescent="0.3">
      <c r="A40" t="s">
        <v>697</v>
      </c>
    </row>
    <row r="41" spans="1:1" x14ac:dyDescent="0.3">
      <c r="A41" t="s">
        <v>698</v>
      </c>
    </row>
    <row r="42" spans="1:1" x14ac:dyDescent="0.3">
      <c r="A42" t="s">
        <v>195</v>
      </c>
    </row>
    <row r="43" spans="1:1" x14ac:dyDescent="0.3">
      <c r="A43" t="s">
        <v>233</v>
      </c>
    </row>
    <row r="44" spans="1:1" x14ac:dyDescent="0.3">
      <c r="A44" t="s">
        <v>189</v>
      </c>
    </row>
    <row r="45" spans="1:1" x14ac:dyDescent="0.3">
      <c r="A45" t="s">
        <v>699</v>
      </c>
    </row>
    <row r="46" spans="1:1" x14ac:dyDescent="0.3">
      <c r="A46" t="s">
        <v>700</v>
      </c>
    </row>
    <row r="47" spans="1:1" x14ac:dyDescent="0.3">
      <c r="A47" t="s">
        <v>701</v>
      </c>
    </row>
    <row r="48" spans="1:1" x14ac:dyDescent="0.3">
      <c r="A48" t="s">
        <v>702</v>
      </c>
    </row>
    <row r="49" spans="1:1" x14ac:dyDescent="0.3">
      <c r="A49" t="s">
        <v>703</v>
      </c>
    </row>
    <row r="50" spans="1:1" x14ac:dyDescent="0.3">
      <c r="A50" t="s">
        <v>174</v>
      </c>
    </row>
    <row r="51" spans="1:1" x14ac:dyDescent="0.3">
      <c r="A51" t="s">
        <v>704</v>
      </c>
    </row>
    <row r="52" spans="1:1" x14ac:dyDescent="0.3">
      <c r="A52" t="s">
        <v>705</v>
      </c>
    </row>
    <row r="53" spans="1:1" x14ac:dyDescent="0.3">
      <c r="A53" t="s">
        <v>706</v>
      </c>
    </row>
    <row r="54" spans="1:1" x14ac:dyDescent="0.3">
      <c r="A54" t="s">
        <v>707</v>
      </c>
    </row>
    <row r="55" spans="1:1" x14ac:dyDescent="0.3">
      <c r="A55" t="s">
        <v>708</v>
      </c>
    </row>
    <row r="56" spans="1:1" x14ac:dyDescent="0.3">
      <c r="A56" t="s">
        <v>709</v>
      </c>
    </row>
    <row r="57" spans="1:1" x14ac:dyDescent="0.3">
      <c r="A57" t="s">
        <v>710</v>
      </c>
    </row>
    <row r="58" spans="1:1" x14ac:dyDescent="0.3">
      <c r="A58" t="s">
        <v>711</v>
      </c>
    </row>
    <row r="59" spans="1:1" x14ac:dyDescent="0.3">
      <c r="A59" t="s">
        <v>193</v>
      </c>
    </row>
    <row r="60" spans="1:1" x14ac:dyDescent="0.3">
      <c r="A60" t="s">
        <v>198</v>
      </c>
    </row>
    <row r="61" spans="1:1" x14ac:dyDescent="0.3">
      <c r="A61" t="s">
        <v>712</v>
      </c>
    </row>
    <row r="62" spans="1:1" x14ac:dyDescent="0.3">
      <c r="A62" t="s">
        <v>713</v>
      </c>
    </row>
    <row r="63" spans="1:1" x14ac:dyDescent="0.3">
      <c r="A63" t="s">
        <v>714</v>
      </c>
    </row>
    <row r="64" spans="1:1" x14ac:dyDescent="0.3">
      <c r="A64" t="s">
        <v>191</v>
      </c>
    </row>
    <row r="65" spans="1:1" x14ac:dyDescent="0.3">
      <c r="A65" t="s">
        <v>715</v>
      </c>
    </row>
    <row r="66" spans="1:1" x14ac:dyDescent="0.3">
      <c r="A66" t="s">
        <v>716</v>
      </c>
    </row>
    <row r="67" spans="1:1" x14ac:dyDescent="0.3">
      <c r="A67" t="s">
        <v>717</v>
      </c>
    </row>
    <row r="68" spans="1:1" x14ac:dyDescent="0.3">
      <c r="A68" t="s">
        <v>718</v>
      </c>
    </row>
    <row r="69" spans="1:1" x14ac:dyDescent="0.3">
      <c r="A69" t="s">
        <v>719</v>
      </c>
    </row>
    <row r="70" spans="1:1" x14ac:dyDescent="0.3">
      <c r="A70" t="s">
        <v>720</v>
      </c>
    </row>
    <row r="71" spans="1:1" x14ac:dyDescent="0.3">
      <c r="A71" t="s">
        <v>721</v>
      </c>
    </row>
    <row r="72" spans="1:1" x14ac:dyDescent="0.3">
      <c r="A72" t="s">
        <v>722</v>
      </c>
    </row>
    <row r="73" spans="1:1" x14ac:dyDescent="0.3">
      <c r="A73" t="s">
        <v>723</v>
      </c>
    </row>
    <row r="74" spans="1:1" x14ac:dyDescent="0.3">
      <c r="A74" t="s">
        <v>724</v>
      </c>
    </row>
    <row r="75" spans="1:1" x14ac:dyDescent="0.3">
      <c r="A75" t="s">
        <v>725</v>
      </c>
    </row>
    <row r="76" spans="1:1" x14ac:dyDescent="0.3">
      <c r="A76" t="s">
        <v>726</v>
      </c>
    </row>
    <row r="77" spans="1:1" x14ac:dyDescent="0.3">
      <c r="A77" t="s">
        <v>727</v>
      </c>
    </row>
    <row r="78" spans="1:1" x14ac:dyDescent="0.3">
      <c r="A78" t="s">
        <v>728</v>
      </c>
    </row>
    <row r="79" spans="1:1" x14ac:dyDescent="0.3">
      <c r="A79" t="s">
        <v>569</v>
      </c>
    </row>
    <row r="80" spans="1:1" x14ac:dyDescent="0.3">
      <c r="A80" t="s">
        <v>250</v>
      </c>
    </row>
    <row r="81" spans="1:1" x14ac:dyDescent="0.3">
      <c r="A81" t="s">
        <v>729</v>
      </c>
    </row>
    <row r="82" spans="1:1" x14ac:dyDescent="0.3">
      <c r="A82" t="s">
        <v>213</v>
      </c>
    </row>
    <row r="83" spans="1:1" x14ac:dyDescent="0.3">
      <c r="A83" t="s">
        <v>181</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C39568B-329E-41E5-8FB2-A9E9F60A4F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Envelope</vt:lpstr>
      <vt:lpstr>Zones</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cp:lastModifiedBy>
  <cp:revision/>
  <dcterms:created xsi:type="dcterms:W3CDTF">2024-06-21T17:19:36Z</dcterms:created>
  <dcterms:modified xsi:type="dcterms:W3CDTF">2025-12-24T09:41:50Z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y fmtid="{D5CDD505-2E9C-101B-9397-08002B2CF9AE}" pid="18" name="MSIP_Label_aa7be39c-9e9f-446a-a199-286f73f56a3f_Tag">
    <vt:lpwstr>10, 3, 0, 2</vt:lpwstr>
  </property>
</Properties>
</file>