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comments1.xml" ContentType="application/vnd.openxmlformats-officedocument.spreadsheetml.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1828" documentId="8_{106AA085-3D00-4014-94F1-BC06237587C0}" xr6:coauthVersionLast="47" xr6:coauthVersionMax="47" xr10:uidLastSave="{E6EFF85A-D4E3-4A27-9FB7-B7C87D571C6C}"/>
  <bookViews>
    <workbookView xWindow="-120" yWindow="-16320" windowWidth="29040" windowHeight="15720" tabRatio="890" firstSheet="1" activeTab="2" xr2:uid="{EAC23EE3-0CA0-4FF8-990D-9B21A59FA3E0}"/>
  </bookViews>
  <sheets>
    <sheet name="Comments" sheetId="30" state="hidden" r:id="rId1"/>
    <sheet name="Notes" sheetId="23" r:id="rId2"/>
    <sheet name="Prototype" sheetId="2" r:id="rId3"/>
    <sheet name="Zones" sheetId="13" r:id="rId4"/>
    <sheet name="Envelope" sheetId="1" r:id="rId5"/>
    <sheet name="HVAC System" sheetId="14" r:id="rId6"/>
    <sheet name="Thermostat" sheetId="31" r:id="rId7"/>
    <sheet name="Ventilation" sheetId="18" r:id="rId8"/>
    <sheet name="Water Heater" sheetId="7" r:id="rId9"/>
    <sheet name="Interior Lights" sheetId="25" r:id="rId10"/>
    <sheet name="Ext Lighting" sheetId="9" r:id="rId11"/>
    <sheet name="Equipment" sheetId="29" r:id="rId12"/>
    <sheet name="Schedules" sheetId="28" r:id="rId13"/>
    <sheet name="Weights" sheetId="21" r:id="rId14"/>
    <sheet name="Energy Usage" sheetId="20" r:id="rId15"/>
    <sheet name="PV" sheetId="27" state="hidden" r:id="rId16"/>
    <sheet name="EV Charger" sheetId="22" state="hidden" r:id="rId17"/>
    <sheet name="Data" sheetId="32" state="hidden" r:id="rId18"/>
  </sheets>
  <definedNames>
    <definedName name="_xlnm._FilterDatabase" localSheetId="17" hidden="1">Data!$D$1:$G$1</definedName>
    <definedName name="_xlnm._FilterDatabase" localSheetId="4" hidden="1">Envelope!$A$2:$Y$23</definedName>
    <definedName name="_xlnm._FilterDatabase" localSheetId="3" hidden="1">Zones!$A$2:$AD$2</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20" l="1"/>
  <c r="K5" i="20"/>
  <c r="K6" i="20"/>
  <c r="K7" i="20"/>
  <c r="K8" i="20"/>
  <c r="K9" i="20"/>
  <c r="K10" i="20"/>
  <c r="K11" i="20"/>
  <c r="K12" i="20"/>
  <c r="K13" i="20"/>
  <c r="K14" i="20"/>
  <c r="K15" i="20"/>
  <c r="K16" i="20"/>
  <c r="K17" i="20"/>
  <c r="K18" i="20"/>
  <c r="J4" i="20"/>
  <c r="L4" i="20" s="1"/>
  <c r="J5" i="20"/>
  <c r="L5" i="20" s="1"/>
  <c r="J6" i="20"/>
  <c r="L6" i="20" s="1"/>
  <c r="J7" i="20"/>
  <c r="L7" i="20" s="1"/>
  <c r="J8" i="20"/>
  <c r="L8" i="20" s="1"/>
  <c r="J9" i="20"/>
  <c r="L9" i="20" s="1"/>
  <c r="J10" i="20"/>
  <c r="L10" i="20" s="1"/>
  <c r="J11" i="20"/>
  <c r="L11" i="20" s="1"/>
  <c r="J12" i="20"/>
  <c r="L12" i="20" s="1"/>
  <c r="J13" i="20"/>
  <c r="L13" i="20" s="1"/>
  <c r="J14" i="20"/>
  <c r="L14" i="20" s="1"/>
  <c r="J15" i="20"/>
  <c r="L15" i="20" s="1"/>
  <c r="J16" i="20"/>
  <c r="L16" i="20" s="1"/>
  <c r="J17" i="20"/>
  <c r="L17" i="20" s="1"/>
  <c r="J18" i="20"/>
  <c r="L18" i="20" s="1"/>
  <c r="J3" i="20"/>
  <c r="K3" i="20"/>
  <c r="S3" i="20"/>
  <c r="S18" i="20"/>
  <c r="S17" i="20"/>
  <c r="S16" i="20"/>
  <c r="S15" i="20"/>
  <c r="S14" i="20"/>
  <c r="S13" i="20"/>
  <c r="S12" i="20"/>
  <c r="S11" i="20"/>
  <c r="S10" i="20"/>
  <c r="S9" i="20"/>
  <c r="S8" i="20"/>
  <c r="S7" i="20"/>
  <c r="S6" i="20"/>
  <c r="S5" i="20"/>
  <c r="S4" i="20"/>
  <c r="A44" i="28"/>
  <c r="B44" i="28"/>
  <c r="B41" i="28"/>
  <c r="A41" i="28"/>
  <c r="B38" i="28"/>
  <c r="A38" i="28"/>
  <c r="B35" i="28"/>
  <c r="A35" i="28"/>
  <c r="B32" i="28"/>
  <c r="A32" i="28"/>
  <c r="U4" i="20" l="1"/>
  <c r="T4" i="20"/>
  <c r="V4" i="20" s="1"/>
  <c r="U5" i="20"/>
  <c r="T5" i="20"/>
  <c r="V5" i="20" s="1"/>
  <c r="U6" i="20"/>
  <c r="T6" i="20"/>
  <c r="V6" i="20" s="1"/>
  <c r="U7" i="20"/>
  <c r="T7" i="20"/>
  <c r="V7" i="20" s="1"/>
  <c r="U8" i="20"/>
  <c r="T8" i="20"/>
  <c r="U9" i="20"/>
  <c r="T9" i="20"/>
  <c r="U10" i="20"/>
  <c r="T10" i="20"/>
  <c r="U11" i="20"/>
  <c r="T11" i="20"/>
  <c r="U12" i="20"/>
  <c r="T12" i="20"/>
  <c r="U13" i="20"/>
  <c r="T13" i="20"/>
  <c r="U14" i="20"/>
  <c r="T14" i="20"/>
  <c r="U15" i="20"/>
  <c r="T15" i="20"/>
  <c r="U16" i="20"/>
  <c r="T16" i="20"/>
  <c r="U17" i="20"/>
  <c r="T17" i="20"/>
  <c r="U18" i="20"/>
  <c r="T18" i="20"/>
  <c r="U3" i="20"/>
  <c r="T3" i="20"/>
  <c r="V3" i="20" s="1"/>
  <c r="L3" i="20"/>
  <c r="V8" i="20"/>
  <c r="J4" i="13"/>
  <c r="J5" i="13"/>
  <c r="J6" i="13"/>
  <c r="J7" i="13"/>
  <c r="J8" i="13"/>
  <c r="J9" i="13"/>
  <c r="J14" i="13"/>
  <c r="D21" i="7" s="1"/>
  <c r="J16" i="13"/>
  <c r="D23" i="7" s="1"/>
  <c r="J17" i="13"/>
  <c r="D24" i="7" s="1"/>
  <c r="J18" i="13"/>
  <c r="D25" i="7" s="1"/>
  <c r="J19" i="13"/>
  <c r="D26" i="7" s="1"/>
  <c r="J21" i="13"/>
  <c r="J22" i="13"/>
  <c r="J23" i="13"/>
  <c r="J24" i="13"/>
  <c r="J25" i="13"/>
  <c r="J26" i="13"/>
  <c r="J27" i="13"/>
  <c r="J32" i="13"/>
  <c r="J34" i="13"/>
  <c r="J35" i="13"/>
  <c r="J36" i="13"/>
  <c r="J37" i="13"/>
  <c r="J39" i="13"/>
  <c r="J40" i="13"/>
  <c r="J41" i="13"/>
  <c r="J42" i="13"/>
  <c r="J43" i="13"/>
  <c r="J44" i="13"/>
  <c r="J45" i="13"/>
  <c r="J50" i="13"/>
  <c r="J52" i="13"/>
  <c r="J53" i="13"/>
  <c r="J54" i="13"/>
  <c r="J55" i="13"/>
  <c r="J3" i="13"/>
  <c r="D10" i="7" s="1"/>
  <c r="F10" i="7" s="1"/>
  <c r="K56"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F4" i="7"/>
  <c r="F3" i="7"/>
  <c r="D35" i="14"/>
  <c r="A1" i="28"/>
  <c r="A1" i="29"/>
  <c r="A1" i="9"/>
  <c r="A1" i="25"/>
  <c r="D13" i="7"/>
  <c r="D14" i="7"/>
  <c r="D15" i="7"/>
  <c r="D16" i="7"/>
  <c r="D11" i="7"/>
  <c r="D12" i="7"/>
  <c r="V18" i="20" l="1"/>
  <c r="V17" i="20"/>
  <c r="V16" i="20"/>
  <c r="V15" i="20"/>
  <c r="V14" i="20"/>
  <c r="V13" i="20"/>
  <c r="V12" i="20"/>
  <c r="V11" i="20"/>
  <c r="V10" i="20"/>
  <c r="V9" i="20"/>
  <c r="G57" i="13"/>
  <c r="B19" i="9" l="1"/>
  <c r="C8" i="9" s="1"/>
  <c r="B18" i="9"/>
  <c r="C11" i="9" s="1"/>
  <c r="G11" i="9" s="1"/>
  <c r="G9" i="9"/>
  <c r="G7" i="9"/>
  <c r="C10" i="9" l="1"/>
  <c r="G10" i="9" s="1"/>
  <c r="G13" i="9" s="1"/>
  <c r="B3" i="9" s="1"/>
  <c r="G8" i="9"/>
  <c r="G12" i="9" s="1"/>
  <c r="A3" i="9" s="1"/>
  <c r="G14" i="9" l="1"/>
  <c r="G25" i="28" l="1"/>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G22" i="28"/>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3" i="28"/>
  <c r="F24" i="28"/>
  <c r="F22" i="28"/>
  <c r="A19" i="28"/>
  <c r="A16" i="28"/>
  <c r="A13" i="28"/>
  <c r="A7" i="28"/>
  <c r="A22" i="28" s="1"/>
  <c r="A10" i="28" l="1"/>
  <c r="A25" i="28" s="1"/>
  <c r="B82" i="7" l="1"/>
  <c r="C11" i="7"/>
  <c r="C12" i="7"/>
  <c r="C13" i="7"/>
  <c r="C14" i="7"/>
  <c r="C15" i="7"/>
  <c r="C16" i="7"/>
  <c r="C17" i="7"/>
  <c r="C18" i="7"/>
  <c r="C19" i="7"/>
  <c r="C20" i="7"/>
  <c r="C21" i="7"/>
  <c r="C22" i="7"/>
  <c r="C23" i="7"/>
  <c r="C24" i="7"/>
  <c r="C25" i="7"/>
  <c r="C26" i="7"/>
  <c r="C27" i="7"/>
  <c r="C10" i="7"/>
  <c r="A10" i="7"/>
  <c r="F35" i="7"/>
  <c r="G35" i="7" s="1"/>
  <c r="F36" i="7"/>
  <c r="G36" i="7" s="1"/>
  <c r="F37" i="7"/>
  <c r="G37" i="7"/>
  <c r="F38" i="7"/>
  <c r="G38" i="7"/>
  <c r="F40" i="7"/>
  <c r="G40" i="7" s="1"/>
  <c r="F45" i="7"/>
  <c r="G45" i="7" s="1"/>
  <c r="F53" i="7"/>
  <c r="G53" i="7" s="1"/>
  <c r="F54" i="7"/>
  <c r="G54" i="7" s="1"/>
  <c r="F55" i="7"/>
  <c r="G55" i="7" s="1"/>
  <c r="F56" i="7"/>
  <c r="G56" i="7" s="1"/>
  <c r="F58" i="7"/>
  <c r="G58" i="7" s="1"/>
  <c r="F63" i="7"/>
  <c r="G63" i="7" s="1"/>
  <c r="A11" i="7" l="1"/>
  <c r="A12" i="7"/>
  <c r="A13" i="7"/>
  <c r="A14" i="7"/>
  <c r="A15" i="7"/>
  <c r="A16" i="7"/>
  <c r="A17" i="7"/>
  <c r="A18" i="7"/>
  <c r="A19" i="7"/>
  <c r="A20" i="7"/>
  <c r="A21" i="7"/>
  <c r="A22" i="7"/>
  <c r="A23" i="7"/>
  <c r="A24" i="7"/>
  <c r="A25" i="7"/>
  <c r="A26" i="7"/>
  <c r="A27" i="7"/>
  <c r="F27" i="7"/>
  <c r="G27" i="7" s="1"/>
  <c r="F26" i="7"/>
  <c r="G26" i="7" s="1"/>
  <c r="F25" i="7"/>
  <c r="G25" i="7" s="1"/>
  <c r="F24" i="7"/>
  <c r="G24" i="7" s="1"/>
  <c r="F23" i="7"/>
  <c r="G23" i="7" s="1"/>
  <c r="F22" i="7"/>
  <c r="G22" i="7" s="1"/>
  <c r="F21" i="7"/>
  <c r="G21" i="7" s="1"/>
  <c r="F20" i="7"/>
  <c r="G20" i="7" s="1"/>
  <c r="F19" i="7"/>
  <c r="G19" i="7" s="1"/>
  <c r="F18" i="7"/>
  <c r="F17" i="7"/>
  <c r="G17" i="7" s="1"/>
  <c r="F16" i="7"/>
  <c r="G16" i="7" s="1"/>
  <c r="F15" i="7"/>
  <c r="G15" i="7" s="1"/>
  <c r="F14" i="7"/>
  <c r="G14" i="7" s="1"/>
  <c r="F13" i="7"/>
  <c r="G13" i="7" s="1"/>
  <c r="F12" i="7"/>
  <c r="G12" i="7" s="1"/>
  <c r="F11" i="7"/>
  <c r="J20" i="18"/>
  <c r="J38" i="18"/>
  <c r="J56" i="18"/>
  <c r="I4" i="18"/>
  <c r="I5" i="18"/>
  <c r="I6" i="18"/>
  <c r="I7" i="18"/>
  <c r="I8" i="18"/>
  <c r="I9" i="18"/>
  <c r="I10" i="18"/>
  <c r="I11" i="18"/>
  <c r="I12" i="18"/>
  <c r="I14" i="18"/>
  <c r="I15" i="18"/>
  <c r="I16" i="18"/>
  <c r="I17" i="18"/>
  <c r="I18" i="18"/>
  <c r="I19" i="18"/>
  <c r="I20" i="18"/>
  <c r="I21" i="18"/>
  <c r="I22" i="18"/>
  <c r="I23" i="18"/>
  <c r="I24" i="18"/>
  <c r="I25" i="18"/>
  <c r="I26" i="18"/>
  <c r="I27" i="18"/>
  <c r="I28" i="18"/>
  <c r="I29" i="18"/>
  <c r="I30" i="18"/>
  <c r="I32" i="18"/>
  <c r="I33" i="18"/>
  <c r="I34" i="18"/>
  <c r="I35" i="18"/>
  <c r="I36" i="18"/>
  <c r="I37" i="18"/>
  <c r="I38" i="18"/>
  <c r="I39" i="18"/>
  <c r="I40" i="18"/>
  <c r="I41" i="18"/>
  <c r="I42" i="18"/>
  <c r="I43" i="18"/>
  <c r="I44" i="18"/>
  <c r="I45" i="18"/>
  <c r="I46" i="18"/>
  <c r="I47" i="18"/>
  <c r="I48" i="18"/>
  <c r="I50" i="18"/>
  <c r="I51" i="18"/>
  <c r="I52" i="18"/>
  <c r="I53" i="18"/>
  <c r="I54" i="18"/>
  <c r="I55" i="18"/>
  <c r="I56" i="18"/>
  <c r="I3" i="18"/>
  <c r="A50" i="13"/>
  <c r="A57" i="7" s="1"/>
  <c r="G11" i="7" l="1"/>
  <c r="G18" i="7"/>
  <c r="B71" i="7"/>
  <c r="C71" i="7" s="1"/>
  <c r="D71" i="7" s="1"/>
  <c r="E71" i="7" s="1"/>
  <c r="G10" i="7" l="1"/>
  <c r="A33" i="13" l="1"/>
  <c r="A27" i="13"/>
  <c r="A24" i="13"/>
  <c r="A31" i="7" s="1"/>
  <c r="A50" i="18"/>
  <c r="A24" i="18"/>
  <c r="A20" i="18"/>
  <c r="A4" i="18"/>
  <c r="A5" i="18"/>
  <c r="A6" i="18"/>
  <c r="A7" i="18"/>
  <c r="A8" i="18"/>
  <c r="A9" i="18"/>
  <c r="A10" i="18"/>
  <c r="A11" i="18"/>
  <c r="A12" i="18"/>
  <c r="A13" i="18"/>
  <c r="A14" i="18"/>
  <c r="A15" i="18"/>
  <c r="A16" i="18"/>
  <c r="A17" i="18"/>
  <c r="A18" i="18"/>
  <c r="A19" i="18"/>
  <c r="B4" i="18"/>
  <c r="G4" i="18" s="1"/>
  <c r="C4" i="18"/>
  <c r="H4" i="18" s="1"/>
  <c r="J4" i="18" s="1"/>
  <c r="B5" i="18"/>
  <c r="G5" i="18" s="1"/>
  <c r="C5" i="18"/>
  <c r="H5" i="18" s="1"/>
  <c r="B6" i="18"/>
  <c r="G6" i="18" s="1"/>
  <c r="C6" i="18"/>
  <c r="H6" i="18" s="1"/>
  <c r="J6" i="18" s="1"/>
  <c r="B7" i="18"/>
  <c r="G7" i="18" s="1"/>
  <c r="C7" i="18"/>
  <c r="H7" i="18" s="1"/>
  <c r="B8" i="18"/>
  <c r="G8" i="18" s="1"/>
  <c r="C8" i="18"/>
  <c r="H8" i="18" s="1"/>
  <c r="J8" i="18" s="1"/>
  <c r="B9" i="18"/>
  <c r="G9" i="18" s="1"/>
  <c r="C9" i="18"/>
  <c r="H9" i="18" s="1"/>
  <c r="B10" i="18"/>
  <c r="C10" i="18"/>
  <c r="H10" i="18" s="1"/>
  <c r="J10" i="18" s="1"/>
  <c r="B11" i="18"/>
  <c r="C11" i="18"/>
  <c r="H11" i="18" s="1"/>
  <c r="J11" i="18" s="1"/>
  <c r="B12" i="18"/>
  <c r="C12" i="18"/>
  <c r="H12" i="18" s="1"/>
  <c r="J12" i="18" s="1"/>
  <c r="B13" i="18"/>
  <c r="C13" i="18"/>
  <c r="H13" i="18" s="1"/>
  <c r="J13" i="18" s="1"/>
  <c r="B14" i="18"/>
  <c r="G14" i="18" s="1"/>
  <c r="C14" i="18"/>
  <c r="H14" i="18" s="1"/>
  <c r="J14" i="18" s="1"/>
  <c r="B15" i="18"/>
  <c r="C15" i="18"/>
  <c r="H15" i="18" s="1"/>
  <c r="J15" i="18" s="1"/>
  <c r="B16" i="18"/>
  <c r="G16" i="18" s="1"/>
  <c r="C16" i="18"/>
  <c r="H16" i="18" s="1"/>
  <c r="B17" i="18"/>
  <c r="G17" i="18" s="1"/>
  <c r="C17" i="18"/>
  <c r="H17" i="18" s="1"/>
  <c r="J17" i="18" s="1"/>
  <c r="B18" i="18"/>
  <c r="G18" i="18" s="1"/>
  <c r="C18" i="18"/>
  <c r="H18" i="18" s="1"/>
  <c r="J18" i="18" s="1"/>
  <c r="B19" i="18"/>
  <c r="G19" i="18" s="1"/>
  <c r="C19" i="18"/>
  <c r="H19" i="18" s="1"/>
  <c r="J19" i="18" s="1"/>
  <c r="B20" i="18"/>
  <c r="C20" i="18"/>
  <c r="C21" i="18"/>
  <c r="H21" i="18" s="1"/>
  <c r="C22" i="18"/>
  <c r="H22" i="18" s="1"/>
  <c r="C23" i="18"/>
  <c r="H23" i="18" s="1"/>
  <c r="C24" i="18"/>
  <c r="H24" i="18" s="1"/>
  <c r="C25" i="18"/>
  <c r="H25" i="18" s="1"/>
  <c r="C26" i="18"/>
  <c r="H26" i="18" s="1"/>
  <c r="C27" i="18"/>
  <c r="H27" i="18" s="1"/>
  <c r="C28" i="18"/>
  <c r="H28" i="18" s="1"/>
  <c r="J28" i="18" s="1"/>
  <c r="C29" i="18"/>
  <c r="H29" i="18" s="1"/>
  <c r="J29" i="18" s="1"/>
  <c r="C30" i="18"/>
  <c r="H30" i="18" s="1"/>
  <c r="J30" i="18" s="1"/>
  <c r="C31" i="18"/>
  <c r="H31" i="18" s="1"/>
  <c r="J31" i="18" s="1"/>
  <c r="C32" i="18"/>
  <c r="H32" i="18" s="1"/>
  <c r="C33" i="18"/>
  <c r="H33" i="18" s="1"/>
  <c r="J33" i="18" s="1"/>
  <c r="C34" i="18"/>
  <c r="H34" i="18" s="1"/>
  <c r="C35" i="18"/>
  <c r="H35" i="18" s="1"/>
  <c r="C36" i="18"/>
  <c r="H36" i="18" s="1"/>
  <c r="C37" i="18"/>
  <c r="H37" i="18" s="1"/>
  <c r="C38" i="18"/>
  <c r="C39" i="18"/>
  <c r="H39" i="18" s="1"/>
  <c r="C40" i="18"/>
  <c r="H40" i="18" s="1"/>
  <c r="C41" i="18"/>
  <c r="H41" i="18" s="1"/>
  <c r="C42" i="18"/>
  <c r="H42" i="18" s="1"/>
  <c r="C43" i="18"/>
  <c r="H43" i="18" s="1"/>
  <c r="C44" i="18"/>
  <c r="H44" i="18" s="1"/>
  <c r="C45" i="18"/>
  <c r="H45" i="18" s="1"/>
  <c r="C46" i="18"/>
  <c r="H46" i="18" s="1"/>
  <c r="J46" i="18" s="1"/>
  <c r="C47" i="18"/>
  <c r="H47" i="18" s="1"/>
  <c r="J47" i="18" s="1"/>
  <c r="C48" i="18"/>
  <c r="H48" i="18" s="1"/>
  <c r="J48" i="18" s="1"/>
  <c r="C49" i="18"/>
  <c r="H49" i="18" s="1"/>
  <c r="J49" i="18" s="1"/>
  <c r="C50" i="18"/>
  <c r="H50" i="18" s="1"/>
  <c r="C51" i="18"/>
  <c r="H51" i="18" s="1"/>
  <c r="J51" i="18" s="1"/>
  <c r="C52" i="18"/>
  <c r="H52" i="18" s="1"/>
  <c r="C53" i="18"/>
  <c r="H53" i="18" s="1"/>
  <c r="C54" i="18"/>
  <c r="H54" i="18" s="1"/>
  <c r="C55" i="18"/>
  <c r="H55" i="18" s="1"/>
  <c r="C56" i="18"/>
  <c r="B3" i="18"/>
  <c r="G3" i="18" s="1"/>
  <c r="C3" i="18"/>
  <c r="H3" i="18" s="1"/>
  <c r="A3" i="18"/>
  <c r="J7" i="18" l="1"/>
  <c r="J3" i="18"/>
  <c r="J16" i="18"/>
  <c r="J5" i="18"/>
  <c r="A33" i="18"/>
  <c r="A40" i="7"/>
  <c r="A27" i="18"/>
  <c r="A34" i="7"/>
  <c r="J9" i="18"/>
  <c r="F3" i="13"/>
  <c r="F55" i="13"/>
  <c r="A40" i="13"/>
  <c r="A41" i="13"/>
  <c r="A42" i="13"/>
  <c r="A43" i="13"/>
  <c r="A44" i="13"/>
  <c r="A45" i="13"/>
  <c r="A46" i="13"/>
  <c r="A47" i="13"/>
  <c r="A48" i="13"/>
  <c r="A49" i="13"/>
  <c r="A51" i="13"/>
  <c r="A52" i="13"/>
  <c r="A53" i="13"/>
  <c r="A54" i="13"/>
  <c r="A55" i="13"/>
  <c r="A56" i="13"/>
  <c r="A39" i="13"/>
  <c r="A22" i="13"/>
  <c r="A23" i="13"/>
  <c r="A25" i="13"/>
  <c r="A26" i="13"/>
  <c r="A28" i="13"/>
  <c r="A29" i="13"/>
  <c r="A30" i="13"/>
  <c r="A31" i="13"/>
  <c r="A32" i="13"/>
  <c r="A34" i="13"/>
  <c r="A35" i="13"/>
  <c r="A36" i="13"/>
  <c r="A37" i="13"/>
  <c r="A38" i="13"/>
  <c r="A21" i="13"/>
  <c r="A54" i="7" l="1"/>
  <c r="A47" i="18"/>
  <c r="A60" i="7"/>
  <c r="A53" i="18"/>
  <c r="A58" i="7"/>
  <c r="A51" i="18"/>
  <c r="A28" i="7"/>
  <c r="A21" i="18"/>
  <c r="A38" i="18"/>
  <c r="A45" i="7"/>
  <c r="A44" i="7"/>
  <c r="A37" i="18"/>
  <c r="A53" i="7"/>
  <c r="A46" i="18"/>
  <c r="A52" i="7"/>
  <c r="A45" i="18"/>
  <c r="A51" i="7"/>
  <c r="A44" i="18"/>
  <c r="A50" i="7"/>
  <c r="A43" i="18"/>
  <c r="A38" i="7"/>
  <c r="A31" i="18"/>
  <c r="A37" i="7"/>
  <c r="A30" i="18"/>
  <c r="A33" i="7"/>
  <c r="A26" i="18"/>
  <c r="A32" i="7"/>
  <c r="A25" i="18"/>
  <c r="A29" i="7"/>
  <c r="A22" i="18"/>
  <c r="A56" i="18"/>
  <c r="A63" i="7"/>
  <c r="A56" i="7"/>
  <c r="A49" i="18"/>
  <c r="A43" i="7"/>
  <c r="A36" i="18"/>
  <c r="A41" i="7"/>
  <c r="A34" i="18"/>
  <c r="A48" i="7"/>
  <c r="A41" i="18"/>
  <c r="A47" i="7"/>
  <c r="A40" i="18"/>
  <c r="A30" i="7"/>
  <c r="A23" i="18"/>
  <c r="A62" i="7"/>
  <c r="A55" i="18"/>
  <c r="A59" i="7"/>
  <c r="A52" i="18"/>
  <c r="A55" i="7"/>
  <c r="A48" i="18"/>
  <c r="A42" i="7"/>
  <c r="A35" i="18"/>
  <c r="A39" i="7"/>
  <c r="A32" i="18"/>
  <c r="A49" i="7"/>
  <c r="A42" i="18"/>
  <c r="A36" i="7"/>
  <c r="A29" i="18"/>
  <c r="A35" i="7"/>
  <c r="A28" i="18"/>
  <c r="A46" i="7"/>
  <c r="A39" i="18"/>
  <c r="A61" i="7"/>
  <c r="A54" i="18"/>
  <c r="F4" i="13"/>
  <c r="F5" i="13"/>
  <c r="F6" i="13"/>
  <c r="F7" i="13"/>
  <c r="F8" i="13"/>
  <c r="F9" i="13"/>
  <c r="F10" i="13"/>
  <c r="F11" i="13"/>
  <c r="F12" i="13"/>
  <c r="F13" i="13"/>
  <c r="F14" i="13"/>
  <c r="F15" i="13"/>
  <c r="F16" i="13"/>
  <c r="F17" i="13"/>
  <c r="F18" i="13"/>
  <c r="F19" i="13"/>
  <c r="F21" i="13"/>
  <c r="F22" i="13"/>
  <c r="F23" i="13"/>
  <c r="F24" i="13"/>
  <c r="F25" i="13"/>
  <c r="F26" i="13"/>
  <c r="F27" i="13"/>
  <c r="F28" i="13"/>
  <c r="F29" i="13"/>
  <c r="F30" i="13"/>
  <c r="F31" i="13"/>
  <c r="F32" i="13"/>
  <c r="F33" i="13"/>
  <c r="F34" i="13"/>
  <c r="F35" i="13"/>
  <c r="F36" i="13"/>
  <c r="F37" i="13"/>
  <c r="F39" i="13"/>
  <c r="F40" i="13"/>
  <c r="F41" i="13"/>
  <c r="F42" i="13"/>
  <c r="F43" i="13"/>
  <c r="F44" i="13"/>
  <c r="F45" i="13"/>
  <c r="F46" i="13"/>
  <c r="F47" i="13"/>
  <c r="F48" i="13"/>
  <c r="F49" i="13"/>
  <c r="F50" i="13"/>
  <c r="F51" i="13"/>
  <c r="F52" i="13"/>
  <c r="F53" i="13"/>
  <c r="F54" i="13"/>
  <c r="F57" i="13" l="1"/>
  <c r="J18" i="1"/>
  <c r="K18" i="1"/>
  <c r="L18" i="1"/>
  <c r="M18" i="1"/>
  <c r="N18" i="1"/>
  <c r="O18" i="1"/>
  <c r="P18" i="1"/>
  <c r="Q18" i="1"/>
  <c r="R18" i="1"/>
  <c r="S18" i="1"/>
  <c r="T18" i="1"/>
  <c r="U18" i="1"/>
  <c r="V18" i="1"/>
  <c r="W18" i="1"/>
  <c r="X18" i="1"/>
  <c r="J19" i="1"/>
  <c r="K19" i="1"/>
  <c r="L19" i="1"/>
  <c r="M19" i="1"/>
  <c r="N19" i="1"/>
  <c r="O19" i="1"/>
  <c r="P19" i="1"/>
  <c r="Q19" i="1"/>
  <c r="R19" i="1"/>
  <c r="S19" i="1"/>
  <c r="T19" i="1"/>
  <c r="U19" i="1"/>
  <c r="V19" i="1"/>
  <c r="W19" i="1"/>
  <c r="X19" i="1"/>
  <c r="I19" i="1"/>
  <c r="I18" i="1"/>
  <c r="J13" i="1"/>
  <c r="K13" i="1"/>
  <c r="L13" i="1"/>
  <c r="M13" i="1"/>
  <c r="N13" i="1"/>
  <c r="O13" i="1"/>
  <c r="P13" i="1"/>
  <c r="Q13" i="1"/>
  <c r="R13" i="1"/>
  <c r="S13" i="1"/>
  <c r="T13" i="1"/>
  <c r="U13" i="1"/>
  <c r="V13" i="1"/>
  <c r="W13" i="1"/>
  <c r="X13" i="1"/>
  <c r="J14" i="1"/>
  <c r="K14" i="1"/>
  <c r="L14" i="1"/>
  <c r="M14" i="1"/>
  <c r="N14" i="1"/>
  <c r="O14" i="1"/>
  <c r="P14" i="1"/>
  <c r="Q14" i="1"/>
  <c r="R14" i="1"/>
  <c r="S14" i="1"/>
  <c r="T14" i="1"/>
  <c r="U14" i="1"/>
  <c r="V14" i="1"/>
  <c r="W14" i="1"/>
  <c r="X14" i="1"/>
  <c r="I14" i="1"/>
  <c r="I13" i="1"/>
  <c r="D41" i="18"/>
  <c r="E41" i="18"/>
  <c r="D42" i="18"/>
  <c r="E42" i="18"/>
  <c r="D43" i="18"/>
  <c r="E43" i="18"/>
  <c r="D44" i="18"/>
  <c r="E44" i="18"/>
  <c r="D45" i="18"/>
  <c r="E45" i="18"/>
  <c r="D46" i="18"/>
  <c r="E46" i="18"/>
  <c r="D47" i="18"/>
  <c r="E47" i="18"/>
  <c r="D48" i="18"/>
  <c r="E48" i="18"/>
  <c r="D49" i="18"/>
  <c r="E49" i="18"/>
  <c r="D50" i="18"/>
  <c r="E50" i="18"/>
  <c r="D51" i="18"/>
  <c r="E51" i="18"/>
  <c r="D52" i="18"/>
  <c r="E52" i="18"/>
  <c r="D53" i="18"/>
  <c r="E53" i="18"/>
  <c r="D54" i="18"/>
  <c r="E54" i="18"/>
  <c r="D55" i="18"/>
  <c r="E55" i="18"/>
  <c r="D56" i="18"/>
  <c r="E56" i="18"/>
  <c r="D26" i="18"/>
  <c r="E26" i="18"/>
  <c r="D27" i="18"/>
  <c r="E27" i="18"/>
  <c r="D28" i="18"/>
  <c r="E28" i="18"/>
  <c r="D29" i="18"/>
  <c r="E29" i="18"/>
  <c r="D30" i="18"/>
  <c r="E30" i="18"/>
  <c r="D31" i="18"/>
  <c r="E31" i="18"/>
  <c r="D32" i="18"/>
  <c r="E32" i="18"/>
  <c r="D33" i="18"/>
  <c r="E33" i="18"/>
  <c r="D34" i="18"/>
  <c r="E34" i="18"/>
  <c r="D35" i="18"/>
  <c r="E35" i="18"/>
  <c r="D36" i="18"/>
  <c r="E36" i="18"/>
  <c r="D37" i="18"/>
  <c r="E37" i="18"/>
  <c r="D38" i="18"/>
  <c r="E38" i="18"/>
  <c r="I86" i="29" l="1"/>
  <c r="G86" i="29"/>
  <c r="H86" i="29"/>
  <c r="L60" i="29"/>
  <c r="U60" i="29" s="1"/>
  <c r="H40" i="29"/>
  <c r="F55" i="21" l="1"/>
  <c r="J55" i="21" s="1"/>
  <c r="F64" i="21"/>
  <c r="J64" i="21" s="1"/>
  <c r="D65" i="21"/>
  <c r="H65" i="21" s="1"/>
  <c r="E65" i="21"/>
  <c r="I65" i="21" s="1"/>
  <c r="F65" i="21"/>
  <c r="J65" i="21" s="1"/>
  <c r="D35" i="21"/>
  <c r="H35" i="21" s="1"/>
  <c r="Q36" i="21"/>
  <c r="C36" i="21" s="1"/>
  <c r="G36" i="21" s="1"/>
  <c r="Q37" i="21"/>
  <c r="C37" i="21" s="1"/>
  <c r="G37" i="21" s="1"/>
  <c r="Q38" i="21"/>
  <c r="E38" i="21" s="1"/>
  <c r="I38" i="21" s="1"/>
  <c r="Q39" i="21"/>
  <c r="D39" i="21" s="1"/>
  <c r="H39" i="21" s="1"/>
  <c r="Q40" i="21"/>
  <c r="C40" i="21" s="1"/>
  <c r="G40" i="21" s="1"/>
  <c r="Q41" i="21"/>
  <c r="C41" i="21" s="1"/>
  <c r="G41" i="21" s="1"/>
  <c r="Q42" i="21"/>
  <c r="C42" i="21" s="1"/>
  <c r="G42" i="21" s="1"/>
  <c r="Q43" i="21"/>
  <c r="D43" i="21" s="1"/>
  <c r="H43" i="21" s="1"/>
  <c r="Q44" i="21"/>
  <c r="D44" i="21" s="1"/>
  <c r="H44" i="21" s="1"/>
  <c r="Q45" i="21"/>
  <c r="F45" i="21" s="1"/>
  <c r="J45" i="21" s="1"/>
  <c r="Q46" i="21"/>
  <c r="C46" i="21" s="1"/>
  <c r="G46" i="21" s="1"/>
  <c r="Q47" i="21"/>
  <c r="E47" i="21" s="1"/>
  <c r="I47" i="21" s="1"/>
  <c r="Q48" i="21"/>
  <c r="C48" i="21" s="1"/>
  <c r="G48" i="21" s="1"/>
  <c r="Q49" i="21"/>
  <c r="C49" i="21" s="1"/>
  <c r="G49" i="21" s="1"/>
  <c r="Q50" i="21"/>
  <c r="C50" i="21" s="1"/>
  <c r="G50" i="21" s="1"/>
  <c r="Q51" i="21"/>
  <c r="C51" i="21" s="1"/>
  <c r="G51" i="21" s="1"/>
  <c r="Q52" i="21"/>
  <c r="C52" i="21" s="1"/>
  <c r="G52" i="21" s="1"/>
  <c r="Q53" i="21"/>
  <c r="C53" i="21" s="1"/>
  <c r="G53" i="21" s="1"/>
  <c r="Q54" i="21"/>
  <c r="E54" i="21" s="1"/>
  <c r="I54" i="21" s="1"/>
  <c r="Q55" i="21"/>
  <c r="C55" i="21" s="1"/>
  <c r="G55" i="21" s="1"/>
  <c r="Q56" i="21"/>
  <c r="C56" i="21" s="1"/>
  <c r="G56" i="21" s="1"/>
  <c r="Q57" i="21"/>
  <c r="E57" i="21" s="1"/>
  <c r="I57" i="21" s="1"/>
  <c r="Q58" i="21"/>
  <c r="E58" i="21" s="1"/>
  <c r="I58" i="21" s="1"/>
  <c r="Q59" i="21"/>
  <c r="F59" i="21" s="1"/>
  <c r="J59" i="21" s="1"/>
  <c r="Q60" i="21"/>
  <c r="D60" i="21" s="1"/>
  <c r="H60" i="21" s="1"/>
  <c r="Q61" i="21"/>
  <c r="C61" i="21" s="1"/>
  <c r="G61" i="21" s="1"/>
  <c r="Q62" i="21"/>
  <c r="C62" i="21" s="1"/>
  <c r="G62" i="21" s="1"/>
  <c r="Q63" i="21"/>
  <c r="E63" i="21" s="1"/>
  <c r="I63" i="21" s="1"/>
  <c r="Q64" i="21"/>
  <c r="D64" i="21" s="1"/>
  <c r="H64" i="21" s="1"/>
  <c r="Q65" i="21"/>
  <c r="C65" i="21" s="1"/>
  <c r="G65" i="21" s="1"/>
  <c r="Q66" i="21"/>
  <c r="C66" i="21" s="1"/>
  <c r="G66" i="21" s="1"/>
  <c r="Q67" i="21"/>
  <c r="C67" i="21" s="1"/>
  <c r="G67" i="21" s="1"/>
  <c r="Q68" i="21"/>
  <c r="C68" i="21" s="1"/>
  <c r="G68" i="21" s="1"/>
  <c r="Q35" i="21"/>
  <c r="E35" i="21" s="1"/>
  <c r="I35" i="21" s="1"/>
  <c r="E49" i="13"/>
  <c r="I49" i="13"/>
  <c r="C56" i="7" s="1"/>
  <c r="B49" i="18"/>
  <c r="E50" i="13"/>
  <c r="I50" i="13"/>
  <c r="C57" i="7" s="1"/>
  <c r="E47" i="13"/>
  <c r="I47" i="13"/>
  <c r="C54" i="7" s="1"/>
  <c r="B47" i="18"/>
  <c r="E48" i="13"/>
  <c r="I48" i="13"/>
  <c r="C55" i="7" s="1"/>
  <c r="B48" i="18"/>
  <c r="E29" i="13"/>
  <c r="I29" i="13"/>
  <c r="C36" i="7" s="1"/>
  <c r="B29" i="18"/>
  <c r="E30" i="13"/>
  <c r="I30" i="13"/>
  <c r="C37" i="7" s="1"/>
  <c r="B30" i="18"/>
  <c r="E31" i="13"/>
  <c r="I31" i="13"/>
  <c r="C38" i="7" s="1"/>
  <c r="B31" i="18"/>
  <c r="E32" i="13"/>
  <c r="I32" i="13"/>
  <c r="C39" i="7" s="1"/>
  <c r="D57" i="7" l="1"/>
  <c r="F57" i="7" s="1"/>
  <c r="G57" i="7" s="1"/>
  <c r="B50" i="18"/>
  <c r="G50" i="18" s="1"/>
  <c r="J50" i="18" s="1"/>
  <c r="D39" i="7"/>
  <c r="F39" i="7" s="1"/>
  <c r="G39" i="7" s="1"/>
  <c r="B32" i="18"/>
  <c r="G32" i="18" s="1"/>
  <c r="J32" i="18" s="1"/>
  <c r="F54" i="21"/>
  <c r="J54" i="21" s="1"/>
  <c r="D45" i="21"/>
  <c r="H45" i="21" s="1"/>
  <c r="C45" i="21"/>
  <c r="G45" i="21" s="1"/>
  <c r="F44" i="21"/>
  <c r="J44" i="21" s="1"/>
  <c r="E44" i="21"/>
  <c r="I44" i="21" s="1"/>
  <c r="C60" i="21"/>
  <c r="G60" i="21" s="1"/>
  <c r="E55" i="21"/>
  <c r="I55" i="21" s="1"/>
  <c r="D55" i="21"/>
  <c r="H55" i="21" s="1"/>
  <c r="F50" i="21"/>
  <c r="J50" i="21" s="1"/>
  <c r="E50" i="21"/>
  <c r="I50" i="21" s="1"/>
  <c r="D50" i="21"/>
  <c r="H50" i="21" s="1"/>
  <c r="F49" i="21"/>
  <c r="J49" i="21" s="1"/>
  <c r="E49" i="21"/>
  <c r="I49" i="21" s="1"/>
  <c r="C35" i="21"/>
  <c r="G35" i="21" s="1"/>
  <c r="D49" i="21"/>
  <c r="H49" i="21" s="1"/>
  <c r="F35" i="21"/>
  <c r="J35" i="21" s="1"/>
  <c r="E45" i="21"/>
  <c r="I45" i="21" s="1"/>
  <c r="C64" i="21"/>
  <c r="G64" i="21" s="1"/>
  <c r="F42" i="21"/>
  <c r="J42" i="21" s="1"/>
  <c r="F62" i="21"/>
  <c r="J62" i="21" s="1"/>
  <c r="E42" i="21"/>
  <c r="I42" i="21" s="1"/>
  <c r="C44" i="21"/>
  <c r="G44" i="21" s="1"/>
  <c r="D63" i="21"/>
  <c r="H63" i="21" s="1"/>
  <c r="E62" i="21"/>
  <c r="I62" i="21" s="1"/>
  <c r="D42" i="21"/>
  <c r="H42" i="21" s="1"/>
  <c r="E64" i="21"/>
  <c r="I64" i="21" s="1"/>
  <c r="C63" i="21"/>
  <c r="G63" i="21" s="1"/>
  <c r="D62" i="21"/>
  <c r="H62" i="21" s="1"/>
  <c r="F48" i="21"/>
  <c r="J48" i="21" s="1"/>
  <c r="F43" i="21"/>
  <c r="J43" i="21" s="1"/>
  <c r="F63" i="21"/>
  <c r="J63" i="21" s="1"/>
  <c r="C43" i="21"/>
  <c r="G43" i="21" s="1"/>
  <c r="F41" i="21"/>
  <c r="J41" i="21" s="1"/>
  <c r="F61" i="21"/>
  <c r="J61" i="21" s="1"/>
  <c r="D48" i="21"/>
  <c r="H48" i="21" s="1"/>
  <c r="F40" i="21"/>
  <c r="J40" i="21" s="1"/>
  <c r="E43" i="21"/>
  <c r="I43" i="21" s="1"/>
  <c r="E48" i="21"/>
  <c r="I48" i="21" s="1"/>
  <c r="F68" i="21"/>
  <c r="J68" i="21" s="1"/>
  <c r="F60" i="21"/>
  <c r="J60" i="21" s="1"/>
  <c r="E40" i="21"/>
  <c r="I40" i="21" s="1"/>
  <c r="E68" i="21"/>
  <c r="I68" i="21" s="1"/>
  <c r="E60" i="21"/>
  <c r="I60" i="21" s="1"/>
  <c r="F47" i="21"/>
  <c r="J47" i="21" s="1"/>
  <c r="D40" i="21"/>
  <c r="H40" i="21" s="1"/>
  <c r="D68" i="21"/>
  <c r="H68" i="21" s="1"/>
  <c r="F39" i="21"/>
  <c r="J39" i="21" s="1"/>
  <c r="E59" i="21"/>
  <c r="I59" i="21" s="1"/>
  <c r="F53" i="21"/>
  <c r="J53" i="21" s="1"/>
  <c r="F38" i="21"/>
  <c r="J38" i="21" s="1"/>
  <c r="D53" i="21"/>
  <c r="H53" i="21" s="1"/>
  <c r="C58" i="21"/>
  <c r="G58" i="21" s="1"/>
  <c r="C38" i="21"/>
  <c r="G38" i="21" s="1"/>
  <c r="F67" i="21"/>
  <c r="J67" i="21" s="1"/>
  <c r="F52" i="21"/>
  <c r="J52" i="21" s="1"/>
  <c r="E52" i="21"/>
  <c r="I52" i="21" s="1"/>
  <c r="D67" i="21"/>
  <c r="H67" i="21" s="1"/>
  <c r="D57" i="21"/>
  <c r="H57" i="21" s="1"/>
  <c r="D52" i="21"/>
  <c r="H52" i="21" s="1"/>
  <c r="D47" i="21"/>
  <c r="H47" i="21" s="1"/>
  <c r="D37" i="21"/>
  <c r="H37" i="21" s="1"/>
  <c r="C57" i="21"/>
  <c r="G57" i="21" s="1"/>
  <c r="C47" i="21"/>
  <c r="G47" i="21" s="1"/>
  <c r="F66" i="21"/>
  <c r="J66" i="21" s="1"/>
  <c r="F56" i="21"/>
  <c r="J56" i="21" s="1"/>
  <c r="F51" i="21"/>
  <c r="J51" i="21" s="1"/>
  <c r="F46" i="21"/>
  <c r="J46" i="21" s="1"/>
  <c r="F36" i="21"/>
  <c r="J36" i="21" s="1"/>
  <c r="E66" i="21"/>
  <c r="I66" i="21" s="1"/>
  <c r="E61" i="21"/>
  <c r="I61" i="21" s="1"/>
  <c r="E56" i="21"/>
  <c r="I56" i="21" s="1"/>
  <c r="E51" i="21"/>
  <c r="I51" i="21" s="1"/>
  <c r="E46" i="21"/>
  <c r="I46" i="21" s="1"/>
  <c r="E41" i="21"/>
  <c r="I41" i="21" s="1"/>
  <c r="E36" i="21"/>
  <c r="I36" i="21" s="1"/>
  <c r="E39" i="21"/>
  <c r="I39" i="21" s="1"/>
  <c r="D59" i="21"/>
  <c r="H59" i="21" s="1"/>
  <c r="D54" i="21"/>
  <c r="H54" i="21" s="1"/>
  <c r="C59" i="21"/>
  <c r="G59" i="21" s="1"/>
  <c r="C54" i="21"/>
  <c r="G54" i="21" s="1"/>
  <c r="C39" i="21"/>
  <c r="G39" i="21" s="1"/>
  <c r="F58" i="21"/>
  <c r="J58" i="21" s="1"/>
  <c r="E53" i="21"/>
  <c r="I53" i="21" s="1"/>
  <c r="D58" i="21"/>
  <c r="H58" i="21" s="1"/>
  <c r="D38" i="21"/>
  <c r="H38" i="21" s="1"/>
  <c r="F57" i="21"/>
  <c r="J57" i="21" s="1"/>
  <c r="F37" i="21"/>
  <c r="J37" i="21" s="1"/>
  <c r="E67" i="21"/>
  <c r="I67" i="21" s="1"/>
  <c r="E37" i="21"/>
  <c r="I37" i="21" s="1"/>
  <c r="D66" i="21"/>
  <c r="H66" i="21" s="1"/>
  <c r="D61" i="21"/>
  <c r="H61" i="21" s="1"/>
  <c r="D56" i="21"/>
  <c r="H56" i="21" s="1"/>
  <c r="D51" i="21"/>
  <c r="H51" i="21" s="1"/>
  <c r="D46" i="21"/>
  <c r="H46" i="21" s="1"/>
  <c r="D41" i="21"/>
  <c r="H41" i="21" s="1"/>
  <c r="D36" i="21"/>
  <c r="H36" i="21" s="1"/>
  <c r="B21" i="18" l="1"/>
  <c r="G21" i="18" s="1"/>
  <c r="J21" i="18" s="1"/>
  <c r="B39" i="18"/>
  <c r="G39" i="18" s="1"/>
  <c r="J39" i="18" s="1"/>
  <c r="D40" i="18"/>
  <c r="E40" i="18"/>
  <c r="E39" i="18"/>
  <c r="D39" i="18"/>
  <c r="D22" i="18" l="1"/>
  <c r="E22" i="18"/>
  <c r="D23" i="18"/>
  <c r="E23" i="18"/>
  <c r="D24" i="18"/>
  <c r="E24" i="18"/>
  <c r="D25" i="18"/>
  <c r="E25" i="18"/>
  <c r="E21" i="18"/>
  <c r="D21" i="18"/>
  <c r="I40" i="13" l="1"/>
  <c r="C47" i="7" s="1"/>
  <c r="I41" i="13"/>
  <c r="C48" i="7" s="1"/>
  <c r="I42" i="13"/>
  <c r="C49" i="7" s="1"/>
  <c r="I43" i="13"/>
  <c r="C50" i="7" s="1"/>
  <c r="I44" i="13"/>
  <c r="C51" i="7" s="1"/>
  <c r="I45" i="13"/>
  <c r="C52" i="7" s="1"/>
  <c r="I46" i="13"/>
  <c r="C53" i="7" s="1"/>
  <c r="B46" i="18"/>
  <c r="I51" i="13"/>
  <c r="C58" i="7" s="1"/>
  <c r="B51" i="18"/>
  <c r="I52" i="13"/>
  <c r="C59" i="7" s="1"/>
  <c r="I53" i="13"/>
  <c r="C60" i="7" s="1"/>
  <c r="I54" i="13"/>
  <c r="C61" i="7" s="1"/>
  <c r="I55" i="13"/>
  <c r="C62" i="7" s="1"/>
  <c r="I56" i="13"/>
  <c r="I39" i="13"/>
  <c r="I22" i="13"/>
  <c r="C29" i="7" s="1"/>
  <c r="I23" i="13"/>
  <c r="C30" i="7" s="1"/>
  <c r="I24" i="13"/>
  <c r="I25" i="13"/>
  <c r="C32" i="7" s="1"/>
  <c r="I28" i="13"/>
  <c r="C35" i="7" s="1"/>
  <c r="B28" i="18"/>
  <c r="I33" i="13"/>
  <c r="C40" i="7" s="1"/>
  <c r="B33" i="18"/>
  <c r="I35" i="13"/>
  <c r="C42" i="7" s="1"/>
  <c r="I36" i="13"/>
  <c r="I37" i="13"/>
  <c r="C44" i="7" s="1"/>
  <c r="I38" i="13"/>
  <c r="C45" i="7" s="1"/>
  <c r="B38" i="18"/>
  <c r="I21" i="13"/>
  <c r="E40" i="13"/>
  <c r="E41" i="13"/>
  <c r="E42" i="13"/>
  <c r="E43" i="13"/>
  <c r="E44" i="13"/>
  <c r="E45" i="13"/>
  <c r="E46" i="13"/>
  <c r="E51" i="13"/>
  <c r="E52" i="13"/>
  <c r="E53" i="13"/>
  <c r="E54" i="13"/>
  <c r="E55" i="13"/>
  <c r="E56" i="13"/>
  <c r="E34" i="13" s="1"/>
  <c r="E39" i="13"/>
  <c r="E22" i="13"/>
  <c r="E23" i="13"/>
  <c r="E24" i="13"/>
  <c r="E26" i="13" s="1"/>
  <c r="E25" i="13"/>
  <c r="E28" i="13"/>
  <c r="E33" i="13"/>
  <c r="E35" i="13"/>
  <c r="E36" i="13"/>
  <c r="E27" i="13" s="1"/>
  <c r="E37" i="13"/>
  <c r="E38" i="13"/>
  <c r="E21" i="13"/>
  <c r="D61" i="7" l="1"/>
  <c r="F61" i="7" s="1"/>
  <c r="G61" i="7" s="1"/>
  <c r="B54" i="18"/>
  <c r="G54" i="18" s="1"/>
  <c r="J54" i="18" s="1"/>
  <c r="D42" i="7"/>
  <c r="F42" i="7" s="1"/>
  <c r="G42" i="7" s="1"/>
  <c r="B35" i="18"/>
  <c r="G35" i="18" s="1"/>
  <c r="J35" i="18" s="1"/>
  <c r="D59" i="7"/>
  <c r="F59" i="7" s="1"/>
  <c r="G59" i="7" s="1"/>
  <c r="B52" i="18"/>
  <c r="G52" i="18" s="1"/>
  <c r="J52" i="18" s="1"/>
  <c r="D51" i="7"/>
  <c r="F51" i="7" s="1"/>
  <c r="G51" i="7" s="1"/>
  <c r="B44" i="18"/>
  <c r="G44" i="18" s="1"/>
  <c r="J44" i="18" s="1"/>
  <c r="D50" i="7"/>
  <c r="F50" i="7" s="1"/>
  <c r="G50" i="7" s="1"/>
  <c r="B43" i="18"/>
  <c r="G43" i="18" s="1"/>
  <c r="J43" i="18" s="1"/>
  <c r="D29" i="7"/>
  <c r="F29" i="7" s="1"/>
  <c r="G29" i="7" s="1"/>
  <c r="B22" i="18"/>
  <c r="G22" i="18" s="1"/>
  <c r="J22" i="18" s="1"/>
  <c r="D49" i="7"/>
  <c r="F49" i="7" s="1"/>
  <c r="G49" i="7" s="1"/>
  <c r="B42" i="18"/>
  <c r="G42" i="18" s="1"/>
  <c r="J42" i="18" s="1"/>
  <c r="C46" i="7"/>
  <c r="D46" i="7"/>
  <c r="F46" i="7" s="1"/>
  <c r="G46" i="7" s="1"/>
  <c r="D60" i="7"/>
  <c r="F60" i="7" s="1"/>
  <c r="G60" i="7" s="1"/>
  <c r="B53" i="18"/>
  <c r="G53" i="18" s="1"/>
  <c r="J53" i="18" s="1"/>
  <c r="D52" i="7"/>
  <c r="F52" i="7" s="1"/>
  <c r="G52" i="7" s="1"/>
  <c r="B45" i="18"/>
  <c r="G45" i="18" s="1"/>
  <c r="J45" i="18" s="1"/>
  <c r="D31" i="7"/>
  <c r="F31" i="7" s="1"/>
  <c r="G31" i="7" s="1"/>
  <c r="B24" i="18"/>
  <c r="G24" i="18" s="1"/>
  <c r="J24" i="18" s="1"/>
  <c r="I26" i="13"/>
  <c r="C33" i="7" s="1"/>
  <c r="C31" i="7"/>
  <c r="D30" i="7"/>
  <c r="F30" i="7" s="1"/>
  <c r="G30" i="7" s="1"/>
  <c r="B23" i="18"/>
  <c r="G23" i="18" s="1"/>
  <c r="J23" i="18" s="1"/>
  <c r="B56" i="18"/>
  <c r="D48" i="7"/>
  <c r="F48" i="7" s="1"/>
  <c r="G48" i="7" s="1"/>
  <c r="B41" i="18"/>
  <c r="G41" i="18" s="1"/>
  <c r="J41" i="18" s="1"/>
  <c r="D62" i="7"/>
  <c r="F62" i="7" s="1"/>
  <c r="G62" i="7" s="1"/>
  <c r="B55" i="18"/>
  <c r="G55" i="18" s="1"/>
  <c r="J55" i="18" s="1"/>
  <c r="D47" i="7"/>
  <c r="F47" i="7" s="1"/>
  <c r="G47" i="7" s="1"/>
  <c r="B40" i="18"/>
  <c r="G40" i="18" s="1"/>
  <c r="J40" i="18" s="1"/>
  <c r="D43" i="7"/>
  <c r="F43" i="7" s="1"/>
  <c r="G43" i="7" s="1"/>
  <c r="B36" i="18"/>
  <c r="G36" i="18" s="1"/>
  <c r="J36" i="18" s="1"/>
  <c r="I27" i="13"/>
  <c r="C34" i="7" s="1"/>
  <c r="C43" i="7"/>
  <c r="D32" i="7"/>
  <c r="F32" i="7" s="1"/>
  <c r="G32" i="7" s="1"/>
  <c r="B25" i="18"/>
  <c r="G25" i="18" s="1"/>
  <c r="J25" i="18" s="1"/>
  <c r="C28" i="7"/>
  <c r="D28" i="7"/>
  <c r="F28" i="7" s="1"/>
  <c r="I34" i="13"/>
  <c r="C41" i="7" s="1"/>
  <c r="C63" i="7"/>
  <c r="D44" i="7"/>
  <c r="F44" i="7" s="1"/>
  <c r="G44" i="7" s="1"/>
  <c r="B37" i="18"/>
  <c r="G37" i="18" s="1"/>
  <c r="J37" i="18" s="1"/>
  <c r="K17" i="14"/>
  <c r="K23" i="14"/>
  <c r="K20" i="14"/>
  <c r="A63" i="29"/>
  <c r="A64" i="29" s="1"/>
  <c r="A65" i="29" s="1"/>
  <c r="A66" i="29" s="1"/>
  <c r="A67" i="29" s="1"/>
  <c r="A68" i="29" s="1"/>
  <c r="A69" i="29" s="1"/>
  <c r="A70" i="29" s="1"/>
  <c r="A71" i="29" s="1"/>
  <c r="A72" i="29" s="1"/>
  <c r="A73" i="29" s="1"/>
  <c r="A74" i="29" s="1"/>
  <c r="A75" i="29" s="1"/>
  <c r="A76" i="29" s="1"/>
  <c r="A77" i="29" s="1"/>
  <c r="A78" i="29" s="1"/>
  <c r="A79" i="29" s="1"/>
  <c r="A80" i="29" s="1"/>
  <c r="A81" i="29" s="1"/>
  <c r="A82" i="29" s="1"/>
  <c r="A83" i="29" s="1"/>
  <c r="A84" i="29" s="1"/>
  <c r="A85" i="29" s="1"/>
  <c r="C86" i="29"/>
  <c r="D86" i="29"/>
  <c r="E86" i="29"/>
  <c r="D33" i="7" l="1"/>
  <c r="F33" i="7" s="1"/>
  <c r="G33" i="7" s="1"/>
  <c r="B26" i="18"/>
  <c r="G26" i="18" s="1"/>
  <c r="J26" i="18" s="1"/>
  <c r="G28" i="7"/>
  <c r="D41" i="7"/>
  <c r="F41" i="7" s="1"/>
  <c r="G41" i="7" s="1"/>
  <c r="B34" i="18"/>
  <c r="G34" i="18" s="1"/>
  <c r="J34" i="18" s="1"/>
  <c r="D34" i="7"/>
  <c r="F34" i="7" s="1"/>
  <c r="G34" i="7" s="1"/>
  <c r="B27" i="18"/>
  <c r="G27" i="18" s="1"/>
  <c r="J27" i="18" s="1"/>
  <c r="K24" i="14"/>
  <c r="L23" i="14"/>
  <c r="K21" i="14"/>
  <c r="L20" i="14"/>
  <c r="K18" i="14"/>
  <c r="L17" i="14"/>
  <c r="C3" i="9"/>
  <c r="B70" i="7" l="1"/>
  <c r="B72" i="7" s="1"/>
  <c r="F72" i="7" s="1"/>
  <c r="F71" i="7" s="1"/>
  <c r="G71" i="7" s="1"/>
  <c r="I71" i="7" s="1"/>
  <c r="L18" i="14"/>
  <c r="K19" i="14"/>
  <c r="L19" i="14" s="1"/>
  <c r="L21" i="14"/>
  <c r="K22" i="14"/>
  <c r="L22" i="14" s="1"/>
  <c r="K25" i="14"/>
  <c r="L25" i="14" s="1"/>
  <c r="L24" i="14"/>
  <c r="H20" i="13"/>
  <c r="C70" i="7" l="1"/>
  <c r="D70" i="7" s="1"/>
  <c r="E70" i="7" s="1"/>
  <c r="F70" i="7"/>
  <c r="G70" i="7" s="1"/>
  <c r="E3" i="7" s="1"/>
  <c r="H56" i="13"/>
  <c r="D4" i="7" l="1"/>
  <c r="D3" i="7"/>
  <c r="F76" i="28"/>
  <c r="I70" i="7" l="1"/>
  <c r="E4" i="7"/>
  <c r="H5" i="13"/>
  <c r="H6" i="13" l="1"/>
  <c r="H42" i="13" l="1"/>
  <c r="X4" i="1"/>
  <c r="W4" i="1"/>
  <c r="V4" i="1"/>
  <c r="U4" i="1"/>
  <c r="T4" i="1"/>
  <c r="S4" i="1"/>
  <c r="R4" i="1"/>
  <c r="Q4" i="1"/>
  <c r="P4" i="1"/>
  <c r="O4" i="1"/>
  <c r="N4" i="1"/>
  <c r="M4" i="1"/>
  <c r="K4" i="1"/>
  <c r="L4" i="1"/>
  <c r="J4" i="1"/>
  <c r="I4" i="1"/>
  <c r="H44" i="25"/>
  <c r="H43" i="25"/>
  <c r="L42" i="25"/>
  <c r="G91" i="25"/>
  <c r="F91" i="25"/>
  <c r="C91" i="25"/>
  <c r="D91" i="25"/>
  <c r="B91" i="25"/>
  <c r="A68" i="25"/>
  <c r="A69" i="25" s="1"/>
  <c r="A70" i="25" s="1"/>
  <c r="A71" i="25" s="1"/>
  <c r="A72" i="25" s="1"/>
  <c r="A73" i="25" s="1"/>
  <c r="A74" i="25" s="1"/>
  <c r="A75" i="25" s="1"/>
  <c r="A76" i="25" s="1"/>
  <c r="A77" i="25" s="1"/>
  <c r="A78" i="25" s="1"/>
  <c r="A79" i="25" s="1"/>
  <c r="A80" i="25" s="1"/>
  <c r="A81" i="25" s="1"/>
  <c r="A82" i="25" s="1"/>
  <c r="A83" i="25" s="1"/>
  <c r="A84" i="25" s="1"/>
  <c r="A85" i="25" s="1"/>
  <c r="A86" i="25" s="1"/>
  <c r="A87" i="25" s="1"/>
  <c r="A88" i="25" s="1"/>
  <c r="A89" i="25" s="1"/>
  <c r="A90" i="25" s="1"/>
  <c r="K11" i="14" l="1"/>
  <c r="L11" i="14" s="1"/>
  <c r="H16" i="13"/>
  <c r="F43" i="25"/>
  <c r="G43" i="25" s="1"/>
  <c r="F44" i="25"/>
  <c r="G44" i="25" s="1"/>
  <c r="H34" i="13" l="1"/>
  <c r="K12" i="14"/>
  <c r="L12" i="14" s="1"/>
  <c r="H18" i="13"/>
  <c r="H54" i="13" s="1"/>
  <c r="H7" i="13"/>
  <c r="H25" i="13" l="1"/>
  <c r="K13" i="14"/>
  <c r="H17" i="13"/>
  <c r="H8" i="13"/>
  <c r="L13" i="14" l="1"/>
  <c r="K14" i="14"/>
  <c r="L14" i="14" s="1"/>
  <c r="H19" i="13"/>
  <c r="H37" i="13" s="1"/>
  <c r="H53" i="13"/>
  <c r="H4" i="13" l="1"/>
  <c r="H40" i="13" l="1"/>
  <c r="K15" i="14" l="1"/>
  <c r="L15" i="14" s="1"/>
  <c r="H3" i="13" l="1"/>
  <c r="H39" i="13" l="1"/>
  <c r="H21" i="13"/>
  <c r="H9" i="13" l="1"/>
  <c r="H10" i="13" l="1"/>
  <c r="H46" i="13" s="1"/>
  <c r="H28" i="13" l="1"/>
  <c r="H44" i="13" s="1"/>
  <c r="H11" i="13"/>
  <c r="H29" i="13" l="1"/>
  <c r="H45" i="13" s="1"/>
  <c r="H47" i="13"/>
  <c r="H38" i="13" s="1"/>
  <c r="H23" i="13" s="1"/>
  <c r="H12" i="13" l="1"/>
  <c r="H24" i="13" s="1"/>
  <c r="H26" i="13" s="1"/>
  <c r="H15" i="13"/>
  <c r="H43" i="13" s="1"/>
  <c r="H48" i="13" l="1"/>
  <c r="H30" i="13"/>
  <c r="H51" i="13"/>
  <c r="H33" i="13"/>
  <c r="H55" i="13" l="1"/>
  <c r="H22" i="13"/>
  <c r="H13" i="13"/>
  <c r="H36" i="13" s="1"/>
  <c r="H27" i="13" s="1"/>
  <c r="K16" i="14"/>
  <c r="L16" i="14" s="1"/>
  <c r="H31" i="13" l="1"/>
  <c r="H35" i="13" s="1"/>
  <c r="H49" i="13"/>
  <c r="H41" i="13" s="1"/>
  <c r="H14" i="13"/>
  <c r="H32" i="13" l="1"/>
  <c r="H50" i="13"/>
  <c r="H52" i="13" s="1"/>
  <c r="H57"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Mohsen Abrishami</author>
  </authors>
  <commentList>
    <comment ref="P32" authorId="0" shapeId="0" xr:uid="{827B326A-C8D6-4EDB-A53C-1720E530D5D0}">
      <text>
        <r>
          <rPr>
            <b/>
            <sz val="12"/>
            <color indexed="81"/>
            <rFont val="Tahoma"/>
            <family val="2"/>
          </rPr>
          <t xml:space="preserve">Participating Utilities Only
Weighted by "Weight-2018" &amp; scaled to 2022 economy
</t>
        </r>
      </text>
    </comment>
    <comment ref="Q32" authorId="0" shapeId="0" xr:uid="{66953388-2217-4403-852E-A4D84A8AE40A}">
      <text>
        <r>
          <rPr>
            <b/>
            <sz val="12"/>
            <color indexed="81"/>
            <rFont val="Tahoma"/>
            <family val="2"/>
          </rPr>
          <t xml:space="preserve">Participating Utilities Only
Weighted by Gas-Weights &amp; scaled to 2022 economy
</t>
        </r>
      </text>
    </comment>
    <comment ref="R32" authorId="0" shapeId="0" xr:uid="{71E14794-1339-4033-90C1-CD875DCB2057}">
      <text>
        <r>
          <rPr>
            <b/>
            <sz val="12"/>
            <color indexed="81"/>
            <rFont val="Tahoma"/>
            <family val="2"/>
          </rPr>
          <t xml:space="preserve">Participating Utilities Only + Nonparticipating Utilities
Weighted by Gas-Weights &amp; scaled to 2022 economy
</t>
        </r>
      </text>
    </comment>
    <comment ref="T32" authorId="0" shapeId="0" xr:uid="{56D1EE15-3B96-4072-8DB0-E8A9D1006956}">
      <text>
        <r>
          <rPr>
            <b/>
            <sz val="12"/>
            <color indexed="81"/>
            <rFont val="Tahoma"/>
            <family val="2"/>
          </rPr>
          <t xml:space="preserve">Participating Utilities Only + Nonparticipating Utilities
Weighted &amp; scaled to 2022 economy
</t>
        </r>
      </text>
    </comment>
    <comment ref="P50" authorId="0" shapeId="0" xr:uid="{D5C3088F-8CAB-4820-9465-E088961DAD59}">
      <text>
        <r>
          <rPr>
            <b/>
            <sz val="12"/>
            <color indexed="81"/>
            <rFont val="Tahoma"/>
            <family val="2"/>
          </rPr>
          <t xml:space="preserve">Participating Utilities Only
Weighted by "Weight-2018" &amp; scaled to 2022 economy
</t>
        </r>
      </text>
    </comment>
    <comment ref="Q50" authorId="0" shapeId="0" xr:uid="{51043C01-AAA8-4630-840C-6B7BCB752F4B}">
      <text>
        <r>
          <rPr>
            <b/>
            <sz val="12"/>
            <color indexed="81"/>
            <rFont val="Tahoma"/>
            <family val="2"/>
          </rPr>
          <t xml:space="preserve">Participating Utilities Only
Weighted by Gas-Weights &amp; scaled to 2022 economy
</t>
        </r>
      </text>
    </comment>
    <comment ref="R50" authorId="0" shapeId="0" xr:uid="{ECD03482-61D6-43C6-AEDA-F1925E00D8AF}">
      <text>
        <r>
          <rPr>
            <b/>
            <sz val="12"/>
            <color indexed="81"/>
            <rFont val="Tahoma"/>
            <family val="2"/>
          </rPr>
          <t xml:space="preserve">Participating Utilities Only + Nonparticipating Utilities
Weighted by Gas-Weights &amp; scaled to 2022 economy
</t>
        </r>
      </text>
    </comment>
    <comment ref="T50" authorId="0" shapeId="0" xr:uid="{4058BADC-2B30-4393-A8FF-8E40E06C9BC2}">
      <text>
        <r>
          <rPr>
            <b/>
            <sz val="12"/>
            <color indexed="81"/>
            <rFont val="Tahoma"/>
            <family val="2"/>
          </rPr>
          <t xml:space="preserve">Participating Utilities Only + Nonparticipating Utilities
Weighted &amp; scaled to 2022 economy
</t>
        </r>
      </text>
    </comment>
  </commentList>
</comments>
</file>

<file path=xl/sharedStrings.xml><?xml version="1.0" encoding="utf-8"?>
<sst xmlns="http://schemas.openxmlformats.org/spreadsheetml/2006/main" count="1479" uniqueCount="760">
  <si>
    <t>Comments</t>
  </si>
  <si>
    <t>By</t>
  </si>
  <si>
    <t>Date</t>
  </si>
  <si>
    <t>Action</t>
  </si>
  <si>
    <t>How about considering punched windows not one large window?</t>
  </si>
  <si>
    <t>Liam Buckley</t>
  </si>
  <si>
    <t>TAG meeting 2/24/2025</t>
  </si>
  <si>
    <t>There is other improvement we can apply to our models that could have a greater impact than replacing ribbon window with punched windows. For example, more accurate schedules. Additionally, many medium/large office buildings have already been constructed with ribbon windows, making them a common feature in these types of buildings.  
We reviewed some of the Comstock models and found that they are also developed with ribbon windows.</t>
  </si>
  <si>
    <t xml:space="preserve">It's more realistic to seperate corner zones and assined them with their own CAV system ( for vintage 1&amp;2) or with VAV </t>
  </si>
  <si>
    <t>We will investigate the impact of separating corner spaces after completing the development of the first set of medium office prototypes in CZ12. We are considering  two options :
- Separating corner parts of the perimeter closed office zones at the west-south and east-south corners and defining them as new corner zones.
- Dividing conference spaces into two and relocating them to the corners, then defining them as separate zones."</t>
  </si>
  <si>
    <t>conference spaces are expected to have different schedules than office spaces</t>
  </si>
  <si>
    <t>?</t>
  </si>
  <si>
    <t>Considering two enterance for the Medium Office prototype</t>
  </si>
  <si>
    <t>generating a set of dynamic occupancy schedules to bring random variations to the occupancy schedules. The Occupancy Simulator developed by Lawrence Berkeley National Laboratory (Chen et al. 2018) can be used to generate the dynamic and stochastic occupancy schedules</t>
  </si>
  <si>
    <t>https://publications.ibpsa.org/proceedings/simbuild/2020/papers/simbuild2020_C064.pdf</t>
  </si>
  <si>
    <t>Add Schedule for IT room</t>
  </si>
  <si>
    <t>Data Sources</t>
  </si>
  <si>
    <t>Dataset</t>
  </si>
  <si>
    <t>Dodge 2023</t>
  </si>
  <si>
    <t>CEUS 2022</t>
  </si>
  <si>
    <t>https://www.energy.ca.gov/publications/2023/2022-california-commercial-end-use-survey-ceus-final-report</t>
  </si>
  <si>
    <t xml:space="preserve"> </t>
  </si>
  <si>
    <t>CBECS 2018</t>
  </si>
  <si>
    <t>https://www.eia.gov/consumption/commercial/data/2018/index.php?view=microdata</t>
  </si>
  <si>
    <t>Comstock 2023</t>
  </si>
  <si>
    <t>https://data.openei.org/s3_viewer?bucket=oedi-data-lake&amp;prefix=nrel-pds-building-stock%2Fend-use-load-profiles-for-us-building-stock%2F2023%2Fcomstock_amy2018_release_2%2Fmetadata_and_annual_results%2Fby_state%2Fstate%3DCA%2F</t>
  </si>
  <si>
    <t>Prototype</t>
  </si>
  <si>
    <r>
      <t>CEC Medium Office prototype</t>
    </r>
    <r>
      <rPr>
        <sz val="10"/>
        <rFont val="Arial"/>
        <family val="2"/>
      </rPr>
      <t xml:space="preserve"> (CBECC 2022.3.1)</t>
    </r>
  </si>
  <si>
    <t>https://bees.noresco.com/software2022.html</t>
  </si>
  <si>
    <t>PNNL Medium Office prototype (90.1-2022)</t>
  </si>
  <si>
    <t>https://www.energycodes.gov/prototype-building-models#Commercial</t>
  </si>
  <si>
    <t>DEER Large Office prototype (June 2023)</t>
  </si>
  <si>
    <t>https://github.com/sound-data/DEER-Prototypes-EnergyPlus</t>
  </si>
  <si>
    <t>ORNL 2019 Medium Office prototype zoning</t>
  </si>
  <si>
    <t>https://web.eecs.utk.edu/~jnew1/publications/2019_IBPSA_OpenStudioOffice.pdf</t>
  </si>
  <si>
    <t>Codes</t>
  </si>
  <si>
    <t>Title 24, part 6, referred to as T24 (1984, 2001, 2008, 2010, 2013, 2022, 2025)</t>
  </si>
  <si>
    <t>ASHRAE 90.1 (2022)</t>
  </si>
  <si>
    <t>CFR Title 10 ( 2024)</t>
  </si>
  <si>
    <t>https://www.govinfo.gov/content/pkg/CFR-2024-title10-vol3/pdf/CFR-2024-title10-vol3-part431-subpartF.pdf</t>
  </si>
  <si>
    <t>Others</t>
  </si>
  <si>
    <t>ACM (2022)</t>
  </si>
  <si>
    <t>Title 24, 2022 - Appendix 5.4A and Appendix 5.4B</t>
  </si>
  <si>
    <t>https://www.energy.ca.gov/publications/2022/2022-nonresidential-and-multifamily-alternative-calculation-method-reference</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</si>
  <si>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</si>
  <si>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</si>
  <si>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</si>
  <si>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</si>
  <si>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2010</t>
  </si>
  <si>
    <t>https://www.pnnl.gov/main/publications/external/technical_reports/PNNL-20405.pdf</t>
  </si>
  <si>
    <t>Air leakage Memo, NORESCO, 2025</t>
  </si>
  <si>
    <t>Infiltration_rate_report_14May2025-Short-Version.docx</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</si>
  <si>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</si>
  <si>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</si>
  <si>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Construction Rate</t>
  </si>
  <si>
    <t>Notes</t>
  </si>
  <si>
    <t>Saturation is defined as the % of total floorspace for each combination of end-use and fuel-type.</t>
  </si>
  <si>
    <t>1978-84</t>
  </si>
  <si>
    <t>1985-97</t>
  </si>
  <si>
    <t>1992-1997</t>
  </si>
  <si>
    <t>1986 is  the representative year for the 1984-1997 vintage bin</t>
  </si>
  <si>
    <t>Most medium offices in this vintage bin were built after 1984 (more than 54% ) and the CA energy code did not  noticeably changed between 1984 to 1992) . Edition 1986 included 6 prescriptive packages per CZ for office buildings compared to 1984 with 3 packages per CZ.
Also "Heat Capacity" for external wall is considered between 10.0 to 14.99 (BTU/F/ft2) 
Package A was selected for the thermal properties
Medium office was considered as low rise office</t>
  </si>
  <si>
    <t>Construction rate (Dodge 2023 data for new medium offices)</t>
  </si>
  <si>
    <t>2001 is  the representative year for the 1998-2007 vintage bin</t>
  </si>
  <si>
    <t xml:space="preserve">Wall and roof prescriptive criteria from 1998 to 2005  remain unchanged except for CZ2 and 6 in 2001 version (the percentage of change is less than 10%). 
Since the construction rate between 1998-2005 is greater than the 2006-2007 period,  the envelope properties of 1998 -2005 were chosen for envelope properties. The windows requirement considerably changed in the 2001 code and makes this year (2001) as the nominated year for this vintage. 
It should be noticed that, only one Title 24 should be chosen within each vintage bin for building envelope properties since the entire envelope is built at once. We can't choose 1998 for walls and 2001 for windows. Wall and roof prescriptive criteria from 1998 to 2005  remain unchanged except for CZ2 and 6 in 2001 version (the percentage of change is less than 10%). </t>
  </si>
  <si>
    <t>2013 is  the representative year for the 2008-2018 vintage bin</t>
  </si>
  <si>
    <t>Wall properties remain unchanged from the 2008 code to the 2016 code but the roof did changed. Although the 2016 code introduced improvement for roof in nearly all CZ and for wall in a few CZ, and construction activity surged between 2017 and 2018, the extende period from 2008 to 2016 resulted in a higher construction rate during that time . As a result, it was decided to select the code that was effective during 2008-2016. 
The 2013 code modified the solar reflectance requirement for low-sloped roof products ( by approximately 15%), and enhanced window properties. Therefore, the 2013 code was chosen as the representative code.  Additionally, construction activity from 2014-2018 was higher compared to 2008-2013 period.</t>
  </si>
  <si>
    <t>NORESCO, Updated November 2025</t>
  </si>
  <si>
    <t>OfficeMedium</t>
  </si>
  <si>
    <t>Characteristic</t>
  </si>
  <si>
    <t>Value</t>
  </si>
  <si>
    <t>Building Type</t>
  </si>
  <si>
    <t xml:space="preserve">Medium Office </t>
  </si>
  <si>
    <t>Building Category</t>
  </si>
  <si>
    <t>Nonresidential</t>
  </si>
  <si>
    <t>Vintages</t>
  </si>
  <si>
    <t>4 Vintages: Pre-1978 , 1978-1997 ,1998-2007 , 2008-2018
New Construction (2019+)</t>
  </si>
  <si>
    <t>Based on vintage bin analysis</t>
  </si>
  <si>
    <t>NonRes-Vintage bins-Draft Report-30Nov2023-Final.docx</t>
  </si>
  <si>
    <t>Shape</t>
  </si>
  <si>
    <t xml:space="preserve">Rectangular shape is supported by CBECS,  CEC, and PNNL </t>
  </si>
  <si>
    <t>Total Floor Area (ft2)</t>
  </si>
  <si>
    <t>53,628 (163.7 ft x 109.2 ft)</t>
  </si>
  <si>
    <t>Supported by Dodge 2023 data (Same as CEC and PNNL)</t>
  </si>
  <si>
    <t>Aspect Ratio</t>
  </si>
  <si>
    <t>Same as CEC and PNNL</t>
  </si>
  <si>
    <t>Number of Floors</t>
  </si>
  <si>
    <t>Supported by Dodge 2023 data (Same as CEC and PNNL)
DEER doesn't offer medium office prototype</t>
  </si>
  <si>
    <t>Roof type</t>
  </si>
  <si>
    <t>Flat</t>
  </si>
  <si>
    <t>Supported by CBECS 2018 data (Same as CEC and PNNL)</t>
  </si>
  <si>
    <t>Window dimensions</t>
  </si>
  <si>
    <t>33%
(Window Dimensions: 
163.8 ft x 4.29 ft on the long side of facade  
109.2 ft x 4.29 ft on the short side of the façade)</t>
  </si>
  <si>
    <t>Same as CEC and PNNL
CBECS: 26-50%
Comstock:11-25%
CEC prototype: 33% same as PNNL
DEER: 33% for Large Office prototype</t>
  </si>
  <si>
    <t>Shading Geometry</t>
  </si>
  <si>
    <t xml:space="preserve">No Shades </t>
  </si>
  <si>
    <t>Floor to floor height (feet)</t>
  </si>
  <si>
    <t>Floor to ceiling height (feet)</t>
  </si>
  <si>
    <t>9 
(4 ft above-ceiling plenum)</t>
  </si>
  <si>
    <t>Glazing sill height (feet)</t>
  </si>
  <si>
    <t>3.35 ft 
(top of the window is 7.64 ft high with 4.29 ft high glass)</t>
  </si>
  <si>
    <t>Proposed OfficeMedium</t>
  </si>
  <si>
    <t>Layout</t>
  </si>
  <si>
    <t>Space/Thermal Zone</t>
  </si>
  <si>
    <t>Space Type</t>
  </si>
  <si>
    <t>HVAC System Name/AHU Name</t>
  </si>
  <si>
    <t>Schedule Category</t>
  </si>
  <si>
    <t>Conditioned (Y/N)</t>
  </si>
  <si>
    <t>Area Fraction</t>
  </si>
  <si>
    <t>Area (ft²)</t>
  </si>
  <si>
    <t>Volume (ft³)</t>
  </si>
  <si>
    <t>Multipliers</t>
  </si>
  <si>
    <t>Number of People</t>
  </si>
  <si>
    <t xml:space="preserve">People 
(Persons/1,000 ft²)
[T24, 2025,Table 120.1-A] </t>
  </si>
  <si>
    <t>Note</t>
  </si>
  <si>
    <t>Open_Office_Core_FloorG</t>
  </si>
  <si>
    <t>Office Area (&gt;250 square feet)</t>
  </si>
  <si>
    <t>Office</t>
  </si>
  <si>
    <t>Yes</t>
  </si>
  <si>
    <t>Open_Office_N_FloorG</t>
  </si>
  <si>
    <t>Closed_Office_W_FloorG</t>
  </si>
  <si>
    <t>Closed_Office_E_FloorG</t>
  </si>
  <si>
    <t>Open_Office_S_FloorG</t>
  </si>
  <si>
    <t>Conference_FloorG</t>
  </si>
  <si>
    <t>Convention, Conference, Multipurpose and Meeting Area</t>
  </si>
  <si>
    <t>Number of People: ORNL: 54, T24:33</t>
  </si>
  <si>
    <t>Lobby/Lounge_FloorG</t>
  </si>
  <si>
    <t>Lobby, Main Entry</t>
  </si>
  <si>
    <t>People: 10 according to ASHRAE 62.1 Table 6-1 for main entry lobbies
T24: 33 for main Entry lobbies &amp; 5 for reception area</t>
  </si>
  <si>
    <t>Storage_FloorG</t>
  </si>
  <si>
    <t>Storage (General)</t>
  </si>
  <si>
    <t>-</t>
  </si>
  <si>
    <t>Mechanical/Electrical_FloorG</t>
  </si>
  <si>
    <t>Electrical, Mechanical, Telephone Rooms</t>
  </si>
  <si>
    <t>IT-Room_FloorG</t>
  </si>
  <si>
    <t>IT Room (EPD 12)</t>
  </si>
  <si>
    <t>Data</t>
  </si>
  <si>
    <t>Restroom_FloorG</t>
  </si>
  <si>
    <t>Restrooms</t>
  </si>
  <si>
    <t>Break_FloorG</t>
  </si>
  <si>
    <t>Lounge, Breakroom, or Waiting Area</t>
  </si>
  <si>
    <t>Number of People: T24: 33 for Breakroom</t>
  </si>
  <si>
    <t>Stairway_FloorG</t>
  </si>
  <si>
    <t>Stairwell</t>
  </si>
  <si>
    <t>Corridor_W_FloorG</t>
  </si>
  <si>
    <t>Corridor Area</t>
  </si>
  <si>
    <t>Corridor_N_FloorG</t>
  </si>
  <si>
    <t>Layout of Spaces</t>
  </si>
  <si>
    <t>Spaces</t>
  </si>
  <si>
    <t>Corridor_E_FloorG</t>
  </si>
  <si>
    <t>Corridor_S_FloorG</t>
  </si>
  <si>
    <t>Plenum_FloorG</t>
  </si>
  <si>
    <t>Plenum</t>
  </si>
  <si>
    <t>No</t>
  </si>
  <si>
    <t>People: 10 according to ASHRAE 62.1 Table 6-1</t>
  </si>
  <si>
    <t>Layout of Zones</t>
  </si>
  <si>
    <t>Total (54 Space)</t>
  </si>
  <si>
    <t>Total (11 Space Type)</t>
  </si>
  <si>
    <t>Total ()</t>
  </si>
  <si>
    <t xml:space="preserve"> Total (1 category)</t>
  </si>
  <si>
    <t xml:space="preserve"> Total (51 Conditioned zones, 3 unconditioned zones)</t>
  </si>
  <si>
    <r>
      <t>Ref:</t>
    </r>
    <r>
      <rPr>
        <sz val="10"/>
        <color theme="1"/>
        <rFont val="Arial"/>
        <family val="2"/>
      </rPr>
      <t xml:space="preserve"> Geometry and zones: ORNL 2019 medium office prototype with modification</t>
    </r>
  </si>
  <si>
    <t>https://web.eecs.utk.edu/~jnew1/presentations/2019_IBPSA_OpenStudioOffice.pdf</t>
  </si>
  <si>
    <t>Envelope - OfficeMedium</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</si>
  <si>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</si>
  <si>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</si>
  <si>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</si>
  <si>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</si>
  <si>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</si>
  <si>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</si>
  <si>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</si>
  <si>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</si>
  <si>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</si>
  <si>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</si>
  <si>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</si>
  <si>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</si>
  <si>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</si>
  <si>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</si>
  <si>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</si>
  <si>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</si>
  <si>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</si>
  <si>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</si>
  <si>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</si>
  <si>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</si>
  <si>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</si>
  <si>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</si>
  <si>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</si>
  <si>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</si>
  <si>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Metal-frame walls + insulation + Gypsum board</t>
  </si>
  <si>
    <t>U-factor IP</t>
  </si>
  <si>
    <t>Pre 1978</t>
  </si>
  <si>
    <t>N/A</t>
  </si>
  <si>
    <t>ASHRAE 90.1, 2022, Table A3.3.3.1, 3.5", R-0</t>
  </si>
  <si>
    <t>1978-1997</t>
  </si>
  <si>
    <t>Low-rise office: Package A/ Heat Capacity was considered ~10 (BTU/F/ft2)</t>
  </si>
  <si>
    <t>1998-2007</t>
  </si>
  <si>
    <t>2008-2018</t>
  </si>
  <si>
    <t>2019+</t>
  </si>
  <si>
    <t>Roof</t>
  </si>
  <si>
    <t>FlatRoof_WoodFramedAndOther_NonRes</t>
  </si>
  <si>
    <t>Metal-Deck roof + insulation + Roof membrane</t>
  </si>
  <si>
    <t>Considering 30 years for roof/ insultation replacement.</t>
  </si>
  <si>
    <t>Windows</t>
  </si>
  <si>
    <t>FixedWindow_NonRes</t>
  </si>
  <si>
    <t xml:space="preserve">CBECS 2018 shows that over 50 % of medium offices that were built before 2000 are single pane </t>
  </si>
  <si>
    <t>ASHRAE Handbook of Fundamentals for single pane &amp; T24, 2013  for double pane(50%-50%)*</t>
  </si>
  <si>
    <t>Double pane</t>
  </si>
  <si>
    <t xml:space="preserve">CBECS 2018 shows that over 50% of medium offices that were built before 2000 are single pane </t>
  </si>
  <si>
    <t>SHGC</t>
  </si>
  <si>
    <t>WWR:20-30 / SHGC north</t>
  </si>
  <si>
    <t>WWR:20-30 / SHGC non-north</t>
  </si>
  <si>
    <t>Infiltration</t>
  </si>
  <si>
    <t>I_75 (cfm/ft²)
6-sdied Infiltration rate @ 75 pa</t>
  </si>
  <si>
    <t>Source</t>
  </si>
  <si>
    <t xml:space="preserve"> I-design (cfm/ft²)
(4-sided Infiltration rate at normal pressure) 
(Design flow rate approach and Flow/Exterior Wall Area calculation method) </t>
  </si>
  <si>
    <t>2022 CASE report (Table 38)</t>
  </si>
  <si>
    <t>1*</t>
  </si>
  <si>
    <t>2022 CASE report (Table 38) &amp;
T24, 2008-2016 (Table 140.3-C)</t>
  </si>
  <si>
    <t>0.6**</t>
  </si>
  <si>
    <t>2022 CASE report (Table 38) &amp;  T24,140.3(a)9Cii &amp; T24, 2025 (Table 140.3-C)</t>
  </si>
  <si>
    <t>* An air barrier was not required for guest rooms under T24, until the 2019 edition. However, to reflect typical construction practices, we assumed that all exterior walls are equipped with an air barrier where it was required for nonresidential walls.</t>
  </si>
  <si>
    <t>*** T24  require 0.4 cfm/ft² for tested condition but it also in section 140.3(a)9Cii says that if the air leakage requirements are not met, a visual inspection and diagnostic evaluation shall be completed , all observed leaks shall be sealed where such sealing can be made without destruction of existing building components, and buildings where the tested leakage rate exceeded 0.6 cfm/ft² of building shell area at 75 Pa have been retested to confirm leakage is below 0.6 cfm/ft² of building shell at 75 Pa.</t>
  </si>
  <si>
    <t xml:space="preserve">*Note for windows properties in vintage 1 &amp;2 : </t>
  </si>
  <si>
    <t xml:space="preserve">We’ve considered a 50% single-pane and 50% double-pane mix (based on the 2013 requirements) for the window properties in Vintage 1 &amp; 2 (pre-1998 buildings). </t>
  </si>
  <si>
    <t>Since we don't have California-specific data, the decision is based on the CBECS 2018 data, which indicates:</t>
  </si>
  <si>
    <t xml:space="preserve"> - 40% of medium offices built before 1978 have mixed windows, while only 6% of offices from the second vintage (1978-1997) have mixed glass.</t>
  </si>
  <si>
    <t xml:space="preserve"> - Pre-1978: Among those with either single or double-pane windows, 80% have single-pane windows, and 20% have double-pane windows.</t>
  </si>
  <si>
    <t xml:space="preserve"> - 1978-1997: Among those with either single or double-pane windows, 55% have single-pane windows, and 45% have double-pane windows.</t>
  </si>
  <si>
    <t xml:space="preserve"> - Pre 1999: Among those with either single or double-pane windows,  61% has single pane windows.</t>
  </si>
  <si>
    <t>Since we don't have California-specific data and CBECS data is for 2018, it's likely that a percentage of pre-1978 buildings have undergone retrofitting in the past 7 years and upgraded their windows. Based on this, we've decided to apply the 50%-50% mix for the window properties.</t>
  </si>
  <si>
    <t>HVAC system - OfficeMedium</t>
  </si>
  <si>
    <t xml:space="preserve">Heating </t>
  </si>
  <si>
    <t>Cooling</t>
  </si>
  <si>
    <t>Air Distribution</t>
  </si>
  <si>
    <t xml:space="preserve">Existing  </t>
  </si>
  <si>
    <t>All</t>
  </si>
  <si>
    <t xml:space="preserve">Furnace (Gas) </t>
  </si>
  <si>
    <t>Packaged (DX)</t>
  </si>
  <si>
    <t>CAV with Reheat  for the first two vintages 
VAV with Reheat for vintage 3 and 4</t>
  </si>
  <si>
    <t>CEUS 2022 + Engineering Judgement</t>
  </si>
  <si>
    <t>PTAC</t>
  </si>
  <si>
    <t>New Construction</t>
  </si>
  <si>
    <t>VRF</t>
  </si>
  <si>
    <t>T24, 2025</t>
  </si>
  <si>
    <t>It Room hasa dedicated HVAC system</t>
  </si>
  <si>
    <t>Efficiency of HVAC system</t>
  </si>
  <si>
    <t>Detailed efficiency of cooling system</t>
  </si>
  <si>
    <t>Upgrade/Installed year</t>
  </si>
  <si>
    <t>Cooling System (&amp; air distribution )</t>
  </si>
  <si>
    <t>HVAC Zones</t>
  </si>
  <si>
    <t>Serving floor</t>
  </si>
  <si>
    <t xml:space="preserve">Serving area (ft2) </t>
  </si>
  <si>
    <t>Estimated  cooling capapcity (Btu/hr)</t>
  </si>
  <si>
    <t>Size category (Btu/hr)</t>
  </si>
  <si>
    <t>Efficiency 80%</t>
  </si>
  <si>
    <t>EER=10.3, 9.7, 9.5</t>
  </si>
  <si>
    <t>T24, 2008 (Table 112-A)</t>
  </si>
  <si>
    <t>Pre-1978 &amp; 
1978-1997</t>
  </si>
  <si>
    <t>West_AC_CAV</t>
  </si>
  <si>
    <t>West_ZN</t>
  </si>
  <si>
    <t>No.1,2,3</t>
  </si>
  <si>
    <t>65,000-13,5000</t>
  </si>
  <si>
    <t>EER=10.3</t>
  </si>
  <si>
    <t xml:space="preserve">T24, Part 6, 2008 (Table 112-A):
  Ellectrically operated Unitary Air Conditioners and Condensing units- Minimun Efficicenc Requirements </t>
  </si>
  <si>
    <t>East_AC_CAV</t>
  </si>
  <si>
    <t>East ZN</t>
  </si>
  <si>
    <t>EER=9.5</t>
  </si>
  <si>
    <t>North_AC_CAV</t>
  </si>
  <si>
    <t>North_ZN</t>
  </si>
  <si>
    <t>135,000-240,000</t>
  </si>
  <si>
    <t>EER=9.7</t>
  </si>
  <si>
    <t>COP=3 / Efficiency 80%</t>
  </si>
  <si>
    <t>EER=10</t>
  </si>
  <si>
    <t>T24,2010 (Table 112-A)</t>
  </si>
  <si>
    <t>South_AC_CAV</t>
  </si>
  <si>
    <t>South_ZoneN</t>
  </si>
  <si>
    <t>COP=3.3 / Efficiency 80%</t>
  </si>
  <si>
    <t xml:space="preserve">T24, 2025 (Table 112-A) &amp; 
CFR Energy 2024:Title 10- Table 19 - § 431.97 </t>
  </si>
  <si>
    <t>Core_Office_AC_CAV</t>
  </si>
  <si>
    <t>Core_Office_ZN</t>
  </si>
  <si>
    <t>240,000-760,000</t>
  </si>
  <si>
    <t>Core_Service_AC_CAV</t>
  </si>
  <si>
    <t>Core_Service_ZN</t>
  </si>
  <si>
    <t>Floor_1_AC_VAV</t>
  </si>
  <si>
    <t xml:space="preserve">All Zones in Floor 1 </t>
  </si>
  <si>
    <t>No. 1</t>
  </si>
  <si>
    <t>Floor_2_AC_VAV</t>
  </si>
  <si>
    <t>All Zones in Floor 2</t>
  </si>
  <si>
    <t>No. 2</t>
  </si>
  <si>
    <t>Floor_3_AC_VAV</t>
  </si>
  <si>
    <t>All Zones in Floor 3</t>
  </si>
  <si>
    <t>No. 3</t>
  </si>
  <si>
    <t>T24, Part 6, 2010 (Table 112-A):
  Electrically operated Unitary Air Conditioners and Condensing units- Minimum Efficiency Requirements</t>
  </si>
  <si>
    <t>2010 California Energy Code, Part 6 - SUBCHAPTER 2</t>
  </si>
  <si>
    <t>Floor_1_AC_VRF</t>
  </si>
  <si>
    <t>&gt;=240,000</t>
  </si>
  <si>
    <t xml:space="preserve">T24, Part 6, 2025 (Table 110.2-A) &amp; 
CFR Energy 2024:Title 10- Table 1 - § 431.97 </t>
  </si>
  <si>
    <t>eCFR :: 10 CFR 431.97 -- Energy efficiency standards and their compliance dates.</t>
  </si>
  <si>
    <t>Floor_2_AC_VRF</t>
  </si>
  <si>
    <t>Floor_3_AC_VRF</t>
  </si>
  <si>
    <t xml:space="preserve"> IT_Room  is served by a dedicated system</t>
  </si>
  <si>
    <t>Fan power</t>
  </si>
  <si>
    <t>Approach</t>
  </si>
  <si>
    <t>System</t>
  </si>
  <si>
    <t xml:space="preserve">Total Static Pressure (TSP)
(in w.c.)
</t>
  </si>
  <si>
    <t>Fan Efficiency
[ACM 2025]</t>
  </si>
  <si>
    <t>Fan Motor and Drive Efficiency 
[ACM 2025, Table 13]</t>
  </si>
  <si>
    <t>W/cfm
[ACM 2025, Table 14 and 15]</t>
  </si>
  <si>
    <t>Data Source</t>
  </si>
  <si>
    <t>Existing</t>
  </si>
  <si>
    <t>PNNL TSP</t>
  </si>
  <si>
    <t>CAV System &lt;7,437 cfm</t>
  </si>
  <si>
    <t>~0.9 (The full-load efficiency of the motor serving the fan- will be determined based on ACM 2025, Table 13)</t>
  </si>
  <si>
    <t xml:space="preserve"> Fan Motor and Efficiency: ACM 2025, 0.5 Engineering judgement 
TSP:[PNNL 20405, 2010, Table 5.11</t>
  </si>
  <si>
    <t>CAV System &gt;7,437 cfm</t>
  </si>
  <si>
    <t>VAV System &gt; 4,648 cfm</t>
  </si>
  <si>
    <t>Brake horse power (bhp)=(Supply cfm*TSP in w.c.)/(6356*Fan efficiency)</t>
  </si>
  <si>
    <t>Fan power (w/cfm) = bhp/motor and drive efficiency *746</t>
  </si>
  <si>
    <t>ACM 2025</t>
  </si>
  <si>
    <t>Small indoor fan at zone (for VRF)</t>
  </si>
  <si>
    <t xml:space="preserve"> Fan Motor and Efficiency and W/cfm: ACM 2025</t>
  </si>
  <si>
    <t>0.35 w/cfm for indoor unit fan (T24, 2025, Section 140.4(a)3 D)</t>
  </si>
  <si>
    <t>* 0.9 is an average fan efficiency according to ACM 2025, Table 13</t>
  </si>
  <si>
    <t>Fan total eff (E+ input) = 0.65 x Motor_eff</t>
  </si>
  <si>
    <t>TSP (E+ input) in w.c. = Motor_eff/746 x (6356 x Fan_eff) x W/cfm</t>
  </si>
  <si>
    <t>Fan_eff=0.65</t>
  </si>
  <si>
    <t>Microsoft Word - PNNL 90 1-2010_TSD_Final 5-23-2011_Final.docx</t>
  </si>
  <si>
    <t>Title 24, part6/2008</t>
  </si>
  <si>
    <t>Title 24, Part 6/2010</t>
  </si>
  <si>
    <t>Title 24, Part 6/2025</t>
  </si>
  <si>
    <t>CFR/2024</t>
  </si>
  <si>
    <t>Gas</t>
  </si>
  <si>
    <t>Statewide</t>
  </si>
  <si>
    <t>Office, Small</t>
  </si>
  <si>
    <t>Heating</t>
  </si>
  <si>
    <t>FCZ1</t>
  </si>
  <si>
    <t>FCZ2</t>
  </si>
  <si>
    <t>FCZ3</t>
  </si>
  <si>
    <t>FCZ4</t>
  </si>
  <si>
    <t>FCZ5</t>
  </si>
  <si>
    <t>FCZ6</t>
  </si>
  <si>
    <t>FCZ7</t>
  </si>
  <si>
    <t>FCZ8</t>
  </si>
  <si>
    <t>FCZ9</t>
  </si>
  <si>
    <t>FCZ10</t>
  </si>
  <si>
    <t>FCZ11</t>
  </si>
  <si>
    <t>FCZ12c</t>
  </si>
  <si>
    <t>FCZ12i</t>
  </si>
  <si>
    <t>FCZ13</t>
  </si>
  <si>
    <t>FCZ16</t>
  </si>
  <si>
    <t>FCZ17</t>
  </si>
  <si>
    <t>Thermostat Setpoints: OfficeMedium</t>
  </si>
  <si>
    <t>Setpoint</t>
  </si>
  <si>
    <t>Heating Setpoint (F)</t>
  </si>
  <si>
    <t>T24 2022 - Appendix 5.4B</t>
  </si>
  <si>
    <t>Heating Setback (F)</t>
  </si>
  <si>
    <t>Cooling Setpoint (F)</t>
  </si>
  <si>
    <t>Cooling Setback (F)</t>
  </si>
  <si>
    <t>*PNNL has considered 80 F for cooling setback of Medium Office prototype. However cooling setback  is 85 F for Small Office prototype !!</t>
  </si>
  <si>
    <r>
      <t xml:space="preserve">Note: </t>
    </r>
    <r>
      <rPr>
        <sz val="10"/>
        <color rgb="FF000000"/>
        <rFont val="Arial"/>
        <family val="2"/>
      </rPr>
      <t xml:space="preserve"> The Medium Office prototype by PNNL also uses the same setpoints, except for one of the perimeter zones, which has a heating setpoint of 69 °F and a cooling setpoint of 76 °F during hours of 10:00-11:00, 12:00-13:00, and 14:00-15:00 .</t>
    </r>
  </si>
  <si>
    <t>Background Data [To be deleted prior to publication]</t>
  </si>
  <si>
    <t>Heating/ CoolingSetpointsSchedules (existing prototypes extracted from the idf files (presented below)</t>
  </si>
  <si>
    <t>CEC-2022</t>
  </si>
  <si>
    <t>PNNL-2022</t>
  </si>
  <si>
    <t>CEC-Weekday</t>
  </si>
  <si>
    <t>CEC-Saturday</t>
  </si>
  <si>
    <t>CEC-Sunday</t>
  </si>
  <si>
    <t>PNNL-Weekday</t>
  </si>
  <si>
    <t>PNNL-Saturday</t>
  </si>
  <si>
    <t>PNNL-Sunday</t>
  </si>
  <si>
    <t>Outdoor Airflow Rate - OfficeMedium</t>
  </si>
  <si>
    <t>Space</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</si>
  <si>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</si>
  <si>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</si>
  <si>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</si>
  <si>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</si>
  <si>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</si>
  <si>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</si>
  <si>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</si>
  <si>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</si>
  <si>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 xml:space="preserve">4*25/50 cfm per unit  </t>
  </si>
  <si>
    <t xml:space="preserve">Almost 1 unit per 30 occupant for exhaust fan </t>
  </si>
  <si>
    <t xml:space="preserve">4* 25/50 cfm per unit  </t>
  </si>
  <si>
    <t>CEUS 2022 Data shows that about 50% of the unconditioned floor area belongs to the first vintage bin (Pre-1978)</t>
  </si>
  <si>
    <t>Water Heater - OfficeMedium</t>
  </si>
  <si>
    <t>WH Type</t>
  </si>
  <si>
    <t>Efficiency</t>
  </si>
  <si>
    <t>Tank Volume (gal)</t>
  </si>
  <si>
    <t>Tank Loss</t>
  </si>
  <si>
    <t>Unit</t>
  </si>
  <si>
    <t>Peak Hot Water Consumption</t>
  </si>
  <si>
    <t>Space Name</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</si>
  <si>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</si>
  <si>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</si>
  <si>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</si>
  <si>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</si>
  <si>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</si>
  <si>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</si>
  <si>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</si>
  <si>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</si>
  <si>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</si>
  <si>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</si>
  <si>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</si>
  <si>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Off/On Cycle Loss Coefficient to Ambient Temp (Btu/h-F)</t>
  </si>
  <si>
    <t>Gas Storage WH</t>
  </si>
  <si>
    <t>Btu/hr</t>
  </si>
  <si>
    <t>Standby loss equation: Title 20, §1605.1 Table F-4 
WH capacity equation: ACM, 2025, 5.9.2: Rated capacity section)</t>
  </si>
  <si>
    <t xml:space="preserve">Electric resistance WH </t>
  </si>
  <si>
    <t>%/hr</t>
  </si>
  <si>
    <t>Total</t>
  </si>
  <si>
    <t>Design supply temperature (F)</t>
  </si>
  <si>
    <t>Ref: T24 2022 - Appendix 5.4B</t>
  </si>
  <si>
    <t>Cold Water supply temperature (F)</t>
  </si>
  <si>
    <t>Ref: ACM, 2025, 5.9.2: Rated capacity section</t>
  </si>
  <si>
    <t>WH system factor</t>
  </si>
  <si>
    <t>Reheat multiplier</t>
  </si>
  <si>
    <t>Ref: ACM, 2025, 5.9.2: Storage Volume</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</si>
  <si>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</si>
  <si>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Ambient temp</t>
  </si>
  <si>
    <t>Delta T</t>
  </si>
  <si>
    <t>Planning Area
&amp;
Forecast Zone</t>
  </si>
  <si>
    <t>End Use Saturation or Penetration</t>
  </si>
  <si>
    <t xml:space="preserve">New Construction </t>
  </si>
  <si>
    <t>LPD (W/ft²)</t>
  </si>
  <si>
    <t>Additional LPD for Portable Lighting (W/ft²)</t>
  </si>
  <si>
    <t xml:space="preserve">LPD (W/ft²) </t>
  </si>
  <si>
    <t>T24, part 6, 2025, Table 140.6 C</t>
  </si>
  <si>
    <t>T24, part 6, 2013, Table 140.6 C</t>
  </si>
  <si>
    <t>2013 LPD is for "Lounge" area</t>
  </si>
  <si>
    <t>Whole Building method</t>
  </si>
  <si>
    <t>LPD for Office Building ((W/ft²)</t>
  </si>
  <si>
    <t>Ref: T24, Table 140.6 B</t>
  </si>
  <si>
    <t>Ref: Title 24, Part 6- Table 140.6-C (office area &gt;250nSF)</t>
  </si>
  <si>
    <t xml:space="preserve">Title 24, part 6 Code cycle </t>
  </si>
  <si>
    <t>Lighting density for office Buildings: (complete building Method)</t>
  </si>
  <si>
    <t xml:space="preserve"> Lighting density for office area &gt;250 sf Floor area Method</t>
  </si>
  <si>
    <t>Table</t>
  </si>
  <si>
    <t>T24, part 6 2022</t>
  </si>
  <si>
    <t>file://carcgl.com/amer/NOR/Groups/CodesStds/Standards/California/2022%20Building%20Energy%20Efficiency%20Standards%20for%20Residential%20and%20Nonresidential%20Buildings.pdf</t>
  </si>
  <si>
    <t>0.6, 0.2 (additional)</t>
  </si>
  <si>
    <t>Table 140.6 C</t>
  </si>
  <si>
    <t>T24, part 6 2019</t>
  </si>
  <si>
    <t>file://carcgl.com/amer/NOR/Groups/CodesStds/Standards/California/2016-CEC-400-2015-037-CMF.pdf</t>
  </si>
  <si>
    <t>T24, part 6 2016</t>
  </si>
  <si>
    <t>Table 146-E</t>
  </si>
  <si>
    <t xml:space="preserve">TBD: Review the CASE report on 2016 for lighting </t>
  </si>
  <si>
    <t>Review of existing Medium Office prototype</t>
  </si>
  <si>
    <t>Prototype/Source</t>
  </si>
  <si>
    <t>Downloaded on</t>
  </si>
  <si>
    <t>Zone</t>
  </si>
  <si>
    <t>Light Intensity</t>
  </si>
  <si>
    <t>Total intensity multipliers</t>
  </si>
  <si>
    <t>Total lighting intensity</t>
  </si>
  <si>
    <t>Core/Perims area ratio</t>
  </si>
  <si>
    <t>Working days</t>
  </si>
  <si>
    <t>PNNL</t>
  </si>
  <si>
    <t xml:space="preserve"> W/ft2</t>
  </si>
  <si>
    <t>Saturday</t>
  </si>
  <si>
    <t>CEC (CBECC 2023)</t>
  </si>
  <si>
    <t>Sunday</t>
  </si>
  <si>
    <t>Holiday</t>
  </si>
  <si>
    <t>Interior lighting Schedules (existing prototypes extracted from the idf files (presented below)</t>
  </si>
  <si>
    <t>CEC</t>
  </si>
  <si>
    <t>Hour</t>
  </si>
  <si>
    <t>PNNL-Otherday</t>
  </si>
  <si>
    <t>Sum of intensity multiplier</t>
  </si>
  <si>
    <t>Same as Small Office</t>
  </si>
  <si>
    <t>Motion Controlled Luminaires (W)</t>
  </si>
  <si>
    <t>Non-motion Controlled Luminaires (W)</t>
  </si>
  <si>
    <t>Total (W)</t>
  </si>
  <si>
    <t>Title 24, 2022</t>
  </si>
  <si>
    <t>Exterior Lighting</t>
  </si>
  <si>
    <t>Items (Assume LZ2)</t>
  </si>
  <si>
    <t>Assumptions
[2019 Outdoor Lighting CASE Report &amp; PNNL 90.1-2010 TSD]</t>
  </si>
  <si>
    <t>Lighting Power Allowance 
[T24, 2025, Table 140.7-A &amp; 140.7-B]</t>
  </si>
  <si>
    <t>Exterior Lighting Power (W)</t>
  </si>
  <si>
    <t>IWA (Initial Wage Allowance)</t>
  </si>
  <si>
    <t>(W)</t>
  </si>
  <si>
    <t>Parking area</t>
  </si>
  <si>
    <t xml:space="preserve">400 ft² for every parking space 
1 parking space per 250 ft² of gross building area </t>
  </si>
  <si>
    <t>(ft²)</t>
  </si>
  <si>
    <t>(W/ft²)</t>
  </si>
  <si>
    <t>Building Entrance</t>
  </si>
  <si>
    <t>2 building entrance (1 per 10,000 ft² footprint)</t>
  </si>
  <si>
    <t>(count)</t>
  </si>
  <si>
    <t>(W/ea)</t>
  </si>
  <si>
    <t>Hardscape Ornamental Light</t>
  </si>
  <si>
    <t>0.1 ft² per 1 ft² of gross building area for hardscape ornamental light</t>
  </si>
  <si>
    <t>Building façade</t>
  </si>
  <si>
    <t>0.1 W per ft² of facade area 
Façade Area* = Perimeter × 0.5 × 30 ft (30 ft is the max height that is lit) 
The 0.5 factor assumes that only half of the perimeter walls are lit.
-Formula ia developed based on the 2019 Outdoor Lighting CASE report</t>
  </si>
  <si>
    <t>Motion controlled Luminaires</t>
  </si>
  <si>
    <t>Non-motion-controlled Luminaires</t>
  </si>
  <si>
    <t>*Developed based on 2019 Outdoor Lighting CASE Report</t>
  </si>
  <si>
    <t>Perimeter (ft)</t>
  </si>
  <si>
    <t>Total floor area (ft²)</t>
  </si>
  <si>
    <t>Floors (above ground)</t>
  </si>
  <si>
    <t xml:space="preserve">Exterior Lighting </t>
  </si>
  <si>
    <t>Ref: Title 24, Part 6- Table 140.6-C (office area &gt;250 SF)</t>
  </si>
  <si>
    <t>Lighting for parking area</t>
  </si>
  <si>
    <t>Daylight 
Adaptation Zones**</t>
  </si>
  <si>
    <t>**Daylight Adaptation Zones shall be no farther than 66 feet from the entrance to the parking garage</t>
  </si>
  <si>
    <t>Exterior Lighting - OfficeLarge (CEUS 2022 data)</t>
  </si>
  <si>
    <t>OfficeLarge</t>
  </si>
  <si>
    <t xml:space="preserve">DEER  OFS Prototype -7/2024 </t>
  </si>
  <si>
    <t>PNNL OfficeMedium 02-2024</t>
  </si>
  <si>
    <t>Exterior Lights W</t>
  </si>
  <si>
    <t>None</t>
  </si>
  <si>
    <t xml:space="preserve">Schedule </t>
  </si>
  <si>
    <t>0-5 am: 0</t>
  </si>
  <si>
    <t>0-5am: 0.5</t>
  </si>
  <si>
    <t>6 am-12am:1</t>
  </si>
  <si>
    <t>6am-6pm: 1</t>
  </si>
  <si>
    <t>6am-24: 1</t>
  </si>
  <si>
    <t>7pm:12am: 0.5</t>
  </si>
  <si>
    <t>T24, part6, 2025, 130.2(c)3</t>
  </si>
  <si>
    <t>Plug load Power Density (W/ft²)</t>
  </si>
  <si>
    <t>Gas Power Density (Btu/hr-ft²)</t>
  </si>
  <si>
    <t>Refrigeration Power Density (W/ft²)</t>
  </si>
  <si>
    <t>Plug load and schedules project with CEC , 2025</t>
  </si>
  <si>
    <t xml:space="preserve">T24 2022 - Appendix 5.4A
</t>
  </si>
  <si>
    <t xml:space="preserve">Feedback from TAG team </t>
  </si>
  <si>
    <t>T24 2022 - Appendix 5.4A</t>
  </si>
  <si>
    <t>Elevator</t>
  </si>
  <si>
    <t xml:space="preserve">No of Elevator </t>
  </si>
  <si>
    <t>Design Load (W)</t>
  </si>
  <si>
    <t>New Construction and Existing</t>
  </si>
  <si>
    <t>CEC Medium Office prototype in CBEC 2022</t>
  </si>
  <si>
    <t>Equipment (Plug Load )- Prototypes comparison</t>
  </si>
  <si>
    <t xml:space="preserve">CEC </t>
  </si>
  <si>
    <t xml:space="preserve">PNNL </t>
  </si>
  <si>
    <t>Core Zones</t>
  </si>
  <si>
    <t>1.5 W/ft2</t>
  </si>
  <si>
    <t>7937.16 W</t>
  </si>
  <si>
    <t>Perimeter 3,1</t>
  </si>
  <si>
    <t>1673.21 W</t>
  </si>
  <si>
    <t>Perimeter 2,4</t>
  </si>
  <si>
    <t>1059.22 W</t>
  </si>
  <si>
    <t>10000 W</t>
  </si>
  <si>
    <t>8517.82 W</t>
  </si>
  <si>
    <t>Elevatoir_lights_Fan</t>
  </si>
  <si>
    <t>105.31 W</t>
  </si>
  <si>
    <t>Escalator</t>
  </si>
  <si>
    <t>3930 W</t>
  </si>
  <si>
    <t xml:space="preserve">Yearly Load multiplier </t>
  </si>
  <si>
    <t>Office Area</t>
  </si>
  <si>
    <t>Escalator (only CEC)</t>
  </si>
  <si>
    <t>Lights_Fan (ONLY PNNL)</t>
  </si>
  <si>
    <t>CEC 2022</t>
  </si>
  <si>
    <t>PNNL 2022</t>
  </si>
  <si>
    <t>CEUS 2022 data</t>
  </si>
  <si>
    <t>Calculation Method</t>
  </si>
  <si>
    <t>Statewide/  Utility/ FCZ</t>
  </si>
  <si>
    <t>Floorspace-Based</t>
  </si>
  <si>
    <t>Weekday</t>
  </si>
  <si>
    <t>Schedule</t>
  </si>
  <si>
    <t>Type</t>
  </si>
  <si>
    <t>All zones</t>
  </si>
  <si>
    <t>Occupancy</t>
  </si>
  <si>
    <r>
      <t xml:space="preserve">T24 2022 - Appendix 5.4B, [Office]
</t>
    </r>
    <r>
      <rPr>
        <sz val="9"/>
        <color rgb="FF0070C0"/>
        <rFont val="Arial"/>
        <family val="2"/>
      </rPr>
      <t xml:space="preserve">
Updated base on Plug load and schedules project with CEC, 2025</t>
    </r>
  </si>
  <si>
    <t>Lights</t>
  </si>
  <si>
    <t>T24 2022 - Appendix 5.4B, [Office]</t>
  </si>
  <si>
    <t xml:space="preserve">ElecEquipment </t>
  </si>
  <si>
    <t xml:space="preserve">Plug load and schedules project with CEC, 2025 </t>
  </si>
  <si>
    <t>HVACAvail</t>
  </si>
  <si>
    <r>
      <rPr>
        <sz val="9"/>
        <color rgb="FF000000"/>
        <rFont val="Arial"/>
        <family val="2"/>
      </rPr>
      <t xml:space="preserve">T24 2022 - Appendix 5.4B, [Office]
</t>
    </r>
    <r>
      <rPr>
        <sz val="9"/>
        <color rgb="FF0070C0"/>
        <rFont val="Arial"/>
        <family val="2"/>
      </rPr>
      <t>Updated base on Plug load and schedules project with CEC, 202</t>
    </r>
  </si>
  <si>
    <t>ServiceHotWater</t>
  </si>
  <si>
    <r>
      <t xml:space="preserve">T24 2022 - Appendix 5.4B, [Office]
</t>
    </r>
    <r>
      <rPr>
        <sz val="9"/>
        <color rgb="FF0070C0"/>
        <rFont val="Arial"/>
        <family val="2"/>
      </rPr>
      <t>Updated base on Plug load and schedules project with CEC, 202</t>
    </r>
  </si>
  <si>
    <t>HtgSetpt</t>
  </si>
  <si>
    <t>ClgSetpt</t>
  </si>
  <si>
    <t>IT room</t>
  </si>
  <si>
    <r>
      <t xml:space="preserve">T24 2022 - Appendix 5.4B, [Data]
</t>
    </r>
    <r>
      <rPr>
        <sz val="9"/>
        <color rgb="FF0070C0"/>
        <rFont val="Arial"/>
        <family val="2"/>
      </rPr>
      <t>Updated base on office schedule</t>
    </r>
  </si>
  <si>
    <t>T24 2022 - Appendix 5.4B, [Data]</t>
  </si>
  <si>
    <t xml:space="preserve">T24 2022 - Appendix 5.4B, [Data]
</t>
  </si>
  <si>
    <t>Based on Activity level and thermostat setpoint</t>
  </si>
  <si>
    <t>Other</t>
  </si>
  <si>
    <t>Stairway</t>
  </si>
  <si>
    <t>Building</t>
  </si>
  <si>
    <t>ExtLightingNonMotionCtrl</t>
  </si>
  <si>
    <t>ExtLightingMotionCtrl</t>
  </si>
  <si>
    <t>FunctionalAreaPeopleActivityLevel</t>
  </si>
  <si>
    <t>ComputerRoomPeopleActivityLevel</t>
  </si>
  <si>
    <t>Conference room</t>
  </si>
  <si>
    <t>MeetingAreaPeopleActivityLevel</t>
  </si>
  <si>
    <t>Corridor, Stair, Lobby, Restroom, Mech, Storage, Break</t>
  </si>
  <si>
    <t>CommonAreaPeopleActivityLevel</t>
  </si>
  <si>
    <t>Operating Schedule</t>
  </si>
  <si>
    <t>System Capacity fraction</t>
  </si>
  <si>
    <t xml:space="preserve">Developed based on CEC and CEUS </t>
  </si>
  <si>
    <t>Office Zones</t>
  </si>
  <si>
    <t xml:space="preserve">Alternative HVAC System Operating	</t>
  </si>
  <si>
    <t xml:space="preserve">Alternative HVAC System Operating					</t>
  </si>
  <si>
    <t xml:space="preserve">Developed based on CEC schedules and CEUS operating hours					</t>
  </si>
  <si>
    <t>Office Closed Zones</t>
  </si>
  <si>
    <t>Otherday</t>
  </si>
  <si>
    <t>Office Open Zones</t>
  </si>
  <si>
    <r>
      <t xml:space="preserve">Equipment (Plug load) </t>
    </r>
    <r>
      <rPr>
        <sz val="9"/>
        <color rgb="FFC00000"/>
        <rFont val="Arial"/>
        <family val="2"/>
      </rPr>
      <t>(Nees to be updated based on the Plug load project with CEC)</t>
    </r>
  </si>
  <si>
    <t>Equipment</t>
  </si>
  <si>
    <t xml:space="preserve">Office Zones		</t>
  </si>
  <si>
    <r>
      <t>% of floor area per CZ and vintage bin - Office</t>
    </r>
    <r>
      <rPr>
        <b/>
        <sz val="12"/>
        <color rgb="FFFF0000"/>
        <rFont val="Arial"/>
        <family val="2"/>
      </rPr>
      <t>Large</t>
    </r>
  </si>
  <si>
    <t xml:space="preserve"> We don't have Medium Office specific data from CEUS. The data copied here  belongs to the CEUS large office data which our Medium Office prototype falls within that group</t>
  </si>
  <si>
    <t>CZ</t>
  </si>
  <si>
    <t>Pre-1978</t>
  </si>
  <si>
    <t>Not available</t>
  </si>
  <si>
    <t>Floor area distribution of CA office buildings (CEUS 2022)</t>
  </si>
  <si>
    <t>Office, Medium</t>
  </si>
  <si>
    <t>Office, Large</t>
  </si>
  <si>
    <t>Source: CEUS 2022 dataset</t>
  </si>
  <si>
    <t>Medium office</t>
  </si>
  <si>
    <t>All Office</t>
  </si>
  <si>
    <t>floor area (sqft)</t>
  </si>
  <si>
    <t>% of floor area</t>
  </si>
  <si>
    <t>Directly from the CEUS 2022 data</t>
  </si>
  <si>
    <t>FZ</t>
  </si>
  <si>
    <t>2008-2017</t>
  </si>
  <si>
    <t xml:space="preserve">
Year-Built Not Available</t>
  </si>
  <si>
    <t>Total available</t>
  </si>
  <si>
    <t>12c</t>
  </si>
  <si>
    <t>12i</t>
  </si>
  <si>
    <t>CalBEM Energy Consumption - OfficeMedium</t>
  </si>
  <si>
    <t>National Average (EnergyStar Portfolio Manager)</t>
  </si>
  <si>
    <r>
      <rPr>
        <b/>
        <sz val="12"/>
        <color rgb="FFFFFFFF"/>
        <rFont val="Arial"/>
      </rPr>
      <t>CEUS Energy Consumption - Office</t>
    </r>
    <r>
      <rPr>
        <b/>
        <sz val="12"/>
        <color rgb="FFFF0000"/>
        <rFont val="Arial"/>
      </rPr>
      <t>Large</t>
    </r>
  </si>
  <si>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</si>
  <si>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</si>
  <si>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</si>
  <si>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</si>
  <si>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</si>
  <si>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</si>
  <si>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</si>
  <si>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RangeRange (25% Higher)</t>
  </si>
  <si>
    <t>Acceptable RangeRange (25% Lower)</t>
  </si>
  <si>
    <t>National Average Acceptable Range</t>
  </si>
  <si>
    <t>Total Floorspace (Thousand of ft2)</t>
  </si>
  <si>
    <t>CEUS 2022 Electric Energy Intensity (kWh/ft²)</t>
  </si>
  <si>
    <t>CEUS 2022 Annual Gas Intensity (kWh/ft²)</t>
  </si>
  <si>
    <t>CEUS 2022 Total EUI (kBtu/ft²)</t>
  </si>
  <si>
    <t>Acceptable Range (25% Higher)</t>
  </si>
  <si>
    <t>Acceptable Range (25% Lower)</t>
  </si>
  <si>
    <t>CEUS 2022 Acceptable Range</t>
  </si>
  <si>
    <t>HotelSmall</t>
  </si>
  <si>
    <r>
      <rPr>
        <b/>
        <sz val="10"/>
        <color theme="1"/>
        <rFont val="Arial"/>
        <family val="2"/>
      </rPr>
      <t xml:space="preserve">Source: </t>
    </r>
    <r>
      <rPr>
        <sz val="10"/>
        <color theme="1"/>
        <rFont val="Arial"/>
        <family val="2"/>
      </rPr>
      <t>CEUS 2022 Report/Data</t>
    </r>
  </si>
  <si>
    <t xml:space="preserve">And applying FZ-CZ multipliers for converting  FZ  data to  CZ  data </t>
  </si>
  <si>
    <t>We don't have Medium Office specific data from CEUS. The data copied here belongs to the CEUS large office data which our Medium Office prototype falls within that group</t>
  </si>
  <si>
    <t>Gas Energy Intensity (kBTU/SqFt)</t>
  </si>
  <si>
    <t>Electricity Usage (GWh)</t>
  </si>
  <si>
    <t>Electric Energy Intensity (kWh/SqFt)</t>
  </si>
  <si>
    <t>PV - TBD</t>
  </si>
  <si>
    <t>EV Charger - OfficeMedium (TBD)</t>
  </si>
  <si>
    <t xml:space="preserve">According To CEUS 2022 and their survey around 2018-2020, only 0.5% of large office buildings have  EV chargers </t>
  </si>
  <si>
    <t>CEUS 2022 (Base on Survey 2018)</t>
  </si>
  <si>
    <t>The data presented in this worksheet represents the projected number of EV charger ports, or the number of cars that can be charged at the same time, for the year 2022 (last year of CEUC)</t>
  </si>
  <si>
    <t>Has EV Chargers</t>
  </si>
  <si>
    <t>Level 1,  120 volt Charger     (No. ports/SqFT)</t>
  </si>
  <si>
    <t>Level 2,  240 volt Charger    (No. ports/SqFT)</t>
  </si>
  <si>
    <t>Level 3,  DC fast     (No. ports/SqFT)</t>
  </si>
  <si>
    <t>Charger Type Unkown  (No. ports/SqFT)</t>
  </si>
  <si>
    <t>All Chargers Totals   (No. ports/SqFT)</t>
  </si>
  <si>
    <t xml:space="preserve">No </t>
  </si>
  <si>
    <t>Public Only</t>
  </si>
  <si>
    <t>Public &amp; Employee</t>
  </si>
  <si>
    <t>Public &amp; Fleet</t>
  </si>
  <si>
    <t>Employee Only</t>
  </si>
  <si>
    <t>Employee &amp; Fleet</t>
  </si>
  <si>
    <t>Fleet Only</t>
  </si>
  <si>
    <t>All 3 Types</t>
  </si>
  <si>
    <t>Unknown</t>
  </si>
  <si>
    <t>Level 1 Total</t>
  </si>
  <si>
    <t>Level 2 Total</t>
  </si>
  <si>
    <t>Level 3 Total</t>
  </si>
  <si>
    <t>Unkonwn Total</t>
  </si>
  <si>
    <t>FCZ01 Tot</t>
  </si>
  <si>
    <t>FCZ02 Tot</t>
  </si>
  <si>
    <t>FCZ03 Tot</t>
  </si>
  <si>
    <t>FCZ04 Tot</t>
  </si>
  <si>
    <t>FCZ05 Tot</t>
  </si>
  <si>
    <t>FCZ06 Tot</t>
  </si>
  <si>
    <t>FCZ07 Tot</t>
  </si>
  <si>
    <t>FCZ08 Tot</t>
  </si>
  <si>
    <t>FCZ09 Tot</t>
  </si>
  <si>
    <t>FCZ10 Tot</t>
  </si>
  <si>
    <t>FCZ11 Tot</t>
  </si>
  <si>
    <t>FCZ12c Tot</t>
  </si>
  <si>
    <t>FCZ12i Tot</t>
  </si>
  <si>
    <t>FCZ13 Tot</t>
  </si>
  <si>
    <t>FCZ16 Tot</t>
  </si>
  <si>
    <t>FCZ17 Tot</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</si>
  <si>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</si>
  <si>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</si>
  <si>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</si>
  <si>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</si>
  <si>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</si>
  <si>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</si>
  <si>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</si>
  <si>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</si>
  <si>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</si>
  <si>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</si>
  <si>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</si>
  <si>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</si>
  <si>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</si>
  <si>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</si>
  <si>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</si>
  <si>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</si>
  <si>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</si>
  <si>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</si>
  <si>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</si>
  <si>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</si>
  <si>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</si>
  <si>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</si>
  <si>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</si>
  <si>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</si>
  <si>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</si>
  <si>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</si>
  <si>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</si>
  <si>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</si>
  <si>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</si>
  <si>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</si>
  <si>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</si>
  <si>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</si>
  <si>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</si>
  <si>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</si>
  <si>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</si>
  <si>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</si>
  <si>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</si>
  <si>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</si>
  <si>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</si>
  <si>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</si>
  <si>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</si>
  <si>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</si>
  <si>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</si>
  <si>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</si>
  <si>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</si>
  <si>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</si>
  <si>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</si>
  <si>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</si>
  <si>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</si>
  <si>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</si>
  <si>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</si>
  <si>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</si>
  <si>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</si>
  <si>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</si>
  <si>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</si>
  <si>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</si>
  <si>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</si>
  <si>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</si>
  <si>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</si>
  <si>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</si>
  <si>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</si>
  <si>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</si>
  <si>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</si>
  <si>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</si>
  <si>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</si>
  <si>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</si>
  <si>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</si>
  <si>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</si>
  <si>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</si>
  <si>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</si>
  <si>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</si>
  <si>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Computer Room (EPD 20)</t>
  </si>
  <si>
    <t>Server Room (EPD 45)</t>
  </si>
  <si>
    <t xml:space="preserve">Based on Activity level schedules in  CEC Prototypes </t>
  </si>
  <si>
    <t>PNNL Medium Office prototype has lower load for elevator ( 61% of the CEC). We've considered two elevators for Medium Office prototype and therefore prefer CEC's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</si>
</sst>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3" formatCode="_(* #,##0.00_);_(* \(#,##0.00\);_(* &quot;-&quot;??_);_(@_)"/>
    <numFmt numFmtId="164" formatCode="0.0%"/>
    <numFmt numFmtId="165" formatCode="0.000000000000000%"/>
    <numFmt numFmtId="166" formatCode="0.0"/>
    <numFmt numFmtId="167" formatCode="#,##0.0"/>
    <numFmt numFmtId="168" formatCode="0.0000"/>
    <numFmt numFmtId="169" formatCode="0.000"/>
    <numFmt numFmtId="170" formatCode="_(* #,##0_);_(* \(#,##0\);_(* &quot;-&quot;??_);_(@_)"/>
    <numFmt numFmtId="171" formatCode="0.000000000%"/>
    <numFmt numFmtId="172" formatCode="0.00000000%"/>
    <numFmt numFmtId="173" formatCode="0.000000000"/>
    <numFmt numFmtId="174" formatCode="0.000000000000"/>
    <numFmt numFmtId="175" formatCode="0.000000000000000"/>
    <numFmt numFmtId="176" formatCode="_(* #,##0.0_);_(* \(#,##0.0\);_(* &quot;-&quot;?????_);_(@_)"/>
    <numFmt numFmtId="177" formatCode="#,##0;\-0;[Color15]0"/>
  </numFmts>
  <fonts count="57">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b/>
      <sz val="12"/>
      <color indexed="81"/>
      <name val="Tahoma"/>
      <family val="2"/>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1"/>
      <name val="Calibri"/>
      <family val="2"/>
      <scheme val="minor"/>
    </font>
    <font>
      <b/>
      <sz val="12"/>
      <color theme="0"/>
      <name val="Calibri"/>
      <family val="2"/>
      <scheme val="minor"/>
    </font>
    <font>
      <b/>
      <sz val="11"/>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b/>
      <sz val="11"/>
      <color theme="0"/>
      <name val="Arial"/>
      <family val="2"/>
    </font>
    <font>
      <b/>
      <sz val="10"/>
      <color theme="0"/>
      <name val="Arial"/>
      <family val="2"/>
    </font>
    <font>
      <sz val="11"/>
      <color rgb="FF0070C0"/>
      <name val="Arial"/>
      <family val="2"/>
    </font>
    <font>
      <b/>
      <sz val="10"/>
      <name val="Arial"/>
      <family val="2"/>
    </font>
    <font>
      <b/>
      <sz val="10"/>
      <color indexed="8"/>
      <name val="Arial"/>
      <family val="2"/>
    </font>
    <font>
      <sz val="10"/>
      <color theme="4" tint="-0.499984740745262"/>
      <name val="Arial"/>
      <family val="2"/>
    </font>
    <font>
      <sz val="10"/>
      <color theme="0" tint="-0.34998626667073579"/>
      <name val="Arial"/>
      <family val="2"/>
    </font>
    <font>
      <sz val="10"/>
      <color rgb="FFFF0000"/>
      <name val="Arial"/>
      <family val="2"/>
    </font>
    <font>
      <sz val="10"/>
      <color rgb="FFC00000"/>
      <name val="Arial"/>
      <family val="2"/>
    </font>
    <font>
      <sz val="9"/>
      <color theme="1"/>
      <name val="Arial"/>
      <family val="2"/>
    </font>
    <font>
      <sz val="10"/>
      <color rgb="FF000000"/>
      <name val="Arial"/>
      <family val="2"/>
    </font>
    <font>
      <sz val="10"/>
      <color theme="0"/>
      <name val="Arial"/>
      <family val="2"/>
    </font>
    <font>
      <b/>
      <sz val="10"/>
      <color rgb="FF000000"/>
      <name val="Arial"/>
      <family val="2"/>
    </font>
    <font>
      <b/>
      <u/>
      <sz val="10"/>
      <color theme="10"/>
      <name val="Arial"/>
      <family val="2"/>
    </font>
    <font>
      <b/>
      <sz val="9"/>
      <color theme="0"/>
      <name val="Arial"/>
      <family val="2"/>
    </font>
    <font>
      <sz val="9"/>
      <name val="Arial"/>
      <family val="2"/>
    </font>
    <font>
      <b/>
      <sz val="10"/>
      <color rgb="FF7030A0"/>
      <name val="Arial"/>
      <family val="2"/>
    </font>
    <font>
      <b/>
      <sz val="18"/>
      <color rgb="FFFFFFFF"/>
      <name val="Whitney-Book"/>
    </font>
    <font>
      <b/>
      <sz val="18"/>
      <color rgb="FF000000"/>
      <name val="Whitney-Book"/>
    </font>
    <font>
      <sz val="18"/>
      <color rgb="FF000000"/>
      <name val="Whitney-Book"/>
    </font>
    <font>
      <b/>
      <sz val="12"/>
      <color rgb="FFFFFFFF"/>
      <name val="Arial"/>
      <family val="2"/>
    </font>
    <font>
      <b/>
      <sz val="12"/>
      <color rgb="FFFF0000"/>
      <name val="Arial"/>
      <family val="2"/>
    </font>
    <font>
      <b/>
      <sz val="16"/>
      <color theme="1"/>
      <name val="Arial"/>
      <family val="2"/>
    </font>
    <font>
      <sz val="20"/>
      <color theme="0"/>
      <name val="Arial"/>
      <family val="2"/>
    </font>
    <font>
      <sz val="9"/>
      <color rgb="FFC00000"/>
      <name val="Arial"/>
      <family val="2"/>
    </font>
    <font>
      <sz val="9"/>
      <color rgb="FF0070C0"/>
      <name val="Arial"/>
      <family val="2"/>
    </font>
    <font>
      <sz val="10"/>
      <color rgb="FF0070C0"/>
      <name val="Arial"/>
      <family val="2"/>
    </font>
    <font>
      <b/>
      <sz val="12"/>
      <color theme="1"/>
      <name val="Arial"/>
      <family val="2"/>
    </font>
    <font>
      <u/>
      <sz val="11"/>
      <color theme="10"/>
      <name val="Arial"/>
      <family val="2"/>
    </font>
    <font>
      <b/>
      <sz val="11"/>
      <color theme="1"/>
      <name val="Arial"/>
      <family val="2"/>
    </font>
    <font>
      <sz val="11"/>
      <name val="Arial"/>
      <family val="2"/>
    </font>
    <font>
      <sz val="9"/>
      <color rgb="FF000000"/>
      <name val="Arial"/>
      <family val="2"/>
    </font>
    <font>
      <sz val="11"/>
      <color rgb="FF000000"/>
      <name val="Calibri"/>
      <family val="2"/>
    </font>
    <font>
      <b/>
      <sz val="12"/>
      <color rgb="FFFFFFFF"/>
      <name val="Arial"/>
    </font>
    <font>
      <b/>
      <sz val="12"/>
      <color rgb="FFFF0000"/>
      <name val="Arial"/>
    </font>
    <font>
      <b/>
      <sz val="12"/>
      <color theme="0"/>
      <name val="Arial"/>
    </font>
    <font>
      <sz val="11"/>
      <color rgb="FF7030A0"/>
      <name val="Calibri"/>
      <family val="2"/>
      <scheme val="minor"/>
    </font>
  </fonts>
  <fills count="27">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00206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rgb="FFCCCCFF"/>
        <bgColor indexed="64"/>
      </patternFill>
    </fill>
    <fill>
      <patternFill patternType="solid">
        <fgColor theme="4" tint="-0.499984740745262"/>
        <bgColor indexed="64"/>
      </patternFill>
    </fill>
    <fill>
      <patternFill patternType="solid">
        <fgColor rgb="FF203764"/>
        <bgColor rgb="FF000000"/>
      </patternFill>
    </fill>
    <fill>
      <patternFill patternType="solid">
        <fgColor rgb="FFD9E1F2"/>
        <bgColor rgb="FF000000"/>
      </patternFill>
    </fill>
    <fill>
      <patternFill patternType="solid">
        <fgColor rgb="FF00B0F0"/>
        <bgColor indexed="64"/>
      </patternFill>
    </fill>
    <fill>
      <patternFill patternType="solid">
        <fgColor theme="4" tint="0.59999389629810485"/>
        <bgColor indexed="64"/>
      </patternFill>
    </fill>
    <fill>
      <patternFill patternType="solid">
        <fgColor theme="0" tint="-0.34998626667073579"/>
        <bgColor indexed="64"/>
      </patternFill>
    </fill>
    <fill>
      <patternFill patternType="lightUp"/>
    </fill>
    <fill>
      <patternFill patternType="solid">
        <fgColor rgb="FFFFFFFF"/>
        <bgColor rgb="FF000000"/>
      </patternFill>
    </fill>
    <fill>
      <patternFill patternType="solid">
        <fgColor rgb="FFD6DCE4"/>
        <bgColor rgb="FF000000"/>
      </patternFill>
    </fill>
    <fill>
      <patternFill patternType="solid">
        <fgColor theme="7" tint="0.79998168889431442"/>
        <bgColor rgb="FF000000"/>
      </patternFill>
    </fill>
    <fill>
      <patternFill patternType="solid">
        <fgColor rgb="FFD9E1F2"/>
        <bgColor indexed="64"/>
      </patternFill>
    </fill>
  </fills>
  <borders count="209">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thin">
        <color indexed="64"/>
      </left>
      <right style="thin">
        <color theme="0" tint="-0.499984740745262"/>
      </right>
      <top style="thin">
        <color indexed="64"/>
      </top>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theme="0" tint="-0.499984740745262"/>
      </right>
      <top/>
      <bottom style="thin">
        <color indexed="64"/>
      </bottom>
      <diagonal/>
    </border>
    <border>
      <left style="thin">
        <color theme="0" tint="-0.499984740745262"/>
      </left>
      <right style="thin">
        <color indexed="64"/>
      </right>
      <top style="thin">
        <color theme="0" tint="-0.499984740745262"/>
      </top>
      <bottom style="thin">
        <color indexed="64"/>
      </bottom>
      <diagonal/>
    </border>
    <border>
      <left style="thin">
        <color theme="0" tint="-0.499984740745262"/>
      </left>
      <right style="thin">
        <color theme="0" tint="-0.499984740745262"/>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top/>
      <bottom style="thin">
        <color theme="0" tint="-0.499984740745262"/>
      </bottom>
      <diagonal/>
    </border>
    <border>
      <left style="thin">
        <color theme="0" tint="-0.499984740745262"/>
      </left>
      <right/>
      <top style="thin">
        <color theme="0" tint="-0.499984740745262"/>
      </top>
      <bottom style="thin">
        <color rgb="FF000000"/>
      </bottom>
      <diagonal/>
    </border>
    <border>
      <left/>
      <right/>
      <top style="thin">
        <color theme="0" tint="-0.499984740745262"/>
      </top>
      <bottom style="thin">
        <color rgb="FF000000"/>
      </bottom>
      <diagonal/>
    </border>
    <border>
      <left/>
      <right style="thin">
        <color theme="0" tint="-0.499984740745262"/>
      </right>
      <top style="thin">
        <color theme="0" tint="-0.499984740745262"/>
      </top>
      <bottom style="thin">
        <color rgb="FF000000"/>
      </bottom>
      <diagonal/>
    </border>
    <border>
      <left/>
      <right/>
      <top style="thin">
        <color theme="0" tint="-0.499984740745262"/>
      </top>
      <bottom/>
      <diagonal/>
    </border>
    <border>
      <left/>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theme="1" tint="0.34998626667073579"/>
      </left>
      <right/>
      <top style="thin">
        <color theme="1" tint="0.34998626667073579"/>
      </top>
      <bottom style="thin">
        <color indexed="64"/>
      </bottom>
      <diagonal/>
    </border>
    <border>
      <left style="thin">
        <color indexed="64"/>
      </left>
      <right style="thin">
        <color theme="1" tint="0.34998626667073579"/>
      </right>
      <top style="thin">
        <color theme="1" tint="0.34998626667073579"/>
      </top>
      <bottom style="thin">
        <color indexed="64"/>
      </bottom>
      <diagonal/>
    </border>
    <border>
      <left style="thin">
        <color indexed="64"/>
      </left>
      <right style="medium">
        <color indexed="64"/>
      </right>
      <top style="medium">
        <color indexed="64"/>
      </top>
      <bottom/>
      <diagonal/>
    </border>
    <border>
      <left style="thin">
        <color auto="1"/>
      </left>
      <right style="medium">
        <color indexed="64"/>
      </right>
      <top/>
      <bottom/>
      <diagonal/>
    </border>
    <border>
      <left style="thin">
        <color indexed="64"/>
      </left>
      <right style="medium">
        <color indexed="64"/>
      </right>
      <top/>
      <bottom style="medium">
        <color indexed="64"/>
      </bottom>
      <diagonal/>
    </border>
    <border>
      <left style="thin">
        <color rgb="FF808080"/>
      </left>
      <right style="thin">
        <color rgb="FF808080"/>
      </right>
      <top style="thin">
        <color rgb="FF808080"/>
      </top>
      <bottom/>
      <diagonal/>
    </border>
    <border>
      <left/>
      <right/>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style="thin">
        <color indexed="64"/>
      </right>
      <top style="medium">
        <color indexed="64"/>
      </top>
      <bottom style="thin">
        <color indexed="64"/>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top style="thin">
        <color indexed="64"/>
      </top>
      <bottom style="medium">
        <color indexed="64"/>
      </bottom>
      <diagonal/>
    </border>
    <border>
      <left style="thin">
        <color theme="1" tint="0.34998626667073579"/>
      </left>
      <right style="medium">
        <color indexed="64"/>
      </right>
      <top style="medium">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style="thin">
        <color indexed="64"/>
      </top>
      <bottom style="medium">
        <color indexed="64"/>
      </bottom>
      <diagonal/>
    </border>
    <border>
      <left style="thin">
        <color theme="1" tint="0.34998626667073579"/>
      </left>
      <right style="medium">
        <color indexed="64"/>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theme="1" tint="0.34998626667073579"/>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medium">
        <color indexed="64"/>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style="medium">
        <color indexed="64"/>
      </left>
      <right style="thin">
        <color theme="1" tint="0.34998626667073579"/>
      </right>
      <top/>
      <bottom style="thin">
        <color theme="1" tint="0.34998626667073579"/>
      </bottom>
      <diagonal/>
    </border>
    <border>
      <left style="thin">
        <color theme="1" tint="0.34998626667073579"/>
      </left>
      <right style="medium">
        <color indexed="64"/>
      </right>
      <top/>
      <bottom style="thin">
        <color theme="1" tint="0.34998626667073579"/>
      </bottom>
      <diagonal/>
    </border>
    <border>
      <left style="medium">
        <color indexed="64"/>
      </left>
      <right style="thin">
        <color rgb="FF595959"/>
      </right>
      <top style="medium">
        <color rgb="FF595959"/>
      </top>
      <bottom/>
      <diagonal/>
    </border>
    <border>
      <left style="medium">
        <color indexed="64"/>
      </left>
      <right style="thin">
        <color rgb="FF595959"/>
      </right>
      <top/>
      <bottom/>
      <diagonal/>
    </border>
    <border>
      <left style="medium">
        <color indexed="64"/>
      </left>
      <right style="thin">
        <color rgb="FF595959"/>
      </right>
      <top/>
      <bottom style="medium">
        <color rgb="FF000000"/>
      </bottom>
      <diagonal/>
    </border>
    <border>
      <left style="thin">
        <color rgb="FF595959"/>
      </left>
      <right style="thin">
        <color rgb="FF595959"/>
      </right>
      <top style="medium">
        <color rgb="FF595959"/>
      </top>
      <bottom/>
      <diagonal/>
    </border>
    <border>
      <left style="thin">
        <color rgb="FF595959"/>
      </left>
      <right style="thin">
        <color rgb="FF595959"/>
      </right>
      <top/>
      <bottom/>
      <diagonal/>
    </border>
    <border>
      <left style="thin">
        <color rgb="FF595959"/>
      </left>
      <right style="thin">
        <color rgb="FF595959"/>
      </right>
      <top/>
      <bottom style="medium">
        <color rgb="FF595959"/>
      </bottom>
      <diagonal/>
    </border>
    <border>
      <left style="thin">
        <color rgb="FF595959"/>
      </left>
      <right style="thin">
        <color rgb="FF595959"/>
      </right>
      <top/>
      <bottom style="medium">
        <color rgb="FF000000"/>
      </bottom>
      <diagonal/>
    </border>
    <border>
      <left style="thin">
        <color rgb="FF595959"/>
      </left>
      <right style="medium">
        <color indexed="64"/>
      </right>
      <top style="medium">
        <color rgb="FF595959"/>
      </top>
      <bottom/>
      <diagonal/>
    </border>
    <border>
      <left style="thin">
        <color rgb="FF595959"/>
      </left>
      <right style="medium">
        <color indexed="64"/>
      </right>
      <top/>
      <bottom/>
      <diagonal/>
    </border>
    <border>
      <left style="thin">
        <color rgb="FF595959"/>
      </left>
      <right style="medium">
        <color indexed="64"/>
      </right>
      <top/>
      <bottom style="medium">
        <color rgb="FF595959"/>
      </bottom>
      <diagonal/>
    </border>
    <border>
      <left/>
      <right style="thin">
        <color rgb="FF595959"/>
      </right>
      <top style="medium">
        <color rgb="FF595959"/>
      </top>
      <bottom style="thin">
        <color rgb="FF595959"/>
      </bottom>
      <diagonal/>
    </border>
    <border>
      <left/>
      <right style="medium">
        <color rgb="FF595959"/>
      </right>
      <top style="medium">
        <color rgb="FF595959"/>
      </top>
      <bottom style="thin">
        <color rgb="FF595959"/>
      </bottom>
      <diagonal/>
    </border>
    <border>
      <left/>
      <right style="thin">
        <color rgb="FF595959"/>
      </right>
      <top/>
      <bottom style="thin">
        <color rgb="FF595959"/>
      </bottom>
      <diagonal/>
    </border>
    <border>
      <left/>
      <right style="medium">
        <color rgb="FF595959"/>
      </right>
      <top/>
      <bottom style="thin">
        <color rgb="FF595959"/>
      </bottom>
      <diagonal/>
    </border>
    <border>
      <left/>
      <right style="thin">
        <color rgb="FF595959"/>
      </right>
      <top/>
      <bottom style="medium">
        <color rgb="FF595959"/>
      </bottom>
      <diagonal/>
    </border>
    <border>
      <left/>
      <right style="medium">
        <color rgb="FF595959"/>
      </right>
      <top/>
      <bottom style="medium">
        <color rgb="FF595959"/>
      </bottom>
      <diagonal/>
    </border>
    <border>
      <left style="medium">
        <color indexed="64"/>
      </left>
      <right style="thin">
        <color rgb="FF595959"/>
      </right>
      <top/>
      <bottom style="thin">
        <color rgb="FF595959"/>
      </bottom>
      <diagonal/>
    </border>
    <border>
      <left style="thin">
        <color rgb="FF595959"/>
      </left>
      <right style="thin">
        <color rgb="FF595959"/>
      </right>
      <top/>
      <bottom style="thin">
        <color rgb="FF595959"/>
      </bottom>
      <diagonal/>
    </border>
    <border>
      <left style="thin">
        <color rgb="FF595959"/>
      </left>
      <right style="medium">
        <color indexed="64"/>
      </right>
      <top/>
      <bottom style="thin">
        <color rgb="FF595959"/>
      </bottom>
      <diagonal/>
    </border>
    <border>
      <left/>
      <right style="thin">
        <color rgb="FF595959"/>
      </right>
      <top/>
      <bottom/>
      <diagonal/>
    </border>
    <border>
      <left/>
      <right style="medium">
        <color rgb="FF595959"/>
      </right>
      <top/>
      <bottom/>
      <diagonal/>
    </border>
    <border>
      <left style="medium">
        <color indexed="64"/>
      </left>
      <right style="thin">
        <color rgb="FF595959"/>
      </right>
      <top style="medium">
        <color indexed="64"/>
      </top>
      <bottom/>
      <diagonal/>
    </border>
    <border>
      <left style="thin">
        <color rgb="FF595959"/>
      </left>
      <right style="thin">
        <color rgb="FF595959"/>
      </right>
      <top style="medium">
        <color indexed="64"/>
      </top>
      <bottom/>
      <diagonal/>
    </border>
    <border>
      <left style="thin">
        <color rgb="FF595959"/>
      </left>
      <right style="medium">
        <color indexed="64"/>
      </right>
      <top style="medium">
        <color indexed="64"/>
      </top>
      <bottom/>
      <diagonal/>
    </border>
    <border>
      <left style="thin">
        <color rgb="FF595959"/>
      </left>
      <right style="medium">
        <color indexed="64"/>
      </right>
      <top/>
      <bottom style="medium">
        <color rgb="FF000000"/>
      </bottom>
      <diagonal/>
    </border>
    <border>
      <left/>
      <right style="thin">
        <color rgb="FF595959"/>
      </right>
      <top style="medium">
        <color indexed="64"/>
      </top>
      <bottom style="thin">
        <color rgb="FF595959"/>
      </bottom>
      <diagonal/>
    </border>
    <border>
      <left/>
      <right style="medium">
        <color indexed="64"/>
      </right>
      <top style="medium">
        <color indexed="64"/>
      </top>
      <bottom style="thin">
        <color rgb="FF595959"/>
      </bottom>
      <diagonal/>
    </border>
    <border>
      <left/>
      <right style="medium">
        <color indexed="64"/>
      </right>
      <top/>
      <bottom style="thin">
        <color rgb="FF595959"/>
      </bottom>
      <diagonal/>
    </border>
    <border>
      <left/>
      <right style="thin">
        <color rgb="FF595959"/>
      </right>
      <top/>
      <bottom style="medium">
        <color indexed="64"/>
      </bottom>
      <diagonal/>
    </border>
    <border>
      <left/>
      <right style="medium">
        <color indexed="64"/>
      </right>
      <top/>
      <bottom style="medium">
        <color indexed="64"/>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medium">
        <color rgb="FF000000"/>
      </left>
      <right style="thin">
        <color indexed="64"/>
      </right>
      <top style="medium">
        <color rgb="FF000000"/>
      </top>
      <bottom style="thin">
        <color indexed="64"/>
      </bottom>
      <diagonal/>
    </border>
    <border>
      <left/>
      <right style="medium">
        <color indexed="64"/>
      </right>
      <top style="medium">
        <color rgb="FF000000"/>
      </top>
      <bottom style="thin">
        <color indexed="64"/>
      </bottom>
      <diagonal/>
    </border>
    <border>
      <left style="medium">
        <color indexed="64"/>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indexed="64"/>
      </right>
      <top style="medium">
        <color rgb="FF000000"/>
      </top>
      <bottom/>
      <diagonal/>
    </border>
    <border>
      <left style="medium">
        <color indexed="64"/>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indexed="64"/>
      </right>
      <top/>
      <bottom/>
      <diagonal/>
    </border>
    <border>
      <left/>
      <right style="medium">
        <color indexed="64"/>
      </right>
      <top/>
      <bottom style="thin">
        <color indexed="64"/>
      </bottom>
      <diagonal/>
    </border>
    <border>
      <left/>
      <right style="thin">
        <color rgb="FF000000"/>
      </right>
      <top style="thin">
        <color rgb="FF000000"/>
      </top>
      <bottom style="thin">
        <color rgb="FF000000"/>
      </bottom>
      <diagonal/>
    </border>
    <border>
      <left style="medium">
        <color rgb="FF000000"/>
      </left>
      <right style="thin">
        <color indexed="64"/>
      </right>
      <top/>
      <bottom style="medium">
        <color rgb="FF000000"/>
      </bottom>
      <diagonal/>
    </border>
    <border>
      <left/>
      <right style="medium">
        <color indexed="64"/>
      </right>
      <top/>
      <bottom style="medium">
        <color rgb="FF000000"/>
      </bottom>
      <diagonal/>
    </border>
    <border>
      <left/>
      <right style="thin">
        <color indexed="64"/>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indexed="64"/>
      </right>
      <top style="medium">
        <color rgb="FF000000"/>
      </top>
      <bottom/>
      <diagonal/>
    </border>
    <border>
      <left/>
      <right style="medium">
        <color indexed="64"/>
      </right>
      <top style="medium">
        <color rgb="FF000000"/>
      </top>
      <bottom/>
      <diagonal/>
    </border>
    <border>
      <left style="thin">
        <color indexed="64"/>
      </left>
      <right style="thin">
        <color indexed="64"/>
      </right>
      <top/>
      <bottom style="medium">
        <color rgb="FF000000"/>
      </bottom>
      <diagonal/>
    </border>
    <border>
      <left style="thin">
        <color rgb="FF000000"/>
      </left>
      <right/>
      <top style="thin">
        <color rgb="FF000000"/>
      </top>
      <bottom/>
      <diagonal/>
    </border>
    <border>
      <left style="thin">
        <color rgb="FF000000"/>
      </left>
      <right/>
      <top style="medium">
        <color rgb="FF000000"/>
      </top>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rgb="FF000000"/>
      </left>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s>
  <cellStyleXfs count="13">
    <xf numFmtId="0" fontId="0" fillId="0" borderId="0"/>
    <xf numFmtId="0" fontId="1" fillId="0" borderId="0"/>
    <xf numFmtId="9" fontId="2" fillId="0" borderId="0" applyFont="0" applyFill="0" applyBorder="0" applyAlignment="0" applyProtection="0"/>
    <xf numFmtId="0" fontId="5" fillId="0" borderId="0" applyNumberFormat="0" applyFill="0" applyBorder="0" applyAlignment="0" applyProtection="0"/>
    <xf numFmtId="0" fontId="7" fillId="0" borderId="0"/>
    <xf numFmtId="0" fontId="9" fillId="0" borderId="0" applyNumberFormat="0" applyFill="0" applyBorder="0" applyAlignment="0" applyProtection="0"/>
    <xf numFmtId="43" fontId="2" fillId="0" borderId="0" applyFont="0" applyFill="0" applyBorder="0" applyAlignment="0" applyProtection="0"/>
    <xf numFmtId="0" fontId="2" fillId="0" borderId="0"/>
    <xf numFmtId="9" fontId="7" fillId="0" borderId="0" applyFont="0" applyFill="0" applyBorder="0" applyAlignment="0" applyProtection="0"/>
    <xf numFmtId="0" fontId="16" fillId="0" borderId="0"/>
    <xf numFmtId="0" fontId="18" fillId="0" borderId="0" applyNumberFormat="0" applyFill="0" applyBorder="0" applyAlignment="0" applyProtection="0"/>
    <xf numFmtId="0" fontId="7" fillId="0" borderId="0"/>
    <xf numFmtId="0" fontId="7" fillId="0" borderId="0"/>
  </cellStyleXfs>
  <cellXfs count="799">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9" fontId="0" fillId="0" borderId="2" xfId="2" applyFont="1" applyBorder="1" applyAlignment="1">
      <alignment horizontal="center"/>
    </xf>
    <xf numFmtId="164" fontId="0" fillId="0" borderId="0" xfId="2" applyNumberFormat="1" applyFont="1" applyFill="1" applyBorder="1" applyAlignment="1">
      <alignment horizontal="center"/>
    </xf>
    <xf numFmtId="0" fontId="3" fillId="0" borderId="0" xfId="0" applyFont="1" applyAlignment="1">
      <alignment horizontal="left" vertical="center" wrapText="1"/>
    </xf>
    <xf numFmtId="9" fontId="0" fillId="0" borderId="0" xfId="2" applyFont="1" applyBorder="1"/>
    <xf numFmtId="9" fontId="0" fillId="0" borderId="0" xfId="2" applyFont="1" applyFill="1" applyBorder="1"/>
    <xf numFmtId="0" fontId="9" fillId="0" borderId="0" xfId="5"/>
    <xf numFmtId="164" fontId="0" fillId="0" borderId="0" xfId="2" applyNumberFormat="1" applyFont="1" applyBorder="1" applyAlignment="1">
      <alignment horizontal="center"/>
    </xf>
    <xf numFmtId="2" fontId="0" fillId="0" borderId="0" xfId="0" applyNumberFormat="1"/>
    <xf numFmtId="9" fontId="10" fillId="0" borderId="0" xfId="2" applyFont="1"/>
    <xf numFmtId="0" fontId="0" fillId="0" borderId="2" xfId="0" applyBorder="1" applyAlignment="1">
      <alignment horizontal="center"/>
    </xf>
    <xf numFmtId="0" fontId="0" fillId="0" borderId="0" xfId="0" applyAlignment="1">
      <alignment horizontal="center" vertical="center"/>
    </xf>
    <xf numFmtId="0" fontId="0" fillId="0" borderId="2" xfId="0" applyBorder="1" applyAlignment="1">
      <alignment horizontal="center" vertical="center"/>
    </xf>
    <xf numFmtId="0" fontId="13" fillId="0" borderId="0" xfId="3" applyFont="1" applyFill="1" applyBorder="1" applyAlignment="1">
      <alignment horizontal="left" vertical="top" wrapText="1"/>
    </xf>
    <xf numFmtId="0" fontId="0" fillId="0" borderId="38" xfId="0" applyBorder="1" applyAlignment="1">
      <alignment horizontal="center" vertical="center"/>
    </xf>
    <xf numFmtId="0" fontId="13" fillId="0" borderId="34" xfId="3" applyFont="1" applyBorder="1" applyAlignment="1">
      <alignment horizontal="center" vertical="top" wrapText="1"/>
    </xf>
    <xf numFmtId="0" fontId="14" fillId="0" borderId="0" xfId="0" applyFont="1"/>
    <xf numFmtId="0" fontId="14" fillId="0" borderId="0" xfId="0" applyFont="1" applyAlignment="1">
      <alignment horizontal="center" vertical="center"/>
    </xf>
    <xf numFmtId="0" fontId="7" fillId="0" borderId="0" xfId="0" applyFont="1"/>
    <xf numFmtId="0" fontId="8" fillId="0" borderId="0" xfId="0" applyFont="1"/>
    <xf numFmtId="0" fontId="7" fillId="0" borderId="0" xfId="0" applyFont="1" applyAlignment="1">
      <alignment horizontal="center" vertical="center"/>
    </xf>
    <xf numFmtId="0" fontId="7" fillId="0" borderId="0" xfId="0" applyFont="1" applyAlignment="1">
      <alignment vertical="center"/>
    </xf>
    <xf numFmtId="169" fontId="7" fillId="0" borderId="0" xfId="0" applyNumberFormat="1" applyFont="1"/>
    <xf numFmtId="166" fontId="7" fillId="0" borderId="0" xfId="0" applyNumberFormat="1" applyFont="1"/>
    <xf numFmtId="0" fontId="18" fillId="0" borderId="0" xfId="5" applyFont="1"/>
    <xf numFmtId="0" fontId="7" fillId="0" borderId="0" xfId="0" applyFont="1" applyAlignment="1">
      <alignment wrapText="1"/>
    </xf>
    <xf numFmtId="0" fontId="7" fillId="0" borderId="25" xfId="0" applyFont="1" applyBorder="1" applyAlignment="1">
      <alignment vertical="center" wrapText="1"/>
    </xf>
    <xf numFmtId="0" fontId="7" fillId="7" borderId="2" xfId="0" applyFont="1" applyFill="1" applyBorder="1" applyAlignment="1">
      <alignment horizontal="center" vertical="center"/>
    </xf>
    <xf numFmtId="0" fontId="7" fillId="7" borderId="2" xfId="0" applyFont="1" applyFill="1" applyBorder="1" applyAlignment="1">
      <alignment vertical="center" wrapText="1"/>
    </xf>
    <xf numFmtId="9" fontId="7" fillId="0" borderId="2" xfId="2" applyFont="1" applyBorder="1" applyAlignment="1">
      <alignment horizontal="center" vertical="center"/>
    </xf>
    <xf numFmtId="0" fontId="17" fillId="0" borderId="0" xfId="0" applyFont="1" applyAlignment="1">
      <alignment vertical="center"/>
    </xf>
    <xf numFmtId="0" fontId="7" fillId="0" borderId="2" xfId="0" applyFont="1" applyBorder="1" applyAlignment="1">
      <alignment vertical="center"/>
    </xf>
    <xf numFmtId="0" fontId="7" fillId="0" borderId="2" xfId="0" applyFont="1" applyBorder="1" applyAlignment="1">
      <alignment vertical="center" wrapText="1"/>
    </xf>
    <xf numFmtId="0" fontId="23" fillId="12" borderId="2" xfId="0" applyFont="1" applyFill="1" applyBorder="1" applyAlignment="1">
      <alignment vertical="center"/>
    </xf>
    <xf numFmtId="0" fontId="23" fillId="12" borderId="2" xfId="0" applyFont="1" applyFill="1" applyBorder="1" applyAlignment="1">
      <alignment horizontal="left" vertical="center"/>
    </xf>
    <xf numFmtId="3" fontId="7" fillId="0" borderId="2" xfId="7" applyNumberFormat="1" applyFont="1" applyBorder="1" applyAlignment="1">
      <alignment horizontal="center" vertical="center"/>
    </xf>
    <xf numFmtId="1" fontId="1" fillId="0" borderId="2" xfId="7" applyNumberFormat="1" applyFont="1" applyBorder="1" applyAlignment="1">
      <alignment horizontal="center" vertical="center"/>
    </xf>
    <xf numFmtId="1" fontId="1" fillId="0" borderId="2" xfId="7" quotePrefix="1" applyNumberFormat="1" applyFont="1" applyBorder="1" applyAlignment="1">
      <alignment horizontal="center" vertical="center"/>
    </xf>
    <xf numFmtId="0" fontId="13" fillId="0" borderId="2" xfId="3" applyFont="1" applyBorder="1" applyAlignment="1">
      <alignment horizontal="center" vertical="center" wrapText="1"/>
    </xf>
    <xf numFmtId="3" fontId="13" fillId="0" borderId="2" xfId="3" applyNumberFormat="1" applyFont="1" applyBorder="1" applyAlignment="1">
      <alignment horizontal="center" vertical="center" wrapText="1"/>
    </xf>
    <xf numFmtId="3" fontId="13" fillId="0" borderId="2" xfId="3" applyNumberFormat="1" applyFont="1" applyFill="1" applyBorder="1" applyAlignment="1">
      <alignment horizontal="center" vertical="center" wrapText="1"/>
    </xf>
    <xf numFmtId="9" fontId="7" fillId="0" borderId="2" xfId="2" applyFont="1" applyBorder="1" applyAlignment="1">
      <alignment horizontal="center"/>
    </xf>
    <xf numFmtId="0" fontId="7" fillId="0" borderId="0" xfId="0" applyFont="1" applyAlignment="1">
      <alignment horizontal="center" vertical="top" wrapText="1"/>
    </xf>
    <xf numFmtId="0" fontId="8" fillId="0" borderId="0" xfId="0" applyFont="1" applyAlignment="1">
      <alignment horizontal="center" vertical="top" wrapText="1"/>
    </xf>
    <xf numFmtId="169" fontId="18" fillId="0" borderId="0" xfId="5" applyNumberFormat="1" applyFont="1" applyAlignment="1">
      <alignment horizontal="left" vertical="top"/>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24" fillId="12" borderId="2" xfId="0" applyFont="1" applyFill="1" applyBorder="1" applyAlignment="1">
      <alignment horizontal="center" vertical="center" wrapText="1"/>
    </xf>
    <xf numFmtId="0" fontId="23" fillId="12" borderId="2" xfId="0" applyFont="1" applyFill="1" applyBorder="1" applyAlignment="1">
      <alignment horizontal="center" vertical="center"/>
    </xf>
    <xf numFmtId="0" fontId="7" fillId="0" borderId="2" xfId="0" applyFont="1" applyBorder="1" applyAlignment="1">
      <alignment horizontal="center" vertical="top" wrapText="1"/>
    </xf>
    <xf numFmtId="0" fontId="7" fillId="0" borderId="22" xfId="0" applyFont="1" applyBorder="1" applyAlignment="1">
      <alignment vertical="center"/>
    </xf>
    <xf numFmtId="0" fontId="7" fillId="0" borderId="22" xfId="0" applyFont="1" applyBorder="1" applyAlignment="1">
      <alignment horizontal="left" vertical="center"/>
    </xf>
    <xf numFmtId="0" fontId="7" fillId="0" borderId="22" xfId="0" applyFont="1" applyBorder="1" applyAlignment="1">
      <alignment horizontal="left" vertical="center" wrapText="1"/>
    </xf>
    <xf numFmtId="0" fontId="7" fillId="0" borderId="2" xfId="0" applyFont="1" applyBorder="1" applyAlignment="1">
      <alignment horizontal="left" vertical="center" wrapText="1"/>
    </xf>
    <xf numFmtId="0" fontId="7" fillId="0" borderId="2" xfId="0" applyFont="1" applyBorder="1" applyAlignment="1">
      <alignment horizontal="left" vertical="center"/>
    </xf>
    <xf numFmtId="170" fontId="7" fillId="0" borderId="2" xfId="6" applyNumberFormat="1" applyFont="1" applyBorder="1"/>
    <xf numFmtId="0" fontId="8" fillId="0" borderId="2" xfId="0" applyFont="1" applyBorder="1" applyAlignment="1">
      <alignment horizontal="left" vertical="center" wrapText="1"/>
    </xf>
    <xf numFmtId="17" fontId="7" fillId="0" borderId="2" xfId="0" applyNumberFormat="1" applyFont="1" applyBorder="1" applyAlignment="1">
      <alignment horizontal="left" vertical="center"/>
    </xf>
    <xf numFmtId="2" fontId="7" fillId="0" borderId="2" xfId="0" applyNumberFormat="1" applyFont="1" applyBorder="1" applyAlignment="1">
      <alignment horizontal="left" vertical="center"/>
    </xf>
    <xf numFmtId="0" fontId="8" fillId="0" borderId="2" xfId="0" applyFont="1" applyBorder="1" applyAlignment="1">
      <alignment vertical="center"/>
    </xf>
    <xf numFmtId="0" fontId="1" fillId="0" borderId="2" xfId="0" applyFont="1" applyBorder="1" applyAlignment="1">
      <alignment horizontal="center" vertical="center" wrapText="1"/>
    </xf>
    <xf numFmtId="0" fontId="7" fillId="0" borderId="2" xfId="0" applyFont="1" applyBorder="1"/>
    <xf numFmtId="0" fontId="7" fillId="0" borderId="2" xfId="0" applyFont="1" applyBorder="1" applyAlignment="1">
      <alignment vertical="top" wrapText="1"/>
    </xf>
    <xf numFmtId="0" fontId="7" fillId="0" borderId="34" xfId="0" applyFont="1" applyBorder="1" applyAlignment="1">
      <alignment horizontal="center" vertical="center"/>
    </xf>
    <xf numFmtId="0" fontId="7" fillId="9" borderId="0" xfId="0" applyFont="1" applyFill="1"/>
    <xf numFmtId="0" fontId="8" fillId="0" borderId="0" xfId="0" applyFont="1" applyAlignment="1">
      <alignment wrapText="1"/>
    </xf>
    <xf numFmtId="0" fontId="8" fillId="0" borderId="0" xfId="0" applyFont="1" applyAlignment="1">
      <alignment horizontal="left"/>
    </xf>
    <xf numFmtId="0" fontId="8" fillId="0" borderId="0" xfId="0" applyFont="1" applyAlignment="1">
      <alignment horizontal="center"/>
    </xf>
    <xf numFmtId="0" fontId="23" fillId="12" borderId="34" xfId="0" applyFont="1" applyFill="1" applyBorder="1" applyAlignment="1">
      <alignment horizontal="center" vertical="center" wrapText="1"/>
    </xf>
    <xf numFmtId="0" fontId="7" fillId="0" borderId="34" xfId="0" applyFont="1" applyBorder="1" applyAlignment="1">
      <alignment horizontal="center" vertical="center" wrapText="1"/>
    </xf>
    <xf numFmtId="165" fontId="7" fillId="0" borderId="0" xfId="0" applyNumberFormat="1" applyFont="1"/>
    <xf numFmtId="9" fontId="7" fillId="0" borderId="0" xfId="2" applyFont="1" applyFill="1" applyBorder="1"/>
    <xf numFmtId="9" fontId="7" fillId="0" borderId="0" xfId="0" applyNumberFormat="1" applyFont="1"/>
    <xf numFmtId="9" fontId="7" fillId="0" borderId="0" xfId="2" applyFont="1"/>
    <xf numFmtId="0" fontId="32" fillId="14" borderId="2" xfId="0" applyFont="1" applyFill="1" applyBorder="1" applyAlignment="1">
      <alignment horizontal="left" vertical="center" wrapText="1"/>
    </xf>
    <xf numFmtId="0" fontId="32" fillId="14" borderId="2" xfId="0" applyFont="1" applyFill="1" applyBorder="1" applyAlignment="1">
      <alignment horizontal="left" vertical="center"/>
    </xf>
    <xf numFmtId="1" fontId="30" fillId="0" borderId="20" xfId="0" applyNumberFormat="1" applyFont="1" applyBorder="1" applyAlignment="1">
      <alignment horizontal="left"/>
    </xf>
    <xf numFmtId="0" fontId="30" fillId="0" borderId="20" xfId="0" applyFont="1" applyBorder="1" applyAlignment="1">
      <alignment horizontal="left"/>
    </xf>
    <xf numFmtId="0" fontId="7" fillId="0" borderId="20" xfId="0" applyFont="1" applyBorder="1" applyAlignment="1">
      <alignment horizontal="left"/>
    </xf>
    <xf numFmtId="10" fontId="7" fillId="0" borderId="20" xfId="8" applyNumberFormat="1" applyFont="1" applyBorder="1" applyAlignment="1">
      <alignment horizontal="center"/>
    </xf>
    <xf numFmtId="10" fontId="7" fillId="0" borderId="0" xfId="8" applyNumberFormat="1" applyFont="1" applyBorder="1" applyAlignment="1">
      <alignment horizontal="center"/>
    </xf>
    <xf numFmtId="10" fontId="7" fillId="0" borderId="21" xfId="8" applyNumberFormat="1" applyFont="1" applyBorder="1" applyAlignment="1">
      <alignment horizontal="center"/>
    </xf>
    <xf numFmtId="164" fontId="7" fillId="0" borderId="0" xfId="2" applyNumberFormat="1" applyFont="1"/>
    <xf numFmtId="9" fontId="8" fillId="0" borderId="0" xfId="2" applyFont="1" applyFill="1" applyBorder="1"/>
    <xf numFmtId="164" fontId="7" fillId="0" borderId="0" xfId="0" applyNumberFormat="1" applyFont="1"/>
    <xf numFmtId="0" fontId="1" fillId="0" borderId="2" xfId="0" applyFont="1" applyBorder="1" applyAlignment="1">
      <alignment horizontal="center" vertical="center"/>
    </xf>
    <xf numFmtId="0" fontId="8" fillId="12" borderId="34" xfId="0" applyFont="1" applyFill="1" applyBorder="1" applyAlignment="1">
      <alignment horizontal="center" vertical="center"/>
    </xf>
    <xf numFmtId="9" fontId="7" fillId="0" borderId="0" xfId="0" applyNumberFormat="1" applyFont="1" applyAlignment="1">
      <alignment vertical="center"/>
    </xf>
    <xf numFmtId="0" fontId="8" fillId="0" borderId="0" xfId="0" applyFont="1" applyAlignment="1">
      <alignment vertical="center"/>
    </xf>
    <xf numFmtId="0" fontId="18" fillId="0" borderId="0" xfId="5" applyFont="1" applyAlignment="1">
      <alignment vertical="center"/>
    </xf>
    <xf numFmtId="0" fontId="18" fillId="0" borderId="0" xfId="5" applyFont="1" applyFill="1" applyAlignment="1">
      <alignment vertical="center"/>
    </xf>
    <xf numFmtId="0" fontId="30" fillId="0" borderId="0" xfId="0" applyFont="1" applyAlignment="1">
      <alignment horizontal="left" vertical="center"/>
    </xf>
    <xf numFmtId="0" fontId="30" fillId="0" borderId="2" xfId="0" applyFont="1" applyBorder="1" applyAlignment="1">
      <alignment horizontal="center" vertical="center"/>
    </xf>
    <xf numFmtId="0" fontId="32" fillId="12" borderId="15" xfId="0" applyFont="1" applyFill="1" applyBorder="1" applyAlignment="1">
      <alignment horizontal="center" vertical="center" wrapText="1"/>
    </xf>
    <xf numFmtId="0" fontId="7" fillId="0" borderId="6" xfId="0" applyFont="1" applyBorder="1" applyAlignment="1">
      <alignment vertical="top" wrapText="1"/>
    </xf>
    <xf numFmtId="0" fontId="7" fillId="0" borderId="7" xfId="0" applyFont="1" applyBorder="1" applyAlignment="1">
      <alignment horizontal="center" vertical="top" wrapText="1"/>
    </xf>
    <xf numFmtId="0" fontId="32" fillId="12" borderId="15" xfId="0" applyFont="1" applyFill="1" applyBorder="1" applyAlignment="1">
      <alignment horizontal="center" vertical="center"/>
    </xf>
    <xf numFmtId="0" fontId="1" fillId="15" borderId="3" xfId="0" applyFont="1" applyFill="1" applyBorder="1" applyAlignment="1">
      <alignment horizontal="center" wrapText="1"/>
    </xf>
    <xf numFmtId="11" fontId="7" fillId="0" borderId="14" xfId="0" applyNumberFormat="1" applyFont="1" applyBorder="1" applyAlignment="1">
      <alignment horizontal="center" vertical="center" wrapText="1"/>
    </xf>
    <xf numFmtId="0" fontId="7" fillId="0" borderId="15" xfId="0" applyFont="1" applyBorder="1"/>
    <xf numFmtId="0" fontId="7" fillId="0" borderId="18" xfId="0" applyFont="1" applyBorder="1"/>
    <xf numFmtId="0" fontId="7" fillId="0" borderId="21" xfId="0" applyFont="1" applyBorder="1"/>
    <xf numFmtId="0" fontId="7" fillId="0" borderId="19" xfId="0" applyFont="1" applyBorder="1"/>
    <xf numFmtId="0" fontId="7" fillId="0" borderId="25" xfId="0" applyFont="1" applyBorder="1"/>
    <xf numFmtId="0" fontId="7" fillId="0" borderId="22" xfId="0" applyFont="1" applyBorder="1"/>
    <xf numFmtId="3" fontId="7" fillId="0" borderId="2" xfId="0" applyNumberFormat="1" applyFont="1" applyBorder="1" applyAlignment="1">
      <alignment horizontal="center" vertical="center"/>
    </xf>
    <xf numFmtId="2" fontId="7" fillId="0" borderId="34" xfId="0" applyNumberFormat="1" applyFont="1" applyBorder="1" applyAlignment="1">
      <alignment horizontal="center" vertical="center"/>
    </xf>
    <xf numFmtId="11" fontId="7" fillId="0" borderId="0" xfId="0" applyNumberFormat="1" applyFont="1" applyAlignment="1">
      <alignment horizontal="center" vertical="center"/>
    </xf>
    <xf numFmtId="11" fontId="7" fillId="0" borderId="0" xfId="0" applyNumberFormat="1" applyFont="1" applyAlignment="1">
      <alignment horizontal="center" vertical="center" wrapText="1"/>
    </xf>
    <xf numFmtId="0" fontId="29" fillId="0" borderId="0" xfId="0" applyFont="1" applyAlignment="1">
      <alignment horizontal="center" vertical="center"/>
    </xf>
    <xf numFmtId="169" fontId="29" fillId="0" borderId="39" xfId="0" applyNumberFormat="1" applyFont="1" applyBorder="1" applyAlignment="1">
      <alignment horizontal="center" vertical="center"/>
    </xf>
    <xf numFmtId="0" fontId="29" fillId="0" borderId="42" xfId="0" applyFont="1" applyBorder="1" applyAlignment="1">
      <alignment horizontal="center" vertical="center"/>
    </xf>
    <xf numFmtId="0" fontId="29" fillId="0" borderId="44" xfId="0" applyFont="1" applyBorder="1" applyAlignment="1">
      <alignment horizontal="center" vertical="center"/>
    </xf>
    <xf numFmtId="0" fontId="29" fillId="0" borderId="47" xfId="0" applyFont="1" applyBorder="1" applyAlignment="1">
      <alignment horizontal="center" vertical="center"/>
    </xf>
    <xf numFmtId="169" fontId="29" fillId="0" borderId="41" xfId="0" applyNumberFormat="1" applyFont="1" applyBorder="1" applyAlignment="1">
      <alignment horizontal="center" vertical="center"/>
    </xf>
    <xf numFmtId="169" fontId="29" fillId="0" borderId="42" xfId="0" applyNumberFormat="1" applyFont="1" applyBorder="1" applyAlignment="1">
      <alignment horizontal="center" vertical="center"/>
    </xf>
    <xf numFmtId="169" fontId="29" fillId="0" borderId="44" xfId="0" applyNumberFormat="1" applyFont="1" applyBorder="1" applyAlignment="1">
      <alignment horizontal="center" vertical="center"/>
    </xf>
    <xf numFmtId="169" fontId="29" fillId="0" borderId="46" xfId="0" applyNumberFormat="1" applyFont="1" applyBorder="1" applyAlignment="1">
      <alignment horizontal="center" vertical="center"/>
    </xf>
    <xf numFmtId="169" fontId="29" fillId="0" borderId="47" xfId="0" applyNumberFormat="1" applyFont="1" applyBorder="1" applyAlignment="1">
      <alignment horizontal="center" vertical="center"/>
    </xf>
    <xf numFmtId="0" fontId="34" fillId="5" borderId="0" xfId="0" applyFont="1" applyFill="1" applyAlignment="1">
      <alignment vertical="center" wrapText="1"/>
    </xf>
    <xf numFmtId="0" fontId="29" fillId="5" borderId="0" xfId="0" applyFont="1" applyFill="1" applyAlignment="1">
      <alignment horizontal="center" vertical="center"/>
    </xf>
    <xf numFmtId="166" fontId="29" fillId="5" borderId="0" xfId="0" applyNumberFormat="1" applyFont="1" applyFill="1" applyAlignment="1">
      <alignment horizontal="center" vertical="center"/>
    </xf>
    <xf numFmtId="0" fontId="23" fillId="12" borderId="37" xfId="0" applyFont="1" applyFill="1" applyBorder="1" applyAlignment="1">
      <alignment horizontal="center" vertical="center" wrapText="1"/>
    </xf>
    <xf numFmtId="0" fontId="7" fillId="0" borderId="2" xfId="0" applyFont="1" applyBorder="1" applyAlignment="1">
      <alignment horizontal="left"/>
    </xf>
    <xf numFmtId="0" fontId="30" fillId="0" borderId="0" xfId="0" applyFont="1" applyAlignment="1">
      <alignment horizontal="left"/>
    </xf>
    <xf numFmtId="10" fontId="7" fillId="0" borderId="0" xfId="0" applyNumberFormat="1" applyFont="1"/>
    <xf numFmtId="0" fontId="7" fillId="0" borderId="0" xfId="12"/>
    <xf numFmtId="0" fontId="32" fillId="0" borderId="0" xfId="0" applyFont="1" applyAlignment="1">
      <alignment horizontal="center" vertical="center" wrapText="1"/>
    </xf>
    <xf numFmtId="10" fontId="7" fillId="0" borderId="0" xfId="8" applyNumberFormat="1" applyFont="1" applyFill="1" applyBorder="1" applyAlignment="1">
      <alignment horizontal="center"/>
    </xf>
    <xf numFmtId="0" fontId="21" fillId="16" borderId="0" xfId="0" applyFont="1" applyFill="1"/>
    <xf numFmtId="0" fontId="31" fillId="16" borderId="0" xfId="0" applyFont="1" applyFill="1"/>
    <xf numFmtId="0" fontId="32" fillId="0" borderId="0" xfId="12" applyFont="1"/>
    <xf numFmtId="0" fontId="32" fillId="14" borderId="22" xfId="0" applyFont="1" applyFill="1" applyBorder="1" applyAlignment="1">
      <alignment horizontal="center" vertical="center" wrapText="1"/>
    </xf>
    <xf numFmtId="0" fontId="32" fillId="14" borderId="2" xfId="12" applyFont="1" applyFill="1" applyBorder="1" applyAlignment="1">
      <alignment horizontal="left" vertical="center" wrapText="1"/>
    </xf>
    <xf numFmtId="0" fontId="32" fillId="14" borderId="3" xfId="12" applyFont="1" applyFill="1" applyBorder="1" applyAlignment="1">
      <alignment horizontal="left" vertical="center"/>
    </xf>
    <xf numFmtId="0" fontId="32" fillId="14" borderId="32" xfId="12" applyFont="1" applyFill="1" applyBorder="1" applyAlignment="1">
      <alignment horizontal="center" vertical="center" wrapText="1"/>
    </xf>
    <xf numFmtId="0" fontId="32" fillId="14" borderId="22" xfId="12" applyFont="1" applyFill="1" applyBorder="1" applyAlignment="1">
      <alignment horizontal="center" vertical="center" wrapText="1"/>
    </xf>
    <xf numFmtId="0" fontId="32" fillId="14" borderId="33" xfId="12" applyFont="1" applyFill="1" applyBorder="1" applyAlignment="1">
      <alignment horizontal="center" vertical="center" wrapText="1"/>
    </xf>
    <xf numFmtId="0" fontId="32" fillId="14" borderId="25" xfId="12" applyFont="1" applyFill="1" applyBorder="1" applyAlignment="1">
      <alignment horizontal="center" vertical="center" wrapText="1"/>
    </xf>
    <xf numFmtId="3" fontId="7" fillId="0" borderId="31" xfId="8" applyNumberFormat="1" applyFont="1" applyBorder="1" applyAlignment="1">
      <alignment horizontal="left"/>
    </xf>
    <xf numFmtId="3" fontId="7" fillId="0" borderId="0" xfId="8" applyNumberFormat="1" applyFont="1" applyBorder="1" applyAlignment="1">
      <alignment horizontal="left"/>
    </xf>
    <xf numFmtId="3" fontId="7" fillId="0" borderId="28" xfId="8" applyNumberFormat="1" applyFont="1" applyBorder="1" applyAlignment="1">
      <alignment horizontal="left"/>
    </xf>
    <xf numFmtId="1" fontId="7" fillId="0" borderId="0" xfId="0" applyNumberFormat="1" applyFont="1"/>
    <xf numFmtId="3" fontId="7" fillId="0" borderId="0" xfId="0" applyNumberFormat="1" applyFont="1" applyAlignment="1">
      <alignment horizontal="center" vertical="center"/>
    </xf>
    <xf numFmtId="166" fontId="7" fillId="0" borderId="0" xfId="0" applyNumberFormat="1" applyFont="1" applyAlignment="1">
      <alignment horizontal="center" vertical="center"/>
    </xf>
    <xf numFmtId="0" fontId="7" fillId="0" borderId="0" xfId="0" applyFont="1" applyAlignment="1">
      <alignment horizontal="right"/>
    </xf>
    <xf numFmtId="0" fontId="0" fillId="5" borderId="0" xfId="0" applyFill="1"/>
    <xf numFmtId="0" fontId="0" fillId="5" borderId="0" xfId="0" applyFill="1" applyAlignment="1">
      <alignment horizontal="center"/>
    </xf>
    <xf numFmtId="0" fontId="8" fillId="2" borderId="0" xfId="0" applyFont="1" applyFill="1" applyAlignment="1">
      <alignment horizontal="center" vertical="center"/>
    </xf>
    <xf numFmtId="169" fontId="29" fillId="0" borderId="0" xfId="0" applyNumberFormat="1" applyFont="1" applyAlignment="1">
      <alignment horizontal="center" vertical="center"/>
    </xf>
    <xf numFmtId="0" fontId="15" fillId="0" borderId="0" xfId="0" applyFont="1" applyAlignment="1">
      <alignment vertical="center"/>
    </xf>
    <xf numFmtId="0" fontId="32" fillId="12" borderId="2" xfId="0" applyFont="1" applyFill="1" applyBorder="1" applyAlignment="1">
      <alignment horizontal="center" vertical="center"/>
    </xf>
    <xf numFmtId="9" fontId="7" fillId="0" borderId="0" xfId="0" applyNumberFormat="1" applyFont="1" applyAlignment="1">
      <alignment horizontal="center" vertical="top" wrapText="1"/>
    </xf>
    <xf numFmtId="165" fontId="7" fillId="0" borderId="0" xfId="0" applyNumberFormat="1" applyFont="1" applyAlignment="1">
      <alignment horizontal="center" vertical="top" wrapText="1"/>
    </xf>
    <xf numFmtId="168" fontId="0" fillId="0" borderId="0" xfId="0" applyNumberFormat="1" applyAlignment="1">
      <alignment vertical="top" wrapText="1"/>
    </xf>
    <xf numFmtId="10" fontId="7" fillId="0" borderId="0" xfId="2" applyNumberFormat="1" applyFont="1"/>
    <xf numFmtId="0" fontId="0" fillId="0" borderId="0" xfId="0" applyAlignment="1">
      <alignment horizontal="left" vertical="center"/>
    </xf>
    <xf numFmtId="0" fontId="7" fillId="0" borderId="0" xfId="0" quotePrefix="1" applyFont="1" applyAlignment="1">
      <alignment horizontal="center" vertical="center" wrapText="1"/>
    </xf>
    <xf numFmtId="3" fontId="0" fillId="0" borderId="2" xfId="0" applyNumberFormat="1" applyBorder="1" applyAlignment="1">
      <alignment horizontal="left"/>
    </xf>
    <xf numFmtId="9" fontId="37" fillId="0" borderId="0" xfId="0" applyNumberFormat="1" applyFont="1" applyAlignment="1">
      <alignment horizontal="center" vertical="center" wrapText="1" readingOrder="1"/>
    </xf>
    <xf numFmtId="9" fontId="38" fillId="0" borderId="0" xfId="0" applyNumberFormat="1" applyFont="1" applyAlignment="1">
      <alignment horizontal="center" vertical="center" wrapText="1" readingOrder="1"/>
    </xf>
    <xf numFmtId="9" fontId="39" fillId="0" borderId="0" xfId="0" applyNumberFormat="1" applyFont="1" applyAlignment="1">
      <alignment horizontal="center" vertical="center" wrapText="1" readingOrder="1"/>
    </xf>
    <xf numFmtId="2" fontId="7" fillId="0" borderId="0" xfId="0" applyNumberFormat="1" applyFont="1"/>
    <xf numFmtId="172" fontId="7" fillId="0" borderId="0" xfId="0" applyNumberFormat="1" applyFont="1"/>
    <xf numFmtId="3" fontId="7" fillId="0" borderId="0" xfId="0" applyNumberFormat="1" applyFont="1"/>
    <xf numFmtId="166" fontId="7" fillId="0" borderId="0" xfId="0" applyNumberFormat="1" applyFont="1" applyAlignment="1">
      <alignment horizontal="center" vertical="top" wrapText="1"/>
    </xf>
    <xf numFmtId="166" fontId="7" fillId="0" borderId="0" xfId="0" applyNumberFormat="1" applyFont="1" applyAlignment="1">
      <alignment horizontal="center" vertical="center" wrapText="1"/>
    </xf>
    <xf numFmtId="2" fontId="7" fillId="0" borderId="0" xfId="2" applyNumberFormat="1" applyFont="1"/>
    <xf numFmtId="1" fontId="1" fillId="0" borderId="0" xfId="7" applyNumberFormat="1" applyFont="1" applyAlignment="1">
      <alignment horizontal="center" vertical="center"/>
    </xf>
    <xf numFmtId="1" fontId="25" fillId="0" borderId="0" xfId="7" applyNumberFormat="1" applyFont="1" applyAlignment="1">
      <alignment horizontal="center" vertical="center"/>
    </xf>
    <xf numFmtId="1" fontId="1" fillId="0" borderId="0" xfId="7" quotePrefix="1" applyNumberFormat="1" applyFont="1" applyAlignment="1">
      <alignment horizontal="center" vertical="center"/>
    </xf>
    <xf numFmtId="1" fontId="25" fillId="0" borderId="0" xfId="7" quotePrefix="1" applyNumberFormat="1" applyFont="1" applyAlignment="1">
      <alignment horizontal="center" vertical="center"/>
    </xf>
    <xf numFmtId="10" fontId="1" fillId="0" borderId="0" xfId="2" applyNumberFormat="1" applyFont="1" applyBorder="1" applyAlignment="1">
      <alignment horizontal="center" vertical="center"/>
    </xf>
    <xf numFmtId="173" fontId="1" fillId="0" borderId="0" xfId="7" applyNumberFormat="1" applyFont="1" applyAlignment="1">
      <alignment horizontal="center" vertical="center"/>
    </xf>
    <xf numFmtId="174" fontId="1" fillId="0" borderId="0" xfId="7" applyNumberFormat="1" applyFont="1" applyAlignment="1">
      <alignment horizontal="center" vertical="center"/>
    </xf>
    <xf numFmtId="171" fontId="7" fillId="0" borderId="0" xfId="2" applyNumberFormat="1" applyFont="1"/>
    <xf numFmtId="10" fontId="7" fillId="0" borderId="2" xfId="2" applyNumberFormat="1" applyFont="1" applyFill="1" applyBorder="1" applyAlignment="1">
      <alignment horizontal="center" vertical="center"/>
    </xf>
    <xf numFmtId="0" fontId="20" fillId="0" borderId="0" xfId="0" applyFont="1" applyAlignment="1">
      <alignment horizontal="center" vertical="center"/>
    </xf>
    <xf numFmtId="0" fontId="24" fillId="0" borderId="0" xfId="0" applyFont="1" applyAlignment="1">
      <alignment horizontal="center" vertical="center" wrapText="1"/>
    </xf>
    <xf numFmtId="10" fontId="7" fillId="0" borderId="0" xfId="2" applyNumberFormat="1" applyFont="1" applyFill="1"/>
    <xf numFmtId="10" fontId="1" fillId="0" borderId="0" xfId="2" applyNumberFormat="1" applyFont="1" applyFill="1" applyBorder="1" applyAlignment="1">
      <alignment horizontal="center" vertical="center"/>
    </xf>
    <xf numFmtId="175" fontId="1" fillId="0" borderId="0" xfId="7" applyNumberFormat="1" applyFont="1" applyAlignment="1">
      <alignment horizontal="center" vertical="center"/>
    </xf>
    <xf numFmtId="0" fontId="13" fillId="7" borderId="34" xfId="3" applyFont="1" applyFill="1" applyBorder="1" applyAlignment="1">
      <alignment horizontal="center" vertical="top" wrapText="1"/>
    </xf>
    <xf numFmtId="4" fontId="7" fillId="7" borderId="2" xfId="7" applyNumberFormat="1" applyFont="1" applyFill="1" applyBorder="1" applyAlignment="1">
      <alignment horizontal="center" vertical="center"/>
    </xf>
    <xf numFmtId="164" fontId="7" fillId="7" borderId="2" xfId="2" applyNumberFormat="1" applyFont="1" applyFill="1" applyBorder="1" applyAlignment="1">
      <alignment horizontal="center" vertical="center"/>
    </xf>
    <xf numFmtId="3" fontId="7" fillId="7" borderId="2" xfId="7" applyNumberFormat="1" applyFont="1" applyFill="1" applyBorder="1" applyAlignment="1">
      <alignment horizontal="center" vertical="center"/>
    </xf>
    <xf numFmtId="3" fontId="38" fillId="0" borderId="0" xfId="0" applyNumberFormat="1" applyFont="1" applyAlignment="1">
      <alignment horizontal="center" wrapText="1" readingOrder="1"/>
    </xf>
    <xf numFmtId="3" fontId="39" fillId="0" borderId="0" xfId="0" applyNumberFormat="1" applyFont="1" applyAlignment="1">
      <alignment horizontal="center" wrapText="1" readingOrder="1"/>
    </xf>
    <xf numFmtId="3" fontId="13" fillId="0" borderId="3" xfId="3" applyNumberFormat="1" applyFont="1" applyBorder="1" applyAlignment="1">
      <alignment horizontal="center" vertical="center" wrapText="1"/>
    </xf>
    <xf numFmtId="3" fontId="7" fillId="0" borderId="15" xfId="7" applyNumberFormat="1" applyFont="1" applyBorder="1" applyAlignment="1">
      <alignment horizontal="center" vertical="center"/>
    </xf>
    <xf numFmtId="2" fontId="7" fillId="0" borderId="0" xfId="2" applyNumberFormat="1" applyFont="1" applyBorder="1"/>
    <xf numFmtId="0" fontId="7" fillId="0" borderId="15" xfId="0" applyFont="1" applyBorder="1" applyAlignment="1">
      <alignment horizontal="center"/>
    </xf>
    <xf numFmtId="3" fontId="26" fillId="0" borderId="2" xfId="3" applyNumberFormat="1" applyFont="1" applyFill="1" applyBorder="1" applyAlignment="1">
      <alignment horizontal="center" vertical="center" wrapText="1"/>
    </xf>
    <xf numFmtId="0" fontId="23" fillId="18" borderId="2" xfId="0" applyFont="1" applyFill="1" applyBorder="1" applyAlignment="1">
      <alignment horizontal="center" vertical="center" wrapText="1"/>
    </xf>
    <xf numFmtId="0" fontId="16" fillId="0" borderId="0" xfId="0" applyFont="1"/>
    <xf numFmtId="3" fontId="1" fillId="0" borderId="34" xfId="2" applyNumberFormat="1" applyFont="1" applyFill="1" applyBorder="1" applyAlignment="1">
      <alignment horizontal="center" vertical="center"/>
    </xf>
    <xf numFmtId="0" fontId="8" fillId="0" borderId="4" xfId="0" applyFont="1" applyBorder="1"/>
    <xf numFmtId="0" fontId="7" fillId="7" borderId="1"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6" xfId="0" applyFont="1" applyFill="1" applyBorder="1"/>
    <xf numFmtId="3" fontId="1" fillId="0" borderId="53" xfId="2" applyNumberFormat="1" applyFont="1" applyFill="1" applyBorder="1" applyAlignment="1">
      <alignment horizontal="center" vertical="center"/>
    </xf>
    <xf numFmtId="0" fontId="7" fillId="7" borderId="8" xfId="0" applyFont="1" applyFill="1" applyBorder="1"/>
    <xf numFmtId="9" fontId="1" fillId="0" borderId="54" xfId="2" applyFont="1" applyFill="1" applyBorder="1" applyAlignment="1">
      <alignment horizontal="center" vertical="center"/>
    </xf>
    <xf numFmtId="9" fontId="1" fillId="0" borderId="55" xfId="2" applyFont="1" applyFill="1" applyBorder="1" applyAlignment="1">
      <alignment horizontal="center" vertical="center"/>
    </xf>
    <xf numFmtId="0" fontId="3" fillId="3" borderId="2" xfId="0" applyFont="1" applyFill="1" applyBorder="1" applyAlignment="1">
      <alignment horizontal="left" wrapText="1"/>
    </xf>
    <xf numFmtId="4" fontId="0" fillId="0" borderId="2" xfId="0" applyNumberFormat="1" applyBorder="1" applyAlignment="1">
      <alignment horizontal="left"/>
    </xf>
    <xf numFmtId="0" fontId="17" fillId="20" borderId="0" xfId="0" applyFont="1" applyFill="1"/>
    <xf numFmtId="0" fontId="29" fillId="14" borderId="2" xfId="0" applyFont="1" applyFill="1" applyBorder="1" applyAlignment="1">
      <alignment horizontal="center" vertical="center" wrapText="1"/>
    </xf>
    <xf numFmtId="0" fontId="29" fillId="14" borderId="2" xfId="0" applyFont="1" applyFill="1" applyBorder="1" applyAlignment="1">
      <alignment horizontal="center" vertical="center"/>
    </xf>
    <xf numFmtId="0" fontId="29" fillId="14" borderId="15" xfId="0" applyFont="1" applyFill="1" applyBorder="1" applyAlignment="1">
      <alignment horizontal="center" vertical="center"/>
    </xf>
    <xf numFmtId="0" fontId="29" fillId="14" borderId="16" xfId="0" applyFont="1" applyFill="1" applyBorder="1" applyAlignment="1">
      <alignment horizontal="center" vertical="center"/>
    </xf>
    <xf numFmtId="0" fontId="29" fillId="0" borderId="0" xfId="0" applyFont="1"/>
    <xf numFmtId="0" fontId="29" fillId="0" borderId="16" xfId="0" applyFont="1" applyBorder="1" applyAlignment="1">
      <alignment horizontal="left"/>
    </xf>
    <xf numFmtId="3" fontId="29" fillId="0" borderId="17" xfId="8" applyNumberFormat="1" applyFont="1" applyFill="1" applyBorder="1" applyAlignment="1">
      <alignment horizontal="center"/>
    </xf>
    <xf numFmtId="3" fontId="29" fillId="0" borderId="0" xfId="0" applyNumberFormat="1" applyFont="1" applyAlignment="1">
      <alignment horizontal="left" wrapText="1"/>
    </xf>
    <xf numFmtId="9" fontId="29" fillId="19" borderId="0" xfId="2" applyFont="1" applyFill="1"/>
    <xf numFmtId="3" fontId="29" fillId="0" borderId="0" xfId="0" applyNumberFormat="1" applyFont="1"/>
    <xf numFmtId="0" fontId="29" fillId="0" borderId="20" xfId="0" applyFont="1" applyBorder="1" applyAlignment="1">
      <alignment horizontal="left"/>
    </xf>
    <xf numFmtId="3" fontId="29" fillId="0" borderId="0" xfId="8" applyNumberFormat="1" applyFont="1" applyFill="1" applyBorder="1" applyAlignment="1">
      <alignment horizontal="center"/>
    </xf>
    <xf numFmtId="9" fontId="29" fillId="0" borderId="0" xfId="2" applyFont="1"/>
    <xf numFmtId="0" fontId="29" fillId="0" borderId="23" xfId="0" applyFont="1" applyBorder="1" applyAlignment="1">
      <alignment horizontal="left"/>
    </xf>
    <xf numFmtId="3" fontId="29" fillId="0" borderId="24" xfId="8" applyNumberFormat="1" applyFont="1" applyFill="1" applyBorder="1" applyAlignment="1">
      <alignment horizontal="center"/>
    </xf>
    <xf numFmtId="3" fontId="29" fillId="0" borderId="24" xfId="0" applyNumberFormat="1" applyFont="1" applyBorder="1" applyAlignment="1">
      <alignment horizontal="left" wrapText="1"/>
    </xf>
    <xf numFmtId="9" fontId="1" fillId="0" borderId="0" xfId="2" applyFont="1" applyFill="1" applyBorder="1" applyAlignment="1">
      <alignment horizontal="center" vertical="center"/>
    </xf>
    <xf numFmtId="9" fontId="1" fillId="0" borderId="2" xfId="2" applyFont="1" applyFill="1" applyBorder="1" applyAlignment="1">
      <alignment horizontal="center" vertical="center"/>
    </xf>
    <xf numFmtId="0" fontId="30" fillId="12" borderId="2" xfId="0" applyFont="1" applyFill="1" applyBorder="1" applyAlignment="1">
      <alignment horizontal="center" vertical="center"/>
    </xf>
    <xf numFmtId="0" fontId="8" fillId="0" borderId="2" xfId="0" applyFont="1" applyBorder="1" applyAlignment="1">
      <alignment horizontal="center" vertical="center"/>
    </xf>
    <xf numFmtId="0" fontId="21" fillId="16" borderId="0" xfId="0" applyFont="1" applyFill="1" applyAlignment="1">
      <alignment vertical="center" wrapText="1"/>
    </xf>
    <xf numFmtId="0" fontId="8" fillId="0" borderId="0" xfId="0" applyFont="1" applyAlignment="1">
      <alignment horizontal="center" vertical="center"/>
    </xf>
    <xf numFmtId="0" fontId="7" fillId="0" borderId="2" xfId="0" applyFont="1" applyBorder="1" applyAlignment="1">
      <alignment horizontal="center" wrapText="1"/>
    </xf>
    <xf numFmtId="166" fontId="27" fillId="0" borderId="2" xfId="0" applyNumberFormat="1" applyFont="1" applyBorder="1" applyAlignment="1">
      <alignment horizontal="center" vertical="center"/>
    </xf>
    <xf numFmtId="0" fontId="7" fillId="12" borderId="2" xfId="0" applyFont="1" applyFill="1" applyBorder="1" applyAlignment="1">
      <alignment vertical="center"/>
    </xf>
    <xf numFmtId="0" fontId="7" fillId="0" borderId="2" xfId="0" applyFont="1" applyBorder="1" applyAlignment="1">
      <alignment wrapText="1"/>
    </xf>
    <xf numFmtId="0" fontId="1" fillId="0" borderId="2" xfId="0" applyFont="1" applyBorder="1"/>
    <xf numFmtId="9" fontId="7" fillId="0" borderId="0" xfId="2" applyFont="1" applyAlignment="1">
      <alignment horizontal="center" vertical="center"/>
    </xf>
    <xf numFmtId="0" fontId="42" fillId="0" borderId="0" xfId="0" applyFont="1" applyAlignment="1">
      <alignment horizontal="center"/>
    </xf>
    <xf numFmtId="0" fontId="42" fillId="0" borderId="0" xfId="0" applyFont="1"/>
    <xf numFmtId="164" fontId="0" fillId="0" borderId="3" xfId="2" applyNumberFormat="1" applyFont="1" applyBorder="1" applyAlignment="1">
      <alignment horizontal="center"/>
    </xf>
    <xf numFmtId="0" fontId="3" fillId="0" borderId="0" xfId="0" applyFont="1" applyAlignment="1">
      <alignment horizontal="center" vertical="center" wrapText="1"/>
    </xf>
    <xf numFmtId="0" fontId="3" fillId="0" borderId="0" xfId="0" applyFont="1" applyAlignment="1">
      <alignment horizontal="center" wrapText="1"/>
    </xf>
    <xf numFmtId="0" fontId="7" fillId="9" borderId="0" xfId="0" applyFont="1" applyFill="1" applyAlignment="1">
      <alignment horizontal="right"/>
    </xf>
    <xf numFmtId="0" fontId="7" fillId="0" borderId="0" xfId="0" applyFont="1" applyAlignment="1">
      <alignment horizontal="right" wrapText="1"/>
    </xf>
    <xf numFmtId="1" fontId="25" fillId="0" borderId="2" xfId="7" quotePrefix="1" applyNumberFormat="1" applyFont="1" applyBorder="1" applyAlignment="1">
      <alignment horizontal="center" vertical="center"/>
    </xf>
    <xf numFmtId="0" fontId="7" fillId="0" borderId="0" xfId="0" applyFont="1" applyAlignment="1">
      <alignment vertical="top"/>
    </xf>
    <xf numFmtId="0" fontId="7" fillId="0" borderId="0" xfId="0" applyFont="1" applyAlignment="1">
      <alignment vertical="top" wrapText="1"/>
    </xf>
    <xf numFmtId="0" fontId="7" fillId="0" borderId="2" xfId="0" applyFont="1" applyBorder="1" applyAlignment="1">
      <alignment vertical="top"/>
    </xf>
    <xf numFmtId="0" fontId="43" fillId="8" borderId="0" xfId="0" applyFont="1" applyFill="1"/>
    <xf numFmtId="0" fontId="7" fillId="8" borderId="0" xfId="0" applyFont="1" applyFill="1"/>
    <xf numFmtId="9" fontId="7" fillId="8" borderId="0" xfId="2" applyFont="1" applyFill="1" applyBorder="1"/>
    <xf numFmtId="164" fontId="7" fillId="8" borderId="0" xfId="0" applyNumberFormat="1" applyFont="1" applyFill="1"/>
    <xf numFmtId="0" fontId="8" fillId="12" borderId="37" xfId="0" applyFont="1" applyFill="1" applyBorder="1" applyAlignment="1">
      <alignment horizontal="center" vertical="center"/>
    </xf>
    <xf numFmtId="0" fontId="23" fillId="12" borderId="15" xfId="0" applyFont="1" applyFill="1" applyBorder="1" applyAlignment="1">
      <alignment horizontal="center" vertical="center" wrapText="1"/>
    </xf>
    <xf numFmtId="170" fontId="7" fillId="0" borderId="2" xfId="6" applyNumberFormat="1" applyFont="1" applyBorder="1" applyAlignment="1">
      <alignment horizontal="center" vertical="center"/>
    </xf>
    <xf numFmtId="170" fontId="7" fillId="0" borderId="2" xfId="0" applyNumberFormat="1" applyFont="1" applyBorder="1" applyAlignment="1">
      <alignment horizontal="center" vertical="center"/>
    </xf>
    <xf numFmtId="0" fontId="1" fillId="0" borderId="34" xfId="0" applyFont="1" applyBorder="1" applyAlignment="1">
      <alignment horizontal="center" vertical="center"/>
    </xf>
    <xf numFmtId="0" fontId="43" fillId="8" borderId="0" xfId="0" applyFont="1" applyFill="1" applyAlignment="1">
      <alignment horizontal="left"/>
    </xf>
    <xf numFmtId="0" fontId="28" fillId="0" borderId="0" xfId="0" applyFont="1" applyAlignment="1">
      <alignment vertical="center" wrapText="1"/>
    </xf>
    <xf numFmtId="0" fontId="0" fillId="0" borderId="0" xfId="0" applyAlignment="1">
      <alignment horizontal="center" vertical="center" wrapText="1"/>
    </xf>
    <xf numFmtId="0" fontId="8" fillId="12" borderId="34" xfId="0" applyFont="1" applyFill="1" applyBorder="1" applyAlignment="1">
      <alignment horizontal="center" vertical="center" wrapText="1"/>
    </xf>
    <xf numFmtId="164" fontId="7" fillId="0" borderId="2" xfId="2" applyNumberFormat="1" applyFont="1" applyFill="1" applyBorder="1" applyAlignment="1">
      <alignment horizontal="center" vertical="center"/>
    </xf>
    <xf numFmtId="164" fontId="13" fillId="0" borderId="2" xfId="3" applyNumberFormat="1" applyFont="1" applyBorder="1" applyAlignment="1">
      <alignment horizontal="center" vertical="center" wrapText="1"/>
    </xf>
    <xf numFmtId="0" fontId="23" fillId="12" borderId="15" xfId="0" applyFont="1" applyFill="1" applyBorder="1" applyAlignment="1">
      <alignment horizontal="center" vertical="center"/>
    </xf>
    <xf numFmtId="2" fontId="45" fillId="0" borderId="64" xfId="0" applyNumberFormat="1" applyFont="1" applyBorder="1" applyAlignment="1">
      <alignment horizontal="center" vertical="center"/>
    </xf>
    <xf numFmtId="2" fontId="45" fillId="0" borderId="65" xfId="0" applyNumberFormat="1" applyFont="1" applyBorder="1" applyAlignment="1">
      <alignment horizontal="center" vertical="center"/>
    </xf>
    <xf numFmtId="2" fontId="45" fillId="0" borderId="68" xfId="0" applyNumberFormat="1" applyFont="1" applyBorder="1" applyAlignment="1">
      <alignment horizontal="center" vertical="center"/>
    </xf>
    <xf numFmtId="2" fontId="45" fillId="0" borderId="69" xfId="0" applyNumberFormat="1" applyFont="1" applyBorder="1" applyAlignment="1">
      <alignment horizontal="center" vertical="center"/>
    </xf>
    <xf numFmtId="2" fontId="7" fillId="0" borderId="1" xfId="0" applyNumberFormat="1" applyFont="1" applyBorder="1" applyAlignment="1">
      <alignment horizontal="center" vertical="center"/>
    </xf>
    <xf numFmtId="2" fontId="7" fillId="0" borderId="5" xfId="0" applyNumberFormat="1" applyFont="1" applyBorder="1" applyAlignment="1">
      <alignment horizontal="center" vertical="center"/>
    </xf>
    <xf numFmtId="2" fontId="7" fillId="0" borderId="2"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51" xfId="0" applyNumberFormat="1" applyFont="1" applyBorder="1" applyAlignment="1">
      <alignment horizontal="center" vertical="center"/>
    </xf>
    <xf numFmtId="3" fontId="7" fillId="7" borderId="2" xfId="7" applyNumberFormat="1" applyFont="1" applyFill="1" applyBorder="1" applyAlignment="1">
      <alignment horizontal="left" vertical="center"/>
    </xf>
    <xf numFmtId="0" fontId="13" fillId="0" borderId="14" xfId="3" applyFont="1" applyFill="1" applyBorder="1" applyAlignment="1">
      <alignment horizontal="center" vertical="center" wrapText="1"/>
    </xf>
    <xf numFmtId="0" fontId="13" fillId="0" borderId="2" xfId="3" applyFont="1" applyFill="1" applyBorder="1" applyAlignment="1">
      <alignment horizontal="center" vertical="center" wrapText="1"/>
    </xf>
    <xf numFmtId="0" fontId="8" fillId="12" borderId="37" xfId="0" applyFont="1" applyFill="1" applyBorder="1" applyAlignment="1">
      <alignment horizontal="center" vertical="center" wrapText="1"/>
    </xf>
    <xf numFmtId="0" fontId="9" fillId="0" borderId="39" xfId="5" applyBorder="1" applyAlignment="1">
      <alignment horizontal="center" vertical="center"/>
    </xf>
    <xf numFmtId="0" fontId="0" fillId="5" borderId="0" xfId="0" applyFill="1" applyAlignment="1">
      <alignment vertical="center"/>
    </xf>
    <xf numFmtId="10" fontId="1" fillId="0" borderId="0" xfId="2" applyNumberFormat="1" applyFont="1" applyBorder="1" applyAlignment="1">
      <alignment horizontal="left" vertical="center"/>
    </xf>
    <xf numFmtId="1" fontId="46" fillId="0" borderId="2" xfId="7" applyNumberFormat="1" applyFont="1" applyBorder="1" applyAlignment="1">
      <alignment horizontal="center" vertical="center"/>
    </xf>
    <xf numFmtId="10" fontId="46" fillId="0" borderId="0" xfId="2" applyNumberFormat="1" applyFont="1" applyBorder="1" applyAlignment="1">
      <alignment horizontal="left" vertical="center" wrapText="1"/>
    </xf>
    <xf numFmtId="3" fontId="1" fillId="0" borderId="2" xfId="3" applyNumberFormat="1" applyFont="1" applyFill="1" applyBorder="1" applyAlignment="1">
      <alignment horizontal="center" vertical="center" wrapText="1"/>
    </xf>
    <xf numFmtId="169" fontId="18" fillId="0" borderId="0" xfId="5" applyNumberFormat="1" applyFont="1" applyAlignment="1">
      <alignment horizontal="left" vertical="center"/>
    </xf>
    <xf numFmtId="0" fontId="1" fillId="0" borderId="0" xfId="0" applyFont="1"/>
    <xf numFmtId="0" fontId="8" fillId="18" borderId="76" xfId="0" applyFont="1" applyFill="1" applyBorder="1" applyAlignment="1">
      <alignment horizontal="center" vertical="center"/>
    </xf>
    <xf numFmtId="0" fontId="46" fillId="5" borderId="77" xfId="0" applyFont="1" applyFill="1" applyBorder="1" applyAlignment="1">
      <alignment horizontal="left" vertical="center"/>
    </xf>
    <xf numFmtId="0" fontId="7" fillId="5" borderId="78" xfId="0" applyFont="1" applyFill="1" applyBorder="1" applyAlignment="1">
      <alignment horizontal="left" vertical="center"/>
    </xf>
    <xf numFmtId="0" fontId="7" fillId="5" borderId="78" xfId="0" applyFont="1" applyFill="1" applyBorder="1" applyAlignment="1">
      <alignment vertical="center"/>
    </xf>
    <xf numFmtId="0" fontId="30" fillId="5" borderId="78" xfId="0" applyFont="1" applyFill="1" applyBorder="1" applyAlignment="1">
      <alignment horizontal="center" vertical="center" wrapText="1"/>
    </xf>
    <xf numFmtId="0" fontId="7" fillId="5" borderId="78" xfId="0" applyFont="1" applyFill="1" applyBorder="1"/>
    <xf numFmtId="0" fontId="7" fillId="5" borderId="79" xfId="0" applyFont="1" applyFill="1" applyBorder="1"/>
    <xf numFmtId="0" fontId="46" fillId="5" borderId="80" xfId="0" applyFont="1" applyFill="1" applyBorder="1" applyAlignment="1">
      <alignment horizontal="left" vertical="center"/>
    </xf>
    <xf numFmtId="0" fontId="7" fillId="5" borderId="0" xfId="0" applyFont="1" applyFill="1"/>
    <xf numFmtId="9" fontId="7" fillId="5" borderId="0" xfId="0" applyNumberFormat="1" applyFont="1" applyFill="1"/>
    <xf numFmtId="0" fontId="7" fillId="5" borderId="81" xfId="0" applyFont="1" applyFill="1" applyBorder="1" applyAlignment="1">
      <alignment vertical="center"/>
    </xf>
    <xf numFmtId="43" fontId="7" fillId="0" borderId="0" xfId="0" applyNumberFormat="1" applyFont="1"/>
    <xf numFmtId="0" fontId="7" fillId="0" borderId="83" xfId="0" applyFont="1" applyBorder="1" applyAlignment="1">
      <alignment horizontal="center" vertical="center"/>
    </xf>
    <xf numFmtId="0" fontId="7" fillId="0" borderId="85" xfId="0" applyFont="1" applyBorder="1" applyAlignment="1">
      <alignment horizontal="center" vertical="center" wrapText="1"/>
    </xf>
    <xf numFmtId="0" fontId="7" fillId="0" borderId="83" xfId="0" applyFont="1" applyBorder="1" applyAlignment="1">
      <alignment vertical="center" wrapText="1"/>
    </xf>
    <xf numFmtId="0" fontId="7" fillId="0" borderId="2" xfId="3" applyFont="1" applyBorder="1" applyAlignment="1">
      <alignment horizontal="left" vertical="center" wrapText="1"/>
    </xf>
    <xf numFmtId="0" fontId="7" fillId="0" borderId="2" xfId="3" applyFont="1" applyFill="1" applyBorder="1" applyAlignment="1">
      <alignment horizontal="left" vertical="center" wrapText="1"/>
    </xf>
    <xf numFmtId="0" fontId="23" fillId="18" borderId="15" xfId="0" applyFont="1" applyFill="1" applyBorder="1" applyAlignment="1">
      <alignment horizontal="center" vertical="center" wrapText="1"/>
    </xf>
    <xf numFmtId="0" fontId="32" fillId="18" borderId="89" xfId="0" applyFont="1" applyFill="1" applyBorder="1" applyAlignment="1">
      <alignment horizontal="center" vertical="center"/>
    </xf>
    <xf numFmtId="0" fontId="30" fillId="0" borderId="4" xfId="0" applyFont="1" applyBorder="1" applyAlignment="1">
      <alignment horizontal="center" vertical="center"/>
    </xf>
    <xf numFmtId="0" fontId="30" fillId="0" borderId="1" xfId="0" applyFont="1" applyBorder="1" applyAlignment="1">
      <alignment horizontal="center" vertical="center"/>
    </xf>
    <xf numFmtId="0" fontId="30" fillId="0" borderId="6" xfId="0" applyFont="1" applyBorder="1" applyAlignment="1">
      <alignment horizontal="center" vertical="center"/>
    </xf>
    <xf numFmtId="0" fontId="30" fillId="0" borderId="8" xfId="0" applyFont="1" applyBorder="1" applyAlignment="1">
      <alignment horizontal="center" vertical="center"/>
    </xf>
    <xf numFmtId="0" fontId="32" fillId="18" borderId="76" xfId="0" applyFont="1" applyFill="1" applyBorder="1" applyAlignment="1">
      <alignment horizontal="center" vertical="center" wrapText="1"/>
    </xf>
    <xf numFmtId="0" fontId="32" fillId="18" borderId="76" xfId="0" applyFont="1" applyFill="1" applyBorder="1" applyAlignment="1">
      <alignment horizontal="center" vertical="center"/>
    </xf>
    <xf numFmtId="3" fontId="7" fillId="0" borderId="63" xfId="0" applyNumberFormat="1" applyFont="1" applyBorder="1" applyAlignment="1">
      <alignment horizontal="center" vertical="center"/>
    </xf>
    <xf numFmtId="170" fontId="7" fillId="0" borderId="63" xfId="6" applyNumberFormat="1" applyFont="1" applyBorder="1" applyAlignment="1">
      <alignment horizontal="center" vertical="center"/>
    </xf>
    <xf numFmtId="170" fontId="13" fillId="0" borderId="34" xfId="6" applyNumberFormat="1" applyFont="1" applyBorder="1" applyAlignment="1">
      <alignment horizontal="center" vertical="top" wrapText="1"/>
    </xf>
    <xf numFmtId="170" fontId="13" fillId="7" borderId="34" xfId="6" applyNumberFormat="1" applyFont="1" applyFill="1" applyBorder="1" applyAlignment="1">
      <alignment horizontal="center" vertical="top" wrapText="1"/>
    </xf>
    <xf numFmtId="0" fontId="1" fillId="0" borderId="84" xfId="0" applyFont="1" applyBorder="1" applyAlignment="1">
      <alignment horizontal="center" vertical="center" wrapText="1"/>
    </xf>
    <xf numFmtId="0" fontId="23" fillId="12" borderId="63" xfId="0" applyFont="1" applyFill="1" applyBorder="1" applyAlignment="1">
      <alignment horizontal="center" vertical="center" wrapText="1"/>
    </xf>
    <xf numFmtId="1" fontId="13" fillId="0" borderId="66" xfId="3" applyNumberFormat="1" applyFont="1" applyBorder="1" applyAlignment="1">
      <alignment horizontal="left" vertical="center" wrapText="1"/>
    </xf>
    <xf numFmtId="0" fontId="1" fillId="0" borderId="66" xfId="0" applyFont="1" applyBorder="1"/>
    <xf numFmtId="170" fontId="7" fillId="0" borderId="66" xfId="6" applyNumberFormat="1" applyFont="1" applyBorder="1" applyAlignment="1">
      <alignment horizontal="left" vertical="center" wrapText="1"/>
    </xf>
    <xf numFmtId="170" fontId="7" fillId="0" borderId="66" xfId="6" applyNumberFormat="1" applyFont="1" applyBorder="1" applyAlignment="1">
      <alignment horizontal="left" vertical="center"/>
    </xf>
    <xf numFmtId="43" fontId="7" fillId="0" borderId="66" xfId="6" applyFont="1" applyFill="1" applyBorder="1"/>
    <xf numFmtId="43" fontId="7" fillId="0" borderId="66" xfId="0" applyNumberFormat="1" applyFont="1" applyBorder="1"/>
    <xf numFmtId="43" fontId="7" fillId="0" borderId="66" xfId="6" applyFont="1" applyBorder="1"/>
    <xf numFmtId="176" fontId="30" fillId="23" borderId="2" xfId="0" applyNumberFormat="1" applyFont="1" applyFill="1" applyBorder="1" applyAlignment="1">
      <alignment vertical="center"/>
    </xf>
    <xf numFmtId="176" fontId="7" fillId="0" borderId="2" xfId="0" applyNumberFormat="1" applyFont="1" applyBorder="1"/>
    <xf numFmtId="0" fontId="23" fillId="12" borderId="66" xfId="0" applyFont="1" applyFill="1" applyBorder="1" applyAlignment="1">
      <alignment horizontal="center" vertical="center" wrapText="1"/>
    </xf>
    <xf numFmtId="0" fontId="7" fillId="12" borderId="2" xfId="0" applyFont="1" applyFill="1" applyBorder="1" applyAlignment="1">
      <alignment horizontal="center" vertical="center"/>
    </xf>
    <xf numFmtId="0" fontId="29" fillId="0" borderId="90" xfId="0" applyFont="1" applyBorder="1" applyAlignment="1">
      <alignment horizontal="center" vertical="center" wrapText="1"/>
    </xf>
    <xf numFmtId="0" fontId="29" fillId="0" borderId="90" xfId="0" applyFont="1" applyBorder="1" applyAlignment="1">
      <alignment horizontal="center" vertical="center"/>
    </xf>
    <xf numFmtId="2" fontId="0" fillId="0" borderId="0" xfId="0" applyNumberFormat="1" applyAlignment="1">
      <alignment horizontal="center" vertical="center"/>
    </xf>
    <xf numFmtId="0" fontId="29" fillId="0" borderId="95" xfId="0" applyFont="1" applyBorder="1" applyAlignment="1">
      <alignment horizontal="center" vertical="center"/>
    </xf>
    <xf numFmtId="2" fontId="29" fillId="0" borderId="1" xfId="0" applyNumberFormat="1" applyFont="1" applyBorder="1" applyAlignment="1">
      <alignment horizontal="center" vertical="center"/>
    </xf>
    <xf numFmtId="2" fontId="29" fillId="0" borderId="5" xfId="0" applyNumberFormat="1" applyFont="1" applyBorder="1" applyAlignment="1">
      <alignment horizontal="center" vertical="center"/>
    </xf>
    <xf numFmtId="0" fontId="29" fillId="0" borderId="14" xfId="0" applyFont="1" applyBorder="1" applyAlignment="1">
      <alignment horizontal="center" vertical="center"/>
    </xf>
    <xf numFmtId="2" fontId="29" fillId="0" borderId="2" xfId="0" applyNumberFormat="1" applyFont="1" applyBorder="1" applyAlignment="1">
      <alignment horizontal="center" vertical="center"/>
    </xf>
    <xf numFmtId="2" fontId="45" fillId="0" borderId="15" xfId="0" applyNumberFormat="1" applyFont="1" applyBorder="1" applyAlignment="1">
      <alignment horizontal="center" vertical="center"/>
    </xf>
    <xf numFmtId="2" fontId="45" fillId="0" borderId="2" xfId="0" applyNumberFormat="1" applyFont="1" applyBorder="1" applyAlignment="1">
      <alignment horizontal="center" vertical="center"/>
    </xf>
    <xf numFmtId="2" fontId="29" fillId="0" borderId="7" xfId="0" applyNumberFormat="1" applyFont="1" applyBorder="1" applyAlignment="1">
      <alignment horizontal="center" vertical="center"/>
    </xf>
    <xf numFmtId="0" fontId="29" fillId="0" borderId="18" xfId="0" applyFont="1" applyBorder="1" applyAlignment="1">
      <alignment horizontal="center" vertical="center"/>
    </xf>
    <xf numFmtId="2" fontId="29" fillId="0" borderId="15" xfId="0" applyNumberFormat="1" applyFont="1" applyBorder="1" applyAlignment="1">
      <alignment horizontal="center" vertical="center"/>
    </xf>
    <xf numFmtId="2" fontId="29" fillId="0" borderId="102" xfId="0" applyNumberFormat="1" applyFont="1" applyBorder="1" applyAlignment="1">
      <alignment horizontal="center" vertical="center"/>
    </xf>
    <xf numFmtId="0" fontId="29" fillId="0" borderId="104" xfId="0" applyFont="1" applyBorder="1" applyAlignment="1">
      <alignment horizontal="center" vertical="center"/>
    </xf>
    <xf numFmtId="0" fontId="29" fillId="0" borderId="105" xfId="0" applyFont="1" applyBorder="1" applyAlignment="1">
      <alignment horizontal="center" vertical="center"/>
    </xf>
    <xf numFmtId="0" fontId="29" fillId="0" borderId="79" xfId="0" applyFont="1" applyBorder="1" applyAlignment="1">
      <alignment horizontal="center" vertical="center"/>
    </xf>
    <xf numFmtId="2" fontId="29" fillId="0" borderId="51" xfId="0" applyNumberFormat="1" applyFont="1" applyBorder="1" applyAlignment="1">
      <alignment horizontal="center" vertical="center"/>
    </xf>
    <xf numFmtId="2" fontId="29" fillId="0" borderId="9" xfId="0" applyNumberFormat="1" applyFont="1" applyBorder="1" applyAlignment="1">
      <alignment horizontal="center" vertical="center"/>
    </xf>
    <xf numFmtId="2" fontId="45" fillId="0" borderId="66" xfId="0" applyNumberFormat="1" applyFont="1" applyBorder="1" applyAlignment="1">
      <alignment horizontal="center" vertical="center"/>
    </xf>
    <xf numFmtId="2" fontId="45" fillId="0" borderId="67" xfId="0" applyNumberFormat="1" applyFont="1" applyBorder="1" applyAlignment="1">
      <alignment horizontal="center" vertical="center"/>
    </xf>
    <xf numFmtId="0" fontId="29" fillId="0" borderId="109" xfId="0" applyFont="1" applyBorder="1" applyAlignment="1">
      <alignment horizontal="center" vertical="center"/>
    </xf>
    <xf numFmtId="0" fontId="29" fillId="0" borderId="110" xfId="0" applyFont="1" applyBorder="1" applyAlignment="1">
      <alignment horizontal="center" vertical="center"/>
    </xf>
    <xf numFmtId="2" fontId="29" fillId="0" borderId="22" xfId="0" applyNumberFormat="1" applyFont="1" applyBorder="1" applyAlignment="1">
      <alignment horizontal="center" vertical="center"/>
    </xf>
    <xf numFmtId="2" fontId="29" fillId="0" borderId="33" xfId="0" applyNumberFormat="1" applyFont="1" applyBorder="1" applyAlignment="1">
      <alignment horizontal="center" vertical="center"/>
    </xf>
    <xf numFmtId="2" fontId="29" fillId="0" borderId="82" xfId="0" applyNumberFormat="1" applyFont="1" applyBorder="1" applyAlignment="1">
      <alignment horizontal="center" vertical="center"/>
    </xf>
    <xf numFmtId="2" fontId="29" fillId="0" borderId="111" xfId="0" applyNumberFormat="1" applyFont="1" applyBorder="1" applyAlignment="1">
      <alignment horizontal="center" vertical="center"/>
    </xf>
    <xf numFmtId="2" fontId="29" fillId="0" borderId="63" xfId="0" applyNumberFormat="1" applyFont="1" applyBorder="1" applyAlignment="1">
      <alignment horizontal="center" vertical="center"/>
    </xf>
    <xf numFmtId="2" fontId="29" fillId="0" borderId="112" xfId="0" applyNumberFormat="1" applyFont="1" applyBorder="1" applyAlignment="1">
      <alignment horizontal="center" vertical="center"/>
    </xf>
    <xf numFmtId="2" fontId="29" fillId="0" borderId="107" xfId="0" applyNumberFormat="1" applyFont="1" applyBorder="1" applyAlignment="1">
      <alignment horizontal="center" vertical="center"/>
    </xf>
    <xf numFmtId="2" fontId="29" fillId="0" borderId="113" xfId="0" applyNumberFormat="1" applyFont="1" applyBorder="1" applyAlignment="1">
      <alignment horizontal="center" vertical="center"/>
    </xf>
    <xf numFmtId="0" fontId="29" fillId="0" borderId="4" xfId="0" applyFont="1" applyBorder="1" applyAlignment="1">
      <alignment horizontal="center" vertical="center"/>
    </xf>
    <xf numFmtId="1" fontId="29" fillId="0" borderId="1" xfId="0" applyNumberFormat="1" applyFont="1" applyBorder="1" applyAlignment="1">
      <alignment horizontal="center" vertical="center"/>
    </xf>
    <xf numFmtId="1" fontId="29" fillId="0" borderId="5" xfId="0" applyNumberFormat="1" applyFont="1" applyBorder="1" applyAlignment="1">
      <alignment horizontal="center" vertical="center"/>
    </xf>
    <xf numFmtId="0" fontId="29" fillId="0" borderId="6" xfId="0" applyFont="1" applyBorder="1" applyAlignment="1">
      <alignment horizontal="center" vertical="center"/>
    </xf>
    <xf numFmtId="1" fontId="29" fillId="0" borderId="2" xfId="0" applyNumberFormat="1" applyFont="1" applyBorder="1" applyAlignment="1">
      <alignment horizontal="center" vertical="center"/>
    </xf>
    <xf numFmtId="1" fontId="29" fillId="0" borderId="7" xfId="0" applyNumberFormat="1" applyFont="1" applyBorder="1" applyAlignment="1">
      <alignment horizontal="center" vertical="center"/>
    </xf>
    <xf numFmtId="0" fontId="29" fillId="0" borderId="8" xfId="0" applyFont="1" applyBorder="1" applyAlignment="1">
      <alignment horizontal="center" vertical="center"/>
    </xf>
    <xf numFmtId="1" fontId="29" fillId="0" borderId="51" xfId="0" applyNumberFormat="1" applyFont="1" applyBorder="1" applyAlignment="1">
      <alignment horizontal="center" vertical="center"/>
    </xf>
    <xf numFmtId="1" fontId="29" fillId="0" borderId="9" xfId="0" applyNumberFormat="1" applyFont="1" applyBorder="1" applyAlignment="1">
      <alignment horizontal="center" vertical="center"/>
    </xf>
    <xf numFmtId="0" fontId="29" fillId="0" borderId="32" xfId="0" applyFont="1" applyBorder="1" applyAlignment="1">
      <alignment horizontal="center" vertical="center"/>
    </xf>
    <xf numFmtId="1" fontId="29" fillId="0" borderId="22" xfId="0" applyNumberFormat="1" applyFont="1" applyBorder="1" applyAlignment="1">
      <alignment horizontal="center" vertical="center"/>
    </xf>
    <xf numFmtId="1" fontId="29" fillId="0" borderId="33" xfId="0" applyNumberFormat="1" applyFont="1" applyBorder="1" applyAlignment="1">
      <alignment horizontal="center" vertical="center"/>
    </xf>
    <xf numFmtId="0" fontId="29" fillId="0" borderId="126" xfId="0" applyFont="1" applyBorder="1" applyAlignment="1">
      <alignment horizontal="center" vertical="center"/>
    </xf>
    <xf numFmtId="0" fontId="29" fillId="0" borderId="130" xfId="0" applyFont="1" applyBorder="1" applyAlignment="1">
      <alignment horizontal="center" vertical="center"/>
    </xf>
    <xf numFmtId="1" fontId="29" fillId="0" borderId="103" xfId="0" applyNumberFormat="1" applyFont="1" applyBorder="1" applyAlignment="1">
      <alignment horizontal="center" vertical="center"/>
    </xf>
    <xf numFmtId="1" fontId="29" fillId="0" borderId="137" xfId="0" applyNumberFormat="1" applyFont="1" applyBorder="1" applyAlignment="1">
      <alignment horizontal="center" vertical="center"/>
    </xf>
    <xf numFmtId="1" fontId="29" fillId="0" borderId="63" xfId="0" applyNumberFormat="1" applyFont="1" applyBorder="1" applyAlignment="1">
      <alignment horizontal="center" vertical="center"/>
    </xf>
    <xf numFmtId="1" fontId="29" fillId="0" borderId="112" xfId="0" applyNumberFormat="1" applyFont="1" applyBorder="1" applyAlignment="1">
      <alignment horizontal="center" vertical="center"/>
    </xf>
    <xf numFmtId="1" fontId="29" fillId="0" borderId="107" xfId="0" applyNumberFormat="1" applyFont="1" applyBorder="1" applyAlignment="1">
      <alignment horizontal="center" vertical="center"/>
    </xf>
    <xf numFmtId="1" fontId="29" fillId="0" borderId="113" xfId="0" applyNumberFormat="1" applyFont="1" applyBorder="1" applyAlignment="1">
      <alignment horizontal="center" vertical="center"/>
    </xf>
    <xf numFmtId="0" fontId="29" fillId="0" borderId="0" xfId="0" applyFont="1" applyAlignment="1">
      <alignment horizontal="center" vertical="center" wrapText="1"/>
    </xf>
    <xf numFmtId="0" fontId="8" fillId="2" borderId="0" xfId="0" applyFont="1" applyFill="1" applyAlignment="1">
      <alignment vertical="center"/>
    </xf>
    <xf numFmtId="0" fontId="7" fillId="0" borderId="2" xfId="0" applyFont="1" applyBorder="1" applyAlignment="1">
      <alignment horizontal="center"/>
    </xf>
    <xf numFmtId="0" fontId="8" fillId="18" borderId="76" xfId="0" applyFont="1" applyFill="1" applyBorder="1" applyAlignment="1">
      <alignment horizontal="center" vertical="center" wrapText="1"/>
    </xf>
    <xf numFmtId="0" fontId="33" fillId="0" borderId="0" xfId="5" applyFont="1" applyFill="1" applyBorder="1" applyAlignment="1">
      <alignment horizontal="center" vertical="center"/>
    </xf>
    <xf numFmtId="9" fontId="23" fillId="0" borderId="0" xfId="0" applyNumberFormat="1" applyFont="1" applyAlignment="1">
      <alignment vertical="center"/>
    </xf>
    <xf numFmtId="0" fontId="8" fillId="12" borderId="2" xfId="0" applyFont="1" applyFill="1" applyBorder="1" applyAlignment="1">
      <alignment horizontal="center" vertical="center" wrapText="1"/>
    </xf>
    <xf numFmtId="0" fontId="7" fillId="0" borderId="63" xfId="0" applyFont="1" applyBorder="1" applyAlignment="1">
      <alignment horizontal="center" vertical="center"/>
    </xf>
    <xf numFmtId="0" fontId="24" fillId="12" borderId="63" xfId="0" applyFont="1" applyFill="1" applyBorder="1" applyAlignment="1">
      <alignment horizontal="center" vertical="center" wrapText="1"/>
    </xf>
    <xf numFmtId="0" fontId="32" fillId="12" borderId="15" xfId="0" applyFont="1" applyFill="1" applyBorder="1" applyAlignment="1">
      <alignment horizontal="left" vertical="center" wrapText="1"/>
    </xf>
    <xf numFmtId="0" fontId="32" fillId="12" borderId="63" xfId="0" applyFont="1" applyFill="1" applyBorder="1" applyAlignment="1">
      <alignment horizontal="center" vertical="center" wrapText="1"/>
    </xf>
    <xf numFmtId="0" fontId="7" fillId="0" borderId="2" xfId="0" applyFont="1" applyBorder="1" applyAlignment="1">
      <alignment horizontal="right" vertical="center"/>
    </xf>
    <xf numFmtId="177" fontId="7" fillId="0" borderId="2" xfId="0" applyNumberFormat="1" applyFont="1" applyBorder="1" applyAlignment="1">
      <alignment vertical="center"/>
    </xf>
    <xf numFmtId="170" fontId="7" fillId="0" borderId="2" xfId="6" applyNumberFormat="1" applyFont="1" applyBorder="1" applyAlignment="1">
      <alignment horizontal="right" vertical="center" wrapText="1"/>
    </xf>
    <xf numFmtId="0" fontId="7" fillId="0" borderId="14" xfId="0" applyFont="1" applyBorder="1" applyAlignment="1">
      <alignment vertical="center" wrapText="1"/>
    </xf>
    <xf numFmtId="0" fontId="7" fillId="0" borderId="14" xfId="0" applyFont="1" applyBorder="1" applyAlignment="1">
      <alignment horizontal="right" vertical="center"/>
    </xf>
    <xf numFmtId="170" fontId="7" fillId="0" borderId="14" xfId="6" applyNumberFormat="1" applyFont="1" applyBorder="1" applyAlignment="1">
      <alignment horizontal="right" vertical="center"/>
    </xf>
    <xf numFmtId="177" fontId="1" fillId="0" borderId="2" xfId="0" applyNumberFormat="1" applyFont="1" applyBorder="1" applyAlignment="1">
      <alignment vertical="center"/>
    </xf>
    <xf numFmtId="177" fontId="1" fillId="13" borderId="14" xfId="0" applyNumberFormat="1" applyFont="1" applyFill="1" applyBorder="1" applyAlignment="1">
      <alignment vertical="center"/>
    </xf>
    <xf numFmtId="3" fontId="7" fillId="0" borderId="0" xfId="0" applyNumberFormat="1" applyFont="1" applyAlignment="1">
      <alignment horizontal="left"/>
    </xf>
    <xf numFmtId="0" fontId="13" fillId="0" borderId="14" xfId="3" applyFont="1" applyBorder="1" applyAlignment="1">
      <alignment horizontal="center" vertical="center" wrapText="1"/>
    </xf>
    <xf numFmtId="0" fontId="13" fillId="7" borderId="14" xfId="3" applyFont="1" applyFill="1" applyBorder="1" applyAlignment="1">
      <alignment horizontal="center" vertical="center" wrapText="1"/>
    </xf>
    <xf numFmtId="1" fontId="7" fillId="0" borderId="34" xfId="0" applyNumberFormat="1" applyFont="1" applyBorder="1" applyAlignment="1">
      <alignment horizontal="center" vertical="center" wrapText="1"/>
    </xf>
    <xf numFmtId="1" fontId="30" fillId="0" borderId="0" xfId="0" applyNumberFormat="1" applyFont="1" applyAlignment="1">
      <alignment vertical="center" wrapText="1"/>
    </xf>
    <xf numFmtId="3" fontId="30" fillId="0" borderId="0" xfId="0" applyNumberFormat="1" applyFont="1" applyAlignment="1">
      <alignment vertical="center"/>
    </xf>
    <xf numFmtId="0" fontId="30" fillId="0" borderId="0" xfId="0" applyFont="1" applyAlignment="1">
      <alignment vertical="center"/>
    </xf>
    <xf numFmtId="0" fontId="23" fillId="12" borderId="2" xfId="0" applyFont="1" applyFill="1" applyBorder="1" applyAlignment="1">
      <alignment horizontal="left" vertical="center" wrapText="1"/>
    </xf>
    <xf numFmtId="0" fontId="23" fillId="12" borderId="2" xfId="0" applyFont="1" applyFill="1" applyBorder="1" applyAlignment="1">
      <alignment vertical="center" wrapText="1"/>
    </xf>
    <xf numFmtId="170" fontId="7" fillId="0" borderId="2" xfId="0" applyNumberFormat="1" applyFont="1" applyBorder="1" applyAlignment="1">
      <alignment vertical="center"/>
    </xf>
    <xf numFmtId="170" fontId="7" fillId="0" borderId="2" xfId="6" applyNumberFormat="1" applyFont="1" applyBorder="1" applyAlignment="1">
      <alignment horizontal="left" vertical="center"/>
    </xf>
    <xf numFmtId="1" fontId="7" fillId="0" borderId="2" xfId="0" applyNumberFormat="1" applyFont="1" applyBorder="1" applyAlignment="1">
      <alignment horizontal="right" vertical="center"/>
    </xf>
    <xf numFmtId="170" fontId="7" fillId="5" borderId="2" xfId="6" applyNumberFormat="1" applyFont="1" applyFill="1" applyBorder="1" applyAlignment="1">
      <alignment horizontal="right" vertical="center"/>
    </xf>
    <xf numFmtId="0" fontId="7" fillId="5" borderId="2" xfId="0" applyFont="1" applyFill="1" applyBorder="1" applyAlignment="1">
      <alignment vertical="center"/>
    </xf>
    <xf numFmtId="1" fontId="7" fillId="5" borderId="2" xfId="0" applyNumberFormat="1" applyFont="1" applyFill="1" applyBorder="1" applyAlignment="1">
      <alignment horizontal="right" vertical="center"/>
    </xf>
    <xf numFmtId="0" fontId="13" fillId="0" borderId="2" xfId="3" applyFont="1" applyBorder="1" applyAlignment="1">
      <alignment horizontal="left" vertical="center" wrapText="1"/>
    </xf>
    <xf numFmtId="2" fontId="7" fillId="5" borderId="2" xfId="0" applyNumberFormat="1" applyFont="1" applyFill="1" applyBorder="1" applyAlignment="1">
      <alignment horizontal="center" vertical="center"/>
    </xf>
    <xf numFmtId="0" fontId="24" fillId="12" borderId="0" xfId="0" applyFont="1" applyFill="1" applyAlignment="1">
      <alignment horizontal="center" vertical="center" wrapText="1"/>
    </xf>
    <xf numFmtId="1" fontId="7" fillId="0" borderId="63" xfId="0" applyNumberFormat="1" applyFont="1" applyBorder="1" applyAlignment="1">
      <alignment horizontal="center" vertical="center"/>
    </xf>
    <xf numFmtId="2" fontId="29" fillId="0" borderId="141" xfId="0" applyNumberFormat="1" applyFont="1" applyBorder="1" applyAlignment="1">
      <alignment horizontal="center" vertical="center"/>
    </xf>
    <xf numFmtId="2" fontId="29" fillId="0" borderId="140" xfId="0" applyNumberFormat="1" applyFont="1" applyBorder="1" applyAlignment="1">
      <alignment horizontal="center" vertical="center"/>
    </xf>
    <xf numFmtId="2" fontId="29" fillId="0" borderId="88" xfId="0" applyNumberFormat="1" applyFont="1" applyBorder="1" applyAlignment="1">
      <alignment horizontal="center" vertical="center"/>
    </xf>
    <xf numFmtId="2" fontId="45" fillId="0" borderId="7" xfId="0" applyNumberFormat="1" applyFont="1" applyBorder="1" applyAlignment="1">
      <alignment horizontal="center" vertical="center"/>
    </xf>
    <xf numFmtId="0" fontId="32" fillId="0" borderId="0" xfId="0" applyFont="1" applyAlignment="1">
      <alignment horizontal="left" vertical="center"/>
    </xf>
    <xf numFmtId="0" fontId="48" fillId="0" borderId="0" xfId="5" applyFont="1"/>
    <xf numFmtId="0" fontId="48" fillId="0" borderId="0" xfId="5" applyFont="1" applyAlignment="1">
      <alignment horizontal="left"/>
    </xf>
    <xf numFmtId="0" fontId="48" fillId="0" borderId="0" xfId="5" applyFont="1" applyAlignment="1">
      <alignment vertical="center"/>
    </xf>
    <xf numFmtId="0" fontId="1" fillId="0" borderId="2" xfId="1" applyBorder="1" applyAlignment="1">
      <alignment vertical="center" wrapText="1"/>
    </xf>
    <xf numFmtId="3" fontId="1" fillId="0" borderId="2" xfId="1" applyNumberFormat="1" applyBorder="1" applyAlignment="1">
      <alignment horizontal="center" vertical="center" wrapText="1"/>
    </xf>
    <xf numFmtId="167" fontId="1" fillId="0" borderId="2" xfId="1" applyNumberFormat="1" applyBorder="1" applyAlignment="1">
      <alignment horizontal="center" vertical="center" wrapText="1"/>
    </xf>
    <xf numFmtId="0" fontId="1" fillId="0" borderId="2" xfId="1" applyBorder="1" applyAlignment="1">
      <alignment vertical="center"/>
    </xf>
    <xf numFmtId="0" fontId="1" fillId="0" borderId="2" xfId="1" applyBorder="1" applyAlignment="1">
      <alignment horizontal="center" vertical="center" wrapText="1"/>
    </xf>
    <xf numFmtId="0" fontId="49" fillId="12" borderId="34" xfId="0" applyFont="1" applyFill="1" applyBorder="1" applyAlignment="1">
      <alignment horizontal="center" vertical="center"/>
    </xf>
    <xf numFmtId="0" fontId="49" fillId="12" borderId="34" xfId="0" applyFont="1" applyFill="1" applyBorder="1" applyAlignment="1">
      <alignment horizontal="center" vertical="center" wrapText="1"/>
    </xf>
    <xf numFmtId="169" fontId="7" fillId="0" borderId="34" xfId="0" applyNumberFormat="1" applyFont="1" applyBorder="1" applyAlignment="1">
      <alignment horizontal="center" vertical="center"/>
    </xf>
    <xf numFmtId="0" fontId="14" fillId="13" borderId="34" xfId="0" applyFont="1" applyFill="1" applyBorder="1" applyAlignment="1">
      <alignment horizontal="center" vertical="center"/>
    </xf>
    <xf numFmtId="0" fontId="14" fillId="13" borderId="34" xfId="0" applyFont="1" applyFill="1" applyBorder="1" applyAlignment="1">
      <alignment horizontal="center" vertical="center" wrapText="1"/>
    </xf>
    <xf numFmtId="169" fontId="7" fillId="13" borderId="34" xfId="0" applyNumberFormat="1" applyFont="1" applyFill="1" applyBorder="1" applyAlignment="1">
      <alignment horizontal="center" vertical="center"/>
    </xf>
    <xf numFmtId="0" fontId="7" fillId="7" borderId="34" xfId="0" applyFont="1" applyFill="1" applyBorder="1" applyAlignment="1">
      <alignment horizontal="center" vertical="center"/>
    </xf>
    <xf numFmtId="0" fontId="14" fillId="3" borderId="34" xfId="0" applyFont="1" applyFill="1" applyBorder="1" applyAlignment="1">
      <alignment horizontal="center" vertical="center"/>
    </xf>
    <xf numFmtId="0" fontId="7" fillId="3" borderId="34" xfId="0" applyFont="1" applyFill="1" applyBorder="1" applyAlignment="1">
      <alignment horizontal="center" vertical="center"/>
    </xf>
    <xf numFmtId="0" fontId="14" fillId="21" borderId="34" xfId="0" applyFont="1" applyFill="1" applyBorder="1" applyAlignment="1">
      <alignment horizontal="center" vertical="center"/>
    </xf>
    <xf numFmtId="0" fontId="50" fillId="21" borderId="34" xfId="0" applyFont="1" applyFill="1" applyBorder="1" applyAlignment="1">
      <alignment horizontal="center" vertical="center"/>
    </xf>
    <xf numFmtId="0" fontId="7" fillId="21" borderId="34" xfId="0" applyFont="1" applyFill="1" applyBorder="1" applyAlignment="1">
      <alignment horizontal="center" vertical="center"/>
    </xf>
    <xf numFmtId="0" fontId="7" fillId="5" borderId="34" xfId="0" applyFont="1" applyFill="1" applyBorder="1" applyAlignment="1">
      <alignment horizontal="center" vertical="center"/>
    </xf>
    <xf numFmtId="0" fontId="1" fillId="21" borderId="34" xfId="0" applyFont="1" applyFill="1" applyBorder="1" applyAlignment="1">
      <alignment horizontal="center" vertical="center"/>
    </xf>
    <xf numFmtId="0" fontId="14" fillId="5" borderId="34" xfId="0" applyFont="1" applyFill="1" applyBorder="1" applyAlignment="1">
      <alignment horizontal="center" vertical="center"/>
    </xf>
    <xf numFmtId="2" fontId="7" fillId="5" borderId="34" xfId="0" applyNumberFormat="1" applyFont="1" applyFill="1" applyBorder="1" applyAlignment="1">
      <alignment horizontal="center" vertical="center"/>
    </xf>
    <xf numFmtId="1" fontId="7" fillId="0" borderId="34" xfId="0" applyNumberFormat="1" applyFont="1" applyBorder="1" applyAlignment="1">
      <alignment horizontal="center" vertical="center"/>
    </xf>
    <xf numFmtId="1" fontId="7" fillId="7" borderId="34" xfId="0" applyNumberFormat="1" applyFont="1" applyFill="1" applyBorder="1" applyAlignment="1">
      <alignment horizontal="center" vertical="center"/>
    </xf>
    <xf numFmtId="0" fontId="19" fillId="0" borderId="0" xfId="0" applyFont="1"/>
    <xf numFmtId="0" fontId="7" fillId="0" borderId="57" xfId="4" applyBorder="1" applyAlignment="1">
      <alignment horizontal="center" vertical="center"/>
    </xf>
    <xf numFmtId="0" fontId="7" fillId="0" borderId="59" xfId="4" applyBorder="1" applyAlignment="1">
      <alignment horizontal="center" vertical="center"/>
    </xf>
    <xf numFmtId="0" fontId="7" fillId="0" borderId="61" xfId="4" applyBorder="1" applyAlignment="1">
      <alignment horizontal="center" vertical="center"/>
    </xf>
    <xf numFmtId="164" fontId="7" fillId="0" borderId="2" xfId="2" applyNumberFormat="1" applyFont="1" applyBorder="1"/>
    <xf numFmtId="164" fontId="7" fillId="0" borderId="0" xfId="2" applyNumberFormat="1" applyFont="1" applyFill="1" applyBorder="1"/>
    <xf numFmtId="0" fontId="51" fillId="0" borderId="156" xfId="0" applyFont="1" applyBorder="1" applyAlignment="1">
      <alignment horizontal="center" vertical="center"/>
    </xf>
    <xf numFmtId="0" fontId="51" fillId="0" borderId="157" xfId="0" applyFont="1" applyBorder="1" applyAlignment="1">
      <alignment horizontal="center" vertical="center"/>
    </xf>
    <xf numFmtId="0" fontId="51" fillId="0" borderId="158" xfId="0" applyFont="1" applyBorder="1" applyAlignment="1">
      <alignment horizontal="center" vertical="center"/>
    </xf>
    <xf numFmtId="0" fontId="51" fillId="0" borderId="159" xfId="0" applyFont="1" applyBorder="1" applyAlignment="1">
      <alignment horizontal="center" vertical="center"/>
    </xf>
    <xf numFmtId="0" fontId="51" fillId="0" borderId="160" xfId="0" applyFont="1" applyBorder="1" applyAlignment="1">
      <alignment horizontal="center" vertical="center"/>
    </xf>
    <xf numFmtId="0" fontId="51" fillId="0" borderId="161" xfId="0" applyFont="1" applyBorder="1" applyAlignment="1">
      <alignment horizontal="center" vertical="center"/>
    </xf>
    <xf numFmtId="0" fontId="51" fillId="0" borderId="165" xfId="0" applyFont="1" applyBorder="1" applyAlignment="1">
      <alignment horizontal="center" vertical="center"/>
    </xf>
    <xf numFmtId="0" fontId="51" fillId="0" borderId="166" xfId="0" applyFont="1" applyBorder="1" applyAlignment="1">
      <alignment horizontal="center" vertical="center"/>
    </xf>
    <xf numFmtId="0" fontId="51" fillId="0" borderId="171" xfId="0" applyFont="1" applyBorder="1" applyAlignment="1">
      <alignment horizontal="center" vertical="center"/>
    </xf>
    <xf numFmtId="0" fontId="51" fillId="0" borderId="172" xfId="0" applyFont="1" applyBorder="1" applyAlignment="1">
      <alignment horizontal="center" vertical="center"/>
    </xf>
    <xf numFmtId="0" fontId="51" fillId="0" borderId="173" xfId="0" applyFont="1" applyBorder="1" applyAlignment="1">
      <alignment horizontal="center" vertical="center"/>
    </xf>
    <xf numFmtId="0" fontId="51" fillId="0" borderId="174" xfId="0" applyFont="1" applyBorder="1" applyAlignment="1">
      <alignment horizontal="center" vertical="center"/>
    </xf>
    <xf numFmtId="0" fontId="51" fillId="0" borderId="175" xfId="0" applyFont="1" applyBorder="1" applyAlignment="1">
      <alignment horizontal="center" vertical="center"/>
    </xf>
    <xf numFmtId="1" fontId="29" fillId="0" borderId="93" xfId="0" applyNumberFormat="1" applyFont="1" applyBorder="1" applyAlignment="1">
      <alignment horizontal="center" vertical="center"/>
    </xf>
    <xf numFmtId="1" fontId="29" fillId="0" borderId="94" xfId="0" applyNumberFormat="1" applyFont="1" applyBorder="1" applyAlignment="1">
      <alignment horizontal="center" vertical="center"/>
    </xf>
    <xf numFmtId="1" fontId="29" fillId="0" borderId="98" xfId="0" applyNumberFormat="1" applyFont="1" applyBorder="1" applyAlignment="1">
      <alignment horizontal="center" vertical="center"/>
    </xf>
    <xf numFmtId="1" fontId="29" fillId="0" borderId="128" xfId="0" applyNumberFormat="1" applyFont="1" applyBorder="1" applyAlignment="1">
      <alignment horizontal="center" vertical="center"/>
    </xf>
    <xf numFmtId="1" fontId="29" fillId="0" borderId="131" xfId="0" applyNumberFormat="1" applyFont="1" applyBorder="1" applyAlignment="1">
      <alignment horizontal="center" vertical="center"/>
    </xf>
    <xf numFmtId="1" fontId="45" fillId="0" borderId="63" xfId="0" applyNumberFormat="1" applyFont="1" applyBorder="1" applyAlignment="1">
      <alignment horizontal="center" vertical="center"/>
    </xf>
    <xf numFmtId="0" fontId="32" fillId="18" borderId="182" xfId="0" applyFont="1" applyFill="1" applyBorder="1" applyAlignment="1">
      <alignment horizontal="center" vertical="center" wrapText="1"/>
    </xf>
    <xf numFmtId="0" fontId="23" fillId="18" borderId="183" xfId="0" applyFont="1" applyFill="1" applyBorder="1" applyAlignment="1">
      <alignment horizontal="center" vertical="center" wrapText="1"/>
    </xf>
    <xf numFmtId="0" fontId="23" fillId="24" borderId="184" xfId="0" applyFont="1" applyFill="1" applyBorder="1" applyAlignment="1">
      <alignment horizontal="center" vertical="center" wrapText="1"/>
    </xf>
    <xf numFmtId="0" fontId="23" fillId="24" borderId="185" xfId="0" applyFont="1" applyFill="1" applyBorder="1" applyAlignment="1">
      <alignment horizontal="center" vertical="center" wrapText="1"/>
    </xf>
    <xf numFmtId="0" fontId="23" fillId="24" borderId="186" xfId="0" applyFont="1" applyFill="1" applyBorder="1" applyAlignment="1">
      <alignment horizontal="center" vertical="center" wrapText="1"/>
    </xf>
    <xf numFmtId="0" fontId="23" fillId="25" borderId="187" xfId="0" applyFont="1" applyFill="1" applyBorder="1" applyAlignment="1">
      <alignment horizontal="center" vertical="center" wrapText="1"/>
    </xf>
    <xf numFmtId="0" fontId="23" fillId="25" borderId="188" xfId="0" applyFont="1" applyFill="1" applyBorder="1" applyAlignment="1">
      <alignment horizontal="center" vertical="center" wrapText="1"/>
    </xf>
    <xf numFmtId="0" fontId="30" fillId="0" borderId="190" xfId="0" applyFont="1" applyBorder="1" applyAlignment="1">
      <alignment horizontal="center" vertical="center"/>
    </xf>
    <xf numFmtId="0" fontId="30" fillId="0" borderId="193" xfId="0" applyFont="1" applyBorder="1" applyAlignment="1">
      <alignment horizontal="center" vertical="center"/>
    </xf>
    <xf numFmtId="0" fontId="7" fillId="0" borderId="39" xfId="4" applyBorder="1" applyAlignment="1">
      <alignment horizontal="center" vertical="center"/>
    </xf>
    <xf numFmtId="170" fontId="7" fillId="0" borderId="39" xfId="6" applyNumberFormat="1" applyFont="1" applyBorder="1" applyAlignment="1">
      <alignment horizontal="center" vertical="center"/>
    </xf>
    <xf numFmtId="2" fontId="7" fillId="0" borderId="39" xfId="0" applyNumberFormat="1" applyFont="1" applyBorder="1" applyAlignment="1">
      <alignment horizontal="center" vertical="center"/>
    </xf>
    <xf numFmtId="0" fontId="8" fillId="26" borderId="198" xfId="0" applyFont="1" applyFill="1" applyBorder="1" applyAlignment="1">
      <alignment horizontal="center" vertical="center" wrapText="1"/>
    </xf>
    <xf numFmtId="2" fontId="7" fillId="0" borderId="39" xfId="0" applyNumberFormat="1" applyFont="1" applyBorder="1"/>
    <xf numFmtId="166" fontId="52" fillId="0" borderId="199" xfId="0" applyNumberFormat="1" applyFont="1" applyBorder="1"/>
    <xf numFmtId="0" fontId="23" fillId="24" borderId="200" xfId="0" applyFont="1" applyFill="1" applyBorder="1" applyAlignment="1">
      <alignment horizontal="center" vertical="center" wrapText="1"/>
    </xf>
    <xf numFmtId="0" fontId="23" fillId="24" borderId="201" xfId="0" applyFont="1" applyFill="1" applyBorder="1" applyAlignment="1">
      <alignment horizontal="center" vertical="center" wrapText="1"/>
    </xf>
    <xf numFmtId="0" fontId="52" fillId="0" borderId="39" xfId="0" applyFont="1" applyBorder="1"/>
    <xf numFmtId="0" fontId="52" fillId="0" borderId="196" xfId="0" applyFont="1" applyBorder="1"/>
    <xf numFmtId="0" fontId="30" fillId="0" borderId="2" xfId="0" applyFont="1" applyBorder="1"/>
    <xf numFmtId="0" fontId="30" fillId="0" borderId="14" xfId="0" applyFont="1" applyBorder="1"/>
    <xf numFmtId="0" fontId="30" fillId="0" borderId="22" xfId="0" applyFont="1" applyBorder="1"/>
    <xf numFmtId="0" fontId="30" fillId="0" borderId="25" xfId="0" applyFont="1" applyBorder="1"/>
    <xf numFmtId="0" fontId="30" fillId="0" borderId="0" xfId="0" applyFont="1"/>
    <xf numFmtId="0" fontId="30" fillId="0" borderId="13" xfId="0" applyFont="1" applyBorder="1"/>
    <xf numFmtId="0" fontId="30" fillId="0" borderId="24" xfId="0" applyFont="1" applyBorder="1"/>
    <xf numFmtId="0" fontId="30" fillId="0" borderId="202" xfId="0" applyFont="1" applyBorder="1"/>
    <xf numFmtId="0" fontId="30" fillId="0" borderId="194" xfId="0" applyFont="1" applyBorder="1"/>
    <xf numFmtId="0" fontId="30" fillId="0" borderId="195" xfId="0" applyFont="1" applyBorder="1"/>
    <xf numFmtId="0" fontId="8" fillId="26" borderId="203" xfId="0" applyFont="1" applyFill="1" applyBorder="1" applyAlignment="1">
      <alignment horizontal="center" vertical="center" wrapText="1"/>
    </xf>
    <xf numFmtId="2" fontId="7" fillId="0" borderId="199" xfId="0" applyNumberFormat="1" applyFont="1" applyBorder="1"/>
    <xf numFmtId="2" fontId="7" fillId="0" borderId="2" xfId="0" applyNumberFormat="1" applyFont="1" applyBorder="1"/>
    <xf numFmtId="0" fontId="23" fillId="25" borderId="204" xfId="0" applyFont="1" applyFill="1" applyBorder="1" applyAlignment="1">
      <alignment horizontal="center" vertical="center" wrapText="1"/>
    </xf>
    <xf numFmtId="0" fontId="7" fillId="0" borderId="199" xfId="0" applyFont="1" applyBorder="1"/>
    <xf numFmtId="0" fontId="23" fillId="9" borderId="205" xfId="0" applyFont="1" applyFill="1" applyBorder="1" applyAlignment="1">
      <alignment horizontal="center" vertical="center" wrapText="1"/>
    </xf>
    <xf numFmtId="166" fontId="7" fillId="0" borderId="206" xfId="0" applyNumberFormat="1" applyFont="1" applyBorder="1"/>
    <xf numFmtId="166" fontId="52" fillId="0" borderId="207" xfId="0" applyNumberFormat="1" applyFont="1" applyBorder="1"/>
    <xf numFmtId="0" fontId="7" fillId="0" borderId="207" xfId="0" applyFont="1" applyBorder="1"/>
    <xf numFmtId="166" fontId="7" fillId="0" borderId="208" xfId="0" applyNumberFormat="1" applyFont="1" applyBorder="1"/>
    <xf numFmtId="0" fontId="7" fillId="0" borderId="0" xfId="0" applyFont="1" applyAlignment="1">
      <alignment horizontal="left" vertical="center"/>
    </xf>
    <xf numFmtId="0" fontId="7" fillId="0" borderId="0" xfId="0" applyFont="1" applyAlignment="1">
      <alignment horizontal="left"/>
    </xf>
    <xf numFmtId="0" fontId="14" fillId="0" borderId="34" xfId="0" applyFont="1" applyBorder="1" applyAlignment="1">
      <alignment horizontal="center" vertical="center" wrapText="1"/>
    </xf>
    <xf numFmtId="0" fontId="14" fillId="0" borderId="34" xfId="0" applyFont="1" applyBorder="1" applyAlignment="1">
      <alignment horizontal="center" vertical="center"/>
    </xf>
    <xf numFmtId="0" fontId="14" fillId="7" borderId="34" xfId="0" applyFont="1" applyFill="1" applyBorder="1" applyAlignment="1">
      <alignment horizontal="center" vertical="center"/>
    </xf>
    <xf numFmtId="0" fontId="7" fillId="0" borderId="36" xfId="0" applyFont="1" applyBorder="1" applyAlignment="1">
      <alignment horizontal="center" vertical="center"/>
    </xf>
    <xf numFmtId="0" fontId="0" fillId="0" borderId="0" xfId="0" applyAlignment="1">
      <alignment horizontal="left" vertical="center" wrapText="1"/>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15" xfId="0" applyFont="1" applyBorder="1" applyAlignment="1">
      <alignment horizontal="center" vertical="center"/>
    </xf>
    <xf numFmtId="0" fontId="7" fillId="0" borderId="0" xfId="0" applyFont="1" applyAlignment="1">
      <alignment horizontal="center" vertical="center" wrapText="1"/>
    </xf>
    <xf numFmtId="0" fontId="7" fillId="0" borderId="0" xfId="0" applyFont="1" applyAlignment="1">
      <alignment horizontal="center"/>
    </xf>
    <xf numFmtId="0" fontId="32" fillId="0" borderId="0" xfId="0" applyFont="1" applyAlignment="1">
      <alignment horizontal="left" vertical="center" wrapText="1"/>
    </xf>
    <xf numFmtId="0" fontId="7" fillId="0" borderId="0" xfId="0" applyFont="1" applyAlignment="1">
      <alignment horizontal="left" wrapText="1"/>
    </xf>
    <xf numFmtId="0" fontId="23" fillId="12" borderId="2" xfId="0" applyFont="1" applyFill="1" applyBorder="1" applyAlignment="1">
      <alignment horizontal="center" vertical="center" wrapText="1"/>
    </xf>
    <xf numFmtId="0" fontId="8" fillId="12" borderId="76" xfId="0" applyFont="1" applyFill="1" applyBorder="1" applyAlignment="1">
      <alignment horizontal="center" vertical="center" wrapText="1"/>
    </xf>
    <xf numFmtId="0" fontId="8" fillId="12" borderId="76" xfId="0" applyFont="1" applyFill="1" applyBorder="1" applyAlignment="1">
      <alignment horizontal="center" vertical="center"/>
    </xf>
    <xf numFmtId="2" fontId="1" fillId="0" borderId="2" xfId="0" applyNumberFormat="1" applyFont="1" applyBorder="1" applyAlignment="1">
      <alignment horizontal="center" vertical="center"/>
    </xf>
    <xf numFmtId="0" fontId="8" fillId="12" borderId="0" xfId="0" applyFont="1" applyFill="1" applyAlignment="1">
      <alignment horizontal="center" vertical="center"/>
    </xf>
    <xf numFmtId="0" fontId="8" fillId="12" borderId="2" xfId="0" applyFont="1" applyFill="1" applyBorder="1" applyAlignment="1">
      <alignment horizontal="center" vertical="center"/>
    </xf>
    <xf numFmtId="0" fontId="8" fillId="12" borderId="15" xfId="0" applyFont="1" applyFill="1" applyBorder="1" applyAlignment="1">
      <alignment horizontal="center" vertical="center"/>
    </xf>
    <xf numFmtId="0" fontId="29" fillId="0" borderId="41" xfId="0" applyFont="1" applyBorder="1" applyAlignment="1">
      <alignment horizontal="center" vertical="center"/>
    </xf>
    <xf numFmtId="0" fontId="29" fillId="0" borderId="39" xfId="0" applyFont="1" applyBorder="1" applyAlignment="1">
      <alignment horizontal="center" vertical="center"/>
    </xf>
    <xf numFmtId="0" fontId="29" fillId="0" borderId="46" xfId="0" applyFont="1" applyBorder="1" applyAlignment="1">
      <alignment horizontal="center" vertical="center"/>
    </xf>
    <xf numFmtId="166" fontId="52" fillId="0" borderId="191" xfId="0" applyNumberFormat="1" applyFont="1" applyBorder="1"/>
    <xf numFmtId="166" fontId="52" fillId="0" borderId="197" xfId="0" applyNumberFormat="1" applyFont="1" applyBorder="1"/>
    <xf numFmtId="0" fontId="15" fillId="16" borderId="0" xfId="0" applyFont="1" applyFill="1" applyAlignment="1">
      <alignment horizontal="center" vertical="center"/>
    </xf>
    <xf numFmtId="0" fontId="7" fillId="0" borderId="0" xfId="0" applyFont="1" applyAlignment="1">
      <alignment vertical="center" wrapText="1"/>
    </xf>
    <xf numFmtId="0" fontId="7" fillId="0" borderId="0" xfId="0" applyFont="1" applyAlignment="1">
      <alignment horizontal="left" vertical="center"/>
    </xf>
    <xf numFmtId="0" fontId="7" fillId="0" borderId="0" xfId="0" applyFont="1" applyAlignment="1">
      <alignment horizontal="left"/>
    </xf>
    <xf numFmtId="0" fontId="22" fillId="0" borderId="24" xfId="0" applyFont="1" applyBorder="1" applyAlignment="1">
      <alignment horizontal="left" vertical="center"/>
    </xf>
    <xf numFmtId="0" fontId="15" fillId="16" borderId="3" xfId="1" applyFont="1" applyFill="1" applyBorder="1" applyAlignment="1">
      <alignment horizontal="center" vertical="center" wrapText="1"/>
    </xf>
    <xf numFmtId="0" fontId="15" fillId="16" borderId="13" xfId="1" applyFont="1" applyFill="1" applyBorder="1" applyAlignment="1">
      <alignment horizontal="center" vertical="center" wrapText="1"/>
    </xf>
    <xf numFmtId="0" fontId="17" fillId="0" borderId="0" xfId="0" applyFont="1" applyAlignment="1">
      <alignment horizontal="center" vertical="center"/>
    </xf>
    <xf numFmtId="10" fontId="47" fillId="0" borderId="0" xfId="2" applyNumberFormat="1" applyFont="1" applyAlignment="1">
      <alignment horizontal="center" vertical="center"/>
    </xf>
    <xf numFmtId="0" fontId="20" fillId="16" borderId="0" xfId="0" applyFont="1" applyFill="1" applyAlignment="1">
      <alignment horizontal="center" vertical="center"/>
    </xf>
    <xf numFmtId="0" fontId="15" fillId="16" borderId="0" xfId="0" applyFont="1" applyFill="1" applyAlignment="1">
      <alignment horizontal="center" vertical="center" wrapText="1"/>
    </xf>
    <xf numFmtId="0" fontId="14" fillId="0" borderId="34" xfId="0" applyFont="1" applyBorder="1" applyAlignment="1">
      <alignment horizontal="center" vertical="center" wrapText="1"/>
    </xf>
    <xf numFmtId="0" fontId="14" fillId="0" borderId="34" xfId="0" applyFont="1" applyBorder="1" applyAlignment="1">
      <alignment horizontal="center" vertical="center"/>
    </xf>
    <xf numFmtId="0" fontId="14" fillId="7" borderId="34" xfId="0" applyFont="1" applyFill="1" applyBorder="1" applyAlignment="1">
      <alignment horizontal="center" vertical="center"/>
    </xf>
    <xf numFmtId="0" fontId="9" fillId="0" borderId="74" xfId="5" applyBorder="1" applyAlignment="1">
      <alignment horizontal="left"/>
    </xf>
    <xf numFmtId="0" fontId="7" fillId="0" borderId="0" xfId="0" applyFont="1" applyAlignment="1">
      <alignment horizontal="left" vertical="center" wrapText="1"/>
    </xf>
    <xf numFmtId="0" fontId="7" fillId="0" borderId="0" xfId="0" applyFont="1" applyAlignment="1">
      <alignment horizontal="left" vertical="top" wrapText="1"/>
    </xf>
    <xf numFmtId="0" fontId="14" fillId="0" borderId="37" xfId="0" applyFont="1" applyBorder="1" applyAlignment="1">
      <alignment horizontal="center" vertical="center" wrapText="1"/>
    </xf>
    <xf numFmtId="0" fontId="14" fillId="0" borderId="36" xfId="0" applyFont="1" applyBorder="1" applyAlignment="1">
      <alignment horizontal="center" vertical="center" wrapText="1"/>
    </xf>
    <xf numFmtId="0" fontId="15" fillId="16" borderId="70" xfId="0" applyFont="1" applyFill="1" applyBorder="1" applyAlignment="1">
      <alignment horizontal="center" vertical="center"/>
    </xf>
    <xf numFmtId="0" fontId="8" fillId="12" borderId="71" xfId="0" applyFont="1" applyFill="1" applyBorder="1" applyAlignment="1">
      <alignment horizontal="center" vertical="center" wrapText="1"/>
    </xf>
    <xf numFmtId="0" fontId="8" fillId="12" borderId="72" xfId="0" applyFont="1" applyFill="1" applyBorder="1" applyAlignment="1">
      <alignment horizontal="center" vertical="center" wrapText="1"/>
    </xf>
    <xf numFmtId="0" fontId="8" fillId="12" borderId="73" xfId="0" applyFont="1" applyFill="1" applyBorder="1" applyAlignment="1">
      <alignment horizontal="center" vertical="center" wrapText="1"/>
    </xf>
    <xf numFmtId="0" fontId="7" fillId="0" borderId="37" xfId="0" applyFont="1" applyBorder="1" applyAlignment="1">
      <alignment horizontal="center" vertical="center"/>
    </xf>
    <xf numFmtId="0" fontId="7" fillId="0" borderId="35" xfId="0" applyFont="1" applyBorder="1" applyAlignment="1">
      <alignment horizontal="center" vertical="center"/>
    </xf>
    <xf numFmtId="0" fontId="7" fillId="0" borderId="36" xfId="0" applyFont="1" applyBorder="1" applyAlignment="1">
      <alignment horizontal="center" vertical="center"/>
    </xf>
    <xf numFmtId="0" fontId="7" fillId="0" borderId="39" xfId="0" applyFont="1" applyBorder="1" applyAlignment="1">
      <alignment horizontal="center"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12" fillId="0" borderId="0" xfId="0" applyFont="1" applyAlignment="1">
      <alignment horizontal="left" vertical="center"/>
    </xf>
    <xf numFmtId="0" fontId="0" fillId="0" borderId="0" xfId="0" applyAlignment="1">
      <alignment horizontal="left" vertical="center" wrapText="1"/>
    </xf>
    <xf numFmtId="0" fontId="15" fillId="16" borderId="24" xfId="0" applyFont="1" applyFill="1" applyBorder="1" applyAlignment="1">
      <alignment horizontal="center" vertical="center" wrapText="1"/>
    </xf>
    <xf numFmtId="0" fontId="15" fillId="0" borderId="0" xfId="5" applyFont="1" applyFill="1" applyBorder="1"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15" fillId="16" borderId="0" xfId="0" applyFont="1" applyFill="1" applyAlignment="1">
      <alignment horizontal="left" vertical="center" wrapText="1"/>
    </xf>
    <xf numFmtId="0" fontId="1" fillId="0" borderId="37" xfId="0" applyFont="1" applyBorder="1" applyAlignment="1">
      <alignment horizontal="center" vertical="center"/>
    </xf>
    <xf numFmtId="0" fontId="1" fillId="0" borderId="36" xfId="0" applyFont="1" applyBorder="1" applyAlignment="1">
      <alignment horizontal="center" vertical="center"/>
    </xf>
    <xf numFmtId="0" fontId="7" fillId="0" borderId="62" xfId="0" applyFont="1" applyBorder="1" applyAlignment="1">
      <alignment horizontal="center" vertical="center"/>
    </xf>
    <xf numFmtId="0" fontId="7" fillId="0" borderId="15" xfId="0" applyFont="1" applyBorder="1" applyAlignment="1">
      <alignment horizontal="center" vertical="center"/>
    </xf>
    <xf numFmtId="0" fontId="7" fillId="0" borderId="19" xfId="0" applyFont="1" applyBorder="1" applyAlignment="1">
      <alignment horizontal="center" vertical="center"/>
    </xf>
    <xf numFmtId="0" fontId="7" fillId="0" borderId="22" xfId="0" applyFont="1" applyBorder="1" applyAlignment="1">
      <alignment horizontal="center" vertical="center"/>
    </xf>
    <xf numFmtId="0" fontId="28" fillId="0" borderId="17" xfId="0" applyFont="1" applyBorder="1" applyAlignment="1">
      <alignment horizontal="left" vertical="center"/>
    </xf>
    <xf numFmtId="0" fontId="40" fillId="17" borderId="75" xfId="0" applyFont="1" applyFill="1" applyBorder="1" applyAlignment="1">
      <alignment horizontal="center" vertical="center"/>
    </xf>
    <xf numFmtId="0" fontId="7" fillId="22" borderId="17" xfId="0" quotePrefix="1" applyFont="1" applyFill="1" applyBorder="1" applyAlignment="1">
      <alignment horizontal="center" vertical="center" wrapText="1"/>
    </xf>
    <xf numFmtId="0" fontId="7" fillId="22" borderId="0" xfId="0" quotePrefix="1" applyFont="1" applyFill="1" applyAlignment="1">
      <alignment horizontal="center" vertical="center" wrapText="1"/>
    </xf>
    <xf numFmtId="0" fontId="7" fillId="0" borderId="17" xfId="0" applyFont="1" applyBorder="1" applyAlignment="1">
      <alignment horizontal="center" vertical="center" wrapText="1"/>
    </xf>
    <xf numFmtId="0" fontId="7" fillId="0" borderId="0" xfId="0" applyFont="1" applyAlignment="1">
      <alignment horizontal="center" vertical="center" wrapText="1"/>
    </xf>
    <xf numFmtId="0" fontId="7" fillId="0" borderId="17" xfId="0" applyFont="1" applyBorder="1" applyAlignment="1">
      <alignment horizontal="center"/>
    </xf>
    <xf numFmtId="0" fontId="7" fillId="0" borderId="0" xfId="0" applyFont="1" applyAlignment="1">
      <alignment horizontal="center"/>
    </xf>
    <xf numFmtId="0" fontId="7" fillId="0" borderId="86" xfId="0" applyFont="1" applyBorder="1" applyAlignment="1">
      <alignment horizontal="center" vertical="center"/>
    </xf>
    <xf numFmtId="0" fontId="7" fillId="0" borderId="87" xfId="0" applyFont="1" applyBorder="1" applyAlignment="1">
      <alignment horizontal="center" vertical="center"/>
    </xf>
    <xf numFmtId="0" fontId="7" fillId="0" borderId="88" xfId="0" applyFont="1" applyBorder="1" applyAlignment="1">
      <alignment horizontal="center" vertical="center"/>
    </xf>
    <xf numFmtId="0" fontId="40" fillId="17" borderId="0" xfId="0" applyFont="1" applyFill="1" applyAlignment="1">
      <alignment horizontal="center" vertical="center" wrapText="1"/>
    </xf>
    <xf numFmtId="0" fontId="32" fillId="0" borderId="0" xfId="0" applyFont="1" applyAlignment="1">
      <alignment horizontal="left" vertical="center" wrapText="1"/>
    </xf>
    <xf numFmtId="0" fontId="3" fillId="0" borderId="0" xfId="0" applyFont="1" applyAlignment="1">
      <alignment horizontal="center"/>
    </xf>
    <xf numFmtId="0" fontId="10" fillId="11" borderId="0" xfId="0" applyFont="1" applyFill="1" applyAlignment="1">
      <alignment horizontal="center"/>
    </xf>
    <xf numFmtId="0" fontId="10" fillId="4" borderId="0" xfId="0" applyFont="1" applyFill="1" applyAlignment="1">
      <alignment horizontal="center"/>
    </xf>
    <xf numFmtId="0" fontId="8" fillId="7" borderId="0" xfId="0" applyFont="1" applyFill="1" applyAlignment="1">
      <alignment horizontal="center" vertical="center"/>
    </xf>
    <xf numFmtId="0" fontId="7" fillId="0" borderId="0" xfId="0" applyFont="1" applyAlignment="1">
      <alignment horizontal="left" wrapText="1"/>
    </xf>
    <xf numFmtId="0" fontId="23" fillId="12" borderId="2"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left" vertical="center"/>
    </xf>
    <xf numFmtId="0" fontId="8" fillId="0" borderId="25" xfId="0" applyFont="1" applyBorder="1" applyAlignment="1">
      <alignment horizontal="center"/>
    </xf>
    <xf numFmtId="0" fontId="8" fillId="0" borderId="22" xfId="0" applyFont="1" applyBorder="1" applyAlignment="1">
      <alignment horizontal="center"/>
    </xf>
    <xf numFmtId="0" fontId="8" fillId="0" borderId="23" xfId="0" applyFont="1" applyBorder="1" applyAlignment="1">
      <alignment horizontal="center"/>
    </xf>
    <xf numFmtId="0" fontId="18" fillId="0" borderId="22" xfId="5" applyFont="1" applyBorder="1" applyAlignment="1">
      <alignment horizontal="left" vertical="center"/>
    </xf>
    <xf numFmtId="0" fontId="18" fillId="0" borderId="23" xfId="5" applyFont="1" applyBorder="1" applyAlignment="1">
      <alignment horizontal="left" vertical="center"/>
    </xf>
    <xf numFmtId="0" fontId="8" fillId="7" borderId="2" xfId="0" applyFont="1" applyFill="1" applyBorder="1" applyAlignment="1">
      <alignment horizontal="center"/>
    </xf>
    <xf numFmtId="0" fontId="8" fillId="0" borderId="24" xfId="0" applyFont="1" applyBorder="1" applyAlignment="1">
      <alignment horizontal="center"/>
    </xf>
    <xf numFmtId="0" fontId="15" fillId="16" borderId="20" xfId="0" applyFont="1" applyFill="1" applyBorder="1" applyAlignment="1">
      <alignment horizontal="center" vertical="center" wrapText="1"/>
    </xf>
    <xf numFmtId="0" fontId="8" fillId="12" borderId="63" xfId="0" applyFont="1" applyFill="1" applyBorder="1" applyAlignment="1">
      <alignment horizontal="center" vertical="center" wrapText="1"/>
    </xf>
    <xf numFmtId="0" fontId="8" fillId="12" borderId="76" xfId="0" applyFont="1" applyFill="1" applyBorder="1" applyAlignment="1">
      <alignment horizontal="center" vertical="center" wrapText="1"/>
    </xf>
    <xf numFmtId="0" fontId="8" fillId="12" borderId="63" xfId="0" applyFont="1" applyFill="1" applyBorder="1" applyAlignment="1">
      <alignment horizontal="center" vertical="center"/>
    </xf>
    <xf numFmtId="0" fontId="8" fillId="12" borderId="76" xfId="0" applyFont="1" applyFill="1" applyBorder="1" applyAlignment="1">
      <alignment horizontal="center" vertical="center"/>
    </xf>
    <xf numFmtId="0" fontId="7" fillId="13" borderId="2" xfId="0" applyFont="1" applyFill="1" applyBorder="1" applyAlignment="1">
      <alignment horizontal="left" vertical="center"/>
    </xf>
    <xf numFmtId="0" fontId="7" fillId="10" borderId="3" xfId="0" applyFont="1" applyFill="1" applyBorder="1" applyAlignment="1">
      <alignment horizontal="center" vertical="center" wrapText="1"/>
    </xf>
    <xf numFmtId="0" fontId="7" fillId="10" borderId="13" xfId="0" applyFont="1" applyFill="1" applyBorder="1" applyAlignment="1">
      <alignment horizontal="center" vertical="center" wrapText="1"/>
    </xf>
    <xf numFmtId="0" fontId="7" fillId="10" borderId="14" xfId="0" applyFont="1" applyFill="1" applyBorder="1" applyAlignment="1">
      <alignment horizontal="center" vertical="center" wrapText="1"/>
    </xf>
    <xf numFmtId="0" fontId="24" fillId="6" borderId="29" xfId="0" applyFont="1" applyFill="1" applyBorder="1" applyAlignment="1">
      <alignment horizontal="center" vertical="top" wrapText="1"/>
    </xf>
    <xf numFmtId="0" fontId="24" fillId="6" borderId="52" xfId="0" applyFont="1" applyFill="1" applyBorder="1" applyAlignment="1">
      <alignment horizontal="center" vertical="top" wrapText="1"/>
    </xf>
    <xf numFmtId="0" fontId="24" fillId="6" borderId="30" xfId="0" applyFont="1" applyFill="1" applyBorder="1" applyAlignment="1">
      <alignment horizontal="center" vertical="top" wrapText="1"/>
    </xf>
    <xf numFmtId="0" fontId="18" fillId="0" borderId="27" xfId="5" applyFont="1" applyBorder="1" applyAlignment="1">
      <alignment horizontal="left" vertical="center"/>
    </xf>
    <xf numFmtId="0" fontId="18" fillId="0" borderId="13" xfId="5" applyFont="1" applyBorder="1" applyAlignment="1">
      <alignment horizontal="left" vertical="center"/>
    </xf>
    <xf numFmtId="0" fontId="18" fillId="0" borderId="26" xfId="5" applyFont="1" applyBorder="1" applyAlignment="1">
      <alignment horizontal="left" vertical="center"/>
    </xf>
    <xf numFmtId="0" fontId="21" fillId="16" borderId="24" xfId="0" applyFont="1" applyFill="1" applyBorder="1" applyAlignment="1">
      <alignment horizontal="center" vertical="center"/>
    </xf>
    <xf numFmtId="0" fontId="15" fillId="16" borderId="24" xfId="0" applyFont="1" applyFill="1" applyBorder="1" applyAlignment="1">
      <alignment horizontal="center" vertical="center"/>
    </xf>
    <xf numFmtId="0" fontId="32" fillId="12" borderId="142" xfId="0" applyFont="1" applyFill="1" applyBorder="1" applyAlignment="1">
      <alignment horizontal="center" vertical="center" wrapText="1"/>
    </xf>
    <xf numFmtId="0" fontId="32" fillId="12" borderId="105" xfId="0" applyFont="1" applyFill="1" applyBorder="1" applyAlignment="1">
      <alignment horizontal="center" vertical="center" wrapText="1"/>
    </xf>
    <xf numFmtId="0" fontId="21" fillId="16" borderId="24" xfId="0" applyFont="1" applyFill="1" applyBorder="1" applyAlignment="1">
      <alignment horizontal="center" vertical="center" wrapText="1"/>
    </xf>
    <xf numFmtId="2" fontId="1" fillId="0" borderId="2" xfId="0" applyNumberFormat="1" applyFont="1" applyBorder="1" applyAlignment="1">
      <alignment horizontal="center" vertical="center"/>
    </xf>
    <xf numFmtId="2" fontId="1" fillId="0" borderId="15" xfId="0" applyNumberFormat="1" applyFont="1" applyBorder="1" applyAlignment="1">
      <alignment horizontal="center" vertical="center"/>
    </xf>
    <xf numFmtId="2" fontId="1" fillId="0" borderId="19" xfId="0" applyNumberFormat="1" applyFont="1" applyBorder="1" applyAlignment="1">
      <alignment horizontal="center" vertical="center"/>
    </xf>
    <xf numFmtId="0" fontId="42" fillId="0" borderId="2" xfId="0" applyFont="1" applyBorder="1" applyAlignment="1">
      <alignment horizontal="center"/>
    </xf>
    <xf numFmtId="0" fontId="42" fillId="0" borderId="3" xfId="0" applyFont="1" applyBorder="1" applyAlignment="1">
      <alignment horizontal="center"/>
    </xf>
    <xf numFmtId="0" fontId="42" fillId="0" borderId="13" xfId="0" applyFont="1" applyBorder="1" applyAlignment="1">
      <alignment horizontal="center"/>
    </xf>
    <xf numFmtId="0" fontId="42" fillId="0" borderId="14" xfId="0" applyFont="1" applyBorder="1" applyAlignment="1">
      <alignment horizontal="center"/>
    </xf>
    <xf numFmtId="0" fontId="11" fillId="16" borderId="0" xfId="0" applyFont="1" applyFill="1" applyAlignment="1">
      <alignment horizontal="center" vertical="center" wrapText="1"/>
    </xf>
    <xf numFmtId="0" fontId="51" fillId="0" borderId="146" xfId="0" applyFont="1" applyBorder="1" applyAlignment="1">
      <alignment horizontal="center" vertical="center" wrapText="1"/>
    </xf>
    <xf numFmtId="0" fontId="51" fillId="0" borderId="147" xfId="0" applyFont="1" applyBorder="1" applyAlignment="1">
      <alignment horizontal="center" vertical="center" wrapText="1"/>
    </xf>
    <xf numFmtId="0" fontId="51" fillId="0" borderId="162" xfId="0" applyFont="1" applyBorder="1" applyAlignment="1">
      <alignment horizontal="center" vertical="center" wrapText="1"/>
    </xf>
    <xf numFmtId="0" fontId="51" fillId="0" borderId="150" xfId="0" applyFont="1" applyBorder="1" applyAlignment="1">
      <alignment horizontal="center" vertical="center" wrapText="1"/>
    </xf>
    <xf numFmtId="0" fontId="51" fillId="0" borderId="163" xfId="0" applyFont="1" applyBorder="1" applyAlignment="1">
      <alignment horizontal="center" vertical="center" wrapText="1"/>
    </xf>
    <xf numFmtId="0" fontId="51" fillId="0" borderId="149" xfId="0" applyFont="1" applyBorder="1" applyAlignment="1">
      <alignment horizontal="center" vertical="center" wrapText="1"/>
    </xf>
    <xf numFmtId="0" fontId="51" fillId="0" borderId="154" xfId="0" applyFont="1" applyBorder="1" applyAlignment="1">
      <alignment horizontal="center" vertical="center" wrapText="1"/>
    </xf>
    <xf numFmtId="0" fontId="51" fillId="0" borderId="164" xfId="0" applyFont="1" applyBorder="1" applyAlignment="1">
      <alignment horizontal="center" vertical="center" wrapText="1"/>
    </xf>
    <xf numFmtId="0" fontId="51" fillId="0" borderId="167" xfId="0" applyFont="1" applyBorder="1" applyAlignment="1">
      <alignment horizontal="center" vertical="center" wrapText="1"/>
    </xf>
    <xf numFmtId="0" fontId="51" fillId="0" borderId="148" xfId="0" applyFont="1" applyBorder="1" applyAlignment="1">
      <alignment horizontal="center" vertical="center" wrapText="1"/>
    </xf>
    <xf numFmtId="0" fontId="51" fillId="0" borderId="168" xfId="0" applyFont="1" applyBorder="1" applyAlignment="1">
      <alignment horizontal="center" vertical="center" wrapText="1"/>
    </xf>
    <xf numFmtId="0" fontId="51" fillId="0" borderId="152" xfId="0" applyFont="1" applyBorder="1" applyAlignment="1">
      <alignment horizontal="center" vertical="center" wrapText="1"/>
    </xf>
    <xf numFmtId="0" fontId="51" fillId="0" borderId="169" xfId="0" applyFont="1" applyBorder="1" applyAlignment="1">
      <alignment horizontal="center" vertical="center" wrapText="1"/>
    </xf>
    <xf numFmtId="0" fontId="51" fillId="0" borderId="170" xfId="0" applyFont="1" applyBorder="1" applyAlignment="1">
      <alignment horizontal="center" vertical="center" wrapText="1"/>
    </xf>
    <xf numFmtId="0" fontId="29" fillId="0" borderId="91" xfId="0" applyFont="1" applyBorder="1" applyAlignment="1">
      <alignment horizontal="center" vertical="center" wrapText="1"/>
    </xf>
    <xf numFmtId="0" fontId="29" fillId="0" borderId="96" xfId="0" applyFont="1" applyBorder="1" applyAlignment="1">
      <alignment horizontal="center" vertical="center" wrapText="1"/>
    </xf>
    <xf numFmtId="0" fontId="29" fillId="0" borderId="99" xfId="0" applyFont="1" applyBorder="1" applyAlignment="1">
      <alignment horizontal="center" vertical="center" wrapText="1"/>
    </xf>
    <xf numFmtId="0" fontId="29" fillId="0" borderId="115" xfId="0" applyFont="1" applyBorder="1" applyAlignment="1">
      <alignment horizontal="center" vertical="center" wrapText="1"/>
    </xf>
    <xf numFmtId="0" fontId="29" fillId="0" borderId="117" xfId="0" applyFont="1" applyBorder="1" applyAlignment="1">
      <alignment horizontal="center" vertical="center" wrapText="1"/>
    </xf>
    <xf numFmtId="0" fontId="29" fillId="0" borderId="119" xfId="0" applyFont="1" applyBorder="1" applyAlignment="1">
      <alignment horizontal="center" vertical="center" wrapText="1"/>
    </xf>
    <xf numFmtId="0" fontId="29" fillId="0" borderId="122" xfId="0" applyFont="1" applyBorder="1" applyAlignment="1">
      <alignment horizontal="center" vertical="center" wrapText="1"/>
    </xf>
    <xf numFmtId="0" fontId="29" fillId="0" borderId="92" xfId="0" applyFont="1" applyBorder="1" applyAlignment="1">
      <alignment horizontal="center" vertical="center"/>
    </xf>
    <xf numFmtId="0" fontId="29" fillId="0" borderId="97" xfId="0" applyFont="1" applyBorder="1" applyAlignment="1">
      <alignment horizontal="center" vertical="center"/>
    </xf>
    <xf numFmtId="0" fontId="29" fillId="0" borderId="123" xfId="0" applyFont="1" applyBorder="1" applyAlignment="1">
      <alignment horizontal="center" vertical="center"/>
    </xf>
    <xf numFmtId="0" fontId="29" fillId="0" borderId="114" xfId="0" applyFont="1" applyBorder="1" applyAlignment="1">
      <alignment horizontal="center" vertical="center" wrapText="1"/>
    </xf>
    <xf numFmtId="0" fontId="29" fillId="0" borderId="116" xfId="0" applyFont="1" applyBorder="1" applyAlignment="1">
      <alignment horizontal="center" vertical="center" wrapText="1"/>
    </xf>
    <xf numFmtId="0" fontId="29" fillId="0" borderId="118" xfId="0" applyFont="1" applyBorder="1" applyAlignment="1">
      <alignment horizontal="center" vertical="center" wrapText="1"/>
    </xf>
    <xf numFmtId="0" fontId="29" fillId="0" borderId="120" xfId="0" applyFont="1" applyBorder="1" applyAlignment="1">
      <alignment horizontal="center" vertical="center" wrapText="1"/>
    </xf>
    <xf numFmtId="0" fontId="29" fillId="0" borderId="121" xfId="0" applyFont="1" applyBorder="1" applyAlignment="1">
      <alignment horizontal="center" vertical="center" wrapText="1"/>
    </xf>
    <xf numFmtId="0" fontId="29" fillId="0" borderId="124" xfId="0" applyFont="1" applyBorder="1" applyAlignment="1">
      <alignment horizontal="center" vertical="center" wrapText="1"/>
    </xf>
    <xf numFmtId="0" fontId="8" fillId="12" borderId="80" xfId="0" applyFont="1" applyFill="1" applyBorder="1" applyAlignment="1">
      <alignment horizontal="center" vertical="center"/>
    </xf>
    <xf numFmtId="0" fontId="8" fillId="12" borderId="0" xfId="0" applyFont="1" applyFill="1" applyAlignment="1">
      <alignment horizontal="center" vertical="center"/>
    </xf>
    <xf numFmtId="0" fontId="8" fillId="12" borderId="81" xfId="0" applyFont="1" applyFill="1" applyBorder="1" applyAlignment="1">
      <alignment horizontal="center" vertical="center"/>
    </xf>
    <xf numFmtId="0" fontId="29" fillId="0" borderId="93" xfId="0" applyFont="1" applyBorder="1" applyAlignment="1">
      <alignment horizontal="center" vertical="center" wrapText="1"/>
    </xf>
    <xf numFmtId="0" fontId="29" fillId="0" borderId="63" xfId="0" applyFont="1" applyBorder="1" applyAlignment="1">
      <alignment horizontal="center" vertical="center" wrapText="1"/>
    </xf>
    <xf numFmtId="0" fontId="29" fillId="0" borderId="76" xfId="0" applyFont="1" applyBorder="1" applyAlignment="1">
      <alignment horizontal="center" vertical="center" wrapText="1"/>
    </xf>
    <xf numFmtId="0" fontId="29" fillId="0" borderId="94" xfId="0" applyFont="1" applyBorder="1" applyAlignment="1">
      <alignment horizontal="center" vertical="center" wrapText="1"/>
    </xf>
    <xf numFmtId="0" fontId="29" fillId="0" borderId="98" xfId="0" applyFont="1" applyBorder="1" applyAlignment="1">
      <alignment horizontal="center" vertical="center" wrapText="1"/>
    </xf>
    <xf numFmtId="0" fontId="29" fillId="0" borderId="101" xfId="0" applyFont="1" applyBorder="1" applyAlignment="1">
      <alignment horizontal="center" vertical="center" wrapText="1"/>
    </xf>
    <xf numFmtId="0" fontId="8" fillId="12" borderId="2" xfId="0" applyFont="1" applyFill="1" applyBorder="1" applyAlignment="1">
      <alignment horizontal="center" vertical="center"/>
    </xf>
    <xf numFmtId="0" fontId="8" fillId="12" borderId="15" xfId="0" applyFont="1" applyFill="1" applyBorder="1" applyAlignment="1">
      <alignment horizontal="center" vertical="center"/>
    </xf>
    <xf numFmtId="0" fontId="15" fillId="16" borderId="25" xfId="0" applyFont="1" applyFill="1" applyBorder="1" applyAlignment="1">
      <alignment horizontal="center" vertical="center" wrapText="1"/>
    </xf>
    <xf numFmtId="0" fontId="29" fillId="0" borderId="82" xfId="0" applyFont="1" applyBorder="1" applyAlignment="1">
      <alignment horizontal="center" vertical="center" wrapText="1"/>
    </xf>
    <xf numFmtId="0" fontId="29" fillId="0" borderId="107" xfId="0" applyFont="1" applyBorder="1" applyAlignment="1">
      <alignment horizontal="center" vertical="center" wrapText="1"/>
    </xf>
    <xf numFmtId="0" fontId="29" fillId="0" borderId="125" xfId="0" applyFont="1" applyBorder="1" applyAlignment="1">
      <alignment horizontal="center" vertical="center" wrapText="1"/>
    </xf>
    <xf numFmtId="0" fontId="29" fillId="0" borderId="127" xfId="0" applyFont="1" applyBorder="1" applyAlignment="1">
      <alignment horizontal="center" vertical="center" wrapText="1"/>
    </xf>
    <xf numFmtId="0" fontId="29" fillId="0" borderId="129" xfId="0" applyFont="1" applyBorder="1" applyAlignment="1">
      <alignment horizontal="center" vertical="center" wrapText="1"/>
    </xf>
    <xf numFmtId="0" fontId="29" fillId="0" borderId="135" xfId="0" applyFont="1" applyBorder="1" applyAlignment="1">
      <alignment horizontal="center" vertical="center" wrapText="1"/>
    </xf>
    <xf numFmtId="0" fontId="29" fillId="0" borderId="100" xfId="0" applyFont="1" applyBorder="1" applyAlignment="1">
      <alignment horizontal="center" vertical="center"/>
    </xf>
    <xf numFmtId="0" fontId="45" fillId="0" borderId="143" xfId="0" applyFont="1" applyBorder="1" applyAlignment="1">
      <alignment horizontal="center" vertical="center" wrapText="1"/>
    </xf>
    <xf numFmtId="0" fontId="45" fillId="0" borderId="127" xfId="0" applyFont="1" applyBorder="1" applyAlignment="1">
      <alignment horizontal="center" vertical="center" wrapText="1"/>
    </xf>
    <xf numFmtId="0" fontId="45" fillId="0" borderId="129" xfId="0" applyFont="1" applyBorder="1" applyAlignment="1">
      <alignment horizontal="center" vertical="center" wrapText="1"/>
    </xf>
    <xf numFmtId="0" fontId="23" fillId="12" borderId="3" xfId="0" applyFont="1" applyFill="1" applyBorder="1" applyAlignment="1">
      <alignment horizontal="center" vertical="center" wrapText="1"/>
    </xf>
    <xf numFmtId="0" fontId="23" fillId="12" borderId="13" xfId="0" applyFont="1" applyFill="1" applyBorder="1" applyAlignment="1">
      <alignment horizontal="center" vertical="center" wrapText="1"/>
    </xf>
    <xf numFmtId="0" fontId="23" fillId="12" borderId="14" xfId="0" applyFont="1" applyFill="1" applyBorder="1" applyAlignment="1">
      <alignment horizontal="center" vertical="center" wrapText="1"/>
    </xf>
    <xf numFmtId="0" fontId="8" fillId="12" borderId="140" xfId="0" applyFont="1" applyFill="1" applyBorder="1" applyAlignment="1">
      <alignment horizontal="center" vertical="center"/>
    </xf>
    <xf numFmtId="0" fontId="29" fillId="0" borderId="4" xfId="0" applyFont="1" applyBorder="1" applyAlignment="1">
      <alignment horizontal="center" vertical="center" wrapText="1"/>
    </xf>
    <xf numFmtId="0" fontId="29" fillId="0" borderId="6" xfId="0" applyFont="1" applyBorder="1" applyAlignment="1">
      <alignment horizontal="center" vertical="center" wrapText="1"/>
    </xf>
    <xf numFmtId="0" fontId="29" fillId="0" borderId="8"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2" xfId="0" applyFont="1" applyBorder="1" applyAlignment="1">
      <alignment horizontal="center" vertical="center" wrapText="1"/>
    </xf>
    <xf numFmtId="0" fontId="29" fillId="0" borderId="51" xfId="0" applyFont="1" applyBorder="1" applyAlignment="1">
      <alignment horizontal="center" vertical="center" wrapText="1"/>
    </xf>
    <xf numFmtId="0" fontId="29" fillId="0" borderId="40" xfId="0" applyFont="1" applyBorder="1" applyAlignment="1">
      <alignment horizontal="center" vertical="center"/>
    </xf>
    <xf numFmtId="0" fontId="29" fillId="0" borderId="43" xfId="0" applyFont="1" applyBorder="1" applyAlignment="1">
      <alignment horizontal="center" vertical="center"/>
    </xf>
    <xf numFmtId="0" fontId="29" fillId="0" borderId="45" xfId="0" applyFont="1" applyBorder="1" applyAlignment="1">
      <alignment horizontal="center" vertical="center"/>
    </xf>
    <xf numFmtId="0" fontId="29" fillId="0" borderId="41" xfId="0" applyFont="1" applyBorder="1" applyAlignment="1">
      <alignment horizontal="center" vertical="center"/>
    </xf>
    <xf numFmtId="0" fontId="29" fillId="0" borderId="39" xfId="0" applyFont="1" applyBorder="1" applyAlignment="1">
      <alignment horizontal="center" vertical="center"/>
    </xf>
    <xf numFmtId="0" fontId="29" fillId="0" borderId="46" xfId="0" applyFont="1" applyBorder="1" applyAlignment="1">
      <alignment horizontal="center" vertical="center"/>
    </xf>
    <xf numFmtId="0" fontId="29" fillId="0" borderId="41" xfId="0" applyFont="1" applyBorder="1" applyAlignment="1">
      <alignment horizontal="left" vertical="center" wrapText="1"/>
    </xf>
    <xf numFmtId="0" fontId="29" fillId="0" borderId="39" xfId="0" applyFont="1" applyBorder="1" applyAlignment="1">
      <alignment horizontal="left" vertical="center" wrapText="1"/>
    </xf>
    <xf numFmtId="0" fontId="29" fillId="0" borderId="46" xfId="0" applyFont="1" applyBorder="1" applyAlignment="1">
      <alignment horizontal="left" vertical="center" wrapText="1"/>
    </xf>
    <xf numFmtId="0" fontId="8" fillId="2" borderId="0" xfId="0" applyFont="1" applyFill="1" applyAlignment="1">
      <alignment horizontal="left" vertical="center"/>
    </xf>
    <xf numFmtId="0" fontId="29" fillId="0" borderId="39" xfId="0" applyFont="1" applyBorder="1" applyAlignment="1">
      <alignment horizontal="center" vertical="center" wrapText="1"/>
    </xf>
    <xf numFmtId="0" fontId="29" fillId="0" borderId="46" xfId="0" applyFont="1" applyBorder="1" applyAlignment="1">
      <alignment horizontal="center" vertical="center" wrapText="1"/>
    </xf>
    <xf numFmtId="0" fontId="35" fillId="0" borderId="41" xfId="0" applyFont="1" applyBorder="1" applyAlignment="1">
      <alignment vertical="center" wrapText="1"/>
    </xf>
    <xf numFmtId="0" fontId="35" fillId="0" borderId="39" xfId="0" applyFont="1" applyBorder="1" applyAlignment="1">
      <alignment vertical="center" wrapText="1"/>
    </xf>
    <xf numFmtId="0" fontId="35" fillId="0" borderId="46" xfId="0" applyFont="1" applyBorder="1" applyAlignment="1">
      <alignment vertical="center" wrapText="1"/>
    </xf>
    <xf numFmtId="0" fontId="35" fillId="0" borderId="48" xfId="0" applyFont="1" applyBorder="1" applyAlignment="1">
      <alignment horizontal="center" vertical="center" wrapText="1"/>
    </xf>
    <xf numFmtId="0" fontId="35" fillId="0" borderId="49" xfId="0" applyFont="1" applyBorder="1" applyAlignment="1">
      <alignment horizontal="center" vertical="center" wrapText="1"/>
    </xf>
    <xf numFmtId="0" fontId="35" fillId="0" borderId="50" xfId="0" applyFont="1" applyBorder="1" applyAlignment="1">
      <alignment horizontal="center" vertical="center" wrapText="1"/>
    </xf>
    <xf numFmtId="0" fontId="29" fillId="0" borderId="41" xfId="0" applyFont="1" applyBorder="1" applyAlignment="1">
      <alignment horizontal="center" vertical="center" wrapText="1"/>
    </xf>
    <xf numFmtId="0" fontId="29" fillId="0" borderId="40" xfId="0" applyFont="1" applyBorder="1" applyAlignment="1">
      <alignment horizontal="center" vertical="center" wrapText="1"/>
    </xf>
    <xf numFmtId="0" fontId="29" fillId="0" borderId="45" xfId="0" applyFont="1" applyBorder="1" applyAlignment="1">
      <alignment horizontal="center" vertical="center" wrapText="1"/>
    </xf>
    <xf numFmtId="0" fontId="8" fillId="12" borderId="10" xfId="0" applyFont="1" applyFill="1" applyBorder="1" applyAlignment="1">
      <alignment horizontal="center" vertical="center"/>
    </xf>
    <xf numFmtId="0" fontId="8" fillId="12" borderId="11" xfId="0" applyFont="1" applyFill="1" applyBorder="1" applyAlignment="1">
      <alignment horizontal="center" vertical="center"/>
    </xf>
    <xf numFmtId="0" fontId="8" fillId="12" borderId="12" xfId="0" applyFont="1" applyFill="1" applyBorder="1" applyAlignment="1">
      <alignment horizontal="center" vertical="center"/>
    </xf>
    <xf numFmtId="0" fontId="36" fillId="0" borderId="11" xfId="0" applyFont="1" applyBorder="1" applyAlignment="1">
      <alignment horizontal="center" vertical="center"/>
    </xf>
    <xf numFmtId="0" fontId="29" fillId="0" borderId="103" xfId="0" applyFont="1" applyBorder="1" applyAlignment="1">
      <alignment horizontal="center" vertical="center" wrapText="1"/>
    </xf>
    <xf numFmtId="0" fontId="29" fillId="0" borderId="106" xfId="0" applyFont="1" applyBorder="1" applyAlignment="1">
      <alignment horizontal="center" vertical="center" wrapText="1"/>
    </xf>
    <xf numFmtId="0" fontId="29" fillId="0" borderId="108" xfId="0" applyFont="1" applyBorder="1" applyAlignment="1">
      <alignment horizontal="center" vertical="center" wrapText="1"/>
    </xf>
    <xf numFmtId="0" fontId="51" fillId="0" borderId="153" xfId="0" applyFont="1" applyBorder="1" applyAlignment="1">
      <alignment horizontal="center" vertical="center" wrapText="1"/>
    </xf>
    <xf numFmtId="0" fontId="51" fillId="0" borderId="155" xfId="0" applyFont="1" applyBorder="1" applyAlignment="1">
      <alignment horizontal="center" vertical="center" wrapText="1"/>
    </xf>
    <xf numFmtId="0" fontId="29" fillId="0" borderId="131" xfId="0" applyFont="1" applyBorder="1" applyAlignment="1">
      <alignment horizontal="center" vertical="center" wrapText="1"/>
    </xf>
    <xf numFmtId="0" fontId="29" fillId="0" borderId="144" xfId="0" applyFont="1" applyBorder="1" applyAlignment="1">
      <alignment horizontal="center" vertical="center" wrapText="1"/>
    </xf>
    <xf numFmtId="0" fontId="29" fillId="0" borderId="145" xfId="0" applyFont="1" applyBorder="1" applyAlignment="1">
      <alignment horizontal="center" vertical="center" wrapText="1"/>
    </xf>
    <xf numFmtId="0" fontId="51" fillId="0" borderId="151" xfId="0" applyFont="1" applyBorder="1" applyAlignment="1">
      <alignment horizontal="center" vertical="center" wrapText="1"/>
    </xf>
    <xf numFmtId="0" fontId="29" fillId="0" borderId="128" xfId="0" applyFont="1" applyBorder="1" applyAlignment="1">
      <alignment horizontal="center" vertical="center" wrapText="1"/>
    </xf>
    <xf numFmtId="0" fontId="29" fillId="0" borderId="136" xfId="0" applyFont="1" applyBorder="1" applyAlignment="1">
      <alignment horizontal="center" vertical="center" wrapText="1"/>
    </xf>
    <xf numFmtId="0" fontId="29" fillId="0" borderId="138" xfId="0" applyFont="1" applyBorder="1" applyAlignment="1">
      <alignment horizontal="center" vertical="center" wrapText="1"/>
    </xf>
    <xf numFmtId="0" fontId="29" fillId="0" borderId="139" xfId="0" applyFont="1" applyBorder="1" applyAlignment="1">
      <alignment horizontal="center" vertical="center" wrapText="1"/>
    </xf>
    <xf numFmtId="0" fontId="29" fillId="0" borderId="97" xfId="0" applyFont="1" applyBorder="1" applyAlignment="1">
      <alignment horizontal="center" vertical="center" wrapText="1"/>
    </xf>
    <xf numFmtId="0" fontId="29" fillId="0" borderId="100" xfId="0" applyFont="1" applyBorder="1" applyAlignment="1">
      <alignment horizontal="center" vertical="center" wrapText="1"/>
    </xf>
    <xf numFmtId="0" fontId="29" fillId="0" borderId="123" xfId="0" applyFont="1" applyBorder="1" applyAlignment="1">
      <alignment horizontal="center" vertical="center" wrapText="1"/>
    </xf>
    <xf numFmtId="0" fontId="29" fillId="0" borderId="132" xfId="0" applyFont="1" applyBorder="1" applyAlignment="1">
      <alignment horizontal="center" vertical="center" wrapText="1"/>
    </xf>
    <xf numFmtId="0" fontId="29" fillId="0" borderId="133" xfId="0" applyFont="1" applyBorder="1" applyAlignment="1">
      <alignment horizontal="center" vertical="center" wrapText="1"/>
    </xf>
    <xf numFmtId="0" fontId="29" fillId="0" borderId="134" xfId="0" applyFont="1" applyBorder="1" applyAlignment="1">
      <alignment horizontal="center" vertical="center" wrapText="1"/>
    </xf>
    <xf numFmtId="0" fontId="29" fillId="0" borderId="82" xfId="0" applyFont="1" applyBorder="1" applyAlignment="1">
      <alignment horizontal="center" vertical="center"/>
    </xf>
    <xf numFmtId="0" fontId="29" fillId="0" borderId="63" xfId="0" applyFont="1" applyBorder="1" applyAlignment="1">
      <alignment horizontal="center" vertical="center"/>
    </xf>
    <xf numFmtId="0" fontId="29" fillId="0" borderId="107" xfId="0" applyFont="1" applyBorder="1" applyAlignment="1">
      <alignment horizontal="center" vertical="center"/>
    </xf>
    <xf numFmtId="0" fontId="29" fillId="0" borderId="128" xfId="0" applyFont="1" applyBorder="1" applyAlignment="1">
      <alignment horizontal="center" vertical="center"/>
    </xf>
    <xf numFmtId="0" fontId="29" fillId="0" borderId="176" xfId="0" applyFont="1" applyBorder="1" applyAlignment="1">
      <alignment horizontal="center" vertical="center" wrapText="1"/>
    </xf>
    <xf numFmtId="0" fontId="29" fillId="0" borderId="178" xfId="0" applyFont="1" applyBorder="1" applyAlignment="1">
      <alignment horizontal="center" vertical="center" wrapText="1"/>
    </xf>
    <xf numFmtId="0" fontId="29" fillId="0" borderId="179" xfId="0" applyFont="1" applyBorder="1" applyAlignment="1">
      <alignment horizontal="center" vertical="center" wrapText="1"/>
    </xf>
    <xf numFmtId="0" fontId="29" fillId="0" borderId="177" xfId="0" applyFont="1" applyBorder="1" applyAlignment="1">
      <alignment horizontal="center" vertical="center"/>
    </xf>
    <xf numFmtId="0" fontId="29" fillId="0" borderId="180" xfId="0" applyFont="1" applyBorder="1" applyAlignment="1">
      <alignment horizontal="center" vertical="center"/>
    </xf>
    <xf numFmtId="0" fontId="29" fillId="0" borderId="177" xfId="0" applyFont="1" applyBorder="1" applyAlignment="1">
      <alignment horizontal="center" vertical="center" wrapText="1"/>
    </xf>
    <xf numFmtId="0" fontId="29" fillId="0" borderId="181" xfId="0" applyFont="1" applyBorder="1" applyAlignment="1">
      <alignment horizontal="center" vertical="center" wrapText="1"/>
    </xf>
    <xf numFmtId="0" fontId="7" fillId="0" borderId="56" xfId="0" applyFont="1" applyBorder="1" applyAlignment="1">
      <alignment horizontal="center" vertical="center"/>
    </xf>
    <xf numFmtId="0" fontId="7" fillId="0" borderId="58" xfId="0" applyFont="1" applyBorder="1" applyAlignment="1">
      <alignment horizontal="center" vertical="center"/>
    </xf>
    <xf numFmtId="0" fontId="7" fillId="0" borderId="60" xfId="0" applyFont="1" applyBorder="1" applyAlignment="1">
      <alignment horizontal="center" vertical="center"/>
    </xf>
    <xf numFmtId="0" fontId="28" fillId="0" borderId="0" xfId="0" applyFont="1" applyAlignment="1">
      <alignment horizontal="center" vertical="center" wrapText="1"/>
    </xf>
    <xf numFmtId="0" fontId="21" fillId="16" borderId="0" xfId="0" applyFont="1" applyFill="1" applyAlignment="1">
      <alignment horizontal="center" vertical="center" wrapText="1"/>
    </xf>
    <xf numFmtId="0" fontId="7" fillId="0" borderId="39" xfId="0" applyFont="1" applyBorder="1" applyAlignment="1">
      <alignment horizontal="center" vertical="center"/>
    </xf>
    <xf numFmtId="0" fontId="30" fillId="0" borderId="189" xfId="0" applyFont="1" applyBorder="1" applyAlignment="1">
      <alignment horizontal="center" vertical="center"/>
    </xf>
    <xf numFmtId="0" fontId="30" fillId="0" borderId="192" xfId="0" applyFont="1" applyBorder="1" applyAlignment="1">
      <alignment horizontal="center" vertical="center"/>
    </xf>
    <xf numFmtId="0" fontId="55" fillId="16" borderId="0" xfId="0" applyFont="1" applyFill="1" applyAlignment="1">
      <alignment horizontal="center" vertical="center"/>
    </xf>
    <xf numFmtId="0" fontId="40" fillId="17" borderId="195" xfId="0" applyFont="1" applyFill="1" applyBorder="1" applyAlignment="1">
      <alignment horizontal="center" vertical="center"/>
    </xf>
    <xf numFmtId="0" fontId="40" fillId="17" borderId="194" xfId="0" applyFont="1" applyFill="1" applyBorder="1" applyAlignment="1">
      <alignment horizontal="center" vertical="center"/>
    </xf>
    <xf numFmtId="10" fontId="8" fillId="0" borderId="10" xfId="8" applyNumberFormat="1" applyFont="1" applyBorder="1" applyAlignment="1">
      <alignment horizontal="center"/>
    </xf>
    <xf numFmtId="10" fontId="8" fillId="0" borderId="11" xfId="8" applyNumberFormat="1" applyFont="1" applyBorder="1" applyAlignment="1">
      <alignment horizontal="center"/>
    </xf>
    <xf numFmtId="10" fontId="8" fillId="0" borderId="12" xfId="8" applyNumberFormat="1" applyFont="1" applyBorder="1" applyAlignment="1">
      <alignment horizontal="center"/>
    </xf>
    <xf numFmtId="0" fontId="8" fillId="7" borderId="3" xfId="0" applyFont="1" applyFill="1" applyBorder="1" applyAlignment="1">
      <alignment horizontal="center" vertical="center"/>
    </xf>
    <xf numFmtId="0" fontId="8" fillId="7" borderId="13" xfId="0" applyFont="1" applyFill="1" applyBorder="1" applyAlignment="1">
      <alignment horizontal="center" vertical="center"/>
    </xf>
    <xf numFmtId="0" fontId="8" fillId="7" borderId="14" xfId="0" applyFont="1" applyFill="1" applyBorder="1" applyAlignment="1">
      <alignment horizontal="center" vertical="center"/>
    </xf>
    <xf numFmtId="0" fontId="0" fillId="0" borderId="0" xfId="0" applyAlignment="1">
      <alignment horizontal="center"/>
    </xf>
    <xf numFmtId="0" fontId="29" fillId="0" borderId="82" xfId="0" applyFont="1" applyFill="1" applyBorder="1" applyAlignment="1">
      <alignment horizontal="center" vertical="center" wrapText="1"/>
    </xf>
    <xf numFmtId="0" fontId="29" fillId="0" borderId="127" xfId="0" applyFont="1" applyFill="1" applyBorder="1" applyAlignment="1">
      <alignment horizontal="center" vertical="center" wrapText="1"/>
    </xf>
    <xf numFmtId="0" fontId="29" fillId="0" borderId="126" xfId="0" applyFont="1" applyFill="1" applyBorder="1" applyAlignment="1">
      <alignment horizontal="center" vertical="center"/>
    </xf>
    <xf numFmtId="1" fontId="29" fillId="0" borderId="93" xfId="0" applyNumberFormat="1" applyFont="1" applyFill="1" applyBorder="1" applyAlignment="1">
      <alignment horizontal="center" vertical="center"/>
    </xf>
    <xf numFmtId="1" fontId="29" fillId="0" borderId="94" xfId="0" applyNumberFormat="1" applyFont="1" applyFill="1" applyBorder="1" applyAlignment="1">
      <alignment horizontal="center" vertical="center"/>
    </xf>
    <xf numFmtId="0" fontId="29" fillId="0" borderId="97" xfId="0" applyFont="1" applyFill="1" applyBorder="1" applyAlignment="1">
      <alignment horizontal="center" vertical="center" wrapText="1"/>
    </xf>
    <xf numFmtId="0" fontId="29" fillId="0" borderId="105" xfId="0" applyFont="1" applyFill="1" applyBorder="1" applyAlignment="1">
      <alignment horizontal="center" vertical="center"/>
    </xf>
    <xf numFmtId="1" fontId="29" fillId="0" borderId="63" xfId="0" applyNumberFormat="1" applyFont="1" applyFill="1" applyBorder="1" applyAlignment="1">
      <alignment horizontal="center" vertical="center"/>
    </xf>
    <xf numFmtId="1" fontId="29" fillId="0" borderId="98" xfId="0" applyNumberFormat="1" applyFont="1" applyFill="1" applyBorder="1" applyAlignment="1">
      <alignment horizontal="center" vertical="center"/>
    </xf>
    <xf numFmtId="0" fontId="29" fillId="0" borderId="123" xfId="0" applyFont="1" applyFill="1" applyBorder="1" applyAlignment="1">
      <alignment horizontal="center" vertical="center" wrapText="1"/>
    </xf>
    <xf numFmtId="0" fontId="29" fillId="0" borderId="129" xfId="0" applyFont="1" applyFill="1" applyBorder="1" applyAlignment="1">
      <alignment horizontal="center" vertical="center" wrapText="1"/>
    </xf>
    <xf numFmtId="0" fontId="29" fillId="0" borderId="130" xfId="0" applyFont="1" applyFill="1" applyBorder="1" applyAlignment="1">
      <alignment horizontal="center" vertical="center"/>
    </xf>
    <xf numFmtId="1" fontId="29" fillId="0" borderId="128" xfId="0" applyNumberFormat="1" applyFont="1" applyFill="1" applyBorder="1" applyAlignment="1">
      <alignment horizontal="center" vertical="center"/>
    </xf>
    <xf numFmtId="1" fontId="29" fillId="0" borderId="131" xfId="0" applyNumberFormat="1" applyFont="1" applyFill="1" applyBorder="1" applyAlignment="1">
      <alignment horizontal="center" vertical="center"/>
    </xf>
    <xf numFmtId="0" fontId="29" fillId="0" borderId="110" xfId="0" applyFont="1" applyFill="1" applyBorder="1" applyAlignment="1">
      <alignment horizontal="center" vertical="center"/>
    </xf>
    <xf numFmtId="1" fontId="29" fillId="0" borderId="82" xfId="0" applyNumberFormat="1" applyFont="1" applyFill="1" applyBorder="1" applyAlignment="1">
      <alignment horizontal="center" vertical="center"/>
    </xf>
    <xf numFmtId="1" fontId="29" fillId="0" borderId="111" xfId="0" applyNumberFormat="1" applyFont="1" applyFill="1" applyBorder="1" applyAlignment="1">
      <alignment horizontal="center" vertical="center"/>
    </xf>
    <xf numFmtId="1" fontId="29" fillId="0" borderId="112" xfId="0" applyNumberFormat="1" applyFont="1" applyFill="1" applyBorder="1" applyAlignment="1">
      <alignment horizontal="center" vertical="center"/>
    </xf>
    <xf numFmtId="0" fontId="29" fillId="0" borderId="100" xfId="0" applyFont="1" applyFill="1" applyBorder="1" applyAlignment="1">
      <alignment horizontal="center" vertical="center" wrapText="1"/>
    </xf>
    <xf numFmtId="0" fontId="29" fillId="0" borderId="135" xfId="0" applyFont="1" applyFill="1" applyBorder="1" applyAlignment="1">
      <alignment horizontal="center" vertical="center" wrapText="1"/>
    </xf>
    <xf numFmtId="0" fontId="29" fillId="0" borderId="109" xfId="0" applyFont="1" applyFill="1" applyBorder="1" applyAlignment="1">
      <alignment horizontal="center" vertical="center"/>
    </xf>
    <xf numFmtId="1" fontId="29" fillId="0" borderId="107" xfId="0" applyNumberFormat="1" applyFont="1" applyFill="1" applyBorder="1" applyAlignment="1">
      <alignment horizontal="center" vertical="center"/>
    </xf>
    <xf numFmtId="1" fontId="29" fillId="0" borderId="113" xfId="0" applyNumberFormat="1" applyFont="1" applyFill="1" applyBorder="1" applyAlignment="1">
      <alignment horizontal="center" vertical="center"/>
    </xf>
    <xf numFmtId="1" fontId="1" fillId="0" borderId="2" xfId="7" applyNumberFormat="1" applyFont="1" applyFill="1" applyBorder="1" applyAlignment="1">
      <alignment horizontal="center" vertical="center"/>
    </xf>
    <xf numFmtId="0" fontId="7" fillId="0" borderId="51" xfId="0" applyFont="1" applyBorder="1" applyAlignment="1">
      <alignment horizontal="center" vertical="center"/>
    </xf>
    <xf numFmtId="0" fontId="56" fillId="0" borderId="0" xfId="0" applyFont="1" applyAlignment="1">
      <alignment horizontal="left"/>
    </xf>
  </cellXfs>
  <cellStyles count="13">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CCCCFF"/>
      <color rgb="FFFFEBCD"/>
      <color rgb="FF2DC8FF"/>
      <color rgb="FF8238BA"/>
      <color rgb="FFFF9900"/>
      <color rgb="FF002F8E"/>
      <color rgb="FF0000CC"/>
      <color rgb="FF2E9F17"/>
      <color rgb="FFFFFAF3"/>
      <color rgb="FF001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Heating</a:t>
            </a:r>
            <a:r>
              <a:rPr lang="en-US" sz="1100"/>
              <a:t> Setpoints schedule- Medium office</a:t>
            </a:r>
          </a:p>
        </c:rich>
      </c:tx>
      <c:layout>
        <c:manualLayout>
          <c:xMode val="edge"/>
          <c:yMode val="edge"/>
          <c:x val="0.22284341946762432"/>
          <c:y val="6.25415096699679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Thermostat!$B$41</c:f>
              <c:strCache>
                <c:ptCount val="1"/>
                <c:pt idx="0">
                  <c:v>CEC-Weekday</c:v>
                </c:pt>
              </c:strCache>
            </c:strRef>
          </c:tx>
          <c:spPr>
            <a:ln w="28575" cap="rnd">
              <a:solidFill>
                <a:schemeClr val="accent1"/>
              </a:solidFill>
              <a:round/>
            </a:ln>
            <a:effectLst/>
          </c:spPr>
          <c:marker>
            <c:symbol val="none"/>
          </c:marker>
          <c:val>
            <c:numRef>
              <c:f>Thermostat!$B$42:$B$65</c:f>
            </c:numRef>
          </c:val>
          <c:smooth val="0"/>
          <c:extLst xmlns:c15="http://schemas.microsoft.com/office/drawing/2012/chart">
            <c:ext xmlns:c16="http://schemas.microsoft.com/office/drawing/2014/chart" uri="{C3380CC4-5D6E-409C-BE32-E72D297353CC}">
              <c16:uniqueId val="{00000000-BB7C-49D3-A625-9D102DF9E94E}"/>
            </c:ext>
          </c:extLst>
        </c:ser>
        <c:ser>
          <c:idx val="1"/>
          <c:order val="1"/>
          <c:tx>
            <c:strRef>
              <c:f>Thermostat!$C$41</c:f>
              <c:strCache>
                <c:ptCount val="1"/>
                <c:pt idx="0">
                  <c:v>CEC-Saturday</c:v>
                </c:pt>
              </c:strCache>
            </c:strRef>
          </c:tx>
          <c:spPr>
            <a:ln w="28575" cap="rnd">
              <a:solidFill>
                <a:schemeClr val="accent2"/>
              </a:solidFill>
              <a:round/>
            </a:ln>
            <a:effectLst/>
          </c:spPr>
          <c:marker>
            <c:symbol val="none"/>
          </c:marker>
          <c:val>
            <c:numRef>
              <c:f>Thermostat!$C$42:$C$65</c:f>
            </c:numRef>
          </c:val>
          <c:smooth val="0"/>
          <c:extLst xmlns:c15="http://schemas.microsoft.com/office/drawing/2012/chart">
            <c:ext xmlns:c16="http://schemas.microsoft.com/office/drawing/2014/chart" uri="{C3380CC4-5D6E-409C-BE32-E72D297353CC}">
              <c16:uniqueId val="{00000001-BB7C-49D3-A625-9D102DF9E94E}"/>
            </c:ext>
          </c:extLst>
        </c:ser>
        <c:ser>
          <c:idx val="2"/>
          <c:order val="2"/>
          <c:tx>
            <c:strRef>
              <c:f>Thermostat!$D$41</c:f>
              <c:strCache>
                <c:ptCount val="1"/>
                <c:pt idx="0">
                  <c:v>CEC-Sunday</c:v>
                </c:pt>
              </c:strCache>
            </c:strRef>
          </c:tx>
          <c:spPr>
            <a:ln w="28575" cap="rnd">
              <a:solidFill>
                <a:schemeClr val="accent3"/>
              </a:solidFill>
              <a:round/>
            </a:ln>
            <a:effectLst/>
          </c:spPr>
          <c:marker>
            <c:symbol val="none"/>
          </c:marker>
          <c:val>
            <c:numRef>
              <c:f>Thermostat!$D$42:$D$65</c:f>
            </c:numRef>
          </c:val>
          <c:smooth val="0"/>
          <c:extLst xmlns:c15="http://schemas.microsoft.com/office/drawing/2012/chart">
            <c:ext xmlns:c16="http://schemas.microsoft.com/office/drawing/2014/chart" uri="{C3380CC4-5D6E-409C-BE32-E72D297353CC}">
              <c16:uniqueId val="{00000002-BB7C-49D3-A625-9D102DF9E94E}"/>
            </c:ext>
          </c:extLst>
        </c:ser>
        <c:ser>
          <c:idx val="5"/>
          <c:order val="3"/>
          <c:tx>
            <c:strRef>
              <c:f>Thermostat!$F$41</c:f>
              <c:strCache>
                <c:ptCount val="1"/>
                <c:pt idx="0">
                  <c:v>PNNL-Weekday</c:v>
                </c:pt>
              </c:strCache>
            </c:strRef>
          </c:tx>
          <c:spPr>
            <a:ln w="28575" cap="rnd">
              <a:solidFill>
                <a:schemeClr val="accent6"/>
              </a:solidFill>
              <a:round/>
            </a:ln>
            <a:effectLst/>
          </c:spPr>
          <c:marker>
            <c:symbol val="none"/>
          </c:marker>
          <c:val>
            <c:numRef>
              <c:f>Thermostat!$F$42:$F$65</c:f>
            </c:numRef>
          </c:val>
          <c:smooth val="0"/>
          <c:extLst xmlns:c15="http://schemas.microsoft.com/office/drawing/2012/chart">
            <c:ext xmlns:c16="http://schemas.microsoft.com/office/drawing/2014/chart" uri="{C3380CC4-5D6E-409C-BE32-E72D297353CC}">
              <c16:uniqueId val="{00000004-BB7C-49D3-A625-9D102DF9E94E}"/>
            </c:ext>
          </c:extLst>
        </c:ser>
        <c:ser>
          <c:idx val="6"/>
          <c:order val="4"/>
          <c:tx>
            <c:strRef>
              <c:f>Thermostat!$G$41</c:f>
              <c:strCache>
                <c:ptCount val="1"/>
                <c:pt idx="0">
                  <c:v>PNNL-Saturday</c:v>
                </c:pt>
              </c:strCache>
            </c:strRef>
          </c:tx>
          <c:spPr>
            <a:ln w="28575" cap="rnd">
              <a:solidFill>
                <a:schemeClr val="accent1">
                  <a:lumMod val="60000"/>
                </a:schemeClr>
              </a:solidFill>
              <a:round/>
            </a:ln>
            <a:effectLst/>
          </c:spPr>
          <c:marker>
            <c:symbol val="none"/>
          </c:marker>
          <c:val>
            <c:numRef>
              <c:f>Thermostat!$G$42:$G$65</c:f>
            </c:numRef>
          </c:val>
          <c:smooth val="0"/>
          <c:extLst xmlns:c15="http://schemas.microsoft.com/office/drawing/2012/chart">
            <c:ext xmlns:c16="http://schemas.microsoft.com/office/drawing/2014/chart" uri="{C3380CC4-5D6E-409C-BE32-E72D297353CC}">
              <c16:uniqueId val="{00000005-BB7C-49D3-A625-9D102DF9E94E}"/>
            </c:ext>
          </c:extLst>
        </c:ser>
        <c:ser>
          <c:idx val="8"/>
          <c:order val="5"/>
          <c:tx>
            <c:strRef>
              <c:f>Thermostat!$H$41</c:f>
              <c:strCache>
                <c:ptCount val="1"/>
                <c:pt idx="0">
                  <c:v>PNNL-Sunday</c:v>
                </c:pt>
              </c:strCache>
            </c:strRef>
          </c:tx>
          <c:spPr>
            <a:ln w="28575" cap="rnd">
              <a:solidFill>
                <a:schemeClr val="accent3">
                  <a:lumMod val="60000"/>
                </a:schemeClr>
              </a:solidFill>
              <a:round/>
            </a:ln>
            <a:effectLst/>
          </c:spPr>
          <c:marker>
            <c:symbol val="none"/>
          </c:marker>
          <c:val>
            <c:numRef>
              <c:f>Thermostat!$H$42:$H$65</c:f>
            </c:numRef>
          </c:val>
          <c:smooth val="0"/>
          <c:extLst>
            <c:ext xmlns:c16="http://schemas.microsoft.com/office/drawing/2014/chart" uri="{C3380CC4-5D6E-409C-BE32-E72D297353CC}">
              <c16:uniqueId val="{00000006-BB7C-49D3-A625-9D102DF9E94E}"/>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min val="5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layout>
        <c:manualLayout>
          <c:xMode val="edge"/>
          <c:yMode val="edge"/>
          <c:x val="0.1209075481240149"/>
          <c:y val="0.81824773596225608"/>
          <c:w val="0.75818490375197023"/>
          <c:h val="0.147938137010227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Cooling</a:t>
            </a:r>
            <a:r>
              <a:rPr lang="en-US" sz="1100"/>
              <a:t> Setpoints schedule- Medium office</a:t>
            </a:r>
          </a:p>
        </c:rich>
      </c:tx>
      <c:layout>
        <c:manualLayout>
          <c:xMode val="edge"/>
          <c:yMode val="edge"/>
          <c:x val="0.2192523364485981"/>
          <c:y val="3.72453920639617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947457502391642E-2"/>
          <c:y val="0.17480595004191446"/>
          <c:w val="0.86978462972502268"/>
          <c:h val="0.51956598357348382"/>
        </c:manualLayout>
      </c:layout>
      <c:lineChart>
        <c:grouping val="standard"/>
        <c:varyColors val="0"/>
        <c:ser>
          <c:idx val="0"/>
          <c:order val="0"/>
          <c:tx>
            <c:strRef>
              <c:f>Thermostat!$K$41</c:f>
              <c:strCache>
                <c:ptCount val="1"/>
                <c:pt idx="0">
                  <c:v>CEC-Weekday</c:v>
                </c:pt>
              </c:strCache>
            </c:strRef>
          </c:tx>
          <c:spPr>
            <a:ln w="28575" cap="rnd">
              <a:solidFill>
                <a:schemeClr val="accent1"/>
              </a:solidFill>
              <a:round/>
            </a:ln>
            <a:effectLst/>
          </c:spPr>
          <c:marker>
            <c:symbol val="none"/>
          </c:marker>
          <c:val>
            <c:numRef>
              <c:f>Thermostat!$K$42:$K$65</c:f>
            </c:numRef>
          </c:val>
          <c:smooth val="0"/>
          <c:extLst xmlns:c15="http://schemas.microsoft.com/office/drawing/2012/chart">
            <c:ext xmlns:c16="http://schemas.microsoft.com/office/drawing/2014/chart" uri="{C3380CC4-5D6E-409C-BE32-E72D297353CC}">
              <c16:uniqueId val="{00000000-E4F8-4679-9503-778ED4DC0E84}"/>
            </c:ext>
          </c:extLst>
        </c:ser>
        <c:ser>
          <c:idx val="1"/>
          <c:order val="1"/>
          <c:tx>
            <c:strRef>
              <c:f>Thermostat!$L$41</c:f>
              <c:strCache>
                <c:ptCount val="1"/>
                <c:pt idx="0">
                  <c:v>CEC-Saturday</c:v>
                </c:pt>
              </c:strCache>
            </c:strRef>
          </c:tx>
          <c:spPr>
            <a:ln w="28575" cap="rnd">
              <a:solidFill>
                <a:schemeClr val="accent2"/>
              </a:solidFill>
              <a:round/>
            </a:ln>
            <a:effectLst/>
          </c:spPr>
          <c:marker>
            <c:symbol val="none"/>
          </c:marker>
          <c:val>
            <c:numRef>
              <c:f>Thermostat!$L$42:$L$65</c:f>
            </c:numRef>
          </c:val>
          <c:smooth val="0"/>
          <c:extLst xmlns:c15="http://schemas.microsoft.com/office/drawing/2012/chart">
            <c:ext xmlns:c16="http://schemas.microsoft.com/office/drawing/2014/chart" uri="{C3380CC4-5D6E-409C-BE32-E72D297353CC}">
              <c16:uniqueId val="{00000001-E4F8-4679-9503-778ED4DC0E84}"/>
            </c:ext>
          </c:extLst>
        </c:ser>
        <c:ser>
          <c:idx val="2"/>
          <c:order val="2"/>
          <c:tx>
            <c:strRef>
              <c:f>Thermostat!$M$41</c:f>
              <c:strCache>
                <c:ptCount val="1"/>
                <c:pt idx="0">
                  <c:v>CEC-Sunday</c:v>
                </c:pt>
              </c:strCache>
            </c:strRef>
          </c:tx>
          <c:spPr>
            <a:ln w="28575" cap="rnd">
              <a:solidFill>
                <a:schemeClr val="accent3"/>
              </a:solidFill>
              <a:round/>
            </a:ln>
            <a:effectLst/>
          </c:spPr>
          <c:marker>
            <c:symbol val="none"/>
          </c:marker>
          <c:val>
            <c:numRef>
              <c:f>Thermostat!$M$42:$M$65</c:f>
            </c:numRef>
          </c:val>
          <c:smooth val="0"/>
          <c:extLst xmlns:c15="http://schemas.microsoft.com/office/drawing/2012/chart">
            <c:ext xmlns:c16="http://schemas.microsoft.com/office/drawing/2014/chart" uri="{C3380CC4-5D6E-409C-BE32-E72D297353CC}">
              <c16:uniqueId val="{00000002-E4F8-4679-9503-778ED4DC0E84}"/>
            </c:ext>
          </c:extLst>
        </c:ser>
        <c:ser>
          <c:idx val="6"/>
          <c:order val="3"/>
          <c:tx>
            <c:strRef>
              <c:f>Thermostat!$O$41</c:f>
              <c:strCache>
                <c:ptCount val="1"/>
                <c:pt idx="0">
                  <c:v>PNNL-Weekday</c:v>
                </c:pt>
              </c:strCache>
            </c:strRef>
          </c:tx>
          <c:spPr>
            <a:ln w="28575" cap="rnd">
              <a:solidFill>
                <a:schemeClr val="accent1">
                  <a:lumMod val="60000"/>
                </a:schemeClr>
              </a:solidFill>
              <a:round/>
            </a:ln>
            <a:effectLst/>
          </c:spPr>
          <c:marker>
            <c:symbol val="none"/>
          </c:marker>
          <c:val>
            <c:numRef>
              <c:f>Thermostat!$O$42:$O$65</c:f>
            </c:numRef>
          </c:val>
          <c:smooth val="0"/>
          <c:extLst xmlns:c15="http://schemas.microsoft.com/office/drawing/2012/chart">
            <c:ext xmlns:c16="http://schemas.microsoft.com/office/drawing/2014/chart" uri="{C3380CC4-5D6E-409C-BE32-E72D297353CC}">
              <c16:uniqueId val="{00000005-E4F8-4679-9503-778ED4DC0E84}"/>
            </c:ext>
          </c:extLst>
        </c:ser>
        <c:ser>
          <c:idx val="8"/>
          <c:order val="4"/>
          <c:tx>
            <c:strRef>
              <c:f>Thermostat!$P$41</c:f>
              <c:strCache>
                <c:ptCount val="1"/>
                <c:pt idx="0">
                  <c:v>PNNL-Saturday</c:v>
                </c:pt>
              </c:strCache>
            </c:strRef>
          </c:tx>
          <c:spPr>
            <a:ln w="28575" cap="rnd">
              <a:solidFill>
                <a:schemeClr val="accent3">
                  <a:lumMod val="60000"/>
                </a:schemeClr>
              </a:solidFill>
              <a:round/>
            </a:ln>
            <a:effectLst/>
          </c:spPr>
          <c:marker>
            <c:symbol val="none"/>
          </c:marker>
          <c:val>
            <c:numRef>
              <c:f>Thermostat!$P$42:$P$65</c:f>
            </c:numRef>
          </c:val>
          <c:smooth val="0"/>
          <c:extLst>
            <c:ext xmlns:c16="http://schemas.microsoft.com/office/drawing/2014/chart" uri="{C3380CC4-5D6E-409C-BE32-E72D297353CC}">
              <c16:uniqueId val="{00000006-E4F8-4679-9503-778ED4DC0E84}"/>
            </c:ext>
          </c:extLst>
        </c:ser>
        <c:ser>
          <c:idx val="3"/>
          <c:order val="5"/>
          <c:tx>
            <c:strRef>
              <c:f>Thermostat!$Q$41</c:f>
              <c:strCache>
                <c:ptCount val="1"/>
                <c:pt idx="0">
                  <c:v>PNNL-Sunday</c:v>
                </c:pt>
              </c:strCache>
            </c:strRef>
          </c:tx>
          <c:spPr>
            <a:ln w="28575" cap="rnd">
              <a:solidFill>
                <a:schemeClr val="accent4"/>
              </a:solidFill>
              <a:round/>
            </a:ln>
            <a:effectLst/>
          </c:spPr>
          <c:marker>
            <c:symbol val="none"/>
          </c:marker>
          <c:val>
            <c:numRef>
              <c:f>Thermostat!$Q$42:$Q$65</c:f>
            </c:numRef>
          </c:val>
          <c:smooth val="0"/>
          <c:extLst>
            <c:ext xmlns:c16="http://schemas.microsoft.com/office/drawing/2014/chart" uri="{C3380CC4-5D6E-409C-BE32-E72D297353CC}">
              <c16:uniqueId val="{00000007-E4F8-4679-9503-778ED4DC0E84}"/>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min val="72"/>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layout>
        <c:manualLayout>
          <c:xMode val="edge"/>
          <c:yMode val="edge"/>
          <c:x val="0.12158804915740673"/>
          <c:y val="0.82090502298295909"/>
          <c:w val="0.86897343439546681"/>
          <c:h val="0.14772089085935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PNNL</a:t>
            </a:r>
            <a:r>
              <a:rPr lang="en-US" sz="1100" b="0">
                <a:solidFill>
                  <a:sysClr val="windowText" lastClr="000000"/>
                </a:solidFill>
              </a:rPr>
              <a:t>: </a:t>
            </a:r>
            <a:r>
              <a:rPr lang="en-US" sz="1100"/>
              <a:t>Lights schedule-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'Interior Lights'!$B$66</c:f>
              <c:strCache>
                <c:ptCount val="1"/>
                <c:pt idx="0">
                  <c:v>CEC-Weekday</c:v>
                </c:pt>
              </c:strCache>
            </c:strRef>
          </c:tx>
          <c:spPr>
            <a:ln w="28575" cap="rnd">
              <a:solidFill>
                <a:schemeClr val="accent1"/>
              </a:solidFill>
              <a:round/>
            </a:ln>
            <a:effectLst/>
          </c:spPr>
          <c:marker>
            <c:symbol val="none"/>
          </c:marker>
          <c:cat>
            <c:multiLvlStrRef>
              <c:f>'Interior Lights'!$A$67:$A$90</c:f>
            </c:multiLvlStrRef>
          </c:cat>
          <c:val>
            <c:numRef>
              <c:f>'Interior Lights'!$B$67:$B$90</c:f>
            </c:numRef>
          </c:val>
          <c:smooth val="0"/>
          <c:extLst xmlns:c15="http://schemas.microsoft.com/office/drawing/2012/chart">
            <c:ext xmlns:c16="http://schemas.microsoft.com/office/drawing/2014/chart" uri="{C3380CC4-5D6E-409C-BE32-E72D297353CC}">
              <c16:uniqueId val="{00000000-5672-49DA-9D73-0943382CB52C}"/>
            </c:ext>
          </c:extLst>
        </c:ser>
        <c:ser>
          <c:idx val="1"/>
          <c:order val="1"/>
          <c:tx>
            <c:strRef>
              <c:f>'Interior Lights'!$C$66</c:f>
              <c:strCache>
                <c:ptCount val="1"/>
                <c:pt idx="0">
                  <c:v>CEC-Saturday</c:v>
                </c:pt>
              </c:strCache>
            </c:strRef>
          </c:tx>
          <c:spPr>
            <a:ln w="28575" cap="rnd">
              <a:solidFill>
                <a:schemeClr val="accent2"/>
              </a:solidFill>
              <a:round/>
            </a:ln>
            <a:effectLst/>
          </c:spPr>
          <c:marker>
            <c:symbol val="none"/>
          </c:marker>
          <c:cat>
            <c:multiLvlStrRef>
              <c:f>'Interior Lights'!$A$67:$A$90</c:f>
            </c:multiLvlStrRef>
          </c:cat>
          <c:val>
            <c:numRef>
              <c:f>'Interior Lights'!$C$67:$C$90</c:f>
            </c:numRef>
          </c:val>
          <c:smooth val="0"/>
          <c:extLst xmlns:c15="http://schemas.microsoft.com/office/drawing/2012/chart">
            <c:ext xmlns:c16="http://schemas.microsoft.com/office/drawing/2014/chart" uri="{C3380CC4-5D6E-409C-BE32-E72D297353CC}">
              <c16:uniqueId val="{00000001-5672-49DA-9D73-0943382CB52C}"/>
            </c:ext>
          </c:extLst>
        </c:ser>
        <c:ser>
          <c:idx val="2"/>
          <c:order val="2"/>
          <c:tx>
            <c:strRef>
              <c:f>'Interior Lights'!$D$66</c:f>
              <c:strCache>
                <c:ptCount val="1"/>
                <c:pt idx="0">
                  <c:v>CEC-Sunday</c:v>
                </c:pt>
              </c:strCache>
            </c:strRef>
          </c:tx>
          <c:spPr>
            <a:ln w="28575" cap="rnd">
              <a:solidFill>
                <a:schemeClr val="accent3"/>
              </a:solidFill>
              <a:round/>
            </a:ln>
            <a:effectLst/>
          </c:spPr>
          <c:marker>
            <c:symbol val="none"/>
          </c:marker>
          <c:cat>
            <c:multiLvlStrRef>
              <c:f>'Interior Lights'!$A$67:$A$90</c:f>
            </c:multiLvlStrRef>
          </c:cat>
          <c:val>
            <c:numRef>
              <c:f>'Interior Lights'!$D$67:$D$90</c:f>
            </c:numRef>
          </c:val>
          <c:smooth val="0"/>
          <c:extLst xmlns:c15="http://schemas.microsoft.com/office/drawing/2012/chart">
            <c:ext xmlns:c16="http://schemas.microsoft.com/office/drawing/2014/chart" uri="{C3380CC4-5D6E-409C-BE32-E72D297353CC}">
              <c16:uniqueId val="{00000002-5672-49DA-9D73-0943382CB52C}"/>
            </c:ext>
          </c:extLst>
        </c:ser>
        <c:ser>
          <c:idx val="4"/>
          <c:order val="3"/>
          <c:tx>
            <c:strRef>
              <c:f>'Interior Lights'!$E$66</c:f>
              <c:strCache>
                <c:ptCount val="1"/>
              </c:strCache>
            </c:strRef>
          </c:tx>
          <c:spPr>
            <a:ln w="28575" cap="rnd">
              <a:solidFill>
                <a:schemeClr val="accent5"/>
              </a:solidFill>
              <a:round/>
            </a:ln>
            <a:effectLst/>
          </c:spPr>
          <c:marker>
            <c:symbol val="none"/>
          </c:marker>
          <c:cat>
            <c:multiLvlStrRef>
              <c:f>'Interior Lights'!$A$67:$A$90</c:f>
            </c:multiLvlStrRef>
          </c:cat>
          <c:val>
            <c:numRef>
              <c:f>'Interior Lights'!$E$67:$E$90</c:f>
            </c:numRef>
          </c:val>
          <c:smooth val="0"/>
          <c:extLst xmlns:c15="http://schemas.microsoft.com/office/drawing/2012/chart">
            <c:ext xmlns:c16="http://schemas.microsoft.com/office/drawing/2014/chart" uri="{C3380CC4-5D6E-409C-BE32-E72D297353CC}">
              <c16:uniqueId val="{00000003-5672-49DA-9D73-0943382CB52C}"/>
            </c:ext>
          </c:extLst>
        </c:ser>
        <c:ser>
          <c:idx val="5"/>
          <c:order val="4"/>
          <c:tx>
            <c:strRef>
              <c:f>'Interior Lights'!$F$66</c:f>
              <c:strCache>
                <c:ptCount val="1"/>
                <c:pt idx="0">
                  <c:v>PNNL-Weekday</c:v>
                </c:pt>
              </c:strCache>
            </c:strRef>
          </c:tx>
          <c:spPr>
            <a:ln w="28575" cap="rnd">
              <a:solidFill>
                <a:schemeClr val="accent6"/>
              </a:solidFill>
              <a:round/>
            </a:ln>
            <a:effectLst/>
          </c:spPr>
          <c:marker>
            <c:symbol val="none"/>
          </c:marker>
          <c:cat>
            <c:multiLvlStrRef>
              <c:f>'Interior Lights'!$A$67:$A$90</c:f>
            </c:multiLvlStrRef>
          </c:cat>
          <c:val>
            <c:numRef>
              <c:f>'Interior Lights'!$F$67:$F$90</c:f>
            </c:numRef>
          </c:val>
          <c:smooth val="0"/>
          <c:extLst xmlns:c15="http://schemas.microsoft.com/office/drawing/2012/chart">
            <c:ext xmlns:c16="http://schemas.microsoft.com/office/drawing/2014/chart" uri="{C3380CC4-5D6E-409C-BE32-E72D297353CC}">
              <c16:uniqueId val="{00000004-5672-49DA-9D73-0943382CB52C}"/>
            </c:ext>
          </c:extLst>
        </c:ser>
        <c:ser>
          <c:idx val="6"/>
          <c:order val="5"/>
          <c:tx>
            <c:strRef>
              <c:f>'Interior Lights'!$G$66</c:f>
              <c:strCache>
                <c:ptCount val="1"/>
                <c:pt idx="0">
                  <c:v>PNNL-Saturday</c:v>
                </c:pt>
              </c:strCache>
            </c:strRef>
          </c:tx>
          <c:spPr>
            <a:ln w="28575" cap="rnd">
              <a:solidFill>
                <a:schemeClr val="accent1">
                  <a:lumMod val="60000"/>
                </a:schemeClr>
              </a:solidFill>
              <a:round/>
            </a:ln>
            <a:effectLst/>
          </c:spPr>
          <c:marker>
            <c:symbol val="none"/>
          </c:marker>
          <c:cat>
            <c:multiLvlStrRef>
              <c:f>'Interior Lights'!$A$67:$A$90</c:f>
            </c:multiLvlStrRef>
          </c:cat>
          <c:val>
            <c:numRef>
              <c:f>'Interior Lights'!$G$67:$G$90</c:f>
            </c:numRef>
          </c:val>
          <c:smooth val="0"/>
          <c:extLst xmlns:c15="http://schemas.microsoft.com/office/drawing/2012/chart">
            <c:ext xmlns:c16="http://schemas.microsoft.com/office/drawing/2014/chart" uri="{C3380CC4-5D6E-409C-BE32-E72D297353CC}">
              <c16:uniqueId val="{00000005-5672-49DA-9D73-0943382CB52C}"/>
            </c:ext>
          </c:extLst>
        </c:ser>
        <c:ser>
          <c:idx val="8"/>
          <c:order val="6"/>
          <c:tx>
            <c:strRef>
              <c:f>'Interior Lights'!$H$66</c:f>
              <c:strCache>
                <c:ptCount val="1"/>
                <c:pt idx="0">
                  <c:v>PNNL-Otherday</c:v>
                </c:pt>
              </c:strCache>
            </c:strRef>
          </c:tx>
          <c:spPr>
            <a:ln w="28575" cap="rnd">
              <a:solidFill>
                <a:schemeClr val="accent3">
                  <a:lumMod val="60000"/>
                </a:schemeClr>
              </a:solidFill>
              <a:round/>
            </a:ln>
            <a:effectLst/>
          </c:spPr>
          <c:marker>
            <c:symbol val="none"/>
          </c:marker>
          <c:cat>
            <c:multiLvlStrRef>
              <c:f>'Interior Lights'!$A$67:$A$90</c:f>
            </c:multiLvlStrRef>
          </c:cat>
          <c:val>
            <c:numRef>
              <c:f>'Interior Lights'!$H$67:$H$90</c:f>
            </c:numRef>
          </c:val>
          <c:smooth val="0"/>
          <c:extLst>
            <c:ext xmlns:c16="http://schemas.microsoft.com/office/drawing/2014/chart" uri="{C3380CC4-5D6E-409C-BE32-E72D297353CC}">
              <c16:uniqueId val="{00000006-5672-49DA-9D73-0943382CB52C}"/>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CEC</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Equipment-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Equipment!$C$61</c:f>
              <c:strCache>
                <c:ptCount val="1"/>
                <c:pt idx="0">
                  <c:v>CEC-Weekday</c:v>
                </c:pt>
              </c:strCache>
            </c:strRef>
          </c:tx>
          <c:spPr>
            <a:ln w="28575" cap="rnd">
              <a:solidFill>
                <a:schemeClr val="accent1"/>
              </a:solidFill>
              <a:round/>
            </a:ln>
            <a:effectLst/>
          </c:spPr>
          <c:marker>
            <c:symbol val="none"/>
          </c:marker>
          <c:val>
            <c:numRef>
              <c:f>Equipment!$C$62:$C$85</c:f>
            </c:numRef>
          </c:val>
          <c:smooth val="0"/>
          <c:extLst>
            <c:ext xmlns:c16="http://schemas.microsoft.com/office/drawing/2014/chart" uri="{C3380CC4-5D6E-409C-BE32-E72D297353CC}">
              <c16:uniqueId val="{00000003-43A7-47E5-8440-F55F846E6419}"/>
            </c:ext>
          </c:extLst>
        </c:ser>
        <c:ser>
          <c:idx val="1"/>
          <c:order val="1"/>
          <c:tx>
            <c:strRef>
              <c:f>Equipment!$D$61</c:f>
              <c:strCache>
                <c:ptCount val="1"/>
                <c:pt idx="0">
                  <c:v>CEC-Saturday</c:v>
                </c:pt>
              </c:strCache>
            </c:strRef>
          </c:tx>
          <c:spPr>
            <a:ln w="28575" cap="rnd">
              <a:solidFill>
                <a:schemeClr val="accent2"/>
              </a:solidFill>
              <a:round/>
            </a:ln>
            <a:effectLst/>
          </c:spPr>
          <c:marker>
            <c:symbol val="none"/>
          </c:marker>
          <c:val>
            <c:numRef>
              <c:f>Equipment!$D$62:$D$85</c:f>
            </c:numRef>
          </c:val>
          <c:smooth val="0"/>
          <c:extLst>
            <c:ext xmlns:c16="http://schemas.microsoft.com/office/drawing/2014/chart" uri="{C3380CC4-5D6E-409C-BE32-E72D297353CC}">
              <c16:uniqueId val="{00000004-43A7-47E5-8440-F55F846E6419}"/>
            </c:ext>
          </c:extLst>
        </c:ser>
        <c:ser>
          <c:idx val="2"/>
          <c:order val="2"/>
          <c:tx>
            <c:strRef>
              <c:f>Equipment!$E$61</c:f>
              <c:strCache>
                <c:ptCount val="1"/>
                <c:pt idx="0">
                  <c:v>CEC-Sunday</c:v>
                </c:pt>
              </c:strCache>
            </c:strRef>
          </c:tx>
          <c:spPr>
            <a:ln w="28575" cap="rnd">
              <a:solidFill>
                <a:schemeClr val="accent3"/>
              </a:solidFill>
              <a:round/>
            </a:ln>
            <a:effectLst/>
          </c:spPr>
          <c:marker>
            <c:symbol val="none"/>
          </c:marker>
          <c:val>
            <c:numRef>
              <c:f>Equipment!$E$62:$E$85</c:f>
            </c:numRef>
          </c:val>
          <c:smooth val="0"/>
          <c:extLst>
            <c:ext xmlns:c16="http://schemas.microsoft.com/office/drawing/2014/chart" uri="{C3380CC4-5D6E-409C-BE32-E72D297353CC}">
              <c16:uniqueId val="{00000000-8986-4927-A516-ECB8353560CD}"/>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PNNL</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Equipment-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0"/>
          <c:tx>
            <c:strRef>
              <c:f>Equipment!$G$61</c:f>
              <c:strCache>
                <c:ptCount val="1"/>
                <c:pt idx="0">
                  <c:v>PNNL-Weekday</c:v>
                </c:pt>
              </c:strCache>
              <c:extLst xmlns:c15="http://schemas.microsoft.com/office/drawing/2012/chart"/>
            </c:strRef>
          </c:tx>
          <c:spPr>
            <a:ln w="28575" cap="rnd">
              <a:solidFill>
                <a:schemeClr val="accent6"/>
              </a:solidFill>
              <a:round/>
            </a:ln>
            <a:effectLst/>
          </c:spPr>
          <c:marker>
            <c:symbol val="none"/>
          </c:marker>
          <c:cat>
            <c:multiLvlStrRef>
              <c:f>Equipment!$A$62:$A$85</c:f>
            </c:multiLvlStrRef>
          </c:cat>
          <c:val>
            <c:numRef>
              <c:f>Equipment!$G$62:$G$85</c:f>
              <c:extLst xmlns:c15="http://schemas.microsoft.com/office/drawing/2012/chart"/>
            </c:numRef>
          </c:val>
          <c:smooth val="0"/>
          <c:extLst>
            <c:ext xmlns:c16="http://schemas.microsoft.com/office/drawing/2014/chart" uri="{C3380CC4-5D6E-409C-BE32-E72D297353CC}">
              <c16:uniqueId val="{00000008-FE65-413B-A578-C2B1178F7F78}"/>
            </c:ext>
          </c:extLst>
        </c:ser>
        <c:ser>
          <c:idx val="6"/>
          <c:order val="1"/>
          <c:tx>
            <c:strRef>
              <c:f>Equipment!$H$61</c:f>
              <c:strCache>
                <c:ptCount val="1"/>
                <c:pt idx="0">
                  <c:v>PNNL-Saturday</c:v>
                </c:pt>
              </c:strCache>
              <c:extLst xmlns:c15="http://schemas.microsoft.com/office/drawing/2012/chart"/>
            </c:strRef>
          </c:tx>
          <c:spPr>
            <a:ln w="28575" cap="rnd">
              <a:solidFill>
                <a:schemeClr val="accent1">
                  <a:lumMod val="60000"/>
                </a:schemeClr>
              </a:solidFill>
              <a:round/>
            </a:ln>
            <a:effectLst/>
          </c:spPr>
          <c:marker>
            <c:symbol val="none"/>
          </c:marker>
          <c:cat>
            <c:multiLvlStrRef>
              <c:f>Equipment!$A$62:$A$85</c:f>
            </c:multiLvlStrRef>
          </c:cat>
          <c:val>
            <c:numRef>
              <c:f>Equipment!$H$62:$H$85</c:f>
              <c:extLst xmlns:c15="http://schemas.microsoft.com/office/drawing/2012/chart"/>
            </c:numRef>
          </c:val>
          <c:smooth val="0"/>
          <c:extLst>
            <c:ext xmlns:c16="http://schemas.microsoft.com/office/drawing/2014/chart" uri="{C3380CC4-5D6E-409C-BE32-E72D297353CC}">
              <c16:uniqueId val="{00000009-FE65-413B-A578-C2B1178F7F78}"/>
            </c:ext>
          </c:extLst>
        </c:ser>
        <c:ser>
          <c:idx val="7"/>
          <c:order val="2"/>
          <c:tx>
            <c:strRef>
              <c:f>Equipment!$I$61</c:f>
              <c:strCache>
                <c:ptCount val="1"/>
                <c:pt idx="0">
                  <c:v>PNNL-Sunday</c:v>
                </c:pt>
              </c:strCache>
              <c:extLst xmlns:c15="http://schemas.microsoft.com/office/drawing/2012/chart"/>
            </c:strRef>
          </c:tx>
          <c:spPr>
            <a:ln w="28575" cap="rnd">
              <a:solidFill>
                <a:schemeClr val="accent2">
                  <a:lumMod val="60000"/>
                </a:schemeClr>
              </a:solidFill>
              <a:round/>
            </a:ln>
            <a:effectLst/>
          </c:spPr>
          <c:marker>
            <c:symbol val="none"/>
          </c:marker>
          <c:cat>
            <c:multiLvlStrRef>
              <c:f>Equipment!$A$62:$A$85</c:f>
            </c:multiLvlStrRef>
          </c:cat>
          <c:val>
            <c:numRef>
              <c:f>Equipment!$I$62:$I$85</c:f>
              <c:extLst xmlns:c15="http://schemas.microsoft.com/office/drawing/2012/chart"/>
            </c:numRef>
          </c:val>
          <c:smooth val="0"/>
          <c:extLst>
            <c:ext xmlns:c16="http://schemas.microsoft.com/office/drawing/2014/chart" uri="{C3380CC4-5D6E-409C-BE32-E72D297353CC}">
              <c16:uniqueId val="{0000000A-FE65-413B-A578-C2B1178F7F78}"/>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layout>
        <c:manualLayout>
          <c:xMode val="edge"/>
          <c:yMode val="edge"/>
          <c:x val="0.11827820943808745"/>
          <c:y val="0.87772650689406195"/>
          <c:w val="0.77545728336610698"/>
          <c:h val="8.7338995289344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CEC</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Elevator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Equipment!$L$61</c:f>
              <c:strCache>
                <c:ptCount val="1"/>
                <c:pt idx="0">
                  <c:v>CEC-Weekday</c:v>
                </c:pt>
              </c:strCache>
            </c:strRef>
          </c:tx>
          <c:spPr>
            <a:ln w="28575" cap="rnd">
              <a:solidFill>
                <a:schemeClr val="accent1"/>
              </a:solidFill>
              <a:round/>
            </a:ln>
            <a:effectLst/>
          </c:spPr>
          <c:marker>
            <c:symbol val="none"/>
          </c:marker>
          <c:val>
            <c:numRef>
              <c:f>Equipment!$L$62:$L$85</c:f>
            </c:numRef>
          </c:val>
          <c:smooth val="0"/>
          <c:extLst>
            <c:ext xmlns:c16="http://schemas.microsoft.com/office/drawing/2014/chart" uri="{C3380CC4-5D6E-409C-BE32-E72D297353CC}">
              <c16:uniqueId val="{00000000-4C13-4003-840A-EDA79F08E188}"/>
            </c:ext>
          </c:extLst>
        </c:ser>
        <c:ser>
          <c:idx val="1"/>
          <c:order val="1"/>
          <c:tx>
            <c:strRef>
              <c:f>Equipment!$M$61</c:f>
              <c:strCache>
                <c:ptCount val="1"/>
                <c:pt idx="0">
                  <c:v>CEC-Saturday</c:v>
                </c:pt>
              </c:strCache>
            </c:strRef>
          </c:tx>
          <c:spPr>
            <a:ln w="28575" cap="rnd">
              <a:solidFill>
                <a:schemeClr val="accent2"/>
              </a:solidFill>
              <a:round/>
            </a:ln>
            <a:effectLst/>
          </c:spPr>
          <c:marker>
            <c:symbol val="none"/>
          </c:marker>
          <c:val>
            <c:numRef>
              <c:f>Equipment!$M$62:$M$85</c:f>
            </c:numRef>
          </c:val>
          <c:smooth val="0"/>
          <c:extLst>
            <c:ext xmlns:c16="http://schemas.microsoft.com/office/drawing/2014/chart" uri="{C3380CC4-5D6E-409C-BE32-E72D297353CC}">
              <c16:uniqueId val="{00000001-4C13-4003-840A-EDA79F08E188}"/>
            </c:ext>
          </c:extLst>
        </c:ser>
        <c:ser>
          <c:idx val="2"/>
          <c:order val="2"/>
          <c:tx>
            <c:strRef>
              <c:f>Equipment!$N$61</c:f>
              <c:strCache>
                <c:ptCount val="1"/>
                <c:pt idx="0">
                  <c:v>CEC-Sunday</c:v>
                </c:pt>
              </c:strCache>
            </c:strRef>
          </c:tx>
          <c:spPr>
            <a:ln w="28575" cap="rnd">
              <a:solidFill>
                <a:schemeClr val="accent3"/>
              </a:solidFill>
              <a:round/>
            </a:ln>
            <a:effectLst/>
          </c:spPr>
          <c:marker>
            <c:symbol val="none"/>
          </c:marker>
          <c:val>
            <c:numRef>
              <c:f>Equipment!$N$62:$N$85</c:f>
            </c:numRef>
          </c:val>
          <c:smooth val="0"/>
          <c:extLst>
            <c:ext xmlns:c16="http://schemas.microsoft.com/office/drawing/2014/chart" uri="{C3380CC4-5D6E-409C-BE32-E72D297353CC}">
              <c16:uniqueId val="{00000002-4C13-4003-840A-EDA79F08E188}"/>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PNNL</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Elevator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0"/>
          <c:tx>
            <c:strRef>
              <c:f>Equipment!$P$61</c:f>
              <c:strCache>
                <c:ptCount val="1"/>
                <c:pt idx="0">
                  <c:v>PNNL-Weekday</c:v>
                </c:pt>
              </c:strCache>
            </c:strRef>
          </c:tx>
          <c:spPr>
            <a:ln w="28575" cap="rnd">
              <a:solidFill>
                <a:schemeClr val="accent6"/>
              </a:solidFill>
              <a:round/>
            </a:ln>
            <a:effectLst/>
          </c:spPr>
          <c:marker>
            <c:symbol val="none"/>
          </c:marker>
          <c:val>
            <c:numRef>
              <c:f>Equipment!$P$62:$P$85</c:f>
            </c:numRef>
          </c:val>
          <c:smooth val="0"/>
          <c:extLst>
            <c:ext xmlns:c16="http://schemas.microsoft.com/office/drawing/2014/chart" uri="{C3380CC4-5D6E-409C-BE32-E72D297353CC}">
              <c16:uniqueId val="{00000000-D12E-456F-BBD1-2D3F99E52D52}"/>
            </c:ext>
          </c:extLst>
        </c:ser>
        <c:ser>
          <c:idx val="6"/>
          <c:order val="1"/>
          <c:tx>
            <c:strRef>
              <c:f>Equipment!$Q$61</c:f>
              <c:strCache>
                <c:ptCount val="1"/>
                <c:pt idx="0">
                  <c:v>PNNL-Saturday</c:v>
                </c:pt>
              </c:strCache>
            </c:strRef>
          </c:tx>
          <c:spPr>
            <a:ln w="28575" cap="rnd">
              <a:solidFill>
                <a:schemeClr val="accent1">
                  <a:lumMod val="60000"/>
                </a:schemeClr>
              </a:solidFill>
              <a:round/>
            </a:ln>
            <a:effectLst/>
          </c:spPr>
          <c:marker>
            <c:symbol val="none"/>
          </c:marker>
          <c:val>
            <c:numRef>
              <c:f>Equipment!$Q$62:$Q$85</c:f>
            </c:numRef>
          </c:val>
          <c:smooth val="0"/>
          <c:extLst>
            <c:ext xmlns:c16="http://schemas.microsoft.com/office/drawing/2014/chart" uri="{C3380CC4-5D6E-409C-BE32-E72D297353CC}">
              <c16:uniqueId val="{00000001-D12E-456F-BBD1-2D3F99E52D52}"/>
            </c:ext>
          </c:extLst>
        </c:ser>
        <c:ser>
          <c:idx val="7"/>
          <c:order val="2"/>
          <c:tx>
            <c:strRef>
              <c:f>Equipment!$R$61</c:f>
              <c:strCache>
                <c:ptCount val="1"/>
                <c:pt idx="0">
                  <c:v>PNNL-Sunday</c:v>
                </c:pt>
              </c:strCache>
            </c:strRef>
          </c:tx>
          <c:spPr>
            <a:ln w="28575" cap="rnd">
              <a:solidFill>
                <a:schemeClr val="accent2">
                  <a:lumMod val="60000"/>
                </a:schemeClr>
              </a:solidFill>
              <a:round/>
            </a:ln>
            <a:effectLst/>
          </c:spPr>
          <c:marker>
            <c:symbol val="none"/>
          </c:marker>
          <c:val>
            <c:numRef>
              <c:f>Equipment!$R$62:$R$85</c:f>
            </c:numRef>
          </c:val>
          <c:smooth val="0"/>
          <c:extLst>
            <c:ext xmlns:c16="http://schemas.microsoft.com/office/drawing/2014/chart" uri="{C3380CC4-5D6E-409C-BE32-E72D297353CC}">
              <c16:uniqueId val="{00000002-D12E-456F-BBD1-2D3F99E52D52}"/>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layout>
        <c:manualLayout>
          <c:xMode val="edge"/>
          <c:yMode val="edge"/>
          <c:x val="0.11827820943808745"/>
          <c:y val="0.87772650689406195"/>
          <c:w val="0.77545728336610698"/>
          <c:h val="8.7338995289344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CEC</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Escalator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Equipment!$U$61</c:f>
              <c:strCache>
                <c:ptCount val="1"/>
                <c:pt idx="0">
                  <c:v>CEC-Weekday</c:v>
                </c:pt>
              </c:strCache>
            </c:strRef>
          </c:tx>
          <c:spPr>
            <a:ln w="28575" cap="rnd">
              <a:solidFill>
                <a:schemeClr val="accent1"/>
              </a:solidFill>
              <a:round/>
            </a:ln>
            <a:effectLst/>
          </c:spPr>
          <c:marker>
            <c:symbol val="none"/>
          </c:marker>
          <c:val>
            <c:numRef>
              <c:f>Equipment!$U$62:$U$85</c:f>
            </c:numRef>
          </c:val>
          <c:smooth val="0"/>
          <c:extLst>
            <c:ext xmlns:c16="http://schemas.microsoft.com/office/drawing/2014/chart" uri="{C3380CC4-5D6E-409C-BE32-E72D297353CC}">
              <c16:uniqueId val="{00000000-62EA-43B2-81C2-48B311DB1216}"/>
            </c:ext>
          </c:extLst>
        </c:ser>
        <c:ser>
          <c:idx val="1"/>
          <c:order val="1"/>
          <c:tx>
            <c:strRef>
              <c:f>Equipment!$V$61</c:f>
              <c:strCache>
                <c:ptCount val="1"/>
                <c:pt idx="0">
                  <c:v>CEC-Saturday</c:v>
                </c:pt>
              </c:strCache>
            </c:strRef>
          </c:tx>
          <c:spPr>
            <a:ln w="28575" cap="rnd">
              <a:solidFill>
                <a:schemeClr val="accent2"/>
              </a:solidFill>
              <a:round/>
            </a:ln>
            <a:effectLst/>
          </c:spPr>
          <c:marker>
            <c:symbol val="none"/>
          </c:marker>
          <c:val>
            <c:numRef>
              <c:f>Equipment!$V$62:$V$85</c:f>
            </c:numRef>
          </c:val>
          <c:smooth val="0"/>
          <c:extLst>
            <c:ext xmlns:c16="http://schemas.microsoft.com/office/drawing/2014/chart" uri="{C3380CC4-5D6E-409C-BE32-E72D297353CC}">
              <c16:uniqueId val="{00000001-62EA-43B2-81C2-48B311DB1216}"/>
            </c:ext>
          </c:extLst>
        </c:ser>
        <c:ser>
          <c:idx val="2"/>
          <c:order val="2"/>
          <c:tx>
            <c:strRef>
              <c:f>Equipment!$W$61</c:f>
              <c:strCache>
                <c:ptCount val="1"/>
                <c:pt idx="0">
                  <c:v>CEC-Sunday</c:v>
                </c:pt>
              </c:strCache>
            </c:strRef>
          </c:tx>
          <c:spPr>
            <a:ln w="28575" cap="rnd">
              <a:solidFill>
                <a:schemeClr val="accent3"/>
              </a:solidFill>
              <a:round/>
            </a:ln>
            <a:effectLst/>
          </c:spPr>
          <c:marker>
            <c:symbol val="none"/>
          </c:marker>
          <c:val>
            <c:numRef>
              <c:f>Equipment!$W$62:$W$85</c:f>
            </c:numRef>
          </c:val>
          <c:smooth val="0"/>
          <c:extLst>
            <c:ext xmlns:c16="http://schemas.microsoft.com/office/drawing/2014/chart" uri="{C3380CC4-5D6E-409C-BE32-E72D297353CC}">
              <c16:uniqueId val="{00000002-62EA-43B2-81C2-48B311DB1216}"/>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PNNL</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Lights Fan Medium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0"/>
          <c:tx>
            <c:strRef>
              <c:f>Equipment!$Y$61</c:f>
              <c:strCache>
                <c:ptCount val="1"/>
                <c:pt idx="0">
                  <c:v>PNNL-Weekday</c:v>
                </c:pt>
              </c:strCache>
            </c:strRef>
          </c:tx>
          <c:spPr>
            <a:ln w="28575" cap="rnd">
              <a:solidFill>
                <a:schemeClr val="accent6"/>
              </a:solidFill>
              <a:round/>
            </a:ln>
            <a:effectLst/>
          </c:spPr>
          <c:marker>
            <c:symbol val="none"/>
          </c:marker>
          <c:val>
            <c:numRef>
              <c:f>Equipment!$Y$62:$Y$85</c:f>
            </c:numRef>
          </c:val>
          <c:smooth val="0"/>
          <c:extLst>
            <c:ext xmlns:c16="http://schemas.microsoft.com/office/drawing/2014/chart" uri="{C3380CC4-5D6E-409C-BE32-E72D297353CC}">
              <c16:uniqueId val="{00000000-6247-4A4C-902A-2C5B9ED275B5}"/>
            </c:ext>
          </c:extLst>
        </c:ser>
        <c:ser>
          <c:idx val="6"/>
          <c:order val="1"/>
          <c:tx>
            <c:strRef>
              <c:f>Equipment!$Z$61</c:f>
              <c:strCache>
                <c:ptCount val="1"/>
                <c:pt idx="0">
                  <c:v>PNNL-Saturday</c:v>
                </c:pt>
              </c:strCache>
            </c:strRef>
          </c:tx>
          <c:spPr>
            <a:ln w="28575" cap="rnd">
              <a:solidFill>
                <a:schemeClr val="accent1">
                  <a:lumMod val="60000"/>
                </a:schemeClr>
              </a:solidFill>
              <a:round/>
            </a:ln>
            <a:effectLst/>
          </c:spPr>
          <c:marker>
            <c:symbol val="none"/>
          </c:marker>
          <c:val>
            <c:numRef>
              <c:f>Equipment!$Z$62:$Z$85</c:f>
            </c:numRef>
          </c:val>
          <c:smooth val="0"/>
          <c:extLst>
            <c:ext xmlns:c16="http://schemas.microsoft.com/office/drawing/2014/chart" uri="{C3380CC4-5D6E-409C-BE32-E72D297353CC}">
              <c16:uniqueId val="{00000001-6247-4A4C-902A-2C5B9ED275B5}"/>
            </c:ext>
          </c:extLst>
        </c:ser>
        <c:ser>
          <c:idx val="7"/>
          <c:order val="2"/>
          <c:tx>
            <c:strRef>
              <c:f>Equipment!$AA$61</c:f>
              <c:strCache>
                <c:ptCount val="1"/>
                <c:pt idx="0">
                  <c:v>PNNL-Sunday</c:v>
                </c:pt>
              </c:strCache>
            </c:strRef>
          </c:tx>
          <c:spPr>
            <a:ln w="28575" cap="rnd">
              <a:solidFill>
                <a:schemeClr val="accent2">
                  <a:lumMod val="60000"/>
                </a:schemeClr>
              </a:solidFill>
              <a:round/>
            </a:ln>
            <a:effectLst/>
          </c:spPr>
          <c:marker>
            <c:symbol val="none"/>
          </c:marker>
          <c:val>
            <c:numRef>
              <c:f>Equipment!$AA$62:$AA$85</c:f>
            </c:numRef>
          </c:val>
          <c:smooth val="0"/>
          <c:extLst>
            <c:ext xmlns:c16="http://schemas.microsoft.com/office/drawing/2014/chart" uri="{C3380CC4-5D6E-409C-BE32-E72D297353CC}">
              <c16:uniqueId val="{00000002-6247-4A4C-902A-2C5B9ED275B5}"/>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layout>
        <c:manualLayout>
          <c:xMode val="edge"/>
          <c:yMode val="edge"/>
          <c:x val="0.11827820943808745"/>
          <c:y val="0.87772650689406195"/>
          <c:w val="0.77545728336610698"/>
          <c:h val="8.7338995289344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HVAC System Capacity </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Schedules!$E$76</c:f>
              <c:strCache>
                <c:ptCount val="1"/>
                <c:pt idx="0">
                  <c:v>Weekday</c:v>
                </c:pt>
              </c:strCache>
            </c:strRef>
          </c:tx>
          <c:spPr>
            <a:ln w="28575" cap="rnd">
              <a:solidFill>
                <a:schemeClr val="accent1"/>
              </a:solidFill>
              <a:round/>
            </a:ln>
            <a:effectLst/>
          </c:spPr>
          <c:marker>
            <c:symbol val="none"/>
          </c:marker>
          <c:val>
            <c:numRef>
              <c:f>Schedules!$F$76:$AC$76</c:f>
            </c:numRef>
          </c:val>
          <c:smooth val="0"/>
          <c:extLst>
            <c:ext xmlns:c16="http://schemas.microsoft.com/office/drawing/2014/chart" uri="{C3380CC4-5D6E-409C-BE32-E72D297353CC}">
              <c16:uniqueId val="{00000000-8C2E-4FDC-8DAB-7FCF7BC63644}"/>
            </c:ext>
          </c:extLst>
        </c:ser>
        <c:ser>
          <c:idx val="1"/>
          <c:order val="1"/>
          <c:tx>
            <c:strRef>
              <c:f>Schedules!$E$77</c:f>
              <c:strCache>
                <c:ptCount val="1"/>
                <c:pt idx="0">
                  <c:v>Saturday</c:v>
                </c:pt>
              </c:strCache>
            </c:strRef>
          </c:tx>
          <c:spPr>
            <a:ln w="28575" cap="rnd">
              <a:solidFill>
                <a:schemeClr val="accent2"/>
              </a:solidFill>
              <a:round/>
            </a:ln>
            <a:effectLst/>
          </c:spPr>
          <c:marker>
            <c:symbol val="none"/>
          </c:marker>
          <c:val>
            <c:numRef>
              <c:f>Schedules!$F$77:$AC$77</c:f>
            </c:numRef>
          </c:val>
          <c:smooth val="0"/>
          <c:extLst>
            <c:ext xmlns:c16="http://schemas.microsoft.com/office/drawing/2014/chart" uri="{C3380CC4-5D6E-409C-BE32-E72D297353CC}">
              <c16:uniqueId val="{00000001-8C2E-4FDC-8DAB-7FCF7BC63644}"/>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rPr>
              <a:t>HVAC System Operating- Closed Office Zones</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latin typeface="Arial" panose="020B0604020202020204" pitchFamily="34" charset="0"/>
                <a:cs typeface="Arial" panose="020B0604020202020204" pitchFamily="34" charset="0"/>
              </a:defRPr>
            </a:pPr>
            <a:endParaRPr lang="en-US" sz="1000" b="1" i="0" u="none" strike="noStrike" kern="1200" spc="0" baseline="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Schedules!$E$79</c:f>
              <c:strCache>
                <c:ptCount val="1"/>
                <c:pt idx="0">
                  <c:v>Weekday</c:v>
                </c:pt>
              </c:strCache>
            </c:strRef>
          </c:tx>
          <c:spPr>
            <a:ln w="28575" cap="rnd">
              <a:solidFill>
                <a:schemeClr val="accent1"/>
              </a:solidFill>
              <a:round/>
            </a:ln>
            <a:effectLst/>
          </c:spPr>
          <c:marker>
            <c:symbol val="none"/>
          </c:marker>
          <c:val>
            <c:numRef>
              <c:f>Schedules!$F$79:$AC$79</c:f>
            </c:numRef>
          </c:val>
          <c:smooth val="0"/>
          <c:extLst>
            <c:ext xmlns:c16="http://schemas.microsoft.com/office/drawing/2014/chart" uri="{C3380CC4-5D6E-409C-BE32-E72D297353CC}">
              <c16:uniqueId val="{00000000-08C4-4E32-A5AC-4CF15D51F2DA}"/>
            </c:ext>
          </c:extLst>
        </c:ser>
        <c:ser>
          <c:idx val="1"/>
          <c:order val="1"/>
          <c:tx>
            <c:strRef>
              <c:f>Schedules!$E$80</c:f>
              <c:strCache>
                <c:ptCount val="1"/>
                <c:pt idx="0">
                  <c:v>Saturday</c:v>
                </c:pt>
              </c:strCache>
            </c:strRef>
          </c:tx>
          <c:spPr>
            <a:ln w="28575" cap="rnd">
              <a:solidFill>
                <a:schemeClr val="accent2"/>
              </a:solidFill>
              <a:round/>
            </a:ln>
            <a:effectLst/>
          </c:spPr>
          <c:marker>
            <c:symbol val="none"/>
          </c:marker>
          <c:val>
            <c:numRef>
              <c:f>Schedules!$F$80:$AC$80</c:f>
            </c:numRef>
          </c:val>
          <c:smooth val="0"/>
          <c:extLst>
            <c:ext xmlns:c16="http://schemas.microsoft.com/office/drawing/2014/chart" uri="{C3380CC4-5D6E-409C-BE32-E72D297353CC}">
              <c16:uniqueId val="{00000001-08C4-4E32-A5AC-4CF15D51F2DA}"/>
            </c:ext>
          </c:extLst>
        </c:ser>
        <c:ser>
          <c:idx val="2"/>
          <c:order val="2"/>
          <c:tx>
            <c:strRef>
              <c:f>Schedules!$E$81</c:f>
              <c:strCache>
                <c:ptCount val="1"/>
                <c:pt idx="0">
                  <c:v>Otherday</c:v>
                </c:pt>
              </c:strCache>
            </c:strRef>
          </c:tx>
          <c:spPr>
            <a:ln w="28575" cap="rnd">
              <a:solidFill>
                <a:schemeClr val="accent3"/>
              </a:solidFill>
              <a:round/>
            </a:ln>
            <a:effectLst/>
          </c:spPr>
          <c:marker>
            <c:symbol val="none"/>
          </c:marker>
          <c:val>
            <c:numRef>
              <c:f>Schedules!$F$81:$AC$81</c:f>
            </c:numRef>
          </c:val>
          <c:smooth val="0"/>
          <c:extLst>
            <c:ext xmlns:c16="http://schemas.microsoft.com/office/drawing/2014/chart" uri="{C3380CC4-5D6E-409C-BE32-E72D297353CC}">
              <c16:uniqueId val="{00000002-08C4-4E32-A5AC-4CF15D51F2DA}"/>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rPr>
              <a:t>HVAC System Operating- Open Office Zones</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latin typeface="Arial" panose="020B0604020202020204" pitchFamily="34" charset="0"/>
                <a:cs typeface="Arial" panose="020B0604020202020204" pitchFamily="34" charset="0"/>
              </a:defRPr>
            </a:pPr>
            <a:endParaRPr lang="en-US" sz="1000" b="1" i="0" u="none" strike="noStrike" kern="1200" spc="0" baseline="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Schedules!$E$82</c:f>
              <c:strCache>
                <c:ptCount val="1"/>
                <c:pt idx="0">
                  <c:v>Weekday</c:v>
                </c:pt>
              </c:strCache>
            </c:strRef>
          </c:tx>
          <c:spPr>
            <a:ln w="28575" cap="rnd">
              <a:solidFill>
                <a:schemeClr val="accent1"/>
              </a:solidFill>
              <a:round/>
            </a:ln>
            <a:effectLst/>
          </c:spPr>
          <c:marker>
            <c:symbol val="none"/>
          </c:marker>
          <c:val>
            <c:numRef>
              <c:f>Schedules!$F$82:$AC$82</c:f>
            </c:numRef>
          </c:val>
          <c:smooth val="0"/>
          <c:extLst>
            <c:ext xmlns:c16="http://schemas.microsoft.com/office/drawing/2014/chart" uri="{C3380CC4-5D6E-409C-BE32-E72D297353CC}">
              <c16:uniqueId val="{00000000-690D-477B-BACF-FEC0B523E134}"/>
            </c:ext>
          </c:extLst>
        </c:ser>
        <c:ser>
          <c:idx val="1"/>
          <c:order val="1"/>
          <c:tx>
            <c:strRef>
              <c:f>Schedules!$E$83</c:f>
              <c:strCache>
                <c:ptCount val="1"/>
                <c:pt idx="0">
                  <c:v>Saturday</c:v>
                </c:pt>
              </c:strCache>
            </c:strRef>
          </c:tx>
          <c:spPr>
            <a:ln w="28575" cap="rnd">
              <a:solidFill>
                <a:schemeClr val="accent2"/>
              </a:solidFill>
              <a:round/>
            </a:ln>
            <a:effectLst/>
          </c:spPr>
          <c:marker>
            <c:symbol val="none"/>
          </c:marker>
          <c:val>
            <c:numRef>
              <c:f>Schedules!$F$83:$AC$83</c:f>
            </c:numRef>
          </c:val>
          <c:smooth val="0"/>
          <c:extLst>
            <c:ext xmlns:c16="http://schemas.microsoft.com/office/drawing/2014/chart" uri="{C3380CC4-5D6E-409C-BE32-E72D297353CC}">
              <c16:uniqueId val="{00000001-690D-477B-BACF-FEC0B523E134}"/>
            </c:ext>
          </c:extLst>
        </c:ser>
        <c:ser>
          <c:idx val="2"/>
          <c:order val="2"/>
          <c:tx>
            <c:strRef>
              <c:f>Schedules!$E$84</c:f>
              <c:strCache>
                <c:ptCount val="1"/>
                <c:pt idx="0">
                  <c:v>Otherday</c:v>
                </c:pt>
              </c:strCache>
            </c:strRef>
          </c:tx>
          <c:spPr>
            <a:ln w="28575" cap="rnd">
              <a:solidFill>
                <a:schemeClr val="accent3"/>
              </a:solidFill>
              <a:round/>
            </a:ln>
            <a:effectLst/>
          </c:spPr>
          <c:marker>
            <c:symbol val="none"/>
          </c:marker>
          <c:val>
            <c:numRef>
              <c:f>Schedules!$F$84:$AC$84</c:f>
            </c:numRef>
          </c:val>
          <c:smooth val="0"/>
          <c:extLst>
            <c:ext xmlns:c16="http://schemas.microsoft.com/office/drawing/2014/chart" uri="{C3380CC4-5D6E-409C-BE32-E72D297353CC}">
              <c16:uniqueId val="{00000002-690D-477B-BACF-FEC0B523E134}"/>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Schedules!$E$93</c:f>
              <c:strCache>
                <c:ptCount val="1"/>
                <c:pt idx="0">
                  <c:v>Weekday</c:v>
                </c:pt>
              </c:strCache>
            </c:strRef>
          </c:tx>
          <c:spPr>
            <a:ln w="28575" cap="rnd">
              <a:solidFill>
                <a:schemeClr val="accent1"/>
              </a:solidFill>
              <a:round/>
            </a:ln>
            <a:effectLst/>
          </c:spPr>
          <c:marker>
            <c:symbol val="none"/>
          </c:marker>
          <c:val>
            <c:numRef>
              <c:f>Schedules!$F$93:$AC$93</c:f>
            </c:numRef>
          </c:val>
          <c:smooth val="0"/>
          <c:extLst>
            <c:ext xmlns:c16="http://schemas.microsoft.com/office/drawing/2014/chart" uri="{C3380CC4-5D6E-409C-BE32-E72D297353CC}">
              <c16:uniqueId val="{00000000-3B57-4713-B0CD-EB5944F38800}"/>
            </c:ext>
          </c:extLst>
        </c:ser>
        <c:ser>
          <c:idx val="1"/>
          <c:order val="1"/>
          <c:tx>
            <c:strRef>
              <c:f>Schedules!$E$94</c:f>
              <c:strCache>
                <c:ptCount val="1"/>
                <c:pt idx="0">
                  <c:v>Saturday</c:v>
                </c:pt>
              </c:strCache>
            </c:strRef>
          </c:tx>
          <c:spPr>
            <a:ln w="28575" cap="rnd">
              <a:solidFill>
                <a:schemeClr val="accent2"/>
              </a:solidFill>
              <a:round/>
            </a:ln>
            <a:effectLst/>
          </c:spPr>
          <c:marker>
            <c:symbol val="none"/>
          </c:marker>
          <c:val>
            <c:numRef>
              <c:f>Schedules!$F$94:$AC$94</c:f>
            </c:numRef>
          </c:val>
          <c:smooth val="0"/>
          <c:extLst>
            <c:ext xmlns:c16="http://schemas.microsoft.com/office/drawing/2014/chart" uri="{C3380CC4-5D6E-409C-BE32-E72D297353CC}">
              <c16:uniqueId val="{00000001-3B57-4713-B0CD-EB5944F38800}"/>
            </c:ext>
          </c:extLst>
        </c:ser>
        <c:ser>
          <c:idx val="2"/>
          <c:order val="2"/>
          <c:tx>
            <c:strRef>
              <c:f>Schedules!$E$95</c:f>
              <c:strCache>
                <c:ptCount val="1"/>
                <c:pt idx="0">
                  <c:v>Sunday</c:v>
                </c:pt>
              </c:strCache>
            </c:strRef>
          </c:tx>
          <c:spPr>
            <a:ln w="28575" cap="rnd">
              <a:solidFill>
                <a:schemeClr val="accent3"/>
              </a:solidFill>
              <a:round/>
            </a:ln>
            <a:effectLst/>
          </c:spPr>
          <c:marker>
            <c:symbol val="none"/>
          </c:marker>
          <c:val>
            <c:numRef>
              <c:f>Schedules!$F$95:$AC$95</c:f>
            </c:numRef>
          </c:val>
          <c:smooth val="0"/>
          <c:extLst>
            <c:ext xmlns:c16="http://schemas.microsoft.com/office/drawing/2014/chart" uri="{C3380CC4-5D6E-409C-BE32-E72D297353CC}">
              <c16:uniqueId val="{00000002-3B57-4713-B0CD-EB5944F38800}"/>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47E4-46E3-B775-CD184D8213AD}"/>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0.05</c:v>
                </c:pt>
                <c:pt idx="1">
                  <c:v>0.05</c:v>
                </c:pt>
                <c:pt idx="2">
                  <c:v>0.05</c:v>
                </c:pt>
                <c:pt idx="3">
                  <c:v>0.05</c:v>
                </c:pt>
                <c:pt idx="4">
                  <c:v>0.05</c:v>
                </c:pt>
                <c:pt idx="5">
                  <c:v>0.08</c:v>
                </c:pt>
                <c:pt idx="6">
                  <c:v>7.0000000000000007E-2</c:v>
                </c:pt>
                <c:pt idx="7">
                  <c:v>0.11</c:v>
                </c:pt>
                <c:pt idx="8">
                  <c:v>0.15</c:v>
                </c:pt>
                <c:pt idx="9">
                  <c:v>0.21</c:v>
                </c:pt>
                <c:pt idx="10">
                  <c:v>0.19</c:v>
                </c:pt>
                <c:pt idx="11">
                  <c:v>0.23</c:v>
                </c:pt>
                <c:pt idx="12">
                  <c:v>0.2</c:v>
                </c:pt>
                <c:pt idx="13">
                  <c:v>0.19</c:v>
                </c:pt>
                <c:pt idx="14">
                  <c:v>0.15</c:v>
                </c:pt>
                <c:pt idx="15">
                  <c:v>0.12</c:v>
                </c:pt>
                <c:pt idx="16">
                  <c:v>0.14000000000000001</c:v>
                </c:pt>
                <c:pt idx="17">
                  <c:v>7.0000000000000007E-2</c:v>
                </c:pt>
                <c:pt idx="18">
                  <c:v>7.0000000000000007E-2</c:v>
                </c:pt>
                <c:pt idx="19">
                  <c:v>7.0000000000000007E-2</c:v>
                </c:pt>
                <c:pt idx="20">
                  <c:v>7.0000000000000007E-2</c:v>
                </c:pt>
                <c:pt idx="21">
                  <c:v>0.09</c:v>
                </c:pt>
                <c:pt idx="22">
                  <c:v>0.05</c:v>
                </c:pt>
                <c:pt idx="23">
                  <c:v>0.05</c:v>
                </c:pt>
              </c:numCache>
            </c:numRef>
          </c:val>
          <c:smooth val="0"/>
          <c:extLst>
            <c:ext xmlns:c16="http://schemas.microsoft.com/office/drawing/2014/chart" uri="{C3380CC4-5D6E-409C-BE32-E72D297353CC}">
              <c16:uniqueId val="{00000001-47E4-46E3-B775-CD184D8213AD}"/>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47E4-46E3-B775-CD184D8213A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529C-4146-8062-294852F0BCFB}"/>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29C-4146-8062-294852F0BCFB}"/>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29C-4146-8062-294852F0BCF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Medium Office CalBEM Prototype vs. National Average (CBECS 2018)</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a:noFill/>
            </a:ln>
            <a:effectLst/>
          </c:spPr>
          <c:invertIfNegative val="0"/>
          <c:val>
            <c:numRef>
              <c:f>'Energy Usage'!$K$3:$K$18</c:f>
              <c:numCache>
                <c:formatCode>General</c:formatCode>
                <c:ptCount val="16"/>
                <c:pt idx="0">
                  <c:v>44.849999999999994</c:v>
                </c:pt>
                <c:pt idx="1">
                  <c:v>49.125</c:v>
                </c:pt>
                <c:pt idx="2">
                  <c:v>46.650000000000006</c:v>
                </c:pt>
                <c:pt idx="3">
                  <c:v>50.775000000000006</c:v>
                </c:pt>
                <c:pt idx="4">
                  <c:v>44.775000000000006</c:v>
                </c:pt>
                <c:pt idx="5">
                  <c:v>51.75</c:v>
                </c:pt>
                <c:pt idx="6">
                  <c:v>48.675000000000004</c:v>
                </c:pt>
                <c:pt idx="7">
                  <c:v>49.425000000000004</c:v>
                </c:pt>
                <c:pt idx="8">
                  <c:v>49.425000000000004</c:v>
                </c:pt>
                <c:pt idx="9">
                  <c:v>49.800000000000004</c:v>
                </c:pt>
                <c:pt idx="10">
                  <c:v>51.449999999999996</c:v>
                </c:pt>
                <c:pt idx="11">
                  <c:v>50.849999999999994</c:v>
                </c:pt>
                <c:pt idx="12">
                  <c:v>51.224999999999994</c:v>
                </c:pt>
                <c:pt idx="13">
                  <c:v>51.75</c:v>
                </c:pt>
                <c:pt idx="14">
                  <c:v>50.775000000000006</c:v>
                </c:pt>
                <c:pt idx="15">
                  <c:v>52.949999999999996</c:v>
                </c:pt>
              </c:numCache>
            </c:numRef>
          </c:val>
          <c:extLst>
            <c:ext xmlns:c16="http://schemas.microsoft.com/office/drawing/2014/chart" uri="{C3380CC4-5D6E-409C-BE32-E72D297353CC}">
              <c16:uniqueId val="{00000000-6AC1-4F8B-ADDB-A95DD605E504}"/>
            </c:ext>
          </c:extLst>
        </c:ser>
        <c:ser>
          <c:idx val="2"/>
          <c:order val="1"/>
          <c:tx>
            <c:strRef>
              <c:f>'Energy Usage'!$L$2</c:f>
              <c:strCache>
                <c:ptCount val="1"/>
                <c:pt idx="0">
                  <c:v>National Average Acceptable Range</c:v>
                </c:pt>
              </c:strCache>
            </c:strRef>
          </c:tx>
          <c:spPr>
            <a:solidFill>
              <a:srgbClr val="CCCCFF"/>
            </a:solidFill>
            <a:ln>
              <a:solidFill>
                <a:srgbClr val="CCCCFF"/>
              </a:solidFill>
            </a:ln>
            <a:effectLst/>
          </c:spPr>
          <c:invertIfNegative val="0"/>
          <c:val>
            <c:numRef>
              <c:f>'Energy Usage'!$L$3:$L$18</c:f>
              <c:numCache>
                <c:formatCode>0.0</c:formatCode>
                <c:ptCount val="16"/>
                <c:pt idx="0">
                  <c:v>29.900000000000006</c:v>
                </c:pt>
                <c:pt idx="1">
                  <c:v>32.75</c:v>
                </c:pt>
                <c:pt idx="2">
                  <c:v>31.099999999999994</c:v>
                </c:pt>
                <c:pt idx="3">
                  <c:v>33.849999999999994</c:v>
                </c:pt>
                <c:pt idx="4">
                  <c:v>29.849999999999994</c:v>
                </c:pt>
                <c:pt idx="5">
                  <c:v>34.5</c:v>
                </c:pt>
                <c:pt idx="6">
                  <c:v>32.449999999999996</c:v>
                </c:pt>
                <c:pt idx="7">
                  <c:v>32.949999999999996</c:v>
                </c:pt>
                <c:pt idx="8">
                  <c:v>32.949999999999996</c:v>
                </c:pt>
                <c:pt idx="9">
                  <c:v>33.199999999999996</c:v>
                </c:pt>
                <c:pt idx="10">
                  <c:v>34.300000000000004</c:v>
                </c:pt>
                <c:pt idx="11">
                  <c:v>33.900000000000006</c:v>
                </c:pt>
                <c:pt idx="12">
                  <c:v>34.150000000000006</c:v>
                </c:pt>
                <c:pt idx="13">
                  <c:v>34.5</c:v>
                </c:pt>
                <c:pt idx="14">
                  <c:v>33.849999999999994</c:v>
                </c:pt>
                <c:pt idx="15">
                  <c:v>35.300000000000004</c:v>
                </c:pt>
              </c:numCache>
            </c:numRef>
          </c:val>
          <c:extLst>
            <c:ext xmlns:c16="http://schemas.microsoft.com/office/drawing/2014/chart" uri="{C3380CC4-5D6E-409C-BE32-E72D297353CC}">
              <c16:uniqueId val="{00000001-6AC1-4F8B-ADDB-A95DD605E504}"/>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pt idx="0">
                  <c:v>55.8</c:v>
                </c:pt>
                <c:pt idx="1">
                  <c:v>65.900000000000006</c:v>
                </c:pt>
                <c:pt idx="2">
                  <c:v>56.9</c:v>
                </c:pt>
                <c:pt idx="3">
                  <c:v>63.6</c:v>
                </c:pt>
                <c:pt idx="4">
                  <c:v>56.4</c:v>
                </c:pt>
                <c:pt idx="5">
                  <c:v>55.1</c:v>
                </c:pt>
                <c:pt idx="6">
                  <c:v>57.2</c:v>
                </c:pt>
                <c:pt idx="7">
                  <c:v>59.1</c:v>
                </c:pt>
                <c:pt idx="8">
                  <c:v>59.4</c:v>
                </c:pt>
                <c:pt idx="9">
                  <c:v>55.4</c:v>
                </c:pt>
                <c:pt idx="10">
                  <c:v>59.7</c:v>
                </c:pt>
                <c:pt idx="11">
                  <c:v>60.1</c:v>
                </c:pt>
                <c:pt idx="12">
                  <c:v>61.8</c:v>
                </c:pt>
                <c:pt idx="13">
                  <c:v>58.2</c:v>
                </c:pt>
                <c:pt idx="14">
                  <c:v>56</c:v>
                </c:pt>
                <c:pt idx="15">
                  <c:v>59.6</c:v>
                </c:pt>
              </c:numCache>
            </c:numRef>
          </c:yVal>
          <c:smooth val="0"/>
          <c:extLst>
            <c:ext xmlns:c16="http://schemas.microsoft.com/office/drawing/2014/chart" uri="{C3380CC4-5D6E-409C-BE32-E72D297353CC}">
              <c16:uniqueId val="{00000002-6AC1-4F8B-ADDB-A95DD605E504}"/>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pt idx="0">
                  <c:v>44.5</c:v>
                </c:pt>
                <c:pt idx="1">
                  <c:v>47.6</c:v>
                </c:pt>
                <c:pt idx="2">
                  <c:v>47</c:v>
                </c:pt>
                <c:pt idx="3">
                  <c:v>48.7</c:v>
                </c:pt>
                <c:pt idx="4">
                  <c:v>46.8</c:v>
                </c:pt>
                <c:pt idx="5">
                  <c:v>48.3</c:v>
                </c:pt>
                <c:pt idx="6">
                  <c:v>48.4</c:v>
                </c:pt>
                <c:pt idx="7">
                  <c:v>49.7</c:v>
                </c:pt>
                <c:pt idx="8">
                  <c:v>48.9</c:v>
                </c:pt>
                <c:pt idx="9">
                  <c:v>49.9</c:v>
                </c:pt>
                <c:pt idx="10">
                  <c:v>49.2</c:v>
                </c:pt>
                <c:pt idx="11">
                  <c:v>48.3</c:v>
                </c:pt>
                <c:pt idx="12">
                  <c:v>49.8</c:v>
                </c:pt>
                <c:pt idx="13">
                  <c:v>50</c:v>
                </c:pt>
                <c:pt idx="14">
                  <c:v>53.5</c:v>
                </c:pt>
                <c:pt idx="15">
                  <c:v>48.7</c:v>
                </c:pt>
              </c:numCache>
            </c:numRef>
          </c:yVal>
          <c:smooth val="0"/>
          <c:extLst>
            <c:ext xmlns:c16="http://schemas.microsoft.com/office/drawing/2014/chart" uri="{C3380CC4-5D6E-409C-BE32-E72D297353CC}">
              <c16:uniqueId val="{00000003-6AC1-4F8B-ADDB-A95DD605E504}"/>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95"/>
          <c:min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Medium Office CalBEM Prototype vs. CEUS</a:t>
            </a:r>
            <a:r>
              <a:rPr lang="en-US" baseline="0"/>
              <a:t> 2022</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a:noFill/>
            </a:ln>
            <a:effectLst/>
          </c:spPr>
          <c:invertIfNegative val="0"/>
          <c:val>
            <c:numRef>
              <c:f>'Energy Usage'!$U$3:$U$18</c:f>
              <c:numCache>
                <c:formatCode>0.00</c:formatCode>
                <c:ptCount val="16"/>
                <c:pt idx="0">
                  <c:v>55.555890000000005</c:v>
                </c:pt>
                <c:pt idx="1">
                  <c:v>54.864959999999996</c:v>
                </c:pt>
                <c:pt idx="2">
                  <c:v>48.953670000000002</c:v>
                </c:pt>
                <c:pt idx="3">
                  <c:v>49.030439999999999</c:v>
                </c:pt>
                <c:pt idx="4">
                  <c:v>45.857280000000003</c:v>
                </c:pt>
                <c:pt idx="5">
                  <c:v>40.381019999999999</c:v>
                </c:pt>
                <c:pt idx="6">
                  <c:v>61.82544</c:v>
                </c:pt>
                <c:pt idx="7">
                  <c:v>37.463760000000001</c:v>
                </c:pt>
                <c:pt idx="8">
                  <c:v>39.101520000000008</c:v>
                </c:pt>
                <c:pt idx="9">
                  <c:v>48.902489999999993</c:v>
                </c:pt>
                <c:pt idx="10">
                  <c:v>40.150710000000004</c:v>
                </c:pt>
                <c:pt idx="11">
                  <c:v>52.510680000000001</c:v>
                </c:pt>
                <c:pt idx="12">
                  <c:v>50.181989999999999</c:v>
                </c:pt>
                <c:pt idx="13">
                  <c:v>36.337800000000001</c:v>
                </c:pt>
                <c:pt idx="14">
                  <c:v>37.975560000000002</c:v>
                </c:pt>
                <c:pt idx="15">
                  <c:v>40.995179999999998</c:v>
                </c:pt>
              </c:numCache>
            </c:numRef>
          </c:val>
          <c:extLst>
            <c:ext xmlns:c16="http://schemas.microsoft.com/office/drawing/2014/chart" uri="{C3380CC4-5D6E-409C-BE32-E72D297353CC}">
              <c16:uniqueId val="{00000000-A2BE-447E-9D2B-CE745D5970A8}"/>
            </c:ext>
          </c:extLst>
        </c:ser>
        <c:ser>
          <c:idx val="2"/>
          <c:order val="1"/>
          <c:tx>
            <c:strRef>
              <c:f>'Energy Usage'!$V$2</c:f>
              <c:strCache>
                <c:ptCount val="1"/>
                <c:pt idx="0">
                  <c:v>CEUS 2022 Acceptable Range</c:v>
                </c:pt>
              </c:strCache>
            </c:strRef>
          </c:tx>
          <c:spPr>
            <a:solidFill>
              <a:schemeClr val="accent4">
                <a:lumMod val="40000"/>
                <a:lumOff val="60000"/>
              </a:schemeClr>
            </a:solidFill>
            <a:ln>
              <a:solidFill>
                <a:schemeClr val="accent4">
                  <a:lumMod val="40000"/>
                  <a:lumOff val="60000"/>
                </a:schemeClr>
              </a:solidFill>
            </a:ln>
            <a:effectLst/>
          </c:spPr>
          <c:invertIfNegative val="0"/>
          <c:val>
            <c:numRef>
              <c:f>'Energy Usage'!$V$3:$V$18</c:f>
              <c:numCache>
                <c:formatCode>0.00</c:formatCode>
                <c:ptCount val="16"/>
                <c:pt idx="0">
                  <c:v>37.037260000000003</c:v>
                </c:pt>
                <c:pt idx="1">
                  <c:v>36.576639999999998</c:v>
                </c:pt>
                <c:pt idx="2">
                  <c:v>32.635780000000011</c:v>
                </c:pt>
                <c:pt idx="3">
                  <c:v>32.686959999999999</c:v>
                </c:pt>
                <c:pt idx="4">
                  <c:v>30.571520000000007</c:v>
                </c:pt>
                <c:pt idx="5">
                  <c:v>26.920679999999997</c:v>
                </c:pt>
                <c:pt idx="6">
                  <c:v>41.21696</c:v>
                </c:pt>
                <c:pt idx="7">
                  <c:v>24.975840000000005</c:v>
                </c:pt>
                <c:pt idx="8">
                  <c:v>26.067679999999996</c:v>
                </c:pt>
                <c:pt idx="9">
                  <c:v>32.601659999999988</c:v>
                </c:pt>
                <c:pt idx="10">
                  <c:v>26.767139999999998</c:v>
                </c:pt>
                <c:pt idx="11">
                  <c:v>35.007119999999993</c:v>
                </c:pt>
                <c:pt idx="12">
                  <c:v>33.45465999999999</c:v>
                </c:pt>
                <c:pt idx="13">
                  <c:v>24.225200000000001</c:v>
                </c:pt>
                <c:pt idx="14">
                  <c:v>25.317039999999992</c:v>
                </c:pt>
                <c:pt idx="15">
                  <c:v>27.330120000000001</c:v>
                </c:pt>
              </c:numCache>
            </c:numRef>
          </c:val>
          <c:extLst>
            <c:ext xmlns:c16="http://schemas.microsoft.com/office/drawing/2014/chart" uri="{C3380CC4-5D6E-409C-BE32-E72D297353CC}">
              <c16:uniqueId val="{00000001-A2BE-447E-9D2B-CE745D5970A8}"/>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pt idx="0">
                  <c:v>55.8</c:v>
                </c:pt>
                <c:pt idx="1">
                  <c:v>65.900000000000006</c:v>
                </c:pt>
                <c:pt idx="2">
                  <c:v>56.9</c:v>
                </c:pt>
                <c:pt idx="3">
                  <c:v>63.6</c:v>
                </c:pt>
                <c:pt idx="4">
                  <c:v>56.4</c:v>
                </c:pt>
                <c:pt idx="5">
                  <c:v>55.1</c:v>
                </c:pt>
                <c:pt idx="6">
                  <c:v>57.2</c:v>
                </c:pt>
                <c:pt idx="7">
                  <c:v>59.1</c:v>
                </c:pt>
                <c:pt idx="8">
                  <c:v>59.4</c:v>
                </c:pt>
                <c:pt idx="9">
                  <c:v>55.4</c:v>
                </c:pt>
                <c:pt idx="10">
                  <c:v>59.7</c:v>
                </c:pt>
                <c:pt idx="11">
                  <c:v>60.1</c:v>
                </c:pt>
                <c:pt idx="12">
                  <c:v>61.8</c:v>
                </c:pt>
                <c:pt idx="13">
                  <c:v>58.2</c:v>
                </c:pt>
                <c:pt idx="14">
                  <c:v>56</c:v>
                </c:pt>
                <c:pt idx="15">
                  <c:v>59.6</c:v>
                </c:pt>
              </c:numCache>
            </c:numRef>
          </c:yVal>
          <c:smooth val="0"/>
          <c:extLst>
            <c:ext xmlns:c16="http://schemas.microsoft.com/office/drawing/2014/chart" uri="{C3380CC4-5D6E-409C-BE32-E72D297353CC}">
              <c16:uniqueId val="{00000002-A2BE-447E-9D2B-CE745D5970A8}"/>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pt idx="0">
                  <c:v>44.5</c:v>
                </c:pt>
                <c:pt idx="1">
                  <c:v>47.6</c:v>
                </c:pt>
                <c:pt idx="2">
                  <c:v>47</c:v>
                </c:pt>
                <c:pt idx="3">
                  <c:v>48.7</c:v>
                </c:pt>
                <c:pt idx="4">
                  <c:v>46.8</c:v>
                </c:pt>
                <c:pt idx="5">
                  <c:v>48.3</c:v>
                </c:pt>
                <c:pt idx="6">
                  <c:v>48.4</c:v>
                </c:pt>
                <c:pt idx="7">
                  <c:v>49.7</c:v>
                </c:pt>
                <c:pt idx="8">
                  <c:v>48.9</c:v>
                </c:pt>
                <c:pt idx="9">
                  <c:v>49.9</c:v>
                </c:pt>
                <c:pt idx="10">
                  <c:v>49.2</c:v>
                </c:pt>
                <c:pt idx="11">
                  <c:v>48.3</c:v>
                </c:pt>
                <c:pt idx="12">
                  <c:v>49.8</c:v>
                </c:pt>
                <c:pt idx="13">
                  <c:v>50</c:v>
                </c:pt>
                <c:pt idx="14">
                  <c:v>53.5</c:v>
                </c:pt>
                <c:pt idx="15">
                  <c:v>48.7</c:v>
                </c:pt>
              </c:numCache>
            </c:numRef>
          </c:yVal>
          <c:smooth val="0"/>
          <c:extLst>
            <c:ext xmlns:c16="http://schemas.microsoft.com/office/drawing/2014/chart" uri="{C3380CC4-5D6E-409C-BE32-E72D297353CC}">
              <c16:uniqueId val="{00000003-A2BE-447E-9D2B-CE745D5970A8}"/>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95"/>
          <c:min val="3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image" Target="../media/image11.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240030</xdr:colOff>
      <xdr:row>22</xdr:row>
      <xdr:rowOff>158115</xdr:rowOff>
    </xdr:from>
    <xdr:to>
      <xdr:col>1</xdr:col>
      <xdr:colOff>5541645</xdr:colOff>
      <xdr:row>32</xdr:row>
      <xdr:rowOff>98221</xdr:rowOff>
    </xdr:to>
    <xdr:pic>
      <xdr:nvPicPr>
        <xdr:cNvPr id="2" name="Picture 1">
          <a:extLst>
            <a:ext uri="{FF2B5EF4-FFF2-40B4-BE49-F238E27FC236}">
              <a16:creationId xmlns:a16="http://schemas.microsoft.com/office/drawing/2014/main" id="{961C273F-9653-4AEE-A88C-C1EA73B4DD5B}"/>
            </a:ext>
          </a:extLst>
        </xdr:cNvPr>
        <xdr:cNvPicPr>
          <a:picLocks noChangeAspect="1"/>
        </xdr:cNvPicPr>
      </xdr:nvPicPr>
      <xdr:blipFill>
        <a:blip xmlns:r="http://schemas.openxmlformats.org/officeDocument/2006/relationships" r:embed="rId1"/>
        <a:stretch>
          <a:fillRect/>
        </a:stretch>
      </xdr:blipFill>
      <xdr:spPr>
        <a:xfrm>
          <a:off x="1261110" y="3076575"/>
          <a:ext cx="5311140" cy="16279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236220</xdr:colOff>
      <xdr:row>6</xdr:row>
      <xdr:rowOff>26512</xdr:rowOff>
    </xdr:from>
    <xdr:to>
      <xdr:col>1</xdr:col>
      <xdr:colOff>3171424</xdr:colOff>
      <xdr:row>6</xdr:row>
      <xdr:rowOff>1141095</xdr:rowOff>
    </xdr:to>
    <xdr:pic>
      <xdr:nvPicPr>
        <xdr:cNvPr id="4" name="Picture 3">
          <a:extLst>
            <a:ext uri="{FF2B5EF4-FFF2-40B4-BE49-F238E27FC236}">
              <a16:creationId xmlns:a16="http://schemas.microsoft.com/office/drawing/2014/main" id="{FEE1F76D-6CCA-492E-4133-3F430E7A5BA4}"/>
            </a:ext>
          </a:extLst>
        </xdr:cNvPr>
        <xdr:cNvPicPr>
          <a:picLocks noChangeAspect="1"/>
        </xdr:cNvPicPr>
      </xdr:nvPicPr>
      <xdr:blipFill>
        <a:blip xmlns:r="http://schemas.openxmlformats.org/officeDocument/2006/relationships" r:embed="rId1"/>
        <a:stretch>
          <a:fillRect/>
        </a:stretch>
      </xdr:blipFill>
      <xdr:spPr>
        <a:xfrm>
          <a:off x="1903095" y="1464787"/>
          <a:ext cx="2935204" cy="11145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403410</xdr:colOff>
      <xdr:row>0</xdr:row>
      <xdr:rowOff>11205</xdr:rowOff>
    </xdr:from>
    <xdr:to>
      <xdr:col>16</xdr:col>
      <xdr:colOff>403410</xdr:colOff>
      <xdr:row>0</xdr:row>
      <xdr:rowOff>297949</xdr:rowOff>
    </xdr:to>
    <xdr:cxnSp macro="">
      <xdr:nvCxnSpPr>
        <xdr:cNvPr id="2" name="Straight Arrow Connector 1">
          <a:extLst>
            <a:ext uri="{FF2B5EF4-FFF2-40B4-BE49-F238E27FC236}">
              <a16:creationId xmlns:a16="http://schemas.microsoft.com/office/drawing/2014/main" id="{60A459D1-2777-43FB-A61E-EE23CA7D8C05}"/>
            </a:ext>
          </a:extLst>
        </xdr:cNvPr>
        <xdr:cNvCxnSpPr/>
      </xdr:nvCxnSpPr>
      <xdr:spPr>
        <a:xfrm flipV="1">
          <a:off x="15878734" y="1120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403410</xdr:colOff>
      <xdr:row>0</xdr:row>
      <xdr:rowOff>11205</xdr:rowOff>
    </xdr:from>
    <xdr:to>
      <xdr:col>16</xdr:col>
      <xdr:colOff>643604</xdr:colOff>
      <xdr:row>1</xdr:row>
      <xdr:rowOff>46610</xdr:rowOff>
    </xdr:to>
    <xdr:sp macro="" textlink="">
      <xdr:nvSpPr>
        <xdr:cNvPr id="3" name="TextBox 2">
          <a:extLst>
            <a:ext uri="{FF2B5EF4-FFF2-40B4-BE49-F238E27FC236}">
              <a16:creationId xmlns:a16="http://schemas.microsoft.com/office/drawing/2014/main" id="{30A05E02-DDE1-4D45-B818-4CDB86793432}"/>
            </a:ext>
          </a:extLst>
        </xdr:cNvPr>
        <xdr:cNvSpPr txBox="1"/>
      </xdr:nvSpPr>
      <xdr:spPr>
        <a:xfrm>
          <a:off x="15878734" y="112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12</xdr:col>
      <xdr:colOff>106231</xdr:colOff>
      <xdr:row>1</xdr:row>
      <xdr:rowOff>205628</xdr:rowOff>
    </xdr:from>
    <xdr:to>
      <xdr:col>18</xdr:col>
      <xdr:colOff>858241</xdr:colOff>
      <xdr:row>16</xdr:row>
      <xdr:rowOff>16030</xdr:rowOff>
    </xdr:to>
    <xdr:pic>
      <xdr:nvPicPr>
        <xdr:cNvPr id="7" name="Picture 6">
          <a:extLst>
            <a:ext uri="{FF2B5EF4-FFF2-40B4-BE49-F238E27FC236}">
              <a16:creationId xmlns:a16="http://schemas.microsoft.com/office/drawing/2014/main" id="{E8A038FB-FB50-ADDB-0A52-6AB859EFCD0B}"/>
            </a:ext>
          </a:extLst>
        </xdr:cNvPr>
        <xdr:cNvPicPr>
          <a:picLocks noChangeAspect="1"/>
        </xdr:cNvPicPr>
      </xdr:nvPicPr>
      <xdr:blipFill>
        <a:blip xmlns:r="http://schemas.openxmlformats.org/officeDocument/2006/relationships" r:embed="rId1"/>
        <a:stretch>
          <a:fillRect/>
        </a:stretch>
      </xdr:blipFill>
      <xdr:spPr>
        <a:xfrm>
          <a:off x="19346731" y="530599"/>
          <a:ext cx="5644946" cy="3784904"/>
        </a:xfrm>
        <a:prstGeom prst="rect">
          <a:avLst/>
        </a:prstGeom>
      </xdr:spPr>
    </xdr:pic>
    <xdr:clientData/>
  </xdr:twoCellAnchor>
  <xdr:twoCellAnchor editAs="oneCell">
    <xdr:from>
      <xdr:col>12</xdr:col>
      <xdr:colOff>11879</xdr:colOff>
      <xdr:row>18</xdr:row>
      <xdr:rowOff>152736</xdr:rowOff>
    </xdr:from>
    <xdr:to>
      <xdr:col>18</xdr:col>
      <xdr:colOff>570364</xdr:colOff>
      <xdr:row>34</xdr:row>
      <xdr:rowOff>60221</xdr:rowOff>
    </xdr:to>
    <xdr:pic>
      <xdr:nvPicPr>
        <xdr:cNvPr id="5" name="Picture 3">
          <a:extLst>
            <a:ext uri="{FF2B5EF4-FFF2-40B4-BE49-F238E27FC236}">
              <a16:creationId xmlns:a16="http://schemas.microsoft.com/office/drawing/2014/main" id="{97E0BAFF-D637-48DB-9AFA-D8BE9F916793}"/>
            </a:ext>
            <a:ext uri="{147F2762-F138-4A5C-976F-8EAC2B608ADB}">
              <a16:predDERef xmlns:a16="http://schemas.microsoft.com/office/drawing/2014/main" pred="{E8A038FB-FB50-ADDB-0A52-6AB859EFCD0B}"/>
            </a:ext>
          </a:extLst>
        </xdr:cNvPr>
        <xdr:cNvPicPr>
          <a:picLocks noChangeAspect="1"/>
        </xdr:cNvPicPr>
      </xdr:nvPicPr>
      <xdr:blipFill>
        <a:blip xmlns:r="http://schemas.openxmlformats.org/officeDocument/2006/relationships" r:embed="rId2"/>
        <a:stretch>
          <a:fillRect/>
        </a:stretch>
      </xdr:blipFill>
      <xdr:spPr>
        <a:xfrm>
          <a:off x="18718979" y="4800936"/>
          <a:ext cx="5465765" cy="34469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171899</xdr:colOff>
      <xdr:row>52</xdr:row>
      <xdr:rowOff>46728</xdr:rowOff>
    </xdr:from>
    <xdr:to>
      <xdr:col>3</xdr:col>
      <xdr:colOff>948723</xdr:colOff>
      <xdr:row>74</xdr:row>
      <xdr:rowOff>67235</xdr:rowOff>
    </xdr:to>
    <xdr:pic>
      <xdr:nvPicPr>
        <xdr:cNvPr id="2" name="Picture 1">
          <a:extLst>
            <a:ext uri="{FF2B5EF4-FFF2-40B4-BE49-F238E27FC236}">
              <a16:creationId xmlns:a16="http://schemas.microsoft.com/office/drawing/2014/main" id="{1F8FF892-59B9-BA49-F3D0-465EEE86C380}"/>
            </a:ext>
          </a:extLst>
        </xdr:cNvPr>
        <xdr:cNvPicPr>
          <a:picLocks noChangeAspect="1"/>
        </xdr:cNvPicPr>
      </xdr:nvPicPr>
      <xdr:blipFill>
        <a:blip xmlns:r="http://schemas.openxmlformats.org/officeDocument/2006/relationships" r:embed="rId1"/>
        <a:stretch>
          <a:fillRect/>
        </a:stretch>
      </xdr:blipFill>
      <xdr:spPr>
        <a:xfrm>
          <a:off x="171899" y="11622404"/>
          <a:ext cx="6211677" cy="3718449"/>
        </a:xfrm>
        <a:prstGeom prst="rect">
          <a:avLst/>
        </a:prstGeom>
      </xdr:spPr>
    </xdr:pic>
    <xdr:clientData/>
  </xdr:twoCellAnchor>
  <xdr:twoCellAnchor>
    <xdr:from>
      <xdr:col>12</xdr:col>
      <xdr:colOff>1046723</xdr:colOff>
      <xdr:row>53</xdr:row>
      <xdr:rowOff>26669</xdr:rowOff>
    </xdr:from>
    <xdr:to>
      <xdr:col>15</xdr:col>
      <xdr:colOff>180974</xdr:colOff>
      <xdr:row>72</xdr:row>
      <xdr:rowOff>144304</xdr:rowOff>
    </xdr:to>
    <xdr:pic>
      <xdr:nvPicPr>
        <xdr:cNvPr id="3" name="Picture 2">
          <a:extLst>
            <a:ext uri="{FF2B5EF4-FFF2-40B4-BE49-F238E27FC236}">
              <a16:creationId xmlns:a16="http://schemas.microsoft.com/office/drawing/2014/main" id="{81006B08-5EA3-E596-2650-4C9A84D1ADD4}"/>
            </a:ext>
          </a:extLst>
        </xdr:cNvPr>
        <xdr:cNvPicPr>
          <a:picLocks noChangeAspect="1"/>
        </xdr:cNvPicPr>
      </xdr:nvPicPr>
      <xdr:blipFill>
        <a:blip xmlns:r="http://schemas.openxmlformats.org/officeDocument/2006/relationships" r:embed="rId2"/>
        <a:stretch>
          <a:fillRect/>
        </a:stretch>
      </xdr:blipFill>
      <xdr:spPr>
        <a:xfrm>
          <a:off x="19734773" y="10637519"/>
          <a:ext cx="4487301" cy="3375185"/>
        </a:xfrm>
        <a:prstGeom prst="rect">
          <a:avLst/>
        </a:prstGeom>
      </xdr:spPr>
    </xdr:pic>
    <xdr:clientData/>
  </xdr:twoCellAnchor>
  <xdr:twoCellAnchor>
    <xdr:from>
      <xdr:col>8</xdr:col>
      <xdr:colOff>41564</xdr:colOff>
      <xdr:row>53</xdr:row>
      <xdr:rowOff>132567</xdr:rowOff>
    </xdr:from>
    <xdr:to>
      <xdr:col>12</xdr:col>
      <xdr:colOff>922694</xdr:colOff>
      <xdr:row>68</xdr:row>
      <xdr:rowOff>102361</xdr:rowOff>
    </xdr:to>
    <xdr:pic>
      <xdr:nvPicPr>
        <xdr:cNvPr id="4" name="Picture 3">
          <a:extLst>
            <a:ext uri="{FF2B5EF4-FFF2-40B4-BE49-F238E27FC236}">
              <a16:creationId xmlns:a16="http://schemas.microsoft.com/office/drawing/2014/main" id="{8F2DB80E-00AE-C43E-7CF6-CB21C09BF54B}"/>
            </a:ext>
          </a:extLst>
        </xdr:cNvPr>
        <xdr:cNvPicPr>
          <a:picLocks noChangeAspect="1"/>
        </xdr:cNvPicPr>
      </xdr:nvPicPr>
      <xdr:blipFill>
        <a:blip xmlns:r="http://schemas.openxmlformats.org/officeDocument/2006/relationships" r:embed="rId3"/>
        <a:stretch>
          <a:fillRect/>
        </a:stretch>
      </xdr:blipFill>
      <xdr:spPr>
        <a:xfrm>
          <a:off x="14396299" y="11876332"/>
          <a:ext cx="5438114" cy="2496832"/>
        </a:xfrm>
        <a:prstGeom prst="rect">
          <a:avLst/>
        </a:prstGeom>
      </xdr:spPr>
    </xdr:pic>
    <xdr:clientData/>
  </xdr:twoCellAnchor>
  <xdr:twoCellAnchor>
    <xdr:from>
      <xdr:col>3</xdr:col>
      <xdr:colOff>1815352</xdr:colOff>
      <xdr:row>54</xdr:row>
      <xdr:rowOff>74362</xdr:rowOff>
    </xdr:from>
    <xdr:to>
      <xdr:col>7</xdr:col>
      <xdr:colOff>473948</xdr:colOff>
      <xdr:row>70</xdr:row>
      <xdr:rowOff>112975</xdr:rowOff>
    </xdr:to>
    <xdr:pic>
      <xdr:nvPicPr>
        <xdr:cNvPr id="5" name="Picture 4">
          <a:extLst>
            <a:ext uri="{FF2B5EF4-FFF2-40B4-BE49-F238E27FC236}">
              <a16:creationId xmlns:a16="http://schemas.microsoft.com/office/drawing/2014/main" id="{176ADDC6-504C-B7F3-9DF1-5BEAD6DC94CC}"/>
            </a:ext>
          </a:extLst>
        </xdr:cNvPr>
        <xdr:cNvPicPr>
          <a:picLocks noChangeAspect="1"/>
        </xdr:cNvPicPr>
      </xdr:nvPicPr>
      <xdr:blipFill>
        <a:blip xmlns:r="http://schemas.openxmlformats.org/officeDocument/2006/relationships" r:embed="rId4"/>
        <a:stretch>
          <a:fillRect/>
        </a:stretch>
      </xdr:blipFill>
      <xdr:spPr>
        <a:xfrm>
          <a:off x="7250205" y="11986215"/>
          <a:ext cx="6383035" cy="27280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190198</xdr:colOff>
      <xdr:row>18</xdr:row>
      <xdr:rowOff>160020</xdr:rowOff>
    </xdr:from>
    <xdr:to>
      <xdr:col>7</xdr:col>
      <xdr:colOff>601980</xdr:colOff>
      <xdr:row>36</xdr:row>
      <xdr:rowOff>58937</xdr:rowOff>
    </xdr:to>
    <xdr:graphicFrame macro="">
      <xdr:nvGraphicFramePr>
        <xdr:cNvPr id="2" name="Chart 1">
          <a:extLst>
            <a:ext uri="{FF2B5EF4-FFF2-40B4-BE49-F238E27FC236}">
              <a16:creationId xmlns:a16="http://schemas.microsoft.com/office/drawing/2014/main" id="{B3C8FEC3-2291-4517-B36B-F26620647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19</xdr:row>
      <xdr:rowOff>68580</xdr:rowOff>
    </xdr:from>
    <xdr:to>
      <xdr:col>16</xdr:col>
      <xdr:colOff>419100</xdr:colOff>
      <xdr:row>36</xdr:row>
      <xdr:rowOff>74176</xdr:rowOff>
    </xdr:to>
    <xdr:graphicFrame macro="">
      <xdr:nvGraphicFramePr>
        <xdr:cNvPr id="3" name="Chart 2">
          <a:extLst>
            <a:ext uri="{FF2B5EF4-FFF2-40B4-BE49-F238E27FC236}">
              <a16:creationId xmlns:a16="http://schemas.microsoft.com/office/drawing/2014/main" id="{F3F72F33-B505-46A0-AA8A-8DB05F472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257175</xdr:colOff>
      <xdr:row>92</xdr:row>
      <xdr:rowOff>53340</xdr:rowOff>
    </xdr:from>
    <xdr:to>
      <xdr:col>1</xdr:col>
      <xdr:colOff>1411605</xdr:colOff>
      <xdr:row>97</xdr:row>
      <xdr:rowOff>94569</xdr:rowOff>
    </xdr:to>
    <xdr:pic>
      <xdr:nvPicPr>
        <xdr:cNvPr id="3" name="Picture 2">
          <a:extLst>
            <a:ext uri="{FF2B5EF4-FFF2-40B4-BE49-F238E27FC236}">
              <a16:creationId xmlns:a16="http://schemas.microsoft.com/office/drawing/2014/main" id="{143509D3-38C6-1A9C-7763-E9BD04677B16}"/>
            </a:ext>
          </a:extLst>
        </xdr:cNvPr>
        <xdr:cNvPicPr>
          <a:picLocks noChangeAspect="1"/>
        </xdr:cNvPicPr>
      </xdr:nvPicPr>
      <xdr:blipFill>
        <a:blip xmlns:r="http://schemas.openxmlformats.org/officeDocument/2006/relationships" r:embed="rId1"/>
        <a:stretch>
          <a:fillRect/>
        </a:stretch>
      </xdr:blipFill>
      <xdr:spPr>
        <a:xfrm>
          <a:off x="257175" y="17674590"/>
          <a:ext cx="2887980" cy="89847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1554178</xdr:colOff>
      <xdr:row>49</xdr:row>
      <xdr:rowOff>26895</xdr:rowOff>
    </xdr:from>
    <xdr:to>
      <xdr:col>6</xdr:col>
      <xdr:colOff>1721222</xdr:colOff>
      <xdr:row>63</xdr:row>
      <xdr:rowOff>43697</xdr:rowOff>
    </xdr:to>
    <xdr:graphicFrame macro="">
      <xdr:nvGraphicFramePr>
        <xdr:cNvPr id="7" name="Chart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66</xdr:row>
      <xdr:rowOff>129540</xdr:rowOff>
    </xdr:from>
    <xdr:to>
      <xdr:col>2</xdr:col>
      <xdr:colOff>335487</xdr:colOff>
      <xdr:row>85</xdr:row>
      <xdr:rowOff>45719</xdr:rowOff>
    </xdr:to>
    <xdr:pic>
      <xdr:nvPicPr>
        <xdr:cNvPr id="2" name="Picture 1">
          <a:extLst>
            <a:ext uri="{FF2B5EF4-FFF2-40B4-BE49-F238E27FC236}">
              <a16:creationId xmlns:a16="http://schemas.microsoft.com/office/drawing/2014/main" id="{9D12E050-BAF0-456F-B44E-5C3E4C04FA35}"/>
            </a:ext>
          </a:extLst>
        </xdr:cNvPr>
        <xdr:cNvPicPr>
          <a:picLocks noChangeAspect="1"/>
        </xdr:cNvPicPr>
      </xdr:nvPicPr>
      <xdr:blipFill>
        <a:blip xmlns:r="http://schemas.openxmlformats.org/officeDocument/2006/relationships" r:embed="rId1"/>
        <a:stretch>
          <a:fillRect/>
        </a:stretch>
      </xdr:blipFill>
      <xdr:spPr>
        <a:xfrm>
          <a:off x="1" y="7147560"/>
          <a:ext cx="5265626" cy="310133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138883</xdr:colOff>
      <xdr:row>46</xdr:row>
      <xdr:rowOff>47625</xdr:rowOff>
    </xdr:from>
    <xdr:to>
      <xdr:col>4</xdr:col>
      <xdr:colOff>1152525</xdr:colOff>
      <xdr:row>58</xdr:row>
      <xdr:rowOff>66674</xdr:rowOff>
    </xdr:to>
    <xdr:graphicFrame macro="">
      <xdr:nvGraphicFramePr>
        <xdr:cNvPr id="33" name="Chart 5">
          <a:extLst>
            <a:ext uri="{FF2B5EF4-FFF2-40B4-BE49-F238E27FC236}">
              <a16:creationId xmlns:a16="http://schemas.microsoft.com/office/drawing/2014/main" id="{CEFE1435-937F-461A-B4D1-F4FB67BE1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753035</xdr:colOff>
      <xdr:row>46</xdr:row>
      <xdr:rowOff>26895</xdr:rowOff>
    </xdr:from>
    <xdr:to>
      <xdr:col>8</xdr:col>
      <xdr:colOff>573740</xdr:colOff>
      <xdr:row>58</xdr:row>
      <xdr:rowOff>75639</xdr:rowOff>
    </xdr:to>
    <xdr:graphicFrame macro="">
      <xdr:nvGraphicFramePr>
        <xdr:cNvPr id="29" name="Chart 6">
          <a:extLst>
            <a:ext uri="{FF2B5EF4-FFF2-40B4-BE49-F238E27FC236}">
              <a16:creationId xmlns:a16="http://schemas.microsoft.com/office/drawing/2014/main" id="{18D3FECB-99F3-4E11-B893-46EC0117A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914398</xdr:colOff>
      <xdr:row>45</xdr:row>
      <xdr:rowOff>226918</xdr:rowOff>
    </xdr:from>
    <xdr:to>
      <xdr:col>14</xdr:col>
      <xdr:colOff>277905</xdr:colOff>
      <xdr:row>57</xdr:row>
      <xdr:rowOff>245967</xdr:rowOff>
    </xdr:to>
    <xdr:graphicFrame macro="">
      <xdr:nvGraphicFramePr>
        <xdr:cNvPr id="2" name="Chart 5">
          <a:extLst>
            <a:ext uri="{FF2B5EF4-FFF2-40B4-BE49-F238E27FC236}">
              <a16:creationId xmlns:a16="http://schemas.microsoft.com/office/drawing/2014/main" id="{0E4AEE75-C7C6-4755-81E2-245ECC1A8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1062610</xdr:colOff>
      <xdr:row>45</xdr:row>
      <xdr:rowOff>224117</xdr:rowOff>
    </xdr:from>
    <xdr:to>
      <xdr:col>18</xdr:col>
      <xdr:colOff>130055</xdr:colOff>
      <xdr:row>58</xdr:row>
      <xdr:rowOff>3920</xdr:rowOff>
    </xdr:to>
    <xdr:graphicFrame macro="">
      <xdr:nvGraphicFramePr>
        <xdr:cNvPr id="3" name="Chart 6">
          <a:extLst>
            <a:ext uri="{FF2B5EF4-FFF2-40B4-BE49-F238E27FC236}">
              <a16:creationId xmlns:a16="http://schemas.microsoft.com/office/drawing/2014/main" id="{B7F4F1D4-C6A9-468C-91BD-D7A896B41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403412</xdr:colOff>
      <xdr:row>45</xdr:row>
      <xdr:rowOff>235883</xdr:rowOff>
    </xdr:from>
    <xdr:to>
      <xdr:col>23</xdr:col>
      <xdr:colOff>394447</xdr:colOff>
      <xdr:row>57</xdr:row>
      <xdr:rowOff>254932</xdr:rowOff>
    </xdr:to>
    <xdr:graphicFrame macro="">
      <xdr:nvGraphicFramePr>
        <xdr:cNvPr id="4" name="Chart 5">
          <a:extLst>
            <a:ext uri="{FF2B5EF4-FFF2-40B4-BE49-F238E27FC236}">
              <a16:creationId xmlns:a16="http://schemas.microsoft.com/office/drawing/2014/main" id="{9B4E551D-5074-40D6-9EB5-CC6C4461A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856424</xdr:colOff>
      <xdr:row>45</xdr:row>
      <xdr:rowOff>170329</xdr:rowOff>
    </xdr:from>
    <xdr:to>
      <xdr:col>27</xdr:col>
      <xdr:colOff>461752</xdr:colOff>
      <xdr:row>57</xdr:row>
      <xdr:rowOff>219073</xdr:rowOff>
    </xdr:to>
    <xdr:graphicFrame macro="">
      <xdr:nvGraphicFramePr>
        <xdr:cNvPr id="5" name="Chart 6">
          <a:extLst>
            <a:ext uri="{FF2B5EF4-FFF2-40B4-BE49-F238E27FC236}">
              <a16:creationId xmlns:a16="http://schemas.microsoft.com/office/drawing/2014/main" id="{BBF752F7-B587-411E-B2E9-434B64F40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367554</xdr:colOff>
      <xdr:row>33</xdr:row>
      <xdr:rowOff>21644</xdr:rowOff>
    </xdr:from>
    <xdr:to>
      <xdr:col>14</xdr:col>
      <xdr:colOff>56644</xdr:colOff>
      <xdr:row>42</xdr:row>
      <xdr:rowOff>130139</xdr:rowOff>
    </xdr:to>
    <xdr:pic>
      <xdr:nvPicPr>
        <xdr:cNvPr id="6" name="Picture 5">
          <a:extLst>
            <a:ext uri="{FF2B5EF4-FFF2-40B4-BE49-F238E27FC236}">
              <a16:creationId xmlns:a16="http://schemas.microsoft.com/office/drawing/2014/main" id="{A1BF8F7D-290E-4660-EE8C-FA015E7AB5CB}"/>
            </a:ext>
          </a:extLst>
        </xdr:cNvPr>
        <xdr:cNvPicPr>
          <a:picLocks noChangeAspect="1"/>
        </xdr:cNvPicPr>
      </xdr:nvPicPr>
      <xdr:blipFill>
        <a:blip xmlns:r="http://schemas.openxmlformats.org/officeDocument/2006/relationships" r:embed="rId7"/>
        <a:stretch>
          <a:fillRect/>
        </a:stretch>
      </xdr:blipFill>
      <xdr:spPr>
        <a:xfrm>
          <a:off x="12272683" y="8134703"/>
          <a:ext cx="4736220" cy="28696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289560</xdr:colOff>
      <xdr:row>1</xdr:row>
      <xdr:rowOff>251791</xdr:rowOff>
    </xdr:from>
    <xdr:to>
      <xdr:col>36</xdr:col>
      <xdr:colOff>0</xdr:colOff>
      <xdr:row>5</xdr:row>
      <xdr:rowOff>364434</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6</xdr:row>
      <xdr:rowOff>0</xdr:rowOff>
    </xdr:from>
    <xdr:to>
      <xdr:col>36</xdr:col>
      <xdr:colOff>0</xdr:colOff>
      <xdr:row>8</xdr:row>
      <xdr:rowOff>391886</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326572</xdr:colOff>
      <xdr:row>74</xdr:row>
      <xdr:rowOff>54429</xdr:rowOff>
    </xdr:from>
    <xdr:to>
      <xdr:col>36</xdr:col>
      <xdr:colOff>37012</xdr:colOff>
      <xdr:row>77</xdr:row>
      <xdr:rowOff>119744</xdr:rowOff>
    </xdr:to>
    <xdr:graphicFrame macro="">
      <xdr:nvGraphicFramePr>
        <xdr:cNvPr id="20" name="Chart 5">
          <a:extLst>
            <a:ext uri="{FF2B5EF4-FFF2-40B4-BE49-F238E27FC236}">
              <a16:creationId xmlns:a16="http://schemas.microsoft.com/office/drawing/2014/main" id="{A67B757E-11F2-4D63-8049-87A030D08F4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77</xdr:row>
      <xdr:rowOff>337457</xdr:rowOff>
    </xdr:from>
    <xdr:to>
      <xdr:col>36</xdr:col>
      <xdr:colOff>0</xdr:colOff>
      <xdr:row>81</xdr:row>
      <xdr:rowOff>0</xdr:rowOff>
    </xdr:to>
    <xdr:graphicFrame macro="">
      <xdr:nvGraphicFramePr>
        <xdr:cNvPr id="21" name="Chart 5">
          <a:extLst>
            <a:ext uri="{FF2B5EF4-FFF2-40B4-BE49-F238E27FC236}">
              <a16:creationId xmlns:a16="http://schemas.microsoft.com/office/drawing/2014/main" id="{2E6CA2C7-E4AB-4DC1-A50A-FEBB0B9CA81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289560</xdr:colOff>
      <xdr:row>81</xdr:row>
      <xdr:rowOff>130628</xdr:rowOff>
    </xdr:from>
    <xdr:to>
      <xdr:col>36</xdr:col>
      <xdr:colOff>0</xdr:colOff>
      <xdr:row>86</xdr:row>
      <xdr:rowOff>0</xdr:rowOff>
    </xdr:to>
    <xdr:graphicFrame macro="">
      <xdr:nvGraphicFramePr>
        <xdr:cNvPr id="24" name="Chart 5">
          <a:extLst>
            <a:ext uri="{FF2B5EF4-FFF2-40B4-BE49-F238E27FC236}">
              <a16:creationId xmlns:a16="http://schemas.microsoft.com/office/drawing/2014/main" id="{43375B62-1004-4C9E-9CB5-ED0EF57BA9C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291465</xdr:colOff>
      <xdr:row>91</xdr:row>
      <xdr:rowOff>97267</xdr:rowOff>
    </xdr:from>
    <xdr:to>
      <xdr:col>36</xdr:col>
      <xdr:colOff>0</xdr:colOff>
      <xdr:row>95</xdr:row>
      <xdr:rowOff>0</xdr:rowOff>
    </xdr:to>
    <xdr:graphicFrame macro="">
      <xdr:nvGraphicFramePr>
        <xdr:cNvPr id="3" name="Chart 5">
          <a:extLst>
            <a:ext uri="{FF2B5EF4-FFF2-40B4-BE49-F238E27FC236}">
              <a16:creationId xmlns:a16="http://schemas.microsoft.com/office/drawing/2014/main" id="{5A999577-F135-454E-AC54-3B86805F4DD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344805</xdr:colOff>
      <xdr:row>15</xdr:row>
      <xdr:rowOff>15512</xdr:rowOff>
    </xdr:from>
    <xdr:to>
      <xdr:col>36</xdr:col>
      <xdr:colOff>53340</xdr:colOff>
      <xdr:row>18</xdr:row>
      <xdr:rowOff>15512</xdr:rowOff>
    </xdr:to>
    <xdr:graphicFrame macro="">
      <xdr:nvGraphicFramePr>
        <xdr:cNvPr id="2" name="Chart 5">
          <a:extLst>
            <a:ext uri="{FF2B5EF4-FFF2-40B4-BE49-F238E27FC236}">
              <a16:creationId xmlns:a16="http://schemas.microsoft.com/office/drawing/2014/main" id="{4708330D-E2C0-4948-AD71-35FA1B8A22E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322762</xdr:colOff>
      <xdr:row>12</xdr:row>
      <xdr:rowOff>58239</xdr:rowOff>
    </xdr:from>
    <xdr:to>
      <xdr:col>36</xdr:col>
      <xdr:colOff>36707</xdr:colOff>
      <xdr:row>14</xdr:row>
      <xdr:rowOff>435428</xdr:rowOff>
    </xdr:to>
    <xdr:graphicFrame macro="">
      <xdr:nvGraphicFramePr>
        <xdr:cNvPr id="4" name="Chart 5">
          <a:extLst>
            <a:ext uri="{FF2B5EF4-FFF2-40B4-BE49-F238E27FC236}">
              <a16:creationId xmlns:a16="http://schemas.microsoft.com/office/drawing/2014/main" id="{169143B4-2DDC-47E1-87AD-A4306DF2D1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25</xdr:col>
      <xdr:colOff>107575</xdr:colOff>
      <xdr:row>0</xdr:row>
      <xdr:rowOff>358588</xdr:rowOff>
    </xdr:from>
    <xdr:to>
      <xdr:col>42</xdr:col>
      <xdr:colOff>16361</xdr:colOff>
      <xdr:row>21</xdr:row>
      <xdr:rowOff>116541</xdr:rowOff>
    </xdr:to>
    <xdr:graphicFrame macro="">
      <xdr:nvGraphicFramePr>
        <xdr:cNvPr id="3" name="Chart 2">
          <a:extLst>
            <a:ext uri="{FF2B5EF4-FFF2-40B4-BE49-F238E27FC236}">
              <a16:creationId xmlns:a16="http://schemas.microsoft.com/office/drawing/2014/main" id="{247CD8B0-C82E-4B09-92C2-AA88AE2A19D7}"/>
            </a:ext>
            <a:ext uri="{147F2762-F138-4A5C-976F-8EAC2B608ADB}">
              <a16:predDERef xmlns:a16="http://schemas.microsoft.com/office/drawing/2014/main" pred="{2F3ACB96-77C7-D68E-E7C0-FF8C3BC74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104775</xdr:colOff>
      <xdr:row>23</xdr:row>
      <xdr:rowOff>19050</xdr:rowOff>
    </xdr:from>
    <xdr:to>
      <xdr:col>42</xdr:col>
      <xdr:colOff>13561</xdr:colOff>
      <xdr:row>98</xdr:row>
      <xdr:rowOff>110378</xdr:rowOff>
    </xdr:to>
    <xdr:graphicFrame macro="">
      <xdr:nvGraphicFramePr>
        <xdr:cNvPr id="4" name="Chart 3">
          <a:extLst>
            <a:ext uri="{FF2B5EF4-FFF2-40B4-BE49-F238E27FC236}">
              <a16:creationId xmlns:a16="http://schemas.microsoft.com/office/drawing/2014/main" id="{90B2AB98-2AD8-44A6-93B4-26FFBC9A772A}"/>
            </a:ext>
            <a:ext uri="{147F2762-F138-4A5C-976F-8EAC2B608ADB}">
              <a16:predDERef xmlns:a16="http://schemas.microsoft.com/office/drawing/2014/main" pred="{247CD8B0-C82E-4B09-92C2-AA88AE2A1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361117</xdr:colOff>
      <xdr:row>23</xdr:row>
      <xdr:rowOff>64379</xdr:rowOff>
    </xdr:from>
    <xdr:to>
      <xdr:col>9</xdr:col>
      <xdr:colOff>276225</xdr:colOff>
      <xdr:row>33</xdr:row>
      <xdr:rowOff>38100</xdr:rowOff>
    </xdr:to>
    <xdr:pic>
      <xdr:nvPicPr>
        <xdr:cNvPr id="2" name="Picture 1">
          <a:extLst>
            <a:ext uri="{FF2B5EF4-FFF2-40B4-BE49-F238E27FC236}">
              <a16:creationId xmlns:a16="http://schemas.microsoft.com/office/drawing/2014/main" id="{15DE42FE-DB82-CA33-93C9-98E617BB08AC}"/>
            </a:ext>
          </a:extLst>
        </xdr:cNvPr>
        <xdr:cNvPicPr>
          <a:picLocks noChangeAspect="1"/>
        </xdr:cNvPicPr>
      </xdr:nvPicPr>
      <xdr:blipFill>
        <a:blip xmlns:r="http://schemas.openxmlformats.org/officeDocument/2006/relationships" r:embed="rId1"/>
        <a:stretch>
          <a:fillRect/>
        </a:stretch>
      </xdr:blipFill>
      <xdr:spPr>
        <a:xfrm>
          <a:off x="361117" y="4245854"/>
          <a:ext cx="5401508" cy="1783471"/>
        </a:xfrm>
        <a:prstGeom prst="rect">
          <a:avLst/>
        </a:prstGeom>
      </xdr:spPr>
    </xdr:pic>
    <xdr:clientData/>
  </xdr:twoCellAnchor>
  <xdr:twoCellAnchor editAs="oneCell">
    <xdr:from>
      <xdr:col>0</xdr:col>
      <xdr:colOff>114300</xdr:colOff>
      <xdr:row>14</xdr:row>
      <xdr:rowOff>113328</xdr:rowOff>
    </xdr:from>
    <xdr:to>
      <xdr:col>10</xdr:col>
      <xdr:colOff>220980</xdr:colOff>
      <xdr:row>23</xdr:row>
      <xdr:rowOff>0</xdr:rowOff>
    </xdr:to>
    <xdr:pic>
      <xdr:nvPicPr>
        <xdr:cNvPr id="3" name="Picture 2">
          <a:extLst>
            <a:ext uri="{FF2B5EF4-FFF2-40B4-BE49-F238E27FC236}">
              <a16:creationId xmlns:a16="http://schemas.microsoft.com/office/drawing/2014/main" id="{C7999785-E4AD-A320-5B89-5FC85AE47E44}"/>
            </a:ext>
          </a:extLst>
        </xdr:cNvPr>
        <xdr:cNvPicPr>
          <a:picLocks noChangeAspect="1"/>
        </xdr:cNvPicPr>
      </xdr:nvPicPr>
      <xdr:blipFill>
        <a:blip xmlns:r="http://schemas.openxmlformats.org/officeDocument/2006/relationships" r:embed="rId2"/>
        <a:stretch>
          <a:fillRect/>
        </a:stretch>
      </xdr:blipFill>
      <xdr:spPr>
        <a:xfrm>
          <a:off x="114300" y="2688888"/>
          <a:ext cx="6202680" cy="153259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title24stakeholders.com/wp-content/uploads/2020/10/2022-T24-Final-CASE-Report_Reduce-Infiltration.pdf" TargetMode="External"/><Relationship Id="rId13" Type="http://schemas.openxmlformats.org/officeDocument/2006/relationships/hyperlink" Target="https://efiling.energy.ca.gov/GetDocument.aspx?tn=265693&amp;DocumentContentId=102545" TargetMode="External"/><Relationship Id="rId3" Type="http://schemas.openxmlformats.org/officeDocument/2006/relationships/hyperlink" Target="https://github.com/sound-data/DEER-Prototypes-EnergyPlus" TargetMode="External"/><Relationship Id="rId7" Type="http://schemas.openxmlformats.org/officeDocument/2006/relationships/hyperlink" Target="https://www.energy.ca.gov/publications/2023/2022-california-commercial-end-use-survey-ceus-final-report" TargetMode="External"/><Relationship Id="rId12"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2" Type="http://schemas.openxmlformats.org/officeDocument/2006/relationships/hyperlink" Target="https://www.energycodes.gov/prototype-building-models" TargetMode="External"/><Relationship Id="rId1" Type="http://schemas.openxmlformats.org/officeDocument/2006/relationships/hyperlink" Target="https://bees.noresco.com/software2022.html" TargetMode="External"/><Relationship Id="rId6" Type="http://schemas.openxmlformats.org/officeDocument/2006/relationships/hyperlink" Target="https://www.eia.gov/consumption/commercial/data/2018/index.php?view=microdata" TargetMode="External"/><Relationship Id="rId11" Type="http://schemas.openxmlformats.org/officeDocument/2006/relationships/hyperlink" Target="https://www.pnnl.gov/main/publications/external/technical_reports/PNNL-20405.pdf" TargetMode="External"/><Relationship Id="rId5"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15" Type="http://schemas.openxmlformats.org/officeDocument/2006/relationships/drawing" Target="../drawings/drawing1.xml"/><Relationship Id="rId10" Type="http://schemas.openxmlformats.org/officeDocument/2006/relationships/hyperlink" Target="https://www.energy.ca.gov/publications/2022/2022-nonresidential-and-multifamily-alternative-calculation-method-reference" TargetMode="External"/><Relationship Id="rId4" Type="http://schemas.openxmlformats.org/officeDocument/2006/relationships/hyperlink" Target="https://web.eecs.utk.edu/~jnew1/publications/2019_IBPSA_OpenStudioOffice.pdf" TargetMode="External"/><Relationship Id="rId9" Type="http://schemas.openxmlformats.org/officeDocument/2006/relationships/hyperlink" Target="https://title24stakeholders.com/wp-content/uploads/2016/10/T24-2019-CASE-Study-Results-Report-Outdoor-Sources_Final_with-Attachments.pdf" TargetMode="External"/><Relationship Id="rId14" Type="http://schemas.openxmlformats.org/officeDocument/2006/relationships/hyperlink" Target="https://www.govinfo.gov/content/pkg/CFR-2024-title10-vol3/pdf/CFR-2024-title10-vol3-part431-subpartF.pdf"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eb.eecs.utk.edu/~jnew1/presentations/2019_IBPSA_OpenStudioOffice.pdf" TargetMode="External"/><Relationship Id="rId1" Type="http://schemas.openxmlformats.org/officeDocument/2006/relationships/hyperlink" Target="https://web.eecs.utk.edu/~jnew1/publications/2019_IBPSA_OpenStudioOffice.pdf"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ecfr.gov/current/title-10/chapter-II/subchapter-D/part-431/subpart-F/subject-group-ECFR4287065a76436ba/section-431.97" TargetMode="External"/><Relationship Id="rId2" Type="http://schemas.openxmlformats.org/officeDocument/2006/relationships/hyperlink" Target="https://www.govinfo.gov/content/pkg/CFR-2024-title10-vol3/pdf/CFR-2024-title10-vol3-part431-subpartF.pdf" TargetMode="External"/><Relationship Id="rId1" Type="http://schemas.openxmlformats.org/officeDocument/2006/relationships/hyperlink" Target="https://codes.iccsafe.org/content/CAEC2010/subchapter-2-all-occupancies-mandatory-requirements-for-the-manufacture-construction-and-installation-of-systems-equipment-and-building-components" TargetMode="External"/><Relationship Id="rId6" Type="http://schemas.openxmlformats.org/officeDocument/2006/relationships/drawing" Target="../drawings/drawing4.xml"/><Relationship Id="rId5" Type="http://schemas.openxmlformats.org/officeDocument/2006/relationships/printerSettings" Target="../printerSettings/printerSettings3.bin"/><Relationship Id="rId4" Type="http://schemas.openxmlformats.org/officeDocument/2006/relationships/hyperlink" Target="https://www.pnnl.gov/main/publications/external/technical_reports/PNNL-20405.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hyperlink" Target="https://carcglgov-my.sharepoint.com/Groups/CodesStds/Standards/California/2016-CEC-400-2015-037-CMF.pdf" TargetMode="External"/><Relationship Id="rId2" Type="http://schemas.openxmlformats.org/officeDocument/2006/relationships/hyperlink" Target="https://carcglgov-my.sharepoint.com/Groups/CodesStds/Standards/California/2016-CEC-400-2015-037-CMF.pdf" TargetMode="External"/><Relationship Id="rId1" Type="http://schemas.openxmlformats.org/officeDocument/2006/relationships/hyperlink" Target="https://carcglgov-my.sharepoint.com/Groups/CodesStds/Standards/California/2022%20Building%20Energy%20Efficiency%20Standards%20for%20Residential%20and%20Nonresidential%20Buildings.pdf" TargetMode="External"/><Relationship Id="rId5" Type="http://schemas.openxmlformats.org/officeDocument/2006/relationships/drawing" Target="../drawings/drawing7.xml"/><Relationship Id="rId4" Type="http://schemas.openxmlformats.org/officeDocument/2006/relationships/hyperlink" Target="https://carcglgov-my.sharepoint.com/Groups/CodesStds/Standards/California/2022%20Building%20Energy%20Efficiency%20Standards%20for%20Residential%20and%20Nonresidential%20Buildings.pdf"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carcglgov-my.sharepoint.com/Groups/CodesStds/Standards/California/2022%20Building%20Energy%20Efficiency%20Standards%20for%20Residential%20and%20Nonresidential%20Buildings.pdf"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36DA-0D0C-414F-BD0E-1C7BE21C7E74}">
  <sheetPr codeName="Sheet7"/>
  <dimension ref="A1:D11"/>
  <sheetViews>
    <sheetView workbookViewId="0">
      <selection activeCell="G10" sqref="G10"/>
    </sheetView>
  </sheetViews>
  <sheetFormatPr defaultColWidth="8.88671875" defaultRowHeight="13.2"/>
  <cols>
    <col min="1" max="1" width="66.44140625" style="248" customWidth="1"/>
    <col min="2" max="2" width="13.33203125" style="248" customWidth="1"/>
    <col min="3" max="3" width="13.44140625" style="248" customWidth="1"/>
    <col min="4" max="4" width="86.109375" style="248" customWidth="1"/>
    <col min="5" max="16384" width="8.88671875" style="248"/>
  </cols>
  <sheetData>
    <row r="1" spans="1:4">
      <c r="A1" s="533" t="s">
        <v>0</v>
      </c>
      <c r="B1" s="533" t="s">
        <v>1</v>
      </c>
      <c r="C1" s="533" t="s">
        <v>2</v>
      </c>
      <c r="D1" s="533" t="s">
        <v>3</v>
      </c>
    </row>
    <row r="2" spans="1:4" ht="79.2">
      <c r="A2" s="67" t="s">
        <v>4</v>
      </c>
      <c r="B2" s="250" t="s">
        <v>5</v>
      </c>
      <c r="C2" s="67" t="s">
        <v>6</v>
      </c>
      <c r="D2" s="67" t="s">
        <v>7</v>
      </c>
    </row>
    <row r="3" spans="1:4" ht="79.2">
      <c r="A3" s="67" t="s">
        <v>8</v>
      </c>
      <c r="B3" s="250" t="s">
        <v>5</v>
      </c>
      <c r="C3" s="67" t="s">
        <v>6</v>
      </c>
      <c r="D3" s="67" t="s">
        <v>9</v>
      </c>
    </row>
    <row r="4" spans="1:4" ht="26.4">
      <c r="A4" s="250" t="s">
        <v>10</v>
      </c>
      <c r="B4" s="250" t="s">
        <v>11</v>
      </c>
      <c r="C4" s="67" t="s">
        <v>6</v>
      </c>
      <c r="D4" s="67"/>
    </row>
    <row r="9" spans="1:4">
      <c r="A9" s="248" t="s">
        <v>12</v>
      </c>
    </row>
    <row r="10" spans="1:4" ht="58.2" customHeight="1">
      <c r="A10" s="249" t="s">
        <v>13</v>
      </c>
      <c r="D10" s="248" t="s">
        <v>14</v>
      </c>
    </row>
    <row r="11" spans="1:4">
      <c r="A11" s="248" t="s">
        <v>15</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41"/>
  <sheetViews>
    <sheetView zoomScaleNormal="100" workbookViewId="0">
      <selection activeCell="G16" sqref="G16"/>
    </sheetView>
  </sheetViews>
  <sheetFormatPr defaultColWidth="9.109375" defaultRowHeight="13.2"/>
  <cols>
    <col min="1" max="1" width="14.88671875" style="21" customWidth="1"/>
    <col min="2" max="2" width="88.44140625" style="21" customWidth="1"/>
    <col min="3" max="3" width="35.6640625" style="21" customWidth="1"/>
    <col min="4" max="4" width="9.109375" style="21"/>
    <col min="5" max="5" width="21.88671875" style="21" customWidth="1"/>
    <col min="6" max="6" width="10.6640625" style="21" customWidth="1"/>
    <col min="7" max="7" width="9.6640625" style="21" customWidth="1"/>
    <col min="8" max="8" width="9.6640625" style="21" bestFit="1" customWidth="1"/>
    <col min="9" max="16384" width="9.109375" style="21"/>
  </cols>
  <sheetData>
    <row r="1" spans="1:4" ht="16.5" customHeight="1">
      <c r="A1" s="540" t="s">
        <v>16</v>
      </c>
      <c r="B1" s="540"/>
      <c r="C1" s="540"/>
    </row>
    <row r="2" spans="1:4">
      <c r="A2" s="542" t="s">
        <v>17</v>
      </c>
      <c r="B2" s="21" t="s">
        <v>18</v>
      </c>
      <c r="C2" s="525"/>
    </row>
    <row r="3" spans="1:4" ht="13.8">
      <c r="A3" s="542"/>
      <c r="B3" s="21" t="s">
        <v>19</v>
      </c>
      <c r="C3" s="425" t="s">
        <v>20</v>
      </c>
      <c r="D3" s="21" t="s">
        <v>21</v>
      </c>
    </row>
    <row r="4" spans="1:4" ht="13.8">
      <c r="A4" s="542"/>
      <c r="B4" s="21" t="s">
        <v>22</v>
      </c>
      <c r="C4" s="425" t="s">
        <v>23</v>
      </c>
      <c r="D4" s="21" t="s">
        <v>21</v>
      </c>
    </row>
    <row r="5" spans="1:4" ht="13.8">
      <c r="A5" s="542"/>
      <c r="B5" s="21" t="s">
        <v>24</v>
      </c>
      <c r="C5" s="425" t="s">
        <v>25</v>
      </c>
      <c r="D5" s="21" t="s">
        <v>21</v>
      </c>
    </row>
    <row r="6" spans="1:4" ht="13.8">
      <c r="A6" s="542" t="s">
        <v>26</v>
      </c>
      <c r="B6" s="21" t="s">
        <v>27</v>
      </c>
      <c r="C6" s="425" t="s">
        <v>28</v>
      </c>
      <c r="D6" s="21" t="s">
        <v>21</v>
      </c>
    </row>
    <row r="7" spans="1:4" ht="13.8">
      <c r="A7" s="542"/>
      <c r="B7" s="21" t="s">
        <v>29</v>
      </c>
      <c r="C7" s="425" t="s">
        <v>30</v>
      </c>
      <c r="D7" s="21" t="s">
        <v>21</v>
      </c>
    </row>
    <row r="8" spans="1:4" ht="13.8">
      <c r="A8" s="542"/>
      <c r="B8" s="21" t="s">
        <v>31</v>
      </c>
      <c r="C8" s="425" t="s">
        <v>32</v>
      </c>
      <c r="D8" s="21" t="s">
        <v>21</v>
      </c>
    </row>
    <row r="9" spans="1:4" ht="13.8">
      <c r="A9" s="542"/>
      <c r="B9" s="21" t="s">
        <v>33</v>
      </c>
      <c r="C9" s="425" t="s">
        <v>34</v>
      </c>
      <c r="D9" s="21" t="s">
        <v>21</v>
      </c>
    </row>
    <row r="10" spans="1:4">
      <c r="A10" s="542" t="s">
        <v>35</v>
      </c>
      <c r="B10" s="21" t="s">
        <v>36</v>
      </c>
      <c r="C10" s="525"/>
      <c r="D10" s="21" t="s">
        <v>21</v>
      </c>
    </row>
    <row r="11" spans="1:4">
      <c r="A11" s="542"/>
      <c r="B11" s="21" t="s">
        <v>37</v>
      </c>
      <c r="C11" s="525"/>
      <c r="D11" s="21" t="s">
        <v>21</v>
      </c>
    </row>
    <row r="12" spans="1:4" ht="13.8">
      <c r="A12" s="542"/>
      <c r="B12" s="287" t="s">
        <v>38</v>
      </c>
      <c r="C12" s="425" t="s">
        <v>39</v>
      </c>
      <c r="D12" s="21" t="s">
        <v>21</v>
      </c>
    </row>
    <row r="13" spans="1:4">
      <c r="A13" s="542" t="s">
        <v>40</v>
      </c>
      <c r="B13" s="21" t="s">
        <v>41</v>
      </c>
      <c r="C13" s="525"/>
      <c r="D13" s="21" t="s">
        <v>21</v>
      </c>
    </row>
    <row r="14" spans="1:4" ht="13.8">
      <c r="A14" s="542"/>
      <c r="B14" s="21" t="s">
        <v>42</v>
      </c>
      <c r="C14" s="425" t="s">
        <v>43</v>
      </c>
      <c r="D14" s="21" t="s">
        <v>21</v>
      </c>
    </row>
    <row r="15" spans="1:4" ht="13.8">
      <c r="A15" s="542"/>
      <c r="B15" s="28" t="s">
        <v>44</v>
      </c>
      <c r="C15" s="425" t="s">
        <v>45</v>
      </c>
      <c r="D15" s="21" t="s">
        <v>21</v>
      </c>
    </row>
    <row r="16" spans="1:4" ht="13.8">
      <c r="A16" s="542"/>
      <c r="B16" s="21" t="s">
        <v>46</v>
      </c>
      <c r="C16" s="425" t="s">
        <v>47</v>
      </c>
      <c r="D16" s="21" t="s">
        <v>21</v>
      </c>
    </row>
    <row r="17" spans="1:4" ht="13.8">
      <c r="A17" s="542"/>
      <c r="B17" s="21" t="s">
        <v>48</v>
      </c>
      <c r="C17" s="425" t="s">
        <v>49</v>
      </c>
      <c r="D17" s="21" t="s">
        <v>21</v>
      </c>
    </row>
    <row r="18" spans="1:4" ht="13.8">
      <c r="A18" s="542"/>
      <c r="B18" s="21" t="s">
        <v>50</v>
      </c>
      <c r="C18" s="425" t="s">
        <v>51</v>
      </c>
      <c r="D18" s="21" t="s">
        <v>21</v>
      </c>
    </row>
    <row r="19" spans="1:4" ht="27" customHeight="1">
      <c r="A19" s="542"/>
      <c r="B19" s="28" t="s">
        <v>52</v>
      </c>
      <c r="C19" s="426" t="s">
        <v>53</v>
      </c>
      <c r="D19" s="21" t="s">
        <v>21</v>
      </c>
    </row>
    <row r="20" spans="1:4">
      <c r="C20" s="525"/>
      <c r="D20" s="21" t="s">
        <v>21</v>
      </c>
    </row>
    <row r="21" spans="1:4">
      <c r="C21" s="525"/>
    </row>
    <row r="22" spans="1:4" ht="15.6">
      <c r="A22" s="540" t="s">
        <v>54</v>
      </c>
      <c r="B22" s="540"/>
      <c r="C22" s="540"/>
    </row>
    <row r="23" spans="1:4">
      <c r="C23" s="525"/>
    </row>
    <row r="24" spans="1:4">
      <c r="C24" s="525"/>
    </row>
    <row r="25" spans="1:4">
      <c r="C25" s="525"/>
    </row>
    <row r="26" spans="1:4">
      <c r="C26" s="525"/>
    </row>
    <row r="27" spans="1:4">
      <c r="C27" s="525"/>
    </row>
    <row r="28" spans="1:4">
      <c r="C28" s="525"/>
    </row>
    <row r="29" spans="1:4">
      <c r="C29" s="525"/>
    </row>
    <row r="30" spans="1:4">
      <c r="C30" s="525"/>
    </row>
    <row r="31" spans="1:4">
      <c r="C31" s="525"/>
    </row>
    <row r="32" spans="1:4">
      <c r="C32" s="525"/>
    </row>
    <row r="33" spans="1:8">
      <c r="C33" s="525"/>
    </row>
    <row r="34" spans="1:8">
      <c r="C34" s="525"/>
    </row>
    <row r="35" spans="1:8" ht="15.6">
      <c r="A35" s="540" t="s">
        <v>55</v>
      </c>
      <c r="B35" s="540"/>
      <c r="C35" s="540"/>
    </row>
    <row r="36" spans="1:8" ht="14.4" customHeight="1">
      <c r="B36" s="543" t="s">
        <v>56</v>
      </c>
      <c r="C36" s="543"/>
      <c r="E36" s="29"/>
      <c r="F36" s="30" t="s">
        <v>57</v>
      </c>
      <c r="G36" s="30" t="s">
        <v>58</v>
      </c>
      <c r="H36" s="30" t="s">
        <v>59</v>
      </c>
    </row>
    <row r="37" spans="1:8" ht="72.599999999999994" customHeight="1">
      <c r="A37" s="524" t="s">
        <v>60</v>
      </c>
      <c r="B37" s="541" t="s">
        <v>61</v>
      </c>
      <c r="C37" s="541"/>
      <c r="E37" s="31" t="s">
        <v>62</v>
      </c>
      <c r="F37" s="32">
        <v>0.46189629166831803</v>
      </c>
      <c r="G37" s="32">
        <v>0.53810370833168208</v>
      </c>
      <c r="H37" s="32">
        <v>0.12391054497812119</v>
      </c>
    </row>
    <row r="38" spans="1:8" ht="125.25" customHeight="1">
      <c r="A38" s="524" t="s">
        <v>63</v>
      </c>
      <c r="B38" s="541" t="s">
        <v>64</v>
      </c>
      <c r="C38" s="541"/>
    </row>
    <row r="39" spans="1:8" ht="99.6" customHeight="1">
      <c r="A39" s="524" t="s">
        <v>65</v>
      </c>
      <c r="B39" s="541" t="s">
        <v>66</v>
      </c>
      <c r="C39" s="541"/>
    </row>
    <row r="41" spans="1:8">
      <c r="B41" s="28"/>
    </row>
  </sheetData>
  <mergeCells count="11">
    <mergeCell ref="A1:C1"/>
    <mergeCell ref="B39:C39"/>
    <mergeCell ref="A35:C35"/>
    <mergeCell ref="A2:A5"/>
    <mergeCell ref="A6:A9"/>
    <mergeCell ref="A10:A12"/>
    <mergeCell ref="A13:A19"/>
    <mergeCell ref="A22:C22"/>
    <mergeCell ref="B36:C36"/>
    <mergeCell ref="B37:C37"/>
    <mergeCell ref="B38:C38"/>
  </mergeCells>
  <hyperlinks>
    <hyperlink ref="C6" r:id="rId1" xr:uid="{C035E4F3-41F0-49C4-AA08-0A6444824FC8}"/>
    <hyperlink ref="C7" r:id="rId2" location="Commercial" xr:uid="{6E27FA63-4CB0-4156-A5A5-85E6C31F5946}"/>
    <hyperlink ref="C8" r:id="rId3" xr:uid="{8CBCEB5A-68D5-431B-A1E4-422B6EDB4FA9}"/>
    <hyperlink ref="C9" r:id="rId4" xr:uid="{192BBCEF-5112-42DA-8187-AA787B08555D}"/>
    <hyperlink ref="C5" r:id="rId5" xr:uid="{19AF5EF3-14A5-44AE-B730-140BF104272A}"/>
    <hyperlink ref="C4" r:id="rId6" xr:uid="{8ADA6228-A7BF-4E82-9D60-E20B0FF95F19}"/>
    <hyperlink ref="C3" r:id="rId7" xr:uid="{7ADAAC21-6BF3-4C55-B602-4E3B84FE2AAA}"/>
    <hyperlink ref="C15" r:id="rId8" xr:uid="{C363009F-2C9D-428F-9B52-9ED4C4ABFC8F}"/>
    <hyperlink ref="C16" r:id="rId9" xr:uid="{19FE9FCB-CBF1-4112-9657-4516F6105B3C}"/>
    <hyperlink ref="C14" r:id="rId10" xr:uid="{7497E19F-9FC4-479B-B723-66BEBEEE7B2B}"/>
    <hyperlink ref="C17" r:id="rId11" xr:uid="{8A9DDE9A-4C9F-4CA2-88D3-D372F36B9A92}"/>
    <hyperlink ref="C18" r:id="rId12" xr:uid="{8DAAFE1A-6782-46AC-AA19-EF8672F55F58}"/>
    <hyperlink ref="C19" r:id="rId13" xr:uid="{5C338DB9-8B73-49EA-B509-C1A6B47839F1}"/>
    <hyperlink ref="C12" r:id="rId14" xr:uid="{0EEDD008-EC9F-492D-9B46-C9B295FA71E8}"/>
  </hyperlinks>
  <pageMargins left="0.7" right="0.7" top="0.75" bottom="0.75" header="0.3" footer="0.3"/>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8"/>
  <sheetViews>
    <sheetView tabSelected="1" topLeftCell="A3" zoomScale="115" zoomScaleNormal="115" workbookViewId="0">
      <selection sqref="A1:C1"/>
    </sheetView>
  </sheetViews>
  <sheetFormatPr defaultColWidth="9.109375" defaultRowHeight="13.8"/>
  <cols>
    <col min="1" max="1" width="25" style="19" customWidth="1"/>
    <col min="2" max="2" width="51.33203125" style="19" customWidth="1"/>
    <col min="3" max="3" width="51.6640625" style="19" customWidth="1"/>
    <col min="4" max="9" width="8.88671875" style="19" customWidth="1"/>
    <col min="10" max="16384" width="9.109375" style="19"/>
  </cols>
  <sheetData>
    <row r="1" spans="1:9" ht="17.399999999999999">
      <c r="A1" s="544" t="s">
        <v>67</v>
      </c>
      <c r="B1" s="544"/>
      <c r="C1" s="544"/>
      <c r="D1" s="33"/>
      <c r="E1" s="33"/>
      <c r="F1" s="33"/>
    </row>
    <row r="2" spans="1:9" ht="17.399999999999999">
      <c r="A2" s="545" t="s">
        <v>68</v>
      </c>
      <c r="B2" s="546"/>
      <c r="C2" s="546"/>
      <c r="D2" s="33"/>
      <c r="E2" s="33"/>
      <c r="F2" s="33"/>
    </row>
    <row r="3" spans="1:9" ht="23.4" customHeight="1">
      <c r="A3" s="36" t="s">
        <v>69</v>
      </c>
      <c r="B3" s="532" t="s">
        <v>70</v>
      </c>
      <c r="C3" s="37" t="s">
        <v>16</v>
      </c>
    </row>
    <row r="4" spans="1:9">
      <c r="A4" s="34" t="s">
        <v>71</v>
      </c>
      <c r="B4" s="522" t="s">
        <v>72</v>
      </c>
      <c r="C4" s="34"/>
    </row>
    <row r="5" spans="1:9">
      <c r="A5" s="34" t="s">
        <v>73</v>
      </c>
      <c r="B5" s="522" t="s">
        <v>74</v>
      </c>
      <c r="C5" s="34"/>
    </row>
    <row r="6" spans="1:9" ht="28.95" customHeight="1">
      <c r="A6" s="34" t="s">
        <v>75</v>
      </c>
      <c r="B6" s="521" t="s">
        <v>76</v>
      </c>
      <c r="C6" s="34" t="s">
        <v>77</v>
      </c>
      <c r="D6" s="426" t="s">
        <v>78</v>
      </c>
    </row>
    <row r="7" spans="1:9" ht="97.2" customHeight="1">
      <c r="A7" s="34" t="s">
        <v>79</v>
      </c>
      <c r="B7" s="522"/>
      <c r="C7" s="35" t="s">
        <v>80</v>
      </c>
      <c r="I7" s="20"/>
    </row>
    <row r="8" spans="1:9">
      <c r="A8" s="427" t="s">
        <v>81</v>
      </c>
      <c r="B8" s="428" t="s">
        <v>82</v>
      </c>
      <c r="C8" s="34" t="s">
        <v>83</v>
      </c>
    </row>
    <row r="9" spans="1:9">
      <c r="A9" s="427" t="s">
        <v>84</v>
      </c>
      <c r="B9" s="429">
        <v>1.5</v>
      </c>
      <c r="C9" s="34" t="s">
        <v>85</v>
      </c>
    </row>
    <row r="10" spans="1:9" ht="43.5" customHeight="1">
      <c r="A10" s="430" t="s">
        <v>86</v>
      </c>
      <c r="B10" s="522">
        <v>3</v>
      </c>
      <c r="C10" s="35" t="s">
        <v>87</v>
      </c>
    </row>
    <row r="11" spans="1:9" ht="24.75" customHeight="1">
      <c r="A11" s="430" t="s">
        <v>88</v>
      </c>
      <c r="B11" s="522" t="s">
        <v>89</v>
      </c>
      <c r="C11" s="35" t="s">
        <v>90</v>
      </c>
    </row>
    <row r="12" spans="1:9" ht="66">
      <c r="A12" s="427" t="s">
        <v>91</v>
      </c>
      <c r="B12" s="65" t="s">
        <v>92</v>
      </c>
      <c r="C12" s="35" t="s">
        <v>93</v>
      </c>
    </row>
    <row r="13" spans="1:9" ht="14.4" customHeight="1">
      <c r="A13" s="427" t="s">
        <v>94</v>
      </c>
      <c r="B13" s="431" t="s">
        <v>95</v>
      </c>
      <c r="C13" s="34" t="s">
        <v>85</v>
      </c>
    </row>
    <row r="14" spans="1:9" ht="14.4" customHeight="1">
      <c r="A14" s="427" t="s">
        <v>96</v>
      </c>
      <c r="B14" s="521">
        <v>13</v>
      </c>
      <c r="C14" s="34" t="s">
        <v>85</v>
      </c>
    </row>
    <row r="15" spans="1:9" ht="25.95" customHeight="1">
      <c r="A15" s="427" t="s">
        <v>97</v>
      </c>
      <c r="B15" s="521" t="s">
        <v>98</v>
      </c>
      <c r="C15" s="34" t="s">
        <v>85</v>
      </c>
    </row>
    <row r="16" spans="1:9" ht="26.4">
      <c r="A16" s="427" t="s">
        <v>99</v>
      </c>
      <c r="B16" s="65" t="s">
        <v>100</v>
      </c>
      <c r="C16" s="34" t="s">
        <v>85</v>
      </c>
    </row>
    <row r="19" ht="14.4" customHeight="1"/>
    <row r="20" ht="14.4" customHeight="1"/>
    <row r="22" ht="14.4" customHeight="1"/>
    <row r="23" ht="14.4" customHeight="1"/>
    <row r="24" ht="14.4" customHeight="1"/>
    <row r="27" ht="14.4" customHeight="1"/>
    <row r="28" ht="14.4" customHeight="1"/>
  </sheetData>
  <mergeCells count="2">
    <mergeCell ref="A1:C1"/>
    <mergeCell ref="A2:C2"/>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0F145384-0A4C-4B1C-9A32-E7A678E67C29}"/>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W65"/>
  <sheetViews>
    <sheetView zoomScaleNormal="100" workbookViewId="0">
      <selection sqref="A1:L1"/>
    </sheetView>
  </sheetViews>
  <sheetFormatPr defaultColWidth="8.88671875" defaultRowHeight="12.75" customHeight="1"/>
  <cols>
    <col min="1" max="1" width="31" style="21" customWidth="1"/>
    <col min="2" max="2" width="50.88671875" style="21" customWidth="1"/>
    <col min="3" max="3" width="24.109375" style="21" customWidth="1"/>
    <col min="4" max="4" width="19.6640625" style="24" customWidth="1"/>
    <col min="5" max="6" width="19.6640625" style="21" customWidth="1"/>
    <col min="7" max="7" width="13.6640625" style="21" customWidth="1"/>
    <col min="8" max="8" width="12.6640625" style="21" customWidth="1"/>
    <col min="9" max="9" width="11.88671875" style="21" customWidth="1"/>
    <col min="10" max="10" width="16.33203125" style="21" customWidth="1"/>
    <col min="11" max="11" width="33.6640625" style="21" customWidth="1"/>
    <col min="12" max="12" width="42.6640625" style="21" customWidth="1"/>
    <col min="13" max="13" width="10.44140625" style="21" customWidth="1"/>
    <col min="14" max="14" width="7.6640625" style="21" customWidth="1"/>
    <col min="15" max="15" width="12.88671875" style="21" customWidth="1"/>
    <col min="16" max="16" width="13" style="21" customWidth="1"/>
    <col min="17" max="17" width="11.109375" style="21" customWidth="1"/>
    <col min="18" max="18" width="16.44140625" style="21" customWidth="1"/>
    <col min="19" max="19" width="15.33203125" style="21" customWidth="1"/>
    <col min="20" max="20" width="11.5546875" style="21" customWidth="1"/>
    <col min="21" max="21" width="18.109375" style="21" customWidth="1"/>
    <col min="22" max="22" width="25.6640625" style="21" customWidth="1"/>
    <col min="23" max="23" width="22.88671875" style="21" customWidth="1"/>
    <col min="24" max="24" width="16.33203125" style="21" customWidth="1"/>
    <col min="25" max="25" width="6.6640625" style="21" bestFit="1" customWidth="1"/>
    <col min="26" max="30" width="17.109375" style="21" customWidth="1"/>
    <col min="31" max="16384" width="8.88671875" style="21"/>
  </cols>
  <sheetData>
    <row r="1" spans="1:21" ht="25.95" customHeight="1">
      <c r="A1" s="549" t="s">
        <v>101</v>
      </c>
      <c r="B1" s="549"/>
      <c r="C1" s="549"/>
      <c r="D1" s="549"/>
      <c r="E1" s="549"/>
      <c r="F1" s="549"/>
      <c r="G1" s="549"/>
      <c r="H1" s="549"/>
      <c r="I1" s="549"/>
      <c r="J1" s="549"/>
      <c r="K1" s="549"/>
      <c r="L1" s="549"/>
      <c r="M1" s="182"/>
      <c r="N1" s="547" t="s">
        <v>102</v>
      </c>
      <c r="O1" s="547"/>
      <c r="P1" s="547"/>
      <c r="Q1" s="547"/>
      <c r="R1" s="547"/>
    </row>
    <row r="2" spans="1:21" ht="41.4" customHeight="1">
      <c r="A2" s="533" t="s">
        <v>103</v>
      </c>
      <c r="B2" s="266" t="s">
        <v>104</v>
      </c>
      <c r="C2" s="389" t="s">
        <v>105</v>
      </c>
      <c r="D2" s="198" t="s">
        <v>106</v>
      </c>
      <c r="E2" s="52" t="s">
        <v>107</v>
      </c>
      <c r="F2" s="528" t="s">
        <v>108</v>
      </c>
      <c r="G2" s="53" t="s">
        <v>109</v>
      </c>
      <c r="H2" s="52" t="s">
        <v>110</v>
      </c>
      <c r="I2" s="52" t="s">
        <v>111</v>
      </c>
      <c r="J2" s="52" t="s">
        <v>112</v>
      </c>
      <c r="K2" s="52" t="s">
        <v>113</v>
      </c>
      <c r="L2" s="417" t="s">
        <v>114</v>
      </c>
      <c r="M2" s="183"/>
      <c r="N2" s="28"/>
      <c r="O2" s="28" t="s">
        <v>21</v>
      </c>
      <c r="P2" s="28"/>
      <c r="Q2" s="28"/>
      <c r="T2" s="130"/>
      <c r="U2" s="169"/>
    </row>
    <row r="3" spans="1:21" ht="17.399999999999999" customHeight="1">
      <c r="A3" s="401" t="s">
        <v>115</v>
      </c>
      <c r="B3" s="388" t="s">
        <v>116</v>
      </c>
      <c r="C3" s="303"/>
      <c r="D3" s="41" t="s">
        <v>117</v>
      </c>
      <c r="E3" s="38" t="s">
        <v>118</v>
      </c>
      <c r="F3" s="264">
        <f>G3/$G$57</f>
        <v>7.9864791444811969E-2</v>
      </c>
      <c r="G3" s="110">
        <v>4283</v>
      </c>
      <c r="H3" s="38">
        <f t="shared" ref="H3:H19" si="0">G3*9</f>
        <v>38547</v>
      </c>
      <c r="I3" s="38">
        <v>1</v>
      </c>
      <c r="J3" s="39">
        <f>K3*G3/1000</f>
        <v>21.414999999999999</v>
      </c>
      <c r="K3" s="39">
        <v>5</v>
      </c>
      <c r="L3" s="177"/>
      <c r="M3" s="184"/>
      <c r="N3" s="172"/>
      <c r="O3" s="172"/>
      <c r="T3" s="168"/>
    </row>
    <row r="4" spans="1:21" ht="17.399999999999999" customHeight="1">
      <c r="A4" s="401" t="s">
        <v>119</v>
      </c>
      <c r="B4" s="388" t="s">
        <v>116</v>
      </c>
      <c r="C4" s="303"/>
      <c r="D4" s="41" t="s">
        <v>117</v>
      </c>
      <c r="E4" s="38" t="s">
        <v>118</v>
      </c>
      <c r="F4" s="264">
        <f t="shared" ref="F4:F19" si="1">G4/$G$57</f>
        <v>4.2850403468275136E-2</v>
      </c>
      <c r="G4" s="110">
        <v>2297.9873200000002</v>
      </c>
      <c r="H4" s="38">
        <f t="shared" si="0"/>
        <v>20681.885880000002</v>
      </c>
      <c r="I4" s="38">
        <v>1</v>
      </c>
      <c r="J4" s="39">
        <f t="shared" ref="J4:J55" si="2">K4*G4/1000</f>
        <v>11.4899366</v>
      </c>
      <c r="K4" s="39">
        <v>5</v>
      </c>
      <c r="L4" s="177"/>
      <c r="M4" s="184"/>
      <c r="N4" s="172"/>
      <c r="O4" s="172"/>
    </row>
    <row r="5" spans="1:21" ht="17.399999999999999" customHeight="1">
      <c r="A5" s="277" t="s">
        <v>120</v>
      </c>
      <c r="B5" s="388" t="s">
        <v>116</v>
      </c>
      <c r="C5" s="304"/>
      <c r="D5" s="41" t="s">
        <v>117</v>
      </c>
      <c r="E5" s="38" t="s">
        <v>118</v>
      </c>
      <c r="F5" s="264">
        <f t="shared" si="1"/>
        <v>3.0541078673583424E-2</v>
      </c>
      <c r="G5" s="110">
        <v>1637.8611599999999</v>
      </c>
      <c r="H5" s="38">
        <f t="shared" si="0"/>
        <v>14740.75044</v>
      </c>
      <c r="I5" s="38">
        <v>1</v>
      </c>
      <c r="J5" s="39">
        <f t="shared" si="2"/>
        <v>8.1893057999999996</v>
      </c>
      <c r="K5" s="39">
        <v>5</v>
      </c>
      <c r="L5" s="177"/>
      <c r="M5" s="185"/>
      <c r="N5" s="172"/>
      <c r="O5" s="172"/>
    </row>
    <row r="6" spans="1:21" ht="17.399999999999999" customHeight="1">
      <c r="A6" s="277" t="s">
        <v>121</v>
      </c>
      <c r="B6" s="388" t="s">
        <v>116</v>
      </c>
      <c r="C6" s="304"/>
      <c r="D6" s="41" t="s">
        <v>117</v>
      </c>
      <c r="E6" s="38" t="s">
        <v>118</v>
      </c>
      <c r="F6" s="264">
        <f t="shared" si="1"/>
        <v>3.0541078673583424E-2</v>
      </c>
      <c r="G6" s="110">
        <v>1637.8611599999999</v>
      </c>
      <c r="H6" s="38">
        <f t="shared" si="0"/>
        <v>14740.75044</v>
      </c>
      <c r="I6" s="38">
        <v>1</v>
      </c>
      <c r="J6" s="39">
        <f t="shared" si="2"/>
        <v>8.1893057999999996</v>
      </c>
      <c r="K6" s="39">
        <v>5</v>
      </c>
      <c r="L6" s="177"/>
      <c r="M6" s="185"/>
      <c r="N6" s="172"/>
      <c r="O6" s="172"/>
      <c r="T6" s="87"/>
    </row>
    <row r="7" spans="1:21" ht="17.399999999999999" customHeight="1">
      <c r="A7" s="277" t="s">
        <v>122</v>
      </c>
      <c r="B7" s="388" t="s">
        <v>116</v>
      </c>
      <c r="C7" s="304"/>
      <c r="D7" s="41" t="s">
        <v>117</v>
      </c>
      <c r="E7" s="38" t="s">
        <v>118</v>
      </c>
      <c r="F7" s="264">
        <f t="shared" si="1"/>
        <v>2.2119125705444713E-2</v>
      </c>
      <c r="G7" s="110">
        <v>1186.20751</v>
      </c>
      <c r="H7" s="38">
        <f t="shared" si="0"/>
        <v>10675.86759</v>
      </c>
      <c r="I7" s="38">
        <v>1</v>
      </c>
      <c r="J7" s="39">
        <f t="shared" si="2"/>
        <v>5.9310375500000001</v>
      </c>
      <c r="K7" s="39">
        <v>5</v>
      </c>
      <c r="L7" s="177"/>
      <c r="M7" s="185"/>
      <c r="N7" s="172"/>
      <c r="O7" s="172"/>
      <c r="T7" s="89"/>
    </row>
    <row r="8" spans="1:21" ht="17.399999999999999" customHeight="1">
      <c r="A8" s="277" t="s">
        <v>123</v>
      </c>
      <c r="B8" s="388" t="s">
        <v>124</v>
      </c>
      <c r="C8" s="304"/>
      <c r="D8" s="41" t="s">
        <v>117</v>
      </c>
      <c r="E8" s="38" t="s">
        <v>118</v>
      </c>
      <c r="F8" s="264">
        <f t="shared" si="1"/>
        <v>2.073127776283042E-2</v>
      </c>
      <c r="G8" s="110">
        <v>1111.77981</v>
      </c>
      <c r="H8" s="38">
        <f t="shared" si="0"/>
        <v>10006.01829</v>
      </c>
      <c r="I8" s="38">
        <v>1</v>
      </c>
      <c r="J8" s="39">
        <f t="shared" si="2"/>
        <v>36.688733730000003</v>
      </c>
      <c r="K8" s="39">
        <v>33</v>
      </c>
      <c r="L8" s="282" t="s">
        <v>125</v>
      </c>
      <c r="M8" s="185"/>
      <c r="N8" s="167"/>
      <c r="O8" s="172"/>
    </row>
    <row r="9" spans="1:21" ht="37.950000000000003" customHeight="1">
      <c r="A9" s="277" t="s">
        <v>126</v>
      </c>
      <c r="B9" s="388" t="s">
        <v>127</v>
      </c>
      <c r="C9" s="304"/>
      <c r="D9" s="41" t="s">
        <v>117</v>
      </c>
      <c r="E9" s="38" t="s">
        <v>118</v>
      </c>
      <c r="F9" s="264">
        <f t="shared" si="1"/>
        <v>1.9750368436845831E-2</v>
      </c>
      <c r="G9" s="110">
        <v>1059.1754699999999</v>
      </c>
      <c r="H9" s="38">
        <f t="shared" si="0"/>
        <v>9532.5792299999994</v>
      </c>
      <c r="I9" s="38">
        <v>1</v>
      </c>
      <c r="J9" s="39">
        <f t="shared" si="2"/>
        <v>10.591754699999999</v>
      </c>
      <c r="K9" s="283">
        <v>10</v>
      </c>
      <c r="L9" s="284" t="s">
        <v>128</v>
      </c>
      <c r="M9" s="185"/>
      <c r="N9" s="172"/>
      <c r="O9" s="172"/>
    </row>
    <row r="10" spans="1:21" ht="17.399999999999999" customHeight="1">
      <c r="A10" s="277" t="s">
        <v>129</v>
      </c>
      <c r="B10" s="388" t="s">
        <v>130</v>
      </c>
      <c r="C10" s="304"/>
      <c r="D10" s="41" t="s">
        <v>117</v>
      </c>
      <c r="E10" s="38" t="s">
        <v>118</v>
      </c>
      <c r="F10" s="264">
        <f t="shared" si="1"/>
        <v>1.833284099983698E-2</v>
      </c>
      <c r="G10" s="110">
        <v>983.156114</v>
      </c>
      <c r="H10" s="38">
        <f t="shared" si="0"/>
        <v>8848.4050260000004</v>
      </c>
      <c r="I10" s="38">
        <v>1</v>
      </c>
      <c r="J10" s="39"/>
      <c r="K10" s="247" t="s">
        <v>131</v>
      </c>
      <c r="L10" s="282"/>
      <c r="M10" s="185"/>
      <c r="N10" s="195"/>
      <c r="O10" s="195"/>
    </row>
    <row r="11" spans="1:21" ht="19.2" customHeight="1">
      <c r="A11" s="277" t="s">
        <v>132</v>
      </c>
      <c r="B11" s="388" t="s">
        <v>133</v>
      </c>
      <c r="C11" s="304"/>
      <c r="D11" s="41" t="s">
        <v>117</v>
      </c>
      <c r="E11" s="38" t="s">
        <v>118</v>
      </c>
      <c r="F11" s="264">
        <f t="shared" si="1"/>
        <v>6.663485999664309E-3</v>
      </c>
      <c r="G11" s="110">
        <v>357.35034200000001</v>
      </c>
      <c r="H11" s="38">
        <f t="shared" si="0"/>
        <v>3216.1530780000003</v>
      </c>
      <c r="I11" s="38">
        <v>1</v>
      </c>
      <c r="J11" s="39"/>
      <c r="K11" s="40" t="s">
        <v>131</v>
      </c>
      <c r="L11" s="282"/>
      <c r="M11" s="185"/>
      <c r="N11" s="172"/>
      <c r="O11" s="172"/>
      <c r="T11" s="191"/>
    </row>
    <row r="12" spans="1:21" ht="19.2" customHeight="1">
      <c r="A12" s="277" t="s">
        <v>134</v>
      </c>
      <c r="B12" s="388" t="s">
        <v>135</v>
      </c>
      <c r="C12" s="304"/>
      <c r="D12" s="41" t="s">
        <v>136</v>
      </c>
      <c r="E12" s="38" t="s">
        <v>118</v>
      </c>
      <c r="F12" s="264">
        <f t="shared" si="1"/>
        <v>3.3366309376435524E-3</v>
      </c>
      <c r="G12" s="110">
        <v>178.93730199999999</v>
      </c>
      <c r="H12" s="38">
        <f t="shared" si="0"/>
        <v>1610.435718</v>
      </c>
      <c r="I12" s="38">
        <v>1</v>
      </c>
      <c r="J12" s="796" t="s">
        <v>11</v>
      </c>
      <c r="K12" s="40" t="s">
        <v>131</v>
      </c>
      <c r="L12" s="282"/>
      <c r="M12" s="185"/>
      <c r="N12" s="172"/>
      <c r="O12" s="172"/>
      <c r="T12" s="191"/>
    </row>
    <row r="13" spans="1:21" ht="17.399999999999999" customHeight="1">
      <c r="A13" s="277" t="s">
        <v>137</v>
      </c>
      <c r="B13" s="388" t="s">
        <v>138</v>
      </c>
      <c r="C13" s="304"/>
      <c r="D13" s="41" t="s">
        <v>117</v>
      </c>
      <c r="E13" s="38" t="s">
        <v>118</v>
      </c>
      <c r="F13" s="264">
        <f t="shared" si="1"/>
        <v>1.200074922527674E-2</v>
      </c>
      <c r="G13" s="110">
        <v>643.57782699999996</v>
      </c>
      <c r="H13" s="38">
        <f t="shared" si="0"/>
        <v>5792.2004429999997</v>
      </c>
      <c r="I13" s="38">
        <v>1</v>
      </c>
      <c r="J13" s="39"/>
      <c r="K13" s="40" t="s">
        <v>131</v>
      </c>
      <c r="L13" s="282"/>
      <c r="M13" s="185"/>
      <c r="N13" s="172"/>
      <c r="O13" s="172"/>
      <c r="T13" s="192"/>
    </row>
    <row r="14" spans="1:21" ht="17.399999999999999" customHeight="1">
      <c r="A14" s="277" t="s">
        <v>139</v>
      </c>
      <c r="B14" s="388" t="s">
        <v>140</v>
      </c>
      <c r="C14" s="304"/>
      <c r="D14" s="41" t="s">
        <v>117</v>
      </c>
      <c r="E14" s="38" t="s">
        <v>118</v>
      </c>
      <c r="F14" s="264">
        <f t="shared" si="1"/>
        <v>4.3324822705770585E-3</v>
      </c>
      <c r="G14" s="110">
        <v>232.34295399999999</v>
      </c>
      <c r="H14" s="38">
        <f t="shared" si="0"/>
        <v>2091.0865859999999</v>
      </c>
      <c r="I14" s="38">
        <v>1</v>
      </c>
      <c r="J14" s="39">
        <f t="shared" si="2"/>
        <v>7.6673174819999996</v>
      </c>
      <c r="K14" s="40">
        <v>33</v>
      </c>
      <c r="L14" s="282" t="s">
        <v>141</v>
      </c>
      <c r="M14" s="185"/>
      <c r="N14" s="172"/>
      <c r="O14" s="172"/>
      <c r="T14" s="192"/>
    </row>
    <row r="15" spans="1:21" ht="17.399999999999999" customHeight="1">
      <c r="A15" s="277" t="s">
        <v>142</v>
      </c>
      <c r="B15" s="388" t="s">
        <v>143</v>
      </c>
      <c r="C15" s="304"/>
      <c r="D15" s="41" t="s">
        <v>117</v>
      </c>
      <c r="E15" s="38" t="s">
        <v>118</v>
      </c>
      <c r="F15" s="264">
        <f t="shared" si="1"/>
        <v>1.2332933669883925E-2</v>
      </c>
      <c r="G15" s="110">
        <v>661.39225999999996</v>
      </c>
      <c r="H15" s="38">
        <f t="shared" si="0"/>
        <v>5952.5303399999993</v>
      </c>
      <c r="I15" s="38">
        <v>1</v>
      </c>
      <c r="J15" s="39"/>
      <c r="K15" s="40" t="s">
        <v>131</v>
      </c>
      <c r="L15" s="177"/>
      <c r="M15" s="185"/>
      <c r="N15" s="172"/>
      <c r="O15" s="172"/>
      <c r="T15" s="192"/>
    </row>
    <row r="16" spans="1:21" ht="17.399999999999999" customHeight="1">
      <c r="A16" s="277" t="s">
        <v>144</v>
      </c>
      <c r="B16" s="388" t="s">
        <v>145</v>
      </c>
      <c r="C16" s="304"/>
      <c r="D16" s="41" t="s">
        <v>117</v>
      </c>
      <c r="E16" s="38" t="s">
        <v>118</v>
      </c>
      <c r="F16" s="264">
        <f t="shared" si="1"/>
        <v>5.5940783174045277E-3</v>
      </c>
      <c r="G16" s="110">
        <v>300</v>
      </c>
      <c r="H16" s="38">
        <f t="shared" si="0"/>
        <v>2700</v>
      </c>
      <c r="I16" s="38">
        <v>1</v>
      </c>
      <c r="J16" s="39">
        <f t="shared" si="2"/>
        <v>1.5</v>
      </c>
      <c r="K16" s="40">
        <v>5</v>
      </c>
      <c r="L16" s="177"/>
      <c r="M16" s="184"/>
      <c r="N16" s="172"/>
      <c r="O16" s="172"/>
      <c r="T16" s="192"/>
    </row>
    <row r="17" spans="1:23" ht="17.399999999999999" customHeight="1">
      <c r="A17" s="401" t="s">
        <v>146</v>
      </c>
      <c r="B17" s="388" t="s">
        <v>145</v>
      </c>
      <c r="C17" s="303"/>
      <c r="D17" s="41" t="s">
        <v>117</v>
      </c>
      <c r="E17" s="38" t="s">
        <v>118</v>
      </c>
      <c r="F17" s="264">
        <f t="shared" si="1"/>
        <v>9.3788899903097227E-3</v>
      </c>
      <c r="G17" s="110">
        <v>502.97239999999999</v>
      </c>
      <c r="H17" s="38">
        <f t="shared" si="0"/>
        <v>4526.7515999999996</v>
      </c>
      <c r="I17" s="38">
        <v>1</v>
      </c>
      <c r="J17" s="39">
        <f t="shared" si="2"/>
        <v>2.5148619999999999</v>
      </c>
      <c r="K17" s="40">
        <v>5</v>
      </c>
      <c r="L17" s="177"/>
      <c r="M17" s="184"/>
      <c r="N17" s="548" t="s">
        <v>147</v>
      </c>
      <c r="O17" s="548" t="s">
        <v>148</v>
      </c>
      <c r="P17" s="548"/>
      <c r="Q17" s="548"/>
      <c r="R17" s="548"/>
      <c r="T17" s="192"/>
    </row>
    <row r="18" spans="1:23" ht="17.399999999999999" customHeight="1">
      <c r="A18" s="401" t="s">
        <v>149</v>
      </c>
      <c r="B18" s="388" t="s">
        <v>145</v>
      </c>
      <c r="C18" s="303"/>
      <c r="D18" s="41" t="s">
        <v>117</v>
      </c>
      <c r="E18" s="38" t="s">
        <v>118</v>
      </c>
      <c r="F18" s="264">
        <f t="shared" si="1"/>
        <v>5.5793024918754904E-3</v>
      </c>
      <c r="G18" s="110">
        <v>299.20760000000001</v>
      </c>
      <c r="H18" s="38">
        <f t="shared" si="0"/>
        <v>2692.8684000000003</v>
      </c>
      <c r="I18" s="38">
        <v>1</v>
      </c>
      <c r="J18" s="39">
        <f t="shared" si="2"/>
        <v>1.496038</v>
      </c>
      <c r="K18" s="40">
        <v>5</v>
      </c>
      <c r="L18" s="177"/>
      <c r="M18" s="184"/>
      <c r="N18" s="172"/>
      <c r="O18" s="172"/>
    </row>
    <row r="19" spans="1:23" ht="17.399999999999999" customHeight="1">
      <c r="A19" s="401" t="s">
        <v>150</v>
      </c>
      <c r="B19" s="388" t="s">
        <v>145</v>
      </c>
      <c r="C19" s="304"/>
      <c r="D19" s="41" t="s">
        <v>117</v>
      </c>
      <c r="E19" s="38" t="s">
        <v>118</v>
      </c>
      <c r="F19" s="264">
        <f t="shared" si="1"/>
        <v>9.3788899903097227E-3</v>
      </c>
      <c r="G19" s="110">
        <v>502.97239999999999</v>
      </c>
      <c r="H19" s="38">
        <f t="shared" si="0"/>
        <v>4526.7515999999996</v>
      </c>
      <c r="I19" s="38">
        <v>1</v>
      </c>
      <c r="J19" s="39">
        <f t="shared" si="2"/>
        <v>2.5148619999999999</v>
      </c>
      <c r="K19" s="40">
        <v>5</v>
      </c>
      <c r="L19" s="177"/>
      <c r="M19" s="184"/>
      <c r="N19" s="33"/>
      <c r="O19" s="33"/>
      <c r="P19" s="33"/>
      <c r="Q19" s="33"/>
      <c r="R19" s="33"/>
    </row>
    <row r="20" spans="1:23" ht="17.399999999999999" customHeight="1">
      <c r="A20" s="401" t="s">
        <v>151</v>
      </c>
      <c r="B20" s="388" t="s">
        <v>152</v>
      </c>
      <c r="C20" s="304"/>
      <c r="D20" s="41" t="s">
        <v>117</v>
      </c>
      <c r="E20" s="38" t="s">
        <v>153</v>
      </c>
      <c r="F20" s="181"/>
      <c r="G20" s="110">
        <v>17875.932499999999</v>
      </c>
      <c r="H20" s="38">
        <f>G20*4</f>
        <v>71503.73</v>
      </c>
      <c r="I20" s="38">
        <v>1</v>
      </c>
      <c r="J20" s="39"/>
      <c r="K20" s="39" t="s">
        <v>131</v>
      </c>
      <c r="L20" s="179"/>
      <c r="M20" s="179"/>
      <c r="N20" s="180"/>
      <c r="O20" s="170"/>
      <c r="P20" s="171"/>
    </row>
    <row r="21" spans="1:23" ht="17.399999999999999" customHeight="1">
      <c r="A21" s="402" t="str">
        <f>LEFT(A3,LEN(A3)-1)&amp;"M"</f>
        <v>Open_Office_Core_FloorM</v>
      </c>
      <c r="B21" s="190" t="s">
        <v>116</v>
      </c>
      <c r="C21" s="276"/>
      <c r="D21" s="190" t="s">
        <v>117</v>
      </c>
      <c r="E21" s="188" t="str">
        <f t="shared" ref="E21:E38" si="3">E3</f>
        <v>Yes</v>
      </c>
      <c r="F21" s="189">
        <f t="shared" ref="F21:F37" si="4">G21/$G$57</f>
        <v>7.9864791444811969E-2</v>
      </c>
      <c r="G21" s="190">
        <v>4283</v>
      </c>
      <c r="H21" s="190">
        <f t="shared" ref="H21:I38" si="5">H3</f>
        <v>38547</v>
      </c>
      <c r="I21" s="190">
        <f t="shared" si="5"/>
        <v>1</v>
      </c>
      <c r="J21" s="190">
        <f t="shared" si="2"/>
        <v>21.414999999999999</v>
      </c>
      <c r="K21" s="190">
        <f t="shared" ref="K21" si="6">K3</f>
        <v>5</v>
      </c>
      <c r="L21" s="178"/>
      <c r="M21" s="186"/>
      <c r="O21" s="170"/>
      <c r="P21" s="171"/>
    </row>
    <row r="22" spans="1:23" ht="17.399999999999999" customHeight="1">
      <c r="A22" s="402" t="str">
        <f t="shared" ref="A22:A38" si="7">LEFT(A4,LEN(A4)-1)&amp;"M"</f>
        <v>Open_Office_N_FloorM</v>
      </c>
      <c r="B22" s="190" t="s">
        <v>116</v>
      </c>
      <c r="C22" s="276"/>
      <c r="D22" s="190" t="s">
        <v>117</v>
      </c>
      <c r="E22" s="188" t="str">
        <f t="shared" si="3"/>
        <v>Yes</v>
      </c>
      <c r="F22" s="189">
        <f t="shared" si="4"/>
        <v>4.2850403468275136E-2</v>
      </c>
      <c r="G22" s="190">
        <v>2297.9873200000002</v>
      </c>
      <c r="H22" s="190">
        <f t="shared" si="5"/>
        <v>20681.885880000002</v>
      </c>
      <c r="I22" s="190">
        <f t="shared" si="5"/>
        <v>1</v>
      </c>
      <c r="J22" s="190">
        <f t="shared" si="2"/>
        <v>11.4899366</v>
      </c>
      <c r="K22" s="190">
        <f t="shared" ref="K22" si="8">K4</f>
        <v>5</v>
      </c>
      <c r="L22" s="173"/>
      <c r="M22" s="173"/>
      <c r="O22" s="170"/>
      <c r="P22" s="171"/>
    </row>
    <row r="23" spans="1:23" ht="17.399999999999999" customHeight="1">
      <c r="A23" s="402" t="str">
        <f t="shared" si="7"/>
        <v>Closed_Office_W_FloorM</v>
      </c>
      <c r="B23" s="190" t="s">
        <v>116</v>
      </c>
      <c r="C23" s="276"/>
      <c r="D23" s="190" t="s">
        <v>117</v>
      </c>
      <c r="E23" s="188" t="str">
        <f t="shared" si="3"/>
        <v>Yes</v>
      </c>
      <c r="F23" s="189">
        <f t="shared" si="4"/>
        <v>3.0541078673583424E-2</v>
      </c>
      <c r="G23" s="190">
        <v>1637.8611599999999</v>
      </c>
      <c r="H23" s="190">
        <f t="shared" si="5"/>
        <v>14740.75044</v>
      </c>
      <c r="I23" s="190">
        <f t="shared" si="5"/>
        <v>1</v>
      </c>
      <c r="J23" s="190">
        <f t="shared" si="2"/>
        <v>8.1893057999999996</v>
      </c>
      <c r="K23" s="190">
        <f t="shared" ref="K23" si="9">K5</f>
        <v>5</v>
      </c>
      <c r="L23" s="173"/>
      <c r="M23" s="173"/>
      <c r="O23" s="160"/>
    </row>
    <row r="24" spans="1:23" ht="17.399999999999999" customHeight="1">
      <c r="A24" s="402" t="str">
        <f>LEFT(A6,LEN(A6)-1)&amp;"M"</f>
        <v>Closed_Office_E_FloorM</v>
      </c>
      <c r="B24" s="190" t="s">
        <v>116</v>
      </c>
      <c r="C24" s="276"/>
      <c r="D24" s="190" t="s">
        <v>117</v>
      </c>
      <c r="E24" s="188" t="str">
        <f t="shared" si="3"/>
        <v>Yes</v>
      </c>
      <c r="F24" s="189">
        <f t="shared" si="4"/>
        <v>3.0541078673583424E-2</v>
      </c>
      <c r="G24" s="190">
        <v>1637.8611599999999</v>
      </c>
      <c r="H24" s="190">
        <f t="shared" si="5"/>
        <v>14740.75044</v>
      </c>
      <c r="I24" s="190">
        <f t="shared" si="5"/>
        <v>1</v>
      </c>
      <c r="J24" s="190">
        <f t="shared" si="2"/>
        <v>8.1893057999999996</v>
      </c>
      <c r="K24" s="190">
        <f t="shared" ref="K24" si="10">K6</f>
        <v>5</v>
      </c>
      <c r="L24" s="173"/>
      <c r="M24" s="173"/>
      <c r="O24" s="160"/>
    </row>
    <row r="25" spans="1:23" ht="17.399999999999999" customHeight="1">
      <c r="A25" s="402" t="str">
        <f t="shared" si="7"/>
        <v>Open_Office_S_FloorM</v>
      </c>
      <c r="B25" s="190" t="s">
        <v>116</v>
      </c>
      <c r="C25" s="276"/>
      <c r="D25" s="190" t="s">
        <v>117</v>
      </c>
      <c r="E25" s="188" t="str">
        <f t="shared" si="3"/>
        <v>Yes</v>
      </c>
      <c r="F25" s="189">
        <f t="shared" si="4"/>
        <v>2.2119125705444713E-2</v>
      </c>
      <c r="G25" s="190">
        <v>1186.20751</v>
      </c>
      <c r="H25" s="190">
        <f t="shared" si="5"/>
        <v>10675.86759</v>
      </c>
      <c r="I25" s="190">
        <f t="shared" si="5"/>
        <v>1</v>
      </c>
      <c r="J25" s="190">
        <f t="shared" si="2"/>
        <v>5.9310375500000001</v>
      </c>
      <c r="K25" s="190">
        <f t="shared" ref="K25" si="11">K7</f>
        <v>5</v>
      </c>
      <c r="L25" s="173"/>
      <c r="M25" s="173"/>
      <c r="O25" s="160"/>
    </row>
    <row r="26" spans="1:23" ht="17.399999999999999" customHeight="1">
      <c r="A26" s="402" t="str">
        <f t="shared" si="7"/>
        <v>Conference_FloorM</v>
      </c>
      <c r="B26" s="190" t="s">
        <v>124</v>
      </c>
      <c r="C26" s="276"/>
      <c r="D26" s="190" t="s">
        <v>117</v>
      </c>
      <c r="E26" s="188" t="str">
        <f t="shared" si="3"/>
        <v>Yes</v>
      </c>
      <c r="F26" s="189">
        <f t="shared" si="4"/>
        <v>2.073127776283042E-2</v>
      </c>
      <c r="G26" s="190">
        <v>1111.77981</v>
      </c>
      <c r="H26" s="190">
        <f t="shared" si="5"/>
        <v>10006.01829</v>
      </c>
      <c r="I26" s="190">
        <f t="shared" si="5"/>
        <v>1</v>
      </c>
      <c r="J26" s="190">
        <f t="shared" si="2"/>
        <v>36.688733730000003</v>
      </c>
      <c r="K26" s="190">
        <f t="shared" ref="K26" si="12">K8</f>
        <v>33</v>
      </c>
      <c r="L26" s="173"/>
      <c r="M26" s="173"/>
      <c r="O26" s="160"/>
    </row>
    <row r="27" spans="1:23" ht="17.399999999999999" customHeight="1">
      <c r="A27" s="402" t="str">
        <f>LEFT(A9,LEN(A9)-1)&amp;"M"</f>
        <v>Lobby/Lounge_FloorM</v>
      </c>
      <c r="B27" s="190" t="s">
        <v>127</v>
      </c>
      <c r="C27" s="276"/>
      <c r="D27" s="190" t="s">
        <v>117</v>
      </c>
      <c r="E27" s="188" t="str">
        <f t="shared" si="3"/>
        <v>Yes</v>
      </c>
      <c r="F27" s="189">
        <f t="shared" si="4"/>
        <v>1.9750368436845831E-2</v>
      </c>
      <c r="G27" s="190">
        <v>1059.1754699999999</v>
      </c>
      <c r="H27" s="190">
        <f t="shared" si="5"/>
        <v>9532.5792299999994</v>
      </c>
      <c r="I27" s="190">
        <f t="shared" si="5"/>
        <v>1</v>
      </c>
      <c r="J27" s="190">
        <f t="shared" si="2"/>
        <v>10.591754699999999</v>
      </c>
      <c r="K27" s="190">
        <f t="shared" ref="K27" si="13">K9</f>
        <v>10</v>
      </c>
      <c r="L27" s="174" t="s">
        <v>154</v>
      </c>
      <c r="M27" s="174"/>
      <c r="O27" s="160"/>
    </row>
    <row r="28" spans="1:23" ht="17.399999999999999" customHeight="1">
      <c r="A28" s="402" t="str">
        <f t="shared" si="7"/>
        <v>Storage_FloorM</v>
      </c>
      <c r="B28" s="190" t="s">
        <v>130</v>
      </c>
      <c r="C28" s="276"/>
      <c r="D28" s="190" t="s">
        <v>117</v>
      </c>
      <c r="E28" s="188" t="str">
        <f t="shared" si="3"/>
        <v>Yes</v>
      </c>
      <c r="F28" s="189">
        <f t="shared" si="4"/>
        <v>1.833284099983698E-2</v>
      </c>
      <c r="G28" s="190">
        <v>983.156114</v>
      </c>
      <c r="H28" s="190">
        <f t="shared" si="5"/>
        <v>8848.4050260000004</v>
      </c>
      <c r="I28" s="190">
        <f t="shared" si="5"/>
        <v>1</v>
      </c>
      <c r="J28" s="190"/>
      <c r="K28" s="190" t="str">
        <f t="shared" ref="K28" si="14">K10</f>
        <v>-</v>
      </c>
      <c r="L28" s="176"/>
      <c r="M28" s="176"/>
      <c r="O28" s="160"/>
      <c r="R28" s="164"/>
      <c r="S28" s="164"/>
      <c r="T28" s="164"/>
      <c r="U28" s="164"/>
      <c r="V28" s="164"/>
    </row>
    <row r="29" spans="1:23" ht="17.399999999999999" customHeight="1">
      <c r="A29" s="402" t="str">
        <f t="shared" si="7"/>
        <v>Mechanical/Electrical_FloorM</v>
      </c>
      <c r="B29" s="190" t="s">
        <v>133</v>
      </c>
      <c r="C29" s="276"/>
      <c r="D29" s="190" t="s">
        <v>117</v>
      </c>
      <c r="E29" s="188" t="str">
        <f t="shared" si="3"/>
        <v>Yes</v>
      </c>
      <c r="F29" s="189">
        <f t="shared" si="4"/>
        <v>6.663485999664309E-3</v>
      </c>
      <c r="G29" s="190">
        <v>357.35034200000001</v>
      </c>
      <c r="H29" s="190">
        <f t="shared" si="5"/>
        <v>3216.1530780000003</v>
      </c>
      <c r="I29" s="190">
        <f t="shared" si="5"/>
        <v>1</v>
      </c>
      <c r="J29" s="190"/>
      <c r="K29" s="190" t="str">
        <f t="shared" ref="K29" si="15">K11</f>
        <v>-</v>
      </c>
      <c r="L29" s="175"/>
      <c r="M29" s="175"/>
      <c r="O29" s="160"/>
      <c r="R29" s="164"/>
      <c r="S29" s="165"/>
      <c r="T29" s="166"/>
      <c r="U29" s="166"/>
      <c r="V29" s="166"/>
      <c r="W29" s="77"/>
    </row>
    <row r="30" spans="1:23" ht="17.399999999999999" customHeight="1">
      <c r="A30" s="402" t="str">
        <f t="shared" si="7"/>
        <v>IT-Room_FloorM</v>
      </c>
      <c r="B30" s="190" t="s">
        <v>135</v>
      </c>
      <c r="C30" s="276"/>
      <c r="D30" s="190" t="s">
        <v>136</v>
      </c>
      <c r="E30" s="188" t="str">
        <f t="shared" si="3"/>
        <v>Yes</v>
      </c>
      <c r="F30" s="189">
        <f t="shared" si="4"/>
        <v>3.3366309376435524E-3</v>
      </c>
      <c r="G30" s="190">
        <v>178.93730199999999</v>
      </c>
      <c r="H30" s="190">
        <f t="shared" si="5"/>
        <v>1610.435718</v>
      </c>
      <c r="I30" s="190">
        <f t="shared" si="5"/>
        <v>1</v>
      </c>
      <c r="J30" s="190"/>
      <c r="K30" s="190" t="str">
        <f t="shared" ref="K30" si="16">K12</f>
        <v>-</v>
      </c>
      <c r="L30" s="175"/>
      <c r="M30" s="175"/>
      <c r="O30" s="160"/>
      <c r="R30" s="164"/>
      <c r="S30" s="165"/>
      <c r="T30" s="166"/>
      <c r="U30" s="166"/>
      <c r="V30" s="166"/>
      <c r="W30" s="77"/>
    </row>
    <row r="31" spans="1:23" ht="17.399999999999999" customHeight="1">
      <c r="A31" s="402" t="str">
        <f t="shared" si="7"/>
        <v>Restroom_FloorM</v>
      </c>
      <c r="B31" s="190" t="s">
        <v>138</v>
      </c>
      <c r="C31" s="276"/>
      <c r="D31" s="190" t="s">
        <v>117</v>
      </c>
      <c r="E31" s="188" t="str">
        <f t="shared" si="3"/>
        <v>Yes</v>
      </c>
      <c r="F31" s="189">
        <f t="shared" si="4"/>
        <v>1.200074922527674E-2</v>
      </c>
      <c r="G31" s="190">
        <v>643.57782699999996</v>
      </c>
      <c r="H31" s="190">
        <f t="shared" si="5"/>
        <v>5792.2004429999997</v>
      </c>
      <c r="I31" s="190">
        <f t="shared" si="5"/>
        <v>1</v>
      </c>
      <c r="J31" s="190"/>
      <c r="K31" s="190" t="str">
        <f t="shared" ref="K31" si="17">K13</f>
        <v>-</v>
      </c>
      <c r="L31" s="175"/>
      <c r="M31" s="175"/>
      <c r="O31" s="160"/>
      <c r="R31" s="164"/>
      <c r="S31" s="165"/>
      <c r="T31" s="166"/>
      <c r="U31" s="166"/>
      <c r="V31" s="166"/>
      <c r="W31" s="77"/>
    </row>
    <row r="32" spans="1:23" ht="17.399999999999999" customHeight="1">
      <c r="A32" s="402" t="str">
        <f t="shared" si="7"/>
        <v>Break_FloorM</v>
      </c>
      <c r="B32" s="190" t="s">
        <v>140</v>
      </c>
      <c r="C32" s="276"/>
      <c r="D32" s="190" t="s">
        <v>117</v>
      </c>
      <c r="E32" s="188" t="str">
        <f t="shared" si="3"/>
        <v>Yes</v>
      </c>
      <c r="F32" s="189">
        <f t="shared" si="4"/>
        <v>4.3324822705770585E-3</v>
      </c>
      <c r="G32" s="190">
        <v>232.34295399999999</v>
      </c>
      <c r="H32" s="190">
        <f t="shared" si="5"/>
        <v>2091.0865859999999</v>
      </c>
      <c r="I32" s="190">
        <f t="shared" si="5"/>
        <v>1</v>
      </c>
      <c r="J32" s="190">
        <f t="shared" si="2"/>
        <v>7.6673174819999996</v>
      </c>
      <c r="K32" s="190">
        <f t="shared" ref="K32" si="18">K14</f>
        <v>33</v>
      </c>
      <c r="L32" s="175"/>
      <c r="M32" s="175"/>
      <c r="O32" s="160"/>
      <c r="R32" s="164"/>
      <c r="S32" s="165"/>
      <c r="T32" s="166"/>
      <c r="U32" s="166"/>
      <c r="V32" s="166"/>
      <c r="W32" s="77"/>
    </row>
    <row r="33" spans="1:23" ht="17.399999999999999" customHeight="1">
      <c r="A33" s="402" t="str">
        <f>LEFT(A15,LEN(A15)-1)&amp;"M"</f>
        <v>Stairway_FloorM</v>
      </c>
      <c r="B33" s="190" t="s">
        <v>143</v>
      </c>
      <c r="C33" s="276"/>
      <c r="D33" s="190" t="s">
        <v>117</v>
      </c>
      <c r="E33" s="188" t="str">
        <f t="shared" si="3"/>
        <v>Yes</v>
      </c>
      <c r="F33" s="189">
        <f t="shared" si="4"/>
        <v>1.2332933669883925E-2</v>
      </c>
      <c r="G33" s="190">
        <v>661.39225999999996</v>
      </c>
      <c r="H33" s="190">
        <f t="shared" si="5"/>
        <v>5952.5303399999993</v>
      </c>
      <c r="I33" s="190">
        <f t="shared" si="5"/>
        <v>1</v>
      </c>
      <c r="J33" s="190"/>
      <c r="K33" s="190" t="str">
        <f t="shared" ref="K33" si="19">K15</f>
        <v>-</v>
      </c>
      <c r="L33" s="175"/>
      <c r="M33" s="175"/>
      <c r="O33" s="160"/>
      <c r="R33" s="164"/>
      <c r="S33" s="165"/>
      <c r="T33" s="166"/>
      <c r="U33" s="166"/>
      <c r="V33" s="166"/>
      <c r="W33" s="77"/>
    </row>
    <row r="34" spans="1:23" ht="17.399999999999999" customHeight="1">
      <c r="A34" s="402" t="str">
        <f t="shared" si="7"/>
        <v>Corridor_W_FloorM</v>
      </c>
      <c r="B34" s="190" t="s">
        <v>145</v>
      </c>
      <c r="C34" s="276"/>
      <c r="D34" s="190" t="s">
        <v>117</v>
      </c>
      <c r="E34" s="188" t="str">
        <f t="shared" si="3"/>
        <v>Yes</v>
      </c>
      <c r="F34" s="189">
        <f t="shared" si="4"/>
        <v>5.5940783174045277E-3</v>
      </c>
      <c r="G34" s="190">
        <v>300</v>
      </c>
      <c r="H34" s="190">
        <f t="shared" si="5"/>
        <v>2700</v>
      </c>
      <c r="I34" s="190">
        <f t="shared" si="5"/>
        <v>1</v>
      </c>
      <c r="J34" s="190">
        <f t="shared" si="2"/>
        <v>1.5</v>
      </c>
      <c r="K34" s="190">
        <f t="shared" ref="K34" si="20">K16</f>
        <v>5</v>
      </c>
      <c r="L34" s="175"/>
      <c r="M34" s="175"/>
      <c r="O34" s="160"/>
      <c r="R34" s="164"/>
      <c r="S34" s="165"/>
      <c r="T34" s="166"/>
      <c r="U34" s="166"/>
      <c r="V34" s="166"/>
      <c r="W34" s="77"/>
    </row>
    <row r="35" spans="1:23" ht="17.399999999999999" customHeight="1">
      <c r="A35" s="402" t="str">
        <f t="shared" si="7"/>
        <v>Corridor_N_FloorM</v>
      </c>
      <c r="B35" s="190" t="s">
        <v>145</v>
      </c>
      <c r="C35" s="276"/>
      <c r="D35" s="190" t="s">
        <v>117</v>
      </c>
      <c r="E35" s="188" t="str">
        <f t="shared" si="3"/>
        <v>Yes</v>
      </c>
      <c r="F35" s="189">
        <f t="shared" si="4"/>
        <v>9.3788899903097227E-3</v>
      </c>
      <c r="G35" s="190">
        <v>502.97239999999999</v>
      </c>
      <c r="H35" s="190">
        <f t="shared" si="5"/>
        <v>4526.7515999999996</v>
      </c>
      <c r="I35" s="190">
        <f t="shared" si="5"/>
        <v>1</v>
      </c>
      <c r="J35" s="190">
        <f t="shared" si="2"/>
        <v>2.5148619999999999</v>
      </c>
      <c r="K35" s="190">
        <f t="shared" ref="K35" si="21">K17</f>
        <v>5</v>
      </c>
      <c r="L35" s="175"/>
      <c r="M35" s="175"/>
      <c r="O35" s="160"/>
      <c r="R35" s="164"/>
      <c r="S35" s="165"/>
      <c r="T35" s="166"/>
      <c r="U35" s="166"/>
      <c r="V35" s="166"/>
      <c r="W35" s="77"/>
    </row>
    <row r="36" spans="1:23" ht="17.399999999999999" customHeight="1">
      <c r="A36" s="402" t="str">
        <f t="shared" si="7"/>
        <v>Corridor_E_FloorM</v>
      </c>
      <c r="B36" s="190" t="s">
        <v>145</v>
      </c>
      <c r="C36" s="276"/>
      <c r="D36" s="190" t="s">
        <v>117</v>
      </c>
      <c r="E36" s="188" t="str">
        <f t="shared" si="3"/>
        <v>Yes</v>
      </c>
      <c r="F36" s="189">
        <f t="shared" si="4"/>
        <v>5.5793024918754904E-3</v>
      </c>
      <c r="G36" s="190">
        <v>299.20760000000001</v>
      </c>
      <c r="H36" s="190">
        <f t="shared" si="5"/>
        <v>2692.8684000000003</v>
      </c>
      <c r="I36" s="190">
        <f t="shared" si="5"/>
        <v>1</v>
      </c>
      <c r="J36" s="190">
        <f t="shared" si="2"/>
        <v>1.496038</v>
      </c>
      <c r="K36" s="190">
        <f t="shared" ref="K36" si="22">K18</f>
        <v>5</v>
      </c>
      <c r="L36" s="175"/>
      <c r="M36" s="175"/>
      <c r="N36" s="548" t="s">
        <v>155</v>
      </c>
      <c r="O36" s="548"/>
      <c r="P36" s="548"/>
      <c r="Q36" s="548"/>
      <c r="R36" s="548"/>
      <c r="S36" s="165"/>
      <c r="T36" s="166"/>
      <c r="U36" s="166"/>
      <c r="V36" s="166"/>
      <c r="W36" s="77"/>
    </row>
    <row r="37" spans="1:23" ht="17.399999999999999" customHeight="1">
      <c r="A37" s="402" t="str">
        <f t="shared" si="7"/>
        <v>Corridor_S_FloorM</v>
      </c>
      <c r="B37" s="190" t="s">
        <v>145</v>
      </c>
      <c r="C37" s="276"/>
      <c r="D37" s="190" t="s">
        <v>117</v>
      </c>
      <c r="E37" s="188" t="str">
        <f t="shared" si="3"/>
        <v>Yes</v>
      </c>
      <c r="F37" s="189">
        <f t="shared" si="4"/>
        <v>9.3788899903097227E-3</v>
      </c>
      <c r="G37" s="190">
        <v>502.97239999999999</v>
      </c>
      <c r="H37" s="190">
        <f t="shared" si="5"/>
        <v>4526.7515999999996</v>
      </c>
      <c r="I37" s="190">
        <f t="shared" si="5"/>
        <v>1</v>
      </c>
      <c r="J37" s="190">
        <f t="shared" si="2"/>
        <v>2.5148619999999999</v>
      </c>
      <c r="K37" s="190">
        <f t="shared" ref="K37" si="23">K19</f>
        <v>5</v>
      </c>
      <c r="L37" s="173"/>
      <c r="M37" s="173"/>
      <c r="O37" s="160"/>
      <c r="R37" s="164"/>
      <c r="S37" s="166"/>
      <c r="T37" s="166"/>
      <c r="U37" s="166"/>
      <c r="V37" s="166"/>
      <c r="W37" s="77"/>
    </row>
    <row r="38" spans="1:23" ht="17.399999999999999" customHeight="1">
      <c r="A38" s="402" t="str">
        <f t="shared" si="7"/>
        <v>Plenum_FloorM</v>
      </c>
      <c r="B38" s="190" t="s">
        <v>152</v>
      </c>
      <c r="C38" s="276"/>
      <c r="D38" s="190" t="s">
        <v>117</v>
      </c>
      <c r="E38" s="188" t="str">
        <f t="shared" si="3"/>
        <v>No</v>
      </c>
      <c r="F38" s="189"/>
      <c r="G38" s="190">
        <v>17875.932499999999</v>
      </c>
      <c r="H38" s="190">
        <f t="shared" si="5"/>
        <v>71503.73</v>
      </c>
      <c r="I38" s="190">
        <f t="shared" si="5"/>
        <v>1</v>
      </c>
      <c r="J38" s="190"/>
      <c r="K38" s="190" t="str">
        <f t="shared" ref="K38" si="24">K20</f>
        <v>-</v>
      </c>
      <c r="L38" s="173"/>
      <c r="M38" s="173"/>
      <c r="O38" s="160"/>
      <c r="W38" s="77"/>
    </row>
    <row r="39" spans="1:23" ht="17.399999999999999" customHeight="1">
      <c r="A39" s="401" t="str">
        <f>LEFT(A3,LEN(A3)-1)&amp;"T"</f>
        <v>Open_Office_Core_FloorT</v>
      </c>
      <c r="B39" s="388" t="s">
        <v>116</v>
      </c>
      <c r="C39" s="303"/>
      <c r="D39" s="41" t="s">
        <v>117</v>
      </c>
      <c r="E39" s="38" t="str">
        <f t="shared" ref="E39:E56" si="25">E3</f>
        <v>Yes</v>
      </c>
      <c r="F39" s="264">
        <f t="shared" ref="F39:F54" si="26">G39/$G$57</f>
        <v>7.9864791444811969E-2</v>
      </c>
      <c r="G39" s="110">
        <v>4283</v>
      </c>
      <c r="H39" s="38">
        <f t="shared" ref="H39:I56" si="27">H3</f>
        <v>38547</v>
      </c>
      <c r="I39" s="38">
        <f t="shared" si="27"/>
        <v>1</v>
      </c>
      <c r="J39" s="39">
        <f t="shared" si="2"/>
        <v>21.414999999999999</v>
      </c>
      <c r="K39" s="38">
        <f t="shared" ref="K39" si="28">K3</f>
        <v>5</v>
      </c>
      <c r="L39" s="173"/>
      <c r="M39" s="173"/>
      <c r="O39" s="160"/>
    </row>
    <row r="40" spans="1:23" ht="17.399999999999999" customHeight="1">
      <c r="A40" s="401" t="str">
        <f t="shared" ref="A40:A56" si="29">LEFT(A4,LEN(A4)-1)&amp;"T"</f>
        <v>Open_Office_N_FloorT</v>
      </c>
      <c r="B40" s="388" t="s">
        <v>116</v>
      </c>
      <c r="C40" s="303"/>
      <c r="D40" s="41" t="s">
        <v>117</v>
      </c>
      <c r="E40" s="38" t="str">
        <f t="shared" si="25"/>
        <v>Yes</v>
      </c>
      <c r="F40" s="264">
        <f t="shared" si="26"/>
        <v>4.2850403468275136E-2</v>
      </c>
      <c r="G40" s="110">
        <v>2297.9873200000002</v>
      </c>
      <c r="H40" s="38">
        <f t="shared" si="27"/>
        <v>20681.885880000002</v>
      </c>
      <c r="I40" s="38">
        <f t="shared" si="27"/>
        <v>1</v>
      </c>
      <c r="J40" s="39">
        <f t="shared" si="2"/>
        <v>11.4899366</v>
      </c>
      <c r="K40" s="38">
        <f t="shared" ref="K40" si="30">K4</f>
        <v>5</v>
      </c>
      <c r="L40" s="173"/>
      <c r="M40" s="173"/>
      <c r="O40" s="160"/>
    </row>
    <row r="41" spans="1:23" ht="17.399999999999999" customHeight="1">
      <c r="A41" s="401" t="str">
        <f t="shared" si="29"/>
        <v>Closed_Office_W_FloorT</v>
      </c>
      <c r="B41" s="388" t="s">
        <v>116</v>
      </c>
      <c r="C41" s="303"/>
      <c r="D41" s="41" t="s">
        <v>117</v>
      </c>
      <c r="E41" s="38" t="str">
        <f t="shared" si="25"/>
        <v>Yes</v>
      </c>
      <c r="F41" s="264">
        <f t="shared" si="26"/>
        <v>3.0541078673583424E-2</v>
      </c>
      <c r="G41" s="110">
        <v>1637.8611599999999</v>
      </c>
      <c r="H41" s="38">
        <f t="shared" si="27"/>
        <v>14740.75044</v>
      </c>
      <c r="I41" s="38">
        <f t="shared" si="27"/>
        <v>1</v>
      </c>
      <c r="J41" s="39">
        <f t="shared" si="2"/>
        <v>8.1893057999999996</v>
      </c>
      <c r="K41" s="38">
        <f t="shared" ref="K41" si="31">K5</f>
        <v>5</v>
      </c>
      <c r="L41" s="173"/>
      <c r="M41" s="173"/>
      <c r="O41" s="160"/>
    </row>
    <row r="42" spans="1:23" ht="17.399999999999999" customHeight="1">
      <c r="A42" s="401" t="str">
        <f t="shared" si="29"/>
        <v>Closed_Office_E_FloorT</v>
      </c>
      <c r="B42" s="388" t="s">
        <v>116</v>
      </c>
      <c r="C42" s="303"/>
      <c r="D42" s="41" t="s">
        <v>117</v>
      </c>
      <c r="E42" s="38" t="str">
        <f t="shared" si="25"/>
        <v>Yes</v>
      </c>
      <c r="F42" s="264">
        <f t="shared" si="26"/>
        <v>3.0541078673583424E-2</v>
      </c>
      <c r="G42" s="110">
        <v>1637.8611599999999</v>
      </c>
      <c r="H42" s="38">
        <f t="shared" si="27"/>
        <v>14740.75044</v>
      </c>
      <c r="I42" s="38">
        <f t="shared" si="27"/>
        <v>1</v>
      </c>
      <c r="J42" s="39">
        <f t="shared" si="2"/>
        <v>8.1893057999999996</v>
      </c>
      <c r="K42" s="38">
        <f t="shared" ref="K42" si="32">K6</f>
        <v>5</v>
      </c>
      <c r="L42" s="173"/>
      <c r="M42" s="173"/>
      <c r="O42" s="160"/>
    </row>
    <row r="43" spans="1:23" ht="17.399999999999999" customHeight="1">
      <c r="A43" s="401" t="str">
        <f t="shared" si="29"/>
        <v>Open_Office_S_FloorT</v>
      </c>
      <c r="B43" s="388" t="s">
        <v>116</v>
      </c>
      <c r="C43" s="303"/>
      <c r="D43" s="41" t="s">
        <v>117</v>
      </c>
      <c r="E43" s="38" t="str">
        <f t="shared" si="25"/>
        <v>Yes</v>
      </c>
      <c r="F43" s="264">
        <f t="shared" si="26"/>
        <v>2.2119125705444713E-2</v>
      </c>
      <c r="G43" s="110">
        <v>1186.20751</v>
      </c>
      <c r="H43" s="38">
        <f t="shared" si="27"/>
        <v>10675.86759</v>
      </c>
      <c r="I43" s="38">
        <f t="shared" si="27"/>
        <v>1</v>
      </c>
      <c r="J43" s="39">
        <f t="shared" si="2"/>
        <v>5.9310375500000001</v>
      </c>
      <c r="K43" s="38">
        <f t="shared" ref="K43" si="33">K7</f>
        <v>5</v>
      </c>
      <c r="L43" s="173"/>
      <c r="M43" s="173"/>
      <c r="O43" s="160"/>
    </row>
    <row r="44" spans="1:23" ht="17.399999999999999" customHeight="1">
      <c r="A44" s="401" t="str">
        <f t="shared" si="29"/>
        <v>Conference_FloorT</v>
      </c>
      <c r="B44" s="388" t="s">
        <v>124</v>
      </c>
      <c r="C44" s="303"/>
      <c r="D44" s="41" t="s">
        <v>117</v>
      </c>
      <c r="E44" s="38" t="str">
        <f t="shared" si="25"/>
        <v>Yes</v>
      </c>
      <c r="F44" s="264">
        <f t="shared" si="26"/>
        <v>2.073127776283042E-2</v>
      </c>
      <c r="G44" s="110">
        <v>1111.77981</v>
      </c>
      <c r="H44" s="38">
        <f t="shared" si="27"/>
        <v>10006.01829</v>
      </c>
      <c r="I44" s="38">
        <f t="shared" si="27"/>
        <v>1</v>
      </c>
      <c r="J44" s="39">
        <f t="shared" si="2"/>
        <v>36.688733730000003</v>
      </c>
      <c r="K44" s="38">
        <f t="shared" ref="K44" si="34">K8</f>
        <v>33</v>
      </c>
      <c r="L44" s="173"/>
      <c r="M44" s="173"/>
      <c r="O44" s="160"/>
    </row>
    <row r="45" spans="1:23" ht="17.399999999999999" customHeight="1">
      <c r="A45" s="401" t="str">
        <f t="shared" si="29"/>
        <v>Lobby/Lounge_FloorT</v>
      </c>
      <c r="B45" s="388" t="s">
        <v>127</v>
      </c>
      <c r="C45" s="303"/>
      <c r="D45" s="41" t="s">
        <v>117</v>
      </c>
      <c r="E45" s="38" t="str">
        <f t="shared" si="25"/>
        <v>Yes</v>
      </c>
      <c r="F45" s="264">
        <f t="shared" si="26"/>
        <v>1.9750368436845831E-2</v>
      </c>
      <c r="G45" s="110">
        <v>1059.1754699999999</v>
      </c>
      <c r="H45" s="38">
        <f t="shared" si="27"/>
        <v>9532.5792299999994</v>
      </c>
      <c r="I45" s="38">
        <f t="shared" si="27"/>
        <v>1</v>
      </c>
      <c r="J45" s="39">
        <f t="shared" si="2"/>
        <v>10.591754699999999</v>
      </c>
      <c r="K45" s="38">
        <f t="shared" ref="K45" si="35">K9</f>
        <v>10</v>
      </c>
      <c r="L45" s="174" t="s">
        <v>154</v>
      </c>
      <c r="M45" s="174"/>
      <c r="O45" s="160"/>
    </row>
    <row r="46" spans="1:23" ht="17.399999999999999" customHeight="1">
      <c r="A46" s="401" t="str">
        <f t="shared" si="29"/>
        <v>Storage_FloorT</v>
      </c>
      <c r="B46" s="388" t="s">
        <v>130</v>
      </c>
      <c r="C46" s="303"/>
      <c r="D46" s="41" t="s">
        <v>117</v>
      </c>
      <c r="E46" s="38" t="str">
        <f t="shared" si="25"/>
        <v>Yes</v>
      </c>
      <c r="F46" s="264">
        <f t="shared" si="26"/>
        <v>1.833284099983698E-2</v>
      </c>
      <c r="G46" s="110">
        <v>983.156114</v>
      </c>
      <c r="H46" s="38">
        <f t="shared" si="27"/>
        <v>8848.4050260000004</v>
      </c>
      <c r="I46" s="38">
        <f t="shared" si="27"/>
        <v>1</v>
      </c>
      <c r="J46" s="39"/>
      <c r="K46" s="38" t="str">
        <f t="shared" ref="K46" si="36">K10</f>
        <v>-</v>
      </c>
      <c r="L46" s="176"/>
      <c r="M46" s="176"/>
      <c r="O46" s="160"/>
    </row>
    <row r="47" spans="1:23" ht="17.399999999999999" customHeight="1">
      <c r="A47" s="401" t="str">
        <f t="shared" si="29"/>
        <v>Mechanical/Electrical_FloorT</v>
      </c>
      <c r="B47" s="388" t="s">
        <v>133</v>
      </c>
      <c r="C47" s="303"/>
      <c r="D47" s="41" t="s">
        <v>117</v>
      </c>
      <c r="E47" s="38" t="str">
        <f t="shared" si="25"/>
        <v>Yes</v>
      </c>
      <c r="F47" s="264">
        <f t="shared" si="26"/>
        <v>6.663485999664309E-3</v>
      </c>
      <c r="G47" s="110">
        <v>357.35034200000001</v>
      </c>
      <c r="H47" s="38">
        <f t="shared" si="27"/>
        <v>3216.1530780000003</v>
      </c>
      <c r="I47" s="38">
        <f t="shared" si="27"/>
        <v>1</v>
      </c>
      <c r="J47" s="39"/>
      <c r="K47" s="38" t="str">
        <f t="shared" ref="K47" si="37">K11</f>
        <v>-</v>
      </c>
      <c r="L47" s="175"/>
      <c r="M47" s="175"/>
      <c r="O47" s="160"/>
    </row>
    <row r="48" spans="1:23" ht="17.399999999999999" customHeight="1">
      <c r="A48" s="401" t="str">
        <f t="shared" si="29"/>
        <v>IT-Room_FloorT</v>
      </c>
      <c r="B48" s="388" t="s">
        <v>135</v>
      </c>
      <c r="C48" s="303"/>
      <c r="D48" s="41" t="s">
        <v>136</v>
      </c>
      <c r="E48" s="38" t="str">
        <f t="shared" si="25"/>
        <v>Yes</v>
      </c>
      <c r="F48" s="264">
        <f t="shared" si="26"/>
        <v>3.3366309376435524E-3</v>
      </c>
      <c r="G48" s="110">
        <v>178.93730199999999</v>
      </c>
      <c r="H48" s="38">
        <f t="shared" si="27"/>
        <v>1610.435718</v>
      </c>
      <c r="I48" s="38">
        <f t="shared" si="27"/>
        <v>1</v>
      </c>
      <c r="J48" s="39"/>
      <c r="K48" s="38" t="str">
        <f t="shared" ref="K48" si="38">K12</f>
        <v>-</v>
      </c>
      <c r="L48" s="175"/>
      <c r="M48" s="175"/>
      <c r="O48" s="160"/>
    </row>
    <row r="49" spans="1:17" ht="17.399999999999999" customHeight="1">
      <c r="A49" s="401" t="str">
        <f t="shared" si="29"/>
        <v>Restroom_FloorT</v>
      </c>
      <c r="B49" s="388" t="s">
        <v>138</v>
      </c>
      <c r="C49" s="303"/>
      <c r="D49" s="41" t="s">
        <v>117</v>
      </c>
      <c r="E49" s="38" t="str">
        <f t="shared" si="25"/>
        <v>Yes</v>
      </c>
      <c r="F49" s="264">
        <f t="shared" si="26"/>
        <v>1.200074922527674E-2</v>
      </c>
      <c r="G49" s="110">
        <v>643.57782699999996</v>
      </c>
      <c r="H49" s="38">
        <f t="shared" si="27"/>
        <v>5792.2004429999997</v>
      </c>
      <c r="I49" s="38">
        <f t="shared" si="27"/>
        <v>1</v>
      </c>
      <c r="J49" s="39"/>
      <c r="K49" s="38" t="str">
        <f t="shared" ref="K49" si="39">K13</f>
        <v>-</v>
      </c>
      <c r="L49" s="175"/>
      <c r="M49" s="175"/>
      <c r="O49" s="160"/>
    </row>
    <row r="50" spans="1:17" ht="17.399999999999999" customHeight="1">
      <c r="A50" s="401" t="str">
        <f>LEFT(A14,LEN(A14)-1)&amp;"T"</f>
        <v>Break_FloorT</v>
      </c>
      <c r="B50" s="388" t="s">
        <v>140</v>
      </c>
      <c r="C50" s="303"/>
      <c r="D50" s="41" t="s">
        <v>117</v>
      </c>
      <c r="E50" s="38" t="str">
        <f t="shared" si="25"/>
        <v>Yes</v>
      </c>
      <c r="F50" s="264">
        <f t="shared" si="26"/>
        <v>4.3324822705770585E-3</v>
      </c>
      <c r="G50" s="110">
        <v>232.34295399999999</v>
      </c>
      <c r="H50" s="38">
        <f t="shared" si="27"/>
        <v>2091.0865859999999</v>
      </c>
      <c r="I50" s="38">
        <f t="shared" si="27"/>
        <v>1</v>
      </c>
      <c r="J50" s="39">
        <f t="shared" si="2"/>
        <v>7.6673174819999996</v>
      </c>
      <c r="K50" s="38">
        <f t="shared" ref="K50" si="40">K14</f>
        <v>33</v>
      </c>
      <c r="L50" s="175"/>
      <c r="M50" s="175"/>
      <c r="O50" s="160"/>
    </row>
    <row r="51" spans="1:17" ht="17.399999999999999" customHeight="1">
      <c r="A51" s="401" t="str">
        <f t="shared" si="29"/>
        <v>Stairway_FloorT</v>
      </c>
      <c r="B51" s="388" t="s">
        <v>143</v>
      </c>
      <c r="C51" s="303"/>
      <c r="D51" s="41" t="s">
        <v>117</v>
      </c>
      <c r="E51" s="38" t="str">
        <f t="shared" si="25"/>
        <v>Yes</v>
      </c>
      <c r="F51" s="264">
        <f t="shared" si="26"/>
        <v>1.2332933669883925E-2</v>
      </c>
      <c r="G51" s="110">
        <v>661.39225999999996</v>
      </c>
      <c r="H51" s="38">
        <f t="shared" si="27"/>
        <v>5952.5303399999993</v>
      </c>
      <c r="I51" s="38">
        <f t="shared" si="27"/>
        <v>1</v>
      </c>
      <c r="J51" s="39"/>
      <c r="K51" s="38" t="str">
        <f t="shared" ref="K51" si="41">K15</f>
        <v>-</v>
      </c>
      <c r="L51" s="175"/>
      <c r="M51" s="175"/>
      <c r="O51" s="160"/>
    </row>
    <row r="52" spans="1:17" ht="17.399999999999999" customHeight="1">
      <c r="A52" s="401" t="str">
        <f t="shared" si="29"/>
        <v>Corridor_W_FloorT</v>
      </c>
      <c r="B52" s="388" t="s">
        <v>145</v>
      </c>
      <c r="C52" s="303"/>
      <c r="D52" s="41" t="s">
        <v>117</v>
      </c>
      <c r="E52" s="38" t="str">
        <f t="shared" si="25"/>
        <v>Yes</v>
      </c>
      <c r="F52" s="264">
        <f t="shared" si="26"/>
        <v>5.5940783174045277E-3</v>
      </c>
      <c r="G52" s="110">
        <v>300</v>
      </c>
      <c r="H52" s="38">
        <f t="shared" si="27"/>
        <v>2700</v>
      </c>
      <c r="I52" s="38">
        <f t="shared" si="27"/>
        <v>1</v>
      </c>
      <c r="J52" s="39">
        <f t="shared" si="2"/>
        <v>1.5</v>
      </c>
      <c r="K52" s="38">
        <f t="shared" ref="K52" si="42">K16</f>
        <v>5</v>
      </c>
      <c r="L52" s="175"/>
      <c r="M52" s="175"/>
      <c r="O52" s="160"/>
    </row>
    <row r="53" spans="1:17" ht="17.399999999999999" customHeight="1">
      <c r="A53" s="401" t="str">
        <f t="shared" si="29"/>
        <v>Corridor_N_FloorT</v>
      </c>
      <c r="B53" s="388" t="s">
        <v>145</v>
      </c>
      <c r="C53" s="303"/>
      <c r="D53" s="41" t="s">
        <v>117</v>
      </c>
      <c r="E53" s="38" t="str">
        <f t="shared" si="25"/>
        <v>Yes</v>
      </c>
      <c r="F53" s="264">
        <f t="shared" si="26"/>
        <v>9.3788899903097227E-3</v>
      </c>
      <c r="G53" s="110">
        <v>502.97239999999999</v>
      </c>
      <c r="H53" s="38">
        <f t="shared" si="27"/>
        <v>4526.7515999999996</v>
      </c>
      <c r="I53" s="38">
        <f t="shared" si="27"/>
        <v>1</v>
      </c>
      <c r="J53" s="39">
        <f t="shared" si="2"/>
        <v>2.5148619999999999</v>
      </c>
      <c r="K53" s="38">
        <f t="shared" ref="K53" si="43">K17</f>
        <v>5</v>
      </c>
      <c r="L53" s="175"/>
      <c r="M53" s="175"/>
      <c r="O53" s="160"/>
    </row>
    <row r="54" spans="1:17" ht="17.399999999999999" customHeight="1">
      <c r="A54" s="401" t="str">
        <f t="shared" si="29"/>
        <v>Corridor_E_FloorT</v>
      </c>
      <c r="B54" s="388" t="s">
        <v>145</v>
      </c>
      <c r="C54" s="303"/>
      <c r="D54" s="41" t="s">
        <v>117</v>
      </c>
      <c r="E54" s="38" t="str">
        <f t="shared" si="25"/>
        <v>Yes</v>
      </c>
      <c r="F54" s="264">
        <f t="shared" si="26"/>
        <v>5.5940783174045277E-3</v>
      </c>
      <c r="G54" s="110">
        <v>300</v>
      </c>
      <c r="H54" s="38">
        <f t="shared" si="27"/>
        <v>2692.8684000000003</v>
      </c>
      <c r="I54" s="38">
        <f t="shared" si="27"/>
        <v>1</v>
      </c>
      <c r="J54" s="39">
        <f t="shared" si="2"/>
        <v>1.5</v>
      </c>
      <c r="K54" s="38">
        <f t="shared" ref="K54" si="44">K18</f>
        <v>5</v>
      </c>
      <c r="L54" s="175"/>
      <c r="M54" s="175"/>
      <c r="O54" s="160"/>
    </row>
    <row r="55" spans="1:17" ht="17.399999999999999" customHeight="1">
      <c r="A55" s="401" t="str">
        <f t="shared" si="29"/>
        <v>Corridor_S_FloorT</v>
      </c>
      <c r="B55" s="388" t="s">
        <v>145</v>
      </c>
      <c r="C55" s="303"/>
      <c r="D55" s="41" t="s">
        <v>117</v>
      </c>
      <c r="E55" s="38" t="str">
        <f t="shared" si="25"/>
        <v>Yes</v>
      </c>
      <c r="F55" s="264">
        <f>G55/$G$57</f>
        <v>9.3788899903097227E-3</v>
      </c>
      <c r="G55" s="110">
        <v>502.97239999999999</v>
      </c>
      <c r="H55" s="38">
        <f t="shared" si="27"/>
        <v>4526.7515999999996</v>
      </c>
      <c r="I55" s="38">
        <f t="shared" si="27"/>
        <v>1</v>
      </c>
      <c r="J55" s="39">
        <f t="shared" si="2"/>
        <v>2.5148619999999999</v>
      </c>
      <c r="K55" s="38">
        <f t="shared" ref="K55" si="45">K19</f>
        <v>5</v>
      </c>
      <c r="L55" s="173"/>
      <c r="M55" s="173"/>
      <c r="O55" s="160"/>
    </row>
    <row r="56" spans="1:17" ht="17.399999999999999" customHeight="1">
      <c r="A56" s="401" t="str">
        <f t="shared" si="29"/>
        <v>Plenum_FloorT</v>
      </c>
      <c r="B56" s="388" t="s">
        <v>152</v>
      </c>
      <c r="C56" s="303"/>
      <c r="D56" s="41" t="s">
        <v>117</v>
      </c>
      <c r="E56" s="38" t="str">
        <f t="shared" si="25"/>
        <v>No</v>
      </c>
      <c r="F56" s="181"/>
      <c r="G56" s="110">
        <v>17875.932499999999</v>
      </c>
      <c r="H56" s="38">
        <f t="shared" si="27"/>
        <v>71503.73</v>
      </c>
      <c r="I56" s="194">
        <f t="shared" si="27"/>
        <v>1</v>
      </c>
      <c r="J56" s="39"/>
      <c r="K56" s="194" t="str">
        <f t="shared" ref="K56" si="46">K20</f>
        <v>-</v>
      </c>
      <c r="L56" s="173"/>
      <c r="M56" s="173"/>
      <c r="O56" s="160"/>
    </row>
    <row r="57" spans="1:17" ht="39.6">
      <c r="A57" s="277" t="s">
        <v>156</v>
      </c>
      <c r="B57" s="277" t="s">
        <v>157</v>
      </c>
      <c r="C57" s="278" t="s">
        <v>158</v>
      </c>
      <c r="D57" s="285" t="s">
        <v>159</v>
      </c>
      <c r="E57" s="43" t="s">
        <v>160</v>
      </c>
      <c r="F57" s="265">
        <f>SUM(F3:F56)</f>
        <v>0.99999999999999989</v>
      </c>
      <c r="G57" s="42">
        <f>SUM(G3:G56)-G56*3</f>
        <v>53628.137287000005</v>
      </c>
      <c r="H57" s="193">
        <f>SUM(H4:H56)</f>
        <v>658610.29398299986</v>
      </c>
      <c r="I57" s="197"/>
      <c r="J57" s="39"/>
      <c r="K57" s="39"/>
      <c r="L57" s="173"/>
      <c r="M57" s="173"/>
      <c r="O57" s="160"/>
    </row>
    <row r="58" spans="1:17" ht="14.4">
      <c r="H58" s="45"/>
      <c r="I58" s="45"/>
      <c r="J58" s="45"/>
      <c r="K58" s="173"/>
      <c r="L58" s="173"/>
      <c r="M58" s="45"/>
      <c r="N58" s="45"/>
      <c r="O58" s="159"/>
      <c r="P58" s="159"/>
    </row>
    <row r="59" spans="1:17" ht="13.2">
      <c r="D59" s="93"/>
      <c r="E59" s="22"/>
      <c r="F59" s="22"/>
      <c r="G59" s="22"/>
      <c r="H59" s="46"/>
      <c r="K59" s="45"/>
      <c r="L59" s="45"/>
      <c r="M59" s="45"/>
      <c r="N59" s="45"/>
      <c r="O59" s="45"/>
      <c r="P59" s="45"/>
    </row>
    <row r="60" spans="1:17" ht="14.4" customHeight="1">
      <c r="A60" s="22" t="s">
        <v>161</v>
      </c>
      <c r="D60" s="94"/>
      <c r="E60" s="27"/>
      <c r="F60" s="27"/>
      <c r="H60" s="45"/>
      <c r="I60" s="46"/>
      <c r="J60" s="45"/>
      <c r="K60" s="45"/>
      <c r="L60" s="45"/>
      <c r="M60" s="45"/>
      <c r="N60" s="45"/>
      <c r="O60" s="45"/>
      <c r="P60" s="45"/>
    </row>
    <row r="61" spans="1:17" ht="13.2">
      <c r="A61" s="27" t="s">
        <v>34</v>
      </c>
      <c r="D61" s="286"/>
      <c r="E61" s="47"/>
      <c r="F61" s="47"/>
      <c r="H61" s="45"/>
      <c r="I61" s="45"/>
      <c r="J61" s="45"/>
      <c r="K61" s="45"/>
      <c r="L61" s="45"/>
      <c r="M61" s="45"/>
      <c r="N61" s="45"/>
      <c r="O61" s="45"/>
      <c r="P61" s="45"/>
    </row>
    <row r="62" spans="1:17" ht="13.2">
      <c r="A62" s="47" t="s">
        <v>162</v>
      </c>
      <c r="C62" s="45"/>
      <c r="D62" s="524"/>
      <c r="E62" s="45"/>
      <c r="F62" s="45"/>
      <c r="H62" s="45"/>
      <c r="I62" s="45"/>
      <c r="J62" s="45"/>
      <c r="K62" s="45"/>
      <c r="L62" s="45"/>
      <c r="M62" s="45"/>
      <c r="N62" s="45"/>
      <c r="O62" s="45"/>
      <c r="P62" s="45"/>
    </row>
    <row r="63" spans="1:17" ht="13.2">
      <c r="C63" s="45"/>
      <c r="D63" s="524"/>
      <c r="E63" s="45"/>
      <c r="F63" s="45"/>
      <c r="H63" s="45"/>
      <c r="I63" s="45"/>
      <c r="J63" s="45"/>
      <c r="K63" s="45"/>
      <c r="L63" s="45"/>
      <c r="M63" s="45"/>
      <c r="N63" s="45"/>
      <c r="O63" s="157"/>
      <c r="P63" s="157"/>
      <c r="Q63" s="75"/>
    </row>
    <row r="64" spans="1:17" ht="13.2">
      <c r="H64" s="45"/>
      <c r="I64" s="45"/>
      <c r="J64" s="45"/>
      <c r="K64" s="45"/>
      <c r="L64" s="45"/>
      <c r="M64" s="45"/>
      <c r="N64" s="45"/>
      <c r="O64" s="158"/>
      <c r="P64" s="158"/>
    </row>
    <row r="65" spans="8:16" ht="13.2">
      <c r="H65" s="45"/>
      <c r="I65" s="45"/>
      <c r="J65" s="45"/>
      <c r="K65" s="45"/>
      <c r="L65" s="45"/>
      <c r="M65" s="45"/>
      <c r="N65" s="45"/>
      <c r="O65" s="45"/>
      <c r="P65" s="45"/>
    </row>
  </sheetData>
  <autoFilter ref="A2:AD2" xr:uid="{2E9DC9C1-ABE9-4C74-8C0A-F769CBEC5074}"/>
  <mergeCells count="4">
    <mergeCell ref="N1:R1"/>
    <mergeCell ref="N36:R36"/>
    <mergeCell ref="N17:R17"/>
    <mergeCell ref="A1:L1"/>
  </mergeCells>
  <phoneticPr fontId="6" type="noConversion"/>
  <hyperlinks>
    <hyperlink ref="A61" r:id="rId1" xr:uid="{58518BC6-E4B2-4912-A8F5-29F636272C9A}"/>
    <hyperlink ref="A62" r:id="rId2" xr:uid="{2EFE29EA-585B-4F90-8184-3D129F20D938}"/>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7D9922EA-2D65-4EE8-BAD1-5885A9C56A21}">
          <x14:formula1>
            <xm:f>Data!$A$2:$A$201</xm:f>
          </x14:formula1>
          <xm:sqref>B3:B56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Y73"/>
  <sheetViews>
    <sheetView zoomScale="85" zoomScaleNormal="85" workbookViewId="0">
      <selection sqref="A1:X1"/>
    </sheetView>
  </sheetViews>
  <sheetFormatPr defaultRowHeight="14.4"/>
  <cols>
    <col min="1" max="1" width="15.44140625" customWidth="1"/>
    <col min="2" max="2" width="15.33203125" style="2" customWidth="1"/>
    <col min="3" max="3" width="24.5546875" customWidth="1"/>
    <col min="4" max="4" width="44.5546875" customWidth="1"/>
    <col min="5" max="5" width="13.33203125" customWidth="1"/>
    <col min="6" max="6" width="10.88671875" customWidth="1"/>
    <col min="7" max="7" width="21.44140625" style="1" customWidth="1"/>
    <col min="8" max="8" width="47.109375" customWidth="1"/>
    <col min="9" max="11" width="7" customWidth="1"/>
    <col min="12" max="12" width="6.6640625" customWidth="1"/>
    <col min="13" max="24" width="7" customWidth="1"/>
    <col min="32" max="32" width="11.44140625" customWidth="1"/>
    <col min="34" max="34" width="13.6640625" customWidth="1"/>
  </cols>
  <sheetData>
    <row r="1" spans="1:25" ht="31.95" customHeight="1">
      <c r="A1" s="550" t="s">
        <v>163</v>
      </c>
      <c r="B1" s="550"/>
      <c r="C1" s="550"/>
      <c r="D1" s="550"/>
      <c r="E1" s="550"/>
      <c r="F1" s="550"/>
      <c r="G1" s="550"/>
      <c r="H1" s="550"/>
      <c r="I1" s="550"/>
      <c r="J1" s="550"/>
      <c r="K1" s="550"/>
      <c r="L1" s="550"/>
      <c r="M1" s="550"/>
      <c r="N1" s="550"/>
      <c r="O1" s="550"/>
      <c r="P1" s="550"/>
      <c r="Q1" s="550"/>
      <c r="R1" s="550"/>
      <c r="S1" s="550"/>
      <c r="T1" s="550"/>
      <c r="U1" s="550"/>
      <c r="V1" s="550"/>
      <c r="W1" s="550"/>
      <c r="X1" s="550"/>
    </row>
    <row r="2" spans="1:25" ht="26.4">
      <c r="A2" s="432" t="s">
        <v>164</v>
      </c>
      <c r="B2" s="432" t="s">
        <v>26</v>
      </c>
      <c r="C2" s="432" t="s">
        <v>165</v>
      </c>
      <c r="D2" s="432" t="s">
        <v>166</v>
      </c>
      <c r="E2" s="263" t="s">
        <v>167</v>
      </c>
      <c r="F2" s="432" t="s">
        <v>168</v>
      </c>
      <c r="G2" s="433" t="s">
        <v>169</v>
      </c>
      <c r="H2" s="432" t="s">
        <v>114</v>
      </c>
      <c r="I2" s="432" t="s">
        <v>170</v>
      </c>
      <c r="J2" s="432" t="s">
        <v>171</v>
      </c>
      <c r="K2" s="432" t="s">
        <v>172</v>
      </c>
      <c r="L2" s="432" t="s">
        <v>173</v>
      </c>
      <c r="M2" s="432" t="s">
        <v>174</v>
      </c>
      <c r="N2" s="432" t="s">
        <v>175</v>
      </c>
      <c r="O2" s="432" t="s">
        <v>176</v>
      </c>
      <c r="P2" s="432" t="s">
        <v>177</v>
      </c>
      <c r="Q2" s="432" t="s">
        <v>178</v>
      </c>
      <c r="R2" s="432" t="s">
        <v>179</v>
      </c>
      <c r="S2" s="432" t="s">
        <v>180</v>
      </c>
      <c r="T2" s="432" t="s">
        <v>181</v>
      </c>
      <c r="U2" s="432" t="s">
        <v>182</v>
      </c>
      <c r="V2" s="432" t="s">
        <v>183</v>
      </c>
      <c r="W2" s="432" t="s">
        <v>184</v>
      </c>
      <c r="X2" s="432" t="s">
        <v>185</v>
      </c>
    </row>
    <row r="3" spans="1:25">
      <c r="A3" s="552" t="s">
        <v>186</v>
      </c>
      <c r="B3" s="552" t="s">
        <v>68</v>
      </c>
      <c r="C3" s="551" t="s">
        <v>187</v>
      </c>
      <c r="D3" s="551" t="s">
        <v>188</v>
      </c>
      <c r="E3" s="552" t="s">
        <v>189</v>
      </c>
      <c r="F3" s="517" t="s">
        <v>190</v>
      </c>
      <c r="G3" s="517" t="s">
        <v>191</v>
      </c>
      <c r="H3" s="434" t="s">
        <v>192</v>
      </c>
      <c r="I3" s="434">
        <v>0.35199999999999998</v>
      </c>
      <c r="J3" s="434">
        <v>0.35199999999999998</v>
      </c>
      <c r="K3" s="434">
        <v>0.35199999999999998</v>
      </c>
      <c r="L3" s="434">
        <v>0.35199999999999998</v>
      </c>
      <c r="M3" s="434">
        <v>0.35199999999999998</v>
      </c>
      <c r="N3" s="434">
        <v>0.35199999999999998</v>
      </c>
      <c r="O3" s="434">
        <v>0.35199999999999998</v>
      </c>
      <c r="P3" s="434">
        <v>0.35199999999999998</v>
      </c>
      <c r="Q3" s="434">
        <v>0.35199999999999998</v>
      </c>
      <c r="R3" s="434">
        <v>0.35199999999999998</v>
      </c>
      <c r="S3" s="434">
        <v>0.35199999999999998</v>
      </c>
      <c r="T3" s="434">
        <v>0.35199999999999998</v>
      </c>
      <c r="U3" s="434">
        <v>0.35199999999999998</v>
      </c>
      <c r="V3" s="434">
        <v>0.35199999999999998</v>
      </c>
      <c r="W3" s="434">
        <v>0.35199999999999998</v>
      </c>
      <c r="X3" s="434">
        <v>0.35199999999999998</v>
      </c>
    </row>
    <row r="4" spans="1:25" ht="27.6">
      <c r="A4" s="552"/>
      <c r="B4" s="552"/>
      <c r="C4" s="551"/>
      <c r="D4" s="551"/>
      <c r="E4" s="552"/>
      <c r="F4" s="435" t="s">
        <v>193</v>
      </c>
      <c r="G4" s="435">
        <v>1986</v>
      </c>
      <c r="H4" s="436" t="s">
        <v>194</v>
      </c>
      <c r="I4" s="437">
        <f>1/6.63</f>
        <v>0.15082956259426847</v>
      </c>
      <c r="J4" s="437">
        <f>1/6.35</f>
        <v>0.15748031496062992</v>
      </c>
      <c r="K4" s="437">
        <f>1/6.35</f>
        <v>0.15748031496062992</v>
      </c>
      <c r="L4" s="437">
        <f>1/6.96</f>
        <v>0.14367816091954022</v>
      </c>
      <c r="M4" s="437">
        <f>1/6.96</f>
        <v>0.14367816091954022</v>
      </c>
      <c r="N4" s="437">
        <f>1/4.62</f>
        <v>0.21645021645021645</v>
      </c>
      <c r="O4" s="437">
        <f t="shared" ref="O4:R4" si="0">1/4.62</f>
        <v>0.21645021645021645</v>
      </c>
      <c r="P4" s="437">
        <f t="shared" si="0"/>
        <v>0.21645021645021645</v>
      </c>
      <c r="Q4" s="437">
        <f t="shared" si="0"/>
        <v>0.21645021645021645</v>
      </c>
      <c r="R4" s="437">
        <f t="shared" si="0"/>
        <v>0.21645021645021645</v>
      </c>
      <c r="S4" s="437">
        <f>1/5.37</f>
        <v>0.18621973929236499</v>
      </c>
      <c r="T4" s="437">
        <f t="shared" ref="T4:U4" si="1">1/5.37</f>
        <v>0.18621973929236499</v>
      </c>
      <c r="U4" s="437">
        <f t="shared" si="1"/>
        <v>0.18621973929236499</v>
      </c>
      <c r="V4" s="437">
        <f>1/6.3</f>
        <v>0.15873015873015872</v>
      </c>
      <c r="W4" s="437">
        <f>1/6.3</f>
        <v>0.15873015873015872</v>
      </c>
      <c r="X4" s="437">
        <f>1/6.63</f>
        <v>0.15082956259426847</v>
      </c>
      <c r="Y4" s="3"/>
    </row>
    <row r="5" spans="1:25">
      <c r="A5" s="552"/>
      <c r="B5" s="552"/>
      <c r="C5" s="551"/>
      <c r="D5" s="551"/>
      <c r="E5" s="552"/>
      <c r="F5" s="517" t="s">
        <v>195</v>
      </c>
      <c r="G5" s="517">
        <v>2001</v>
      </c>
      <c r="H5" s="517"/>
      <c r="I5" s="438">
        <v>0.182</v>
      </c>
      <c r="J5" s="438">
        <v>0.182</v>
      </c>
      <c r="K5" s="438">
        <v>0.189</v>
      </c>
      <c r="L5" s="438">
        <v>0.189</v>
      </c>
      <c r="M5" s="438">
        <v>0.189</v>
      </c>
      <c r="N5" s="438">
        <v>0.189</v>
      </c>
      <c r="O5" s="438">
        <v>0.189</v>
      </c>
      <c r="P5" s="438">
        <v>0.189</v>
      </c>
      <c r="Q5" s="438">
        <v>0.189</v>
      </c>
      <c r="R5" s="438">
        <v>0.182</v>
      </c>
      <c r="S5" s="438">
        <v>0.182</v>
      </c>
      <c r="T5" s="438">
        <v>0.182</v>
      </c>
      <c r="U5" s="438">
        <v>0.182</v>
      </c>
      <c r="V5" s="438">
        <v>0.182</v>
      </c>
      <c r="W5" s="438">
        <v>0.182</v>
      </c>
      <c r="X5" s="438">
        <v>0.182</v>
      </c>
      <c r="Y5" s="3"/>
    </row>
    <row r="6" spans="1:25">
      <c r="A6" s="552"/>
      <c r="B6" s="552"/>
      <c r="C6" s="551"/>
      <c r="D6" s="551"/>
      <c r="E6" s="552"/>
      <c r="F6" s="439" t="s">
        <v>196</v>
      </c>
      <c r="G6" s="439">
        <v>2013</v>
      </c>
      <c r="H6" s="439"/>
      <c r="I6" s="440">
        <v>9.8000000000000004E-2</v>
      </c>
      <c r="J6" s="440">
        <v>6.2E-2</v>
      </c>
      <c r="K6" s="440">
        <v>8.2000000000000003E-2</v>
      </c>
      <c r="L6" s="440">
        <v>6.2E-2</v>
      </c>
      <c r="M6" s="440">
        <v>6.2E-2</v>
      </c>
      <c r="N6" s="440">
        <v>9.8000000000000004E-2</v>
      </c>
      <c r="O6" s="440">
        <v>9.8000000000000004E-2</v>
      </c>
      <c r="P6" s="440">
        <v>6.2E-2</v>
      </c>
      <c r="Q6" s="440">
        <v>6.2E-2</v>
      </c>
      <c r="R6" s="440">
        <v>6.2E-2</v>
      </c>
      <c r="S6" s="440">
        <v>6.2E-2</v>
      </c>
      <c r="T6" s="440">
        <v>6.2E-2</v>
      </c>
      <c r="U6" s="440">
        <v>6.2E-2</v>
      </c>
      <c r="V6" s="440">
        <v>6.2E-2</v>
      </c>
      <c r="W6" s="440">
        <v>6.2E-2</v>
      </c>
      <c r="X6" s="440">
        <v>6.2E-2</v>
      </c>
      <c r="Y6" s="3"/>
    </row>
    <row r="7" spans="1:25">
      <c r="A7" s="552"/>
      <c r="B7" s="552"/>
      <c r="C7" s="551"/>
      <c r="D7" s="551"/>
      <c r="E7" s="552"/>
      <c r="F7" s="441" t="s">
        <v>197</v>
      </c>
      <c r="G7" s="442">
        <v>2025</v>
      </c>
      <c r="H7" s="442"/>
      <c r="I7" s="443">
        <v>0.06</v>
      </c>
      <c r="J7" s="443">
        <v>5.5E-2</v>
      </c>
      <c r="K7" s="443">
        <v>7.0999999999999994E-2</v>
      </c>
      <c r="L7" s="443">
        <v>5.5E-2</v>
      </c>
      <c r="M7" s="443">
        <v>5.5E-2</v>
      </c>
      <c r="N7" s="443">
        <v>0.06</v>
      </c>
      <c r="O7" s="443">
        <v>0.06</v>
      </c>
      <c r="P7" s="443">
        <v>5.5E-2</v>
      </c>
      <c r="Q7" s="443">
        <v>5.5E-2</v>
      </c>
      <c r="R7" s="443">
        <v>5.5E-2</v>
      </c>
      <c r="S7" s="443">
        <v>5.5E-2</v>
      </c>
      <c r="T7" s="443">
        <v>5.5E-2</v>
      </c>
      <c r="U7" s="443">
        <v>5.5E-2</v>
      </c>
      <c r="V7" s="443">
        <v>5.5E-2</v>
      </c>
      <c r="W7" s="443">
        <v>5.5E-2</v>
      </c>
      <c r="X7" s="443">
        <v>5.5E-2</v>
      </c>
      <c r="Y7" s="3"/>
    </row>
    <row r="8" spans="1:25" ht="27.6">
      <c r="A8" s="552" t="s">
        <v>198</v>
      </c>
      <c r="B8" s="552" t="s">
        <v>68</v>
      </c>
      <c r="C8" s="551" t="s">
        <v>199</v>
      </c>
      <c r="D8" s="551" t="s">
        <v>200</v>
      </c>
      <c r="E8" s="552" t="s">
        <v>189</v>
      </c>
      <c r="F8" s="517" t="s">
        <v>190</v>
      </c>
      <c r="G8" s="517" t="s">
        <v>191</v>
      </c>
      <c r="H8" s="516" t="s">
        <v>201</v>
      </c>
      <c r="I8" s="68">
        <v>5.7000000000000002E-2</v>
      </c>
      <c r="J8" s="68">
        <v>5.7000000000000002E-2</v>
      </c>
      <c r="K8" s="68">
        <v>5.7000000000000002E-2</v>
      </c>
      <c r="L8" s="68">
        <v>5.7000000000000002E-2</v>
      </c>
      <c r="M8" s="68">
        <v>5.7000000000000002E-2</v>
      </c>
      <c r="N8" s="68">
        <v>7.8E-2</v>
      </c>
      <c r="O8" s="68">
        <v>7.8E-2</v>
      </c>
      <c r="P8" s="68">
        <v>7.8E-2</v>
      </c>
      <c r="Q8" s="68">
        <v>7.8E-2</v>
      </c>
      <c r="R8" s="68">
        <v>7.8E-2</v>
      </c>
      <c r="S8" s="68">
        <v>5.7000000000000002E-2</v>
      </c>
      <c r="T8" s="68">
        <v>5.7000000000000002E-2</v>
      </c>
      <c r="U8" s="68">
        <v>5.7000000000000002E-2</v>
      </c>
      <c r="V8" s="68">
        <v>5.7000000000000002E-2</v>
      </c>
      <c r="W8" s="68">
        <v>5.7000000000000002E-2</v>
      </c>
      <c r="X8" s="68">
        <v>5.7000000000000002E-2</v>
      </c>
      <c r="Y8" s="3"/>
    </row>
    <row r="9" spans="1:25" ht="27.6">
      <c r="A9" s="552"/>
      <c r="B9" s="552"/>
      <c r="C9" s="551"/>
      <c r="D9" s="551"/>
      <c r="E9" s="552"/>
      <c r="F9" s="517" t="s">
        <v>193</v>
      </c>
      <c r="G9" s="517">
        <v>1992</v>
      </c>
      <c r="H9" s="516" t="s">
        <v>201</v>
      </c>
      <c r="I9" s="444">
        <v>5.7000000000000002E-2</v>
      </c>
      <c r="J9" s="444">
        <v>5.7000000000000002E-2</v>
      </c>
      <c r="K9" s="444">
        <v>5.7000000000000002E-2</v>
      </c>
      <c r="L9" s="444">
        <v>5.7000000000000002E-2</v>
      </c>
      <c r="M9" s="444">
        <v>5.7000000000000002E-2</v>
      </c>
      <c r="N9" s="444">
        <v>7.8E-2</v>
      </c>
      <c r="O9" s="444">
        <v>7.8E-2</v>
      </c>
      <c r="P9" s="444">
        <v>7.8E-2</v>
      </c>
      <c r="Q9" s="444">
        <v>7.8E-2</v>
      </c>
      <c r="R9" s="444">
        <v>7.8E-2</v>
      </c>
      <c r="S9" s="444">
        <v>5.7000000000000002E-2</v>
      </c>
      <c r="T9" s="444">
        <v>5.7000000000000002E-2</v>
      </c>
      <c r="U9" s="444">
        <v>5.7000000000000002E-2</v>
      </c>
      <c r="V9" s="444">
        <v>5.7000000000000002E-2</v>
      </c>
      <c r="W9" s="444">
        <v>5.7000000000000002E-2</v>
      </c>
      <c r="X9" s="444">
        <v>5.7000000000000002E-2</v>
      </c>
      <c r="Y9" s="3"/>
    </row>
    <row r="10" spans="1:25">
      <c r="A10" s="552"/>
      <c r="B10" s="552"/>
      <c r="C10" s="551"/>
      <c r="D10" s="551"/>
      <c r="E10" s="552"/>
      <c r="F10" s="518" t="s">
        <v>195</v>
      </c>
      <c r="G10" s="518">
        <v>2001</v>
      </c>
      <c r="H10" s="518"/>
      <c r="I10" s="438">
        <v>5.7000000000000002E-2</v>
      </c>
      <c r="J10" s="438">
        <v>5.7000000000000002E-2</v>
      </c>
      <c r="K10" s="438">
        <v>5.7000000000000002E-2</v>
      </c>
      <c r="L10" s="438">
        <v>5.7000000000000002E-2</v>
      </c>
      <c r="M10" s="438">
        <v>5.7000000000000002E-2</v>
      </c>
      <c r="N10" s="438">
        <v>7.8E-2</v>
      </c>
      <c r="O10" s="438">
        <v>7.8E-2</v>
      </c>
      <c r="P10" s="438">
        <v>7.8E-2</v>
      </c>
      <c r="Q10" s="438">
        <v>7.8E-2</v>
      </c>
      <c r="R10" s="438">
        <v>5.7000000000000002E-2</v>
      </c>
      <c r="S10" s="438">
        <v>5.7000000000000002E-2</v>
      </c>
      <c r="T10" s="438">
        <v>5.7000000000000002E-2</v>
      </c>
      <c r="U10" s="438">
        <v>5.7000000000000002E-2</v>
      </c>
      <c r="V10" s="438">
        <v>5.7000000000000002E-2</v>
      </c>
      <c r="W10" s="438">
        <v>5.7000000000000002E-2</v>
      </c>
      <c r="X10" s="438">
        <v>5.7000000000000002E-2</v>
      </c>
      <c r="Y10" s="3"/>
    </row>
    <row r="11" spans="1:25">
      <c r="A11" s="552"/>
      <c r="B11" s="552"/>
      <c r="C11" s="551"/>
      <c r="D11" s="551"/>
      <c r="E11" s="552"/>
      <c r="F11" s="439" t="s">
        <v>196</v>
      </c>
      <c r="G11" s="439">
        <v>2013</v>
      </c>
      <c r="H11" s="439"/>
      <c r="I11" s="440">
        <v>4.9000000000000002E-2</v>
      </c>
      <c r="J11" s="440">
        <v>3.9E-2</v>
      </c>
      <c r="K11" s="440">
        <v>3.9E-2</v>
      </c>
      <c r="L11" s="440">
        <v>3.9E-2</v>
      </c>
      <c r="M11" s="440">
        <v>4.9000000000000002E-2</v>
      </c>
      <c r="N11" s="440">
        <v>7.4999999999999997E-2</v>
      </c>
      <c r="O11" s="440">
        <v>6.7000000000000004E-2</v>
      </c>
      <c r="P11" s="440">
        <v>6.7000000000000004E-2</v>
      </c>
      <c r="Q11" s="440">
        <v>3.9E-2</v>
      </c>
      <c r="R11" s="440">
        <v>3.9E-2</v>
      </c>
      <c r="S11" s="440">
        <v>3.9E-2</v>
      </c>
      <c r="T11" s="440">
        <v>3.9E-2</v>
      </c>
      <c r="U11" s="440">
        <v>3.9E-2</v>
      </c>
      <c r="V11" s="440">
        <v>3.9E-2</v>
      </c>
      <c r="W11" s="440">
        <v>3.9E-2</v>
      </c>
      <c r="X11" s="440">
        <v>3.9E-2</v>
      </c>
      <c r="Y11" s="3"/>
    </row>
    <row r="12" spans="1:25">
      <c r="A12" s="552"/>
      <c r="B12" s="552"/>
      <c r="C12" s="551"/>
      <c r="D12" s="551"/>
      <c r="E12" s="552"/>
      <c r="F12" s="441" t="s">
        <v>197</v>
      </c>
      <c r="G12" s="442">
        <v>2025</v>
      </c>
      <c r="H12" s="442"/>
      <c r="I12" s="445">
        <v>2.8000000000000001E-2</v>
      </c>
      <c r="J12" s="445">
        <v>2.8000000000000001E-2</v>
      </c>
      <c r="K12" s="445">
        <v>2.8000000000000001E-2</v>
      </c>
      <c r="L12" s="445">
        <v>2.8000000000000001E-2</v>
      </c>
      <c r="M12" s="445">
        <v>2.8000000000000001E-2</v>
      </c>
      <c r="N12" s="445">
        <v>4.7E-2</v>
      </c>
      <c r="O12" s="445">
        <v>4.7E-2</v>
      </c>
      <c r="P12" s="445">
        <v>4.7E-2</v>
      </c>
      <c r="Q12" s="445">
        <v>2.8000000000000001E-2</v>
      </c>
      <c r="R12" s="445">
        <v>2.8000000000000001E-2</v>
      </c>
      <c r="S12" s="445">
        <v>2.8000000000000001E-2</v>
      </c>
      <c r="T12" s="445">
        <v>2.8000000000000001E-2</v>
      </c>
      <c r="U12" s="445">
        <v>2.8000000000000001E-2</v>
      </c>
      <c r="V12" s="445">
        <v>2.8000000000000001E-2</v>
      </c>
      <c r="W12" s="445">
        <v>2.8000000000000001E-2</v>
      </c>
      <c r="X12" s="445">
        <v>2.8000000000000001E-2</v>
      </c>
      <c r="Y12" s="3"/>
    </row>
    <row r="13" spans="1:25">
      <c r="A13" s="552" t="s">
        <v>202</v>
      </c>
      <c r="B13" s="552" t="s">
        <v>68</v>
      </c>
      <c r="C13" s="551" t="s">
        <v>203</v>
      </c>
      <c r="D13" s="551" t="s">
        <v>204</v>
      </c>
      <c r="E13" s="552" t="s">
        <v>189</v>
      </c>
      <c r="F13" s="517" t="s">
        <v>190</v>
      </c>
      <c r="G13" s="517" t="s">
        <v>191</v>
      </c>
      <c r="H13" s="557" t="s">
        <v>205</v>
      </c>
      <c r="I13" s="111">
        <f>1.12*0.5+I$16*0.5</f>
        <v>0.74</v>
      </c>
      <c r="J13" s="111">
        <f t="shared" ref="J13:X14" si="2">1.12*0.5+J$16*0.5</f>
        <v>0.74</v>
      </c>
      <c r="K13" s="111">
        <f t="shared" si="2"/>
        <v>0.74</v>
      </c>
      <c r="L13" s="111">
        <f t="shared" si="2"/>
        <v>0.74</v>
      </c>
      <c r="M13" s="111">
        <f t="shared" si="2"/>
        <v>0.74</v>
      </c>
      <c r="N13" s="111">
        <f t="shared" si="2"/>
        <v>0.74</v>
      </c>
      <c r="O13" s="111">
        <f t="shared" si="2"/>
        <v>0.74</v>
      </c>
      <c r="P13" s="111">
        <f t="shared" si="2"/>
        <v>0.74</v>
      </c>
      <c r="Q13" s="111">
        <f t="shared" si="2"/>
        <v>0.74</v>
      </c>
      <c r="R13" s="111">
        <f t="shared" si="2"/>
        <v>0.74</v>
      </c>
      <c r="S13" s="111">
        <f t="shared" si="2"/>
        <v>0.74</v>
      </c>
      <c r="T13" s="111">
        <f t="shared" si="2"/>
        <v>0.74</v>
      </c>
      <c r="U13" s="111">
        <f t="shared" si="2"/>
        <v>0.74</v>
      </c>
      <c r="V13" s="111">
        <f t="shared" si="2"/>
        <v>0.74</v>
      </c>
      <c r="W13" s="111">
        <f t="shared" si="2"/>
        <v>0.74</v>
      </c>
      <c r="X13" s="111">
        <f t="shared" si="2"/>
        <v>0.74</v>
      </c>
      <c r="Y13" s="3"/>
    </row>
    <row r="14" spans="1:25" ht="31.2" customHeight="1">
      <c r="A14" s="552"/>
      <c r="B14" s="552"/>
      <c r="C14" s="551"/>
      <c r="D14" s="551"/>
      <c r="E14" s="552"/>
      <c r="F14" s="517" t="s">
        <v>193</v>
      </c>
      <c r="G14" s="446" t="s">
        <v>191</v>
      </c>
      <c r="H14" s="558"/>
      <c r="I14" s="447">
        <f>1.12*0.5+I$16*0.5</f>
        <v>0.74</v>
      </c>
      <c r="J14" s="447">
        <f t="shared" si="2"/>
        <v>0.74</v>
      </c>
      <c r="K14" s="447">
        <f t="shared" si="2"/>
        <v>0.74</v>
      </c>
      <c r="L14" s="447">
        <f t="shared" si="2"/>
        <v>0.74</v>
      </c>
      <c r="M14" s="447">
        <f t="shared" si="2"/>
        <v>0.74</v>
      </c>
      <c r="N14" s="447">
        <f t="shared" si="2"/>
        <v>0.74</v>
      </c>
      <c r="O14" s="447">
        <f t="shared" si="2"/>
        <v>0.74</v>
      </c>
      <c r="P14" s="447">
        <f t="shared" si="2"/>
        <v>0.74</v>
      </c>
      <c r="Q14" s="447">
        <f t="shared" si="2"/>
        <v>0.74</v>
      </c>
      <c r="R14" s="447">
        <f t="shared" si="2"/>
        <v>0.74</v>
      </c>
      <c r="S14" s="447">
        <f t="shared" si="2"/>
        <v>0.74</v>
      </c>
      <c r="T14" s="447">
        <f t="shared" si="2"/>
        <v>0.74</v>
      </c>
      <c r="U14" s="447">
        <f t="shared" si="2"/>
        <v>0.74</v>
      </c>
      <c r="V14" s="447">
        <f t="shared" si="2"/>
        <v>0.74</v>
      </c>
      <c r="W14" s="447">
        <f t="shared" si="2"/>
        <v>0.74</v>
      </c>
      <c r="X14" s="447">
        <f t="shared" si="2"/>
        <v>0.74</v>
      </c>
      <c r="Y14" s="281"/>
    </row>
    <row r="15" spans="1:25">
      <c r="A15" s="552"/>
      <c r="B15" s="552"/>
      <c r="C15" s="551"/>
      <c r="D15" s="552" t="s">
        <v>206</v>
      </c>
      <c r="E15" s="552"/>
      <c r="F15" s="518" t="s">
        <v>195</v>
      </c>
      <c r="G15" s="518">
        <v>2001</v>
      </c>
      <c r="H15" s="518"/>
      <c r="I15" s="438">
        <v>0.49</v>
      </c>
      <c r="J15" s="438">
        <v>0.49</v>
      </c>
      <c r="K15" s="438">
        <v>0.81</v>
      </c>
      <c r="L15" s="438">
        <v>0.81</v>
      </c>
      <c r="M15" s="438">
        <v>0.81</v>
      </c>
      <c r="N15" s="438">
        <v>0.81</v>
      </c>
      <c r="O15" s="438">
        <v>0.81</v>
      </c>
      <c r="P15" s="438">
        <v>0.81</v>
      </c>
      <c r="Q15" s="438">
        <v>0.81</v>
      </c>
      <c r="R15" s="438">
        <v>0.49</v>
      </c>
      <c r="S15" s="438">
        <v>0.49</v>
      </c>
      <c r="T15" s="438">
        <v>0.49</v>
      </c>
      <c r="U15" s="438">
        <v>0.49</v>
      </c>
      <c r="V15" s="438">
        <v>0.49</v>
      </c>
      <c r="W15" s="438">
        <v>0.49</v>
      </c>
      <c r="X15" s="438">
        <v>0.49</v>
      </c>
      <c r="Y15" s="3"/>
    </row>
    <row r="16" spans="1:25">
      <c r="A16" s="552"/>
      <c r="B16" s="552"/>
      <c r="C16" s="551"/>
      <c r="D16" s="552"/>
      <c r="E16" s="552"/>
      <c r="F16" s="439" t="s">
        <v>196</v>
      </c>
      <c r="G16" s="439">
        <v>2013</v>
      </c>
      <c r="H16" s="439"/>
      <c r="I16" s="440">
        <v>0.36</v>
      </c>
      <c r="J16" s="440">
        <v>0.36</v>
      </c>
      <c r="K16" s="440">
        <v>0.36</v>
      </c>
      <c r="L16" s="440">
        <v>0.36</v>
      </c>
      <c r="M16" s="440">
        <v>0.36</v>
      </c>
      <c r="N16" s="440">
        <v>0.36</v>
      </c>
      <c r="O16" s="440">
        <v>0.36</v>
      </c>
      <c r="P16" s="440">
        <v>0.36</v>
      </c>
      <c r="Q16" s="440">
        <v>0.36</v>
      </c>
      <c r="R16" s="440">
        <v>0.36</v>
      </c>
      <c r="S16" s="440">
        <v>0.36</v>
      </c>
      <c r="T16" s="440">
        <v>0.36</v>
      </c>
      <c r="U16" s="440">
        <v>0.36</v>
      </c>
      <c r="V16" s="440">
        <v>0.36</v>
      </c>
      <c r="W16" s="440">
        <v>0.36</v>
      </c>
      <c r="X16" s="440">
        <v>0.36</v>
      </c>
      <c r="Y16" s="3"/>
    </row>
    <row r="17" spans="1:25">
      <c r="A17" s="552"/>
      <c r="B17" s="552"/>
      <c r="C17" s="551"/>
      <c r="D17" s="552"/>
      <c r="E17" s="552"/>
      <c r="F17" s="441" t="s">
        <v>197</v>
      </c>
      <c r="G17" s="442">
        <v>2025</v>
      </c>
      <c r="H17" s="441"/>
      <c r="I17" s="445">
        <v>0.36</v>
      </c>
      <c r="J17" s="445">
        <v>0.36</v>
      </c>
      <c r="K17" s="445">
        <v>0.36</v>
      </c>
      <c r="L17" s="445">
        <v>0.36</v>
      </c>
      <c r="M17" s="445">
        <v>0.36</v>
      </c>
      <c r="N17" s="445">
        <v>0.36</v>
      </c>
      <c r="O17" s="445">
        <v>0.36</v>
      </c>
      <c r="P17" s="445">
        <v>0.36</v>
      </c>
      <c r="Q17" s="445">
        <v>0.34</v>
      </c>
      <c r="R17" s="445">
        <v>0.36</v>
      </c>
      <c r="S17" s="445">
        <v>0.34</v>
      </c>
      <c r="T17" s="445">
        <v>0.34</v>
      </c>
      <c r="U17" s="445">
        <v>0.34</v>
      </c>
      <c r="V17" s="445">
        <v>0.34</v>
      </c>
      <c r="W17" s="445">
        <v>0.34</v>
      </c>
      <c r="X17" s="443">
        <v>0.36</v>
      </c>
      <c r="Y17" s="3"/>
    </row>
    <row r="18" spans="1:25" ht="14.4" customHeight="1">
      <c r="A18" s="552"/>
      <c r="B18" s="552" t="s">
        <v>68</v>
      </c>
      <c r="C18" s="551" t="s">
        <v>203</v>
      </c>
      <c r="D18" s="551" t="s">
        <v>207</v>
      </c>
      <c r="E18" s="552" t="s">
        <v>208</v>
      </c>
      <c r="F18" s="517" t="s">
        <v>190</v>
      </c>
      <c r="G18" s="517" t="s">
        <v>191</v>
      </c>
      <c r="H18" s="557" t="s">
        <v>205</v>
      </c>
      <c r="I18" s="111">
        <f>0.8*0.5+I$21*0.5</f>
        <v>0.61499999999999999</v>
      </c>
      <c r="J18" s="111">
        <f t="shared" ref="J18:X19" si="3">0.8*0.5+J$21*0.5</f>
        <v>0.58000000000000007</v>
      </c>
      <c r="K18" s="111">
        <f t="shared" si="3"/>
        <v>0.60499999999999998</v>
      </c>
      <c r="L18" s="111">
        <f t="shared" si="3"/>
        <v>0.60499999999999998</v>
      </c>
      <c r="M18" s="111">
        <f t="shared" si="3"/>
        <v>0.60499999999999998</v>
      </c>
      <c r="N18" s="111">
        <f t="shared" si="3"/>
        <v>0.59499999999999997</v>
      </c>
      <c r="O18" s="111">
        <f t="shared" si="3"/>
        <v>0.59499999999999997</v>
      </c>
      <c r="P18" s="111">
        <f t="shared" si="3"/>
        <v>0.59499999999999997</v>
      </c>
      <c r="Q18" s="111">
        <f t="shared" si="3"/>
        <v>0.59499999999999997</v>
      </c>
      <c r="R18" s="111">
        <f t="shared" si="3"/>
        <v>0.58000000000000007</v>
      </c>
      <c r="S18" s="111">
        <f t="shared" si="3"/>
        <v>0.58000000000000007</v>
      </c>
      <c r="T18" s="111">
        <f t="shared" si="3"/>
        <v>0.58000000000000007</v>
      </c>
      <c r="U18" s="111">
        <f t="shared" si="3"/>
        <v>0.58000000000000007</v>
      </c>
      <c r="V18" s="111">
        <f t="shared" si="3"/>
        <v>0.58000000000000007</v>
      </c>
      <c r="W18" s="111">
        <f t="shared" si="3"/>
        <v>0.58000000000000007</v>
      </c>
      <c r="X18" s="111">
        <f t="shared" si="3"/>
        <v>0.61499999999999999</v>
      </c>
      <c r="Y18" s="3"/>
    </row>
    <row r="19" spans="1:25">
      <c r="A19" s="552"/>
      <c r="B19" s="552"/>
      <c r="C19" s="551"/>
      <c r="D19" s="551"/>
      <c r="E19" s="552"/>
      <c r="F19" s="517" t="s">
        <v>193</v>
      </c>
      <c r="G19" s="446" t="s">
        <v>191</v>
      </c>
      <c r="H19" s="558"/>
      <c r="I19" s="447">
        <f>0.8*0.5+I$21*0.5</f>
        <v>0.61499999999999999</v>
      </c>
      <c r="J19" s="447">
        <f t="shared" si="3"/>
        <v>0.58000000000000007</v>
      </c>
      <c r="K19" s="447">
        <f t="shared" si="3"/>
        <v>0.60499999999999998</v>
      </c>
      <c r="L19" s="447">
        <f t="shared" si="3"/>
        <v>0.60499999999999998</v>
      </c>
      <c r="M19" s="447">
        <f t="shared" si="3"/>
        <v>0.60499999999999998</v>
      </c>
      <c r="N19" s="447">
        <f t="shared" si="3"/>
        <v>0.59499999999999997</v>
      </c>
      <c r="O19" s="447">
        <f t="shared" si="3"/>
        <v>0.59499999999999997</v>
      </c>
      <c r="P19" s="447">
        <f t="shared" si="3"/>
        <v>0.59499999999999997</v>
      </c>
      <c r="Q19" s="447">
        <f t="shared" si="3"/>
        <v>0.59499999999999997</v>
      </c>
      <c r="R19" s="447">
        <f t="shared" si="3"/>
        <v>0.58000000000000007</v>
      </c>
      <c r="S19" s="447">
        <f t="shared" si="3"/>
        <v>0.58000000000000007</v>
      </c>
      <c r="T19" s="447">
        <f t="shared" si="3"/>
        <v>0.58000000000000007</v>
      </c>
      <c r="U19" s="447">
        <f t="shared" si="3"/>
        <v>0.58000000000000007</v>
      </c>
      <c r="V19" s="447">
        <f t="shared" si="3"/>
        <v>0.58000000000000007</v>
      </c>
      <c r="W19" s="447">
        <f t="shared" si="3"/>
        <v>0.58000000000000007</v>
      </c>
      <c r="X19" s="447">
        <f t="shared" si="3"/>
        <v>0.61499999999999999</v>
      </c>
      <c r="Y19" s="3"/>
    </row>
    <row r="20" spans="1:25">
      <c r="A20" s="552"/>
      <c r="B20" s="552"/>
      <c r="C20" s="551"/>
      <c r="D20" s="552" t="s">
        <v>206</v>
      </c>
      <c r="E20" s="552"/>
      <c r="F20" s="553" t="s">
        <v>195</v>
      </c>
      <c r="G20" s="553">
        <v>2001</v>
      </c>
      <c r="H20" s="518" t="s">
        <v>209</v>
      </c>
      <c r="I20" s="438">
        <v>0.47</v>
      </c>
      <c r="J20" s="438">
        <v>0.47</v>
      </c>
      <c r="K20" s="438">
        <v>0.61</v>
      </c>
      <c r="L20" s="438">
        <v>0.61</v>
      </c>
      <c r="M20" s="438">
        <v>0.61</v>
      </c>
      <c r="N20" s="438">
        <v>0.61</v>
      </c>
      <c r="O20" s="438">
        <v>0.61</v>
      </c>
      <c r="P20" s="438">
        <v>0.61</v>
      </c>
      <c r="Q20" s="438">
        <v>0.61</v>
      </c>
      <c r="R20" s="438">
        <v>0.47</v>
      </c>
      <c r="S20" s="438">
        <v>0.47</v>
      </c>
      <c r="T20" s="438">
        <v>0.47</v>
      </c>
      <c r="U20" s="438">
        <v>0.47</v>
      </c>
      <c r="V20" s="438">
        <v>0.47</v>
      </c>
      <c r="W20" s="438">
        <v>0.47</v>
      </c>
      <c r="X20" s="438">
        <v>0.47</v>
      </c>
      <c r="Y20" s="3"/>
    </row>
    <row r="21" spans="1:25">
      <c r="A21" s="552"/>
      <c r="B21" s="552"/>
      <c r="C21" s="551"/>
      <c r="D21" s="552"/>
      <c r="E21" s="552"/>
      <c r="F21" s="553"/>
      <c r="G21" s="553"/>
      <c r="H21" s="518" t="s">
        <v>210</v>
      </c>
      <c r="I21" s="438">
        <v>0.43</v>
      </c>
      <c r="J21" s="438">
        <v>0.36</v>
      </c>
      <c r="K21" s="438">
        <v>0.41</v>
      </c>
      <c r="L21" s="438">
        <v>0.41</v>
      </c>
      <c r="M21" s="438">
        <v>0.41</v>
      </c>
      <c r="N21" s="438">
        <v>0.39</v>
      </c>
      <c r="O21" s="438">
        <v>0.39</v>
      </c>
      <c r="P21" s="438">
        <v>0.39</v>
      </c>
      <c r="Q21" s="438">
        <v>0.39</v>
      </c>
      <c r="R21" s="438">
        <v>0.36</v>
      </c>
      <c r="S21" s="438">
        <v>0.36</v>
      </c>
      <c r="T21" s="438">
        <v>0.36</v>
      </c>
      <c r="U21" s="438">
        <v>0.36</v>
      </c>
      <c r="V21" s="438">
        <v>0.36</v>
      </c>
      <c r="W21" s="438">
        <v>0.36</v>
      </c>
      <c r="X21" s="438">
        <v>0.43</v>
      </c>
      <c r="Y21" s="3"/>
    </row>
    <row r="22" spans="1:25">
      <c r="A22" s="552"/>
      <c r="B22" s="552"/>
      <c r="C22" s="551"/>
      <c r="D22" s="552"/>
      <c r="E22" s="552"/>
      <c r="F22" s="439" t="s">
        <v>196</v>
      </c>
      <c r="G22" s="439">
        <v>2013</v>
      </c>
      <c r="H22" s="439"/>
      <c r="I22" s="440">
        <v>0.25</v>
      </c>
      <c r="J22" s="440">
        <v>0.25</v>
      </c>
      <c r="K22" s="440">
        <v>0.25</v>
      </c>
      <c r="L22" s="440">
        <v>0.25</v>
      </c>
      <c r="M22" s="440">
        <v>0.25</v>
      </c>
      <c r="N22" s="440">
        <v>0.25</v>
      </c>
      <c r="O22" s="440">
        <v>0.25</v>
      </c>
      <c r="P22" s="440">
        <v>0.25</v>
      </c>
      <c r="Q22" s="440">
        <v>0.25</v>
      </c>
      <c r="R22" s="440">
        <v>0.25</v>
      </c>
      <c r="S22" s="440">
        <v>0.25</v>
      </c>
      <c r="T22" s="440">
        <v>0.25</v>
      </c>
      <c r="U22" s="440">
        <v>0.25</v>
      </c>
      <c r="V22" s="440">
        <v>0.25</v>
      </c>
      <c r="W22" s="440">
        <v>0.25</v>
      </c>
      <c r="X22" s="440">
        <v>0.25</v>
      </c>
      <c r="Y22" s="3"/>
    </row>
    <row r="23" spans="1:25">
      <c r="A23" s="552"/>
      <c r="B23" s="552"/>
      <c r="C23" s="551"/>
      <c r="D23" s="552"/>
      <c r="E23" s="552"/>
      <c r="F23" s="441" t="s">
        <v>197</v>
      </c>
      <c r="G23" s="442">
        <v>2025</v>
      </c>
      <c r="H23" s="441"/>
      <c r="I23" s="445">
        <v>0.25</v>
      </c>
      <c r="J23" s="445">
        <v>0.25</v>
      </c>
      <c r="K23" s="445">
        <v>0.25</v>
      </c>
      <c r="L23" s="445">
        <v>0.25</v>
      </c>
      <c r="M23" s="445">
        <v>0.25</v>
      </c>
      <c r="N23" s="445">
        <v>0.25</v>
      </c>
      <c r="O23" s="445">
        <v>0.25</v>
      </c>
      <c r="P23" s="445">
        <v>0.25</v>
      </c>
      <c r="Q23" s="445">
        <v>0.22</v>
      </c>
      <c r="R23" s="445">
        <v>0.25</v>
      </c>
      <c r="S23" s="445">
        <v>0.22</v>
      </c>
      <c r="T23" s="445">
        <v>0.22</v>
      </c>
      <c r="U23" s="445">
        <v>0.22</v>
      </c>
      <c r="V23" s="445">
        <v>0.22</v>
      </c>
      <c r="W23" s="445">
        <v>0.22</v>
      </c>
      <c r="X23" s="445">
        <v>0.25</v>
      </c>
      <c r="Y23" s="3"/>
    </row>
    <row r="24" spans="1:25" ht="15" customHeight="1">
      <c r="E24" s="151"/>
      <c r="F24" s="151"/>
      <c r="G24" s="152"/>
      <c r="H24" s="151"/>
      <c r="I24" s="151"/>
      <c r="J24" s="151"/>
      <c r="K24" s="151"/>
      <c r="L24" s="151"/>
      <c r="M24" s="151"/>
      <c r="N24" s="151"/>
      <c r="O24" s="151"/>
      <c r="P24" s="151"/>
      <c r="Q24" s="151"/>
      <c r="R24" s="151"/>
      <c r="S24" s="151"/>
      <c r="T24" s="151"/>
      <c r="U24" s="151"/>
      <c r="V24" s="151"/>
      <c r="W24" s="151"/>
      <c r="X24" s="151"/>
    </row>
    <row r="25" spans="1:25" ht="23.4" customHeight="1">
      <c r="E25" s="559" t="s">
        <v>211</v>
      </c>
      <c r="F25" s="559"/>
      <c r="G25" s="559"/>
      <c r="H25" s="559"/>
      <c r="I25" s="559"/>
      <c r="J25" s="559"/>
      <c r="K25" s="559"/>
      <c r="L25" s="559"/>
      <c r="M25" s="559"/>
      <c r="N25" s="559"/>
      <c r="O25" s="559"/>
      <c r="P25" s="559"/>
      <c r="Q25" s="559"/>
      <c r="R25" s="559"/>
      <c r="S25" s="559"/>
      <c r="T25" s="559"/>
      <c r="U25" s="559"/>
      <c r="V25" s="559"/>
      <c r="W25" s="559"/>
      <c r="X25" s="559"/>
    </row>
    <row r="26" spans="1:25" ht="45" customHeight="1">
      <c r="E26" s="263"/>
      <c r="F26" s="91" t="s">
        <v>168</v>
      </c>
      <c r="G26" s="279" t="s">
        <v>212</v>
      </c>
      <c r="H26" s="279" t="s">
        <v>213</v>
      </c>
      <c r="I26" s="560" t="s">
        <v>214</v>
      </c>
      <c r="J26" s="561"/>
      <c r="K26" s="561"/>
      <c r="L26" s="561"/>
      <c r="M26" s="561"/>
      <c r="N26" s="561"/>
      <c r="O26" s="561"/>
      <c r="P26" s="561"/>
      <c r="Q26" s="561"/>
      <c r="R26" s="561"/>
      <c r="S26" s="561"/>
      <c r="T26" s="561"/>
      <c r="U26" s="561"/>
      <c r="V26" s="561"/>
      <c r="W26" s="561"/>
      <c r="X26" s="562"/>
    </row>
    <row r="27" spans="1:25" ht="15" customHeight="1">
      <c r="E27" s="563" t="s">
        <v>211</v>
      </c>
      <c r="F27" s="68" t="s">
        <v>190</v>
      </c>
      <c r="G27" s="68">
        <v>1.1000000000000001</v>
      </c>
      <c r="H27" s="280" t="s">
        <v>215</v>
      </c>
      <c r="I27" s="566">
        <v>0.33019999999999999</v>
      </c>
      <c r="J27" s="566"/>
      <c r="K27" s="566"/>
      <c r="L27" s="566"/>
      <c r="M27" s="566"/>
      <c r="N27" s="566"/>
      <c r="O27" s="566"/>
      <c r="P27" s="566"/>
      <c r="Q27" s="566"/>
      <c r="R27" s="566"/>
      <c r="S27" s="566"/>
      <c r="T27" s="566"/>
      <c r="U27" s="566"/>
      <c r="V27" s="566"/>
      <c r="W27" s="566"/>
      <c r="X27" s="566"/>
    </row>
    <row r="28" spans="1:25" ht="15" customHeight="1">
      <c r="E28" s="564"/>
      <c r="F28" s="68" t="s">
        <v>193</v>
      </c>
      <c r="G28" s="68">
        <v>1.1000000000000001</v>
      </c>
      <c r="H28" s="280" t="s">
        <v>215</v>
      </c>
      <c r="I28" s="566">
        <v>0.33019999999999999</v>
      </c>
      <c r="J28" s="566"/>
      <c r="K28" s="566"/>
      <c r="L28" s="566"/>
      <c r="M28" s="566"/>
      <c r="N28" s="566"/>
      <c r="O28" s="566"/>
      <c r="P28" s="566"/>
      <c r="Q28" s="566"/>
      <c r="R28" s="566"/>
      <c r="S28" s="566"/>
      <c r="T28" s="566"/>
      <c r="U28" s="566"/>
      <c r="V28" s="566"/>
      <c r="W28" s="566"/>
      <c r="X28" s="566"/>
    </row>
    <row r="29" spans="1:25" ht="15" customHeight="1">
      <c r="E29" s="564"/>
      <c r="F29" s="68" t="s">
        <v>195</v>
      </c>
      <c r="G29" s="68">
        <v>1.1000000000000001</v>
      </c>
      <c r="H29" s="280" t="s">
        <v>215</v>
      </c>
      <c r="I29" s="566">
        <v>0.33019999999999999</v>
      </c>
      <c r="J29" s="566"/>
      <c r="K29" s="566"/>
      <c r="L29" s="566"/>
      <c r="M29" s="566"/>
      <c r="N29" s="566"/>
      <c r="O29" s="566"/>
      <c r="P29" s="566"/>
      <c r="Q29" s="566"/>
      <c r="R29" s="566"/>
      <c r="S29" s="566"/>
      <c r="T29" s="566"/>
      <c r="U29" s="566"/>
      <c r="V29" s="566"/>
      <c r="W29" s="566"/>
      <c r="X29" s="566"/>
    </row>
    <row r="30" spans="1:25" ht="29.4" customHeight="1">
      <c r="E30" s="564"/>
      <c r="F30" s="68" t="s">
        <v>196</v>
      </c>
      <c r="G30" s="68" t="s">
        <v>216</v>
      </c>
      <c r="H30" s="74" t="s">
        <v>217</v>
      </c>
      <c r="I30" s="566">
        <v>0.30209999999999998</v>
      </c>
      <c r="J30" s="566"/>
      <c r="K30" s="566"/>
      <c r="L30" s="566"/>
      <c r="M30" s="566"/>
      <c r="N30" s="566"/>
      <c r="O30" s="566"/>
      <c r="P30" s="566"/>
      <c r="Q30" s="566"/>
      <c r="R30" s="566"/>
      <c r="S30" s="566"/>
      <c r="T30" s="566"/>
      <c r="U30" s="566"/>
      <c r="V30" s="566"/>
      <c r="W30" s="566"/>
      <c r="X30" s="566"/>
    </row>
    <row r="31" spans="1:25" ht="28.95" customHeight="1">
      <c r="E31" s="565"/>
      <c r="F31" s="68" t="s">
        <v>197</v>
      </c>
      <c r="G31" s="68" t="s">
        <v>218</v>
      </c>
      <c r="H31" s="74" t="s">
        <v>219</v>
      </c>
      <c r="I31" s="566">
        <v>0.18010000000000001</v>
      </c>
      <c r="J31" s="566"/>
      <c r="K31" s="566"/>
      <c r="L31" s="566"/>
      <c r="M31" s="566"/>
      <c r="N31" s="566"/>
      <c r="O31" s="566"/>
      <c r="P31" s="566"/>
      <c r="Q31" s="566"/>
      <c r="R31" s="566"/>
      <c r="S31" s="566"/>
      <c r="T31" s="566"/>
      <c r="U31" s="566"/>
      <c r="V31" s="566"/>
      <c r="W31" s="566"/>
      <c r="X31" s="566"/>
    </row>
    <row r="32" spans="1:25" ht="15" customHeight="1">
      <c r="E32" s="554" t="s">
        <v>51</v>
      </c>
      <c r="F32" s="554"/>
      <c r="G32" s="554"/>
      <c r="H32" s="554"/>
      <c r="I32" s="554"/>
      <c r="J32" s="554"/>
      <c r="K32" s="554"/>
      <c r="L32" s="554"/>
      <c r="M32" s="554"/>
      <c r="N32" s="554"/>
      <c r="O32" s="554"/>
      <c r="P32" s="554"/>
      <c r="Q32" s="554"/>
      <c r="R32" s="554"/>
      <c r="S32" s="554"/>
      <c r="T32" s="554"/>
      <c r="U32" s="554"/>
      <c r="V32" s="554"/>
      <c r="W32" s="554"/>
      <c r="X32" s="554"/>
    </row>
    <row r="33" spans="1:24" ht="15" customHeight="1">
      <c r="E33" s="555" t="s">
        <v>220</v>
      </c>
      <c r="F33" s="555"/>
      <c r="G33" s="555"/>
      <c r="H33" s="555"/>
      <c r="I33" s="555"/>
      <c r="J33" s="555"/>
      <c r="K33" s="555"/>
      <c r="L33" s="555"/>
      <c r="M33" s="555"/>
      <c r="N33" s="555"/>
      <c r="O33" s="555"/>
      <c r="P33" s="555"/>
      <c r="Q33" s="555"/>
      <c r="R33" s="555"/>
      <c r="S33" s="555"/>
      <c r="T33" s="555"/>
      <c r="U33" s="555"/>
      <c r="V33" s="555"/>
      <c r="W33" s="555"/>
      <c r="X33" s="555"/>
    </row>
    <row r="34" spans="1:24" ht="40.950000000000003" customHeight="1">
      <c r="E34" s="556" t="s">
        <v>221</v>
      </c>
      <c r="F34" s="556"/>
      <c r="G34" s="556"/>
      <c r="H34" s="556"/>
      <c r="I34" s="556"/>
      <c r="J34" s="556"/>
      <c r="K34" s="556"/>
      <c r="L34" s="556"/>
      <c r="M34" s="556"/>
      <c r="N34" s="556"/>
      <c r="O34" s="556"/>
      <c r="P34" s="556"/>
      <c r="Q34" s="556"/>
      <c r="R34" s="556"/>
      <c r="S34" s="556"/>
      <c r="T34" s="556"/>
      <c r="U34" s="556"/>
      <c r="V34" s="556"/>
      <c r="W34" s="556"/>
      <c r="X34" s="556"/>
    </row>
    <row r="35" spans="1:24" ht="15" customHeight="1"/>
    <row r="36" spans="1:24" ht="18" customHeight="1">
      <c r="A36" s="569" t="s">
        <v>222</v>
      </c>
      <c r="B36" s="569"/>
      <c r="C36" s="569"/>
      <c r="D36" s="569"/>
      <c r="E36" s="161"/>
      <c r="F36" s="14"/>
      <c r="G36" s="14"/>
      <c r="H36" s="262"/>
      <c r="I36" s="520"/>
      <c r="J36" s="520"/>
      <c r="K36" s="520"/>
      <c r="L36" s="520"/>
      <c r="M36" s="520"/>
      <c r="N36" s="520"/>
      <c r="O36" s="520"/>
      <c r="P36" s="520"/>
      <c r="Q36" s="520"/>
      <c r="R36" s="520"/>
      <c r="S36" s="520"/>
      <c r="T36" s="520"/>
      <c r="U36" s="520"/>
      <c r="V36" s="520"/>
      <c r="W36" s="520"/>
      <c r="X36" s="520"/>
    </row>
    <row r="37" spans="1:24">
      <c r="A37" s="570" t="s">
        <v>223</v>
      </c>
      <c r="B37" s="570"/>
      <c r="C37" s="570"/>
      <c r="D37" s="570"/>
      <c r="E37" s="570"/>
      <c r="F37" s="570"/>
      <c r="G37" s="570"/>
      <c r="H37" s="570"/>
    </row>
    <row r="38" spans="1:24">
      <c r="A38" s="570" t="s">
        <v>224</v>
      </c>
      <c r="B38" s="570"/>
      <c r="C38" s="570"/>
      <c r="D38" s="570"/>
      <c r="E38" s="570"/>
      <c r="F38" s="570"/>
      <c r="G38" s="570"/>
      <c r="H38" s="570"/>
    </row>
    <row r="39" spans="1:24">
      <c r="A39" s="567" t="s">
        <v>225</v>
      </c>
      <c r="B39" s="567"/>
      <c r="C39" s="567"/>
      <c r="D39" s="567"/>
      <c r="E39" s="567"/>
      <c r="F39" s="567"/>
      <c r="G39" s="567"/>
      <c r="H39" s="567"/>
    </row>
    <row r="40" spans="1:24">
      <c r="A40" s="567" t="s">
        <v>226</v>
      </c>
      <c r="B40" s="567"/>
      <c r="C40" s="567"/>
      <c r="D40" s="567"/>
      <c r="E40" s="567"/>
      <c r="F40" s="567"/>
      <c r="G40" s="567"/>
      <c r="H40" s="567"/>
    </row>
    <row r="41" spans="1:24">
      <c r="A41" s="567" t="s">
        <v>227</v>
      </c>
      <c r="B41" s="567"/>
      <c r="C41" s="567"/>
      <c r="D41" s="567"/>
      <c r="E41" s="567"/>
      <c r="F41" s="567"/>
      <c r="G41" s="567"/>
      <c r="H41" s="567"/>
    </row>
    <row r="42" spans="1:24">
      <c r="A42" s="568" t="s">
        <v>228</v>
      </c>
      <c r="B42" s="568"/>
      <c r="C42" s="568"/>
      <c r="D42" s="568"/>
      <c r="E42" s="568"/>
      <c r="F42" s="568"/>
      <c r="G42" s="568"/>
      <c r="H42" s="568"/>
    </row>
    <row r="43" spans="1:24" ht="29.4" customHeight="1">
      <c r="A43" s="567" t="s">
        <v>229</v>
      </c>
      <c r="B43" s="567"/>
      <c r="C43" s="567"/>
      <c r="D43" s="567"/>
      <c r="E43" s="567"/>
      <c r="F43" s="567"/>
      <c r="G43" s="567"/>
      <c r="H43" s="567"/>
    </row>
    <row r="44" spans="1:24" ht="13.95" customHeight="1">
      <c r="A44" s="3"/>
      <c r="B44" s="3"/>
      <c r="C44" s="3"/>
      <c r="D44" s="3"/>
      <c r="E44" s="3"/>
      <c r="F44" s="3"/>
      <c r="G44" s="3"/>
      <c r="H44" s="3"/>
    </row>
    <row r="45" spans="1:24">
      <c r="B45"/>
      <c r="G45"/>
    </row>
    <row r="46" spans="1:24">
      <c r="B46"/>
      <c r="G46"/>
    </row>
    <row r="47" spans="1:24">
      <c r="B47"/>
      <c r="G47"/>
    </row>
    <row r="48" spans="1:24">
      <c r="B48"/>
      <c r="G48"/>
    </row>
    <row r="49" spans="2:7">
      <c r="B49"/>
      <c r="G49"/>
    </row>
    <row r="50" spans="2:7">
      <c r="B50"/>
      <c r="G50"/>
    </row>
    <row r="51" spans="2:7">
      <c r="B51"/>
      <c r="G51"/>
    </row>
    <row r="52" spans="2:7">
      <c r="B52"/>
      <c r="G52"/>
    </row>
    <row r="53" spans="2:7">
      <c r="B53"/>
      <c r="G53"/>
    </row>
    <row r="54" spans="2:7">
      <c r="B54"/>
      <c r="G54"/>
    </row>
    <row r="55" spans="2:7">
      <c r="B55"/>
      <c r="G55"/>
    </row>
    <row r="56" spans="2:7">
      <c r="B56"/>
      <c r="G56"/>
    </row>
    <row r="57" spans="2:7">
      <c r="B57"/>
      <c r="G57"/>
    </row>
    <row r="58" spans="2:7" ht="15" customHeight="1">
      <c r="B58"/>
      <c r="G58"/>
    </row>
    <row r="59" spans="2:7" ht="15" customHeight="1">
      <c r="B59"/>
      <c r="G59"/>
    </row>
    <row r="60" spans="2:7" ht="15" customHeight="1">
      <c r="B60"/>
      <c r="G60"/>
    </row>
    <row r="61" spans="2:7">
      <c r="B61"/>
      <c r="G61"/>
    </row>
    <row r="62" spans="2:7">
      <c r="B62"/>
      <c r="G62"/>
    </row>
    <row r="63" spans="2:7">
      <c r="B63"/>
      <c r="G63"/>
    </row>
    <row r="64" spans="2:7">
      <c r="B64"/>
      <c r="G64"/>
    </row>
    <row r="65" spans="2:7">
      <c r="B65"/>
      <c r="G65"/>
    </row>
    <row r="66" spans="2:7">
      <c r="B66"/>
      <c r="G66"/>
    </row>
    <row r="67" spans="2:7">
      <c r="B67"/>
      <c r="G67"/>
    </row>
    <row r="68" spans="2:7">
      <c r="B68"/>
      <c r="G68"/>
    </row>
    <row r="69" spans="2:7">
      <c r="B69"/>
      <c r="G69"/>
    </row>
    <row r="70" spans="2:7">
      <c r="B70"/>
      <c r="G70"/>
    </row>
    <row r="71" spans="2:7">
      <c r="B71"/>
      <c r="G71"/>
    </row>
    <row r="72" spans="2:7">
      <c r="B72"/>
      <c r="G72"/>
    </row>
    <row r="73" spans="2:7">
      <c r="B73"/>
      <c r="G73"/>
    </row>
  </sheetData>
  <autoFilter ref="A2:Y23" xr:uid="{6F3093AA-CE58-48DD-B4C9-82527CB4498E}"/>
  <mergeCells count="45">
    <mergeCell ref="A41:H41"/>
    <mergeCell ref="A40:H40"/>
    <mergeCell ref="A43:H43"/>
    <mergeCell ref="A42:H42"/>
    <mergeCell ref="A36:D36"/>
    <mergeCell ref="A37:H37"/>
    <mergeCell ref="A38:H38"/>
    <mergeCell ref="A39:H39"/>
    <mergeCell ref="I27:X27"/>
    <mergeCell ref="I28:X28"/>
    <mergeCell ref="I29:X29"/>
    <mergeCell ref="I30:X30"/>
    <mergeCell ref="I31:X31"/>
    <mergeCell ref="E32:X32"/>
    <mergeCell ref="E33:X33"/>
    <mergeCell ref="E34:X34"/>
    <mergeCell ref="A3:A7"/>
    <mergeCell ref="H13:H14"/>
    <mergeCell ref="H18:H19"/>
    <mergeCell ref="D15:D17"/>
    <mergeCell ref="D13:D14"/>
    <mergeCell ref="D3:D7"/>
    <mergeCell ref="C3:C7"/>
    <mergeCell ref="C8:C12"/>
    <mergeCell ref="D8:D12"/>
    <mergeCell ref="E13:E17"/>
    <mergeCell ref="E25:X25"/>
    <mergeCell ref="I26:X26"/>
    <mergeCell ref="E27:E31"/>
    <mergeCell ref="A1:X1"/>
    <mergeCell ref="D18:D19"/>
    <mergeCell ref="C18:C23"/>
    <mergeCell ref="E18:E23"/>
    <mergeCell ref="A13:A23"/>
    <mergeCell ref="G20:G21"/>
    <mergeCell ref="B18:B23"/>
    <mergeCell ref="B13:B17"/>
    <mergeCell ref="F20:F21"/>
    <mergeCell ref="D20:D23"/>
    <mergeCell ref="A8:A12"/>
    <mergeCell ref="C13:C17"/>
    <mergeCell ref="E3:E7"/>
    <mergeCell ref="E8:E12"/>
    <mergeCell ref="B8:B12"/>
    <mergeCell ref="B3:B7"/>
  </mergeCells>
  <phoneticPr fontId="6" type="noConversion"/>
  <hyperlinks>
    <hyperlink ref="H27" r:id="rId1" xr:uid="{05F65E3E-0E8A-4211-874B-7C4073D6926E}"/>
    <hyperlink ref="E32" r:id="rId2"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77AB4A8A-4736-484F-A755-8143C6480D4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Q85"/>
  <sheetViews>
    <sheetView zoomScaleNormal="100" workbookViewId="0">
      <selection sqref="A1:F1"/>
    </sheetView>
  </sheetViews>
  <sheetFormatPr defaultColWidth="8.88671875" defaultRowHeight="13.2"/>
  <cols>
    <col min="1" max="1" width="26" style="21" customWidth="1"/>
    <col min="2" max="2" width="28.109375" style="21" customWidth="1"/>
    <col min="3" max="3" width="25.109375" style="21" customWidth="1"/>
    <col min="4" max="4" width="29.44140625" style="21" customWidth="1"/>
    <col min="5" max="5" width="49.5546875" style="21" customWidth="1"/>
    <col min="6" max="6" width="32" style="21" customWidth="1"/>
    <col min="7" max="7" width="17.33203125" style="21" customWidth="1"/>
    <col min="8" max="8" width="35.6640625" style="21" customWidth="1"/>
    <col min="9" max="9" width="20.5546875" style="21" customWidth="1"/>
    <col min="10" max="10" width="14.109375" style="21" customWidth="1"/>
    <col min="11" max="11" width="17.33203125" style="21" customWidth="1"/>
    <col min="12" max="12" width="19.88671875" style="21" customWidth="1"/>
    <col min="13" max="13" width="18.44140625" style="21" customWidth="1"/>
    <col min="14" max="14" width="18.88671875" style="21" customWidth="1"/>
    <col min="15" max="15" width="40.6640625" style="21" customWidth="1"/>
    <col min="16" max="16" width="45.44140625" style="21" customWidth="1"/>
    <col min="17" max="21" width="15.109375" style="21" customWidth="1"/>
    <col min="22" max="22" width="14.6640625" style="21" customWidth="1"/>
    <col min="23" max="23" width="13.5546875" style="21" customWidth="1"/>
    <col min="24" max="24" width="15.6640625" style="21" customWidth="1"/>
    <col min="25" max="31" width="11" style="21" customWidth="1"/>
    <col min="32" max="40" width="6.5546875" style="21" customWidth="1"/>
    <col min="41" max="41" width="8.88671875" style="21" customWidth="1"/>
    <col min="42" max="16384" width="8.88671875" style="21"/>
  </cols>
  <sheetData>
    <row r="1" spans="1:16" ht="27" customHeight="1">
      <c r="A1" s="571" t="s">
        <v>230</v>
      </c>
      <c r="B1" s="571"/>
      <c r="C1" s="571"/>
      <c r="D1" s="571"/>
      <c r="E1" s="571"/>
      <c r="F1" s="571"/>
    </row>
    <row r="2" spans="1:16" ht="19.2" customHeight="1">
      <c r="A2" s="528" t="s">
        <v>168</v>
      </c>
      <c r="B2" s="528" t="s">
        <v>103</v>
      </c>
      <c r="C2" s="528" t="s">
        <v>231</v>
      </c>
      <c r="D2" s="528" t="s">
        <v>232</v>
      </c>
      <c r="E2" s="528" t="s">
        <v>233</v>
      </c>
      <c r="F2" s="528" t="s">
        <v>213</v>
      </c>
    </row>
    <row r="3" spans="1:16" ht="62.4" customHeight="1">
      <c r="A3" s="521" t="s">
        <v>234</v>
      </c>
      <c r="B3" s="521" t="s">
        <v>235</v>
      </c>
      <c r="C3" s="521" t="s">
        <v>236</v>
      </c>
      <c r="D3" s="90" t="s">
        <v>237</v>
      </c>
      <c r="E3" s="521" t="s">
        <v>238</v>
      </c>
      <c r="F3" s="522" t="s">
        <v>239</v>
      </c>
      <c r="G3" s="514" t="s">
        <v>240</v>
      </c>
      <c r="H3" s="514"/>
      <c r="I3" s="514"/>
      <c r="J3" s="514"/>
      <c r="K3" s="514"/>
    </row>
    <row r="4" spans="1:16" ht="25.95" customHeight="1">
      <c r="A4" s="521" t="s">
        <v>241</v>
      </c>
      <c r="B4" s="521" t="s">
        <v>235</v>
      </c>
      <c r="C4" s="521" t="s">
        <v>242</v>
      </c>
      <c r="D4" s="521" t="s">
        <v>242</v>
      </c>
      <c r="E4" s="521" t="s">
        <v>242</v>
      </c>
      <c r="F4" s="522" t="s">
        <v>243</v>
      </c>
      <c r="G4" s="261" t="s">
        <v>242</v>
      </c>
      <c r="H4" s="261"/>
      <c r="I4" s="261"/>
      <c r="J4" s="261"/>
      <c r="K4" s="261"/>
    </row>
    <row r="5" spans="1:16" ht="15.6" customHeight="1">
      <c r="A5" s="514" t="s">
        <v>244</v>
      </c>
      <c r="B5" s="23"/>
      <c r="C5" s="23"/>
      <c r="D5" s="23"/>
      <c r="E5" s="23"/>
    </row>
    <row r="6" spans="1:16">
      <c r="A6" s="514"/>
      <c r="B6" s="23"/>
      <c r="C6" s="23"/>
      <c r="D6" s="23"/>
      <c r="E6" s="23"/>
    </row>
    <row r="7" spans="1:16">
      <c r="A7" s="23"/>
      <c r="B7" s="23"/>
      <c r="C7" s="23"/>
      <c r="D7" s="23"/>
      <c r="E7" s="23"/>
    </row>
    <row r="8" spans="1:16">
      <c r="A8" s="23"/>
      <c r="B8" s="23"/>
      <c r="C8" s="23"/>
      <c r="D8" s="23"/>
      <c r="E8" s="23"/>
    </row>
    <row r="9" spans="1:16" ht="25.95" customHeight="1">
      <c r="A9" s="571" t="s">
        <v>245</v>
      </c>
      <c r="B9" s="571"/>
      <c r="C9" s="571"/>
      <c r="D9" s="571"/>
      <c r="E9" s="571"/>
      <c r="G9" s="575" t="s">
        <v>246</v>
      </c>
      <c r="H9" s="575"/>
      <c r="I9" s="575"/>
      <c r="J9" s="575"/>
      <c r="K9" s="575"/>
      <c r="L9" s="575"/>
      <c r="M9" s="575"/>
      <c r="N9" s="575"/>
      <c r="O9" s="575"/>
      <c r="P9" s="575"/>
    </row>
    <row r="10" spans="1:16" ht="26.4">
      <c r="A10" s="91" t="s">
        <v>168</v>
      </c>
      <c r="B10" s="91" t="s">
        <v>247</v>
      </c>
      <c r="C10" s="73" t="s">
        <v>231</v>
      </c>
      <c r="D10" s="73" t="s">
        <v>232</v>
      </c>
      <c r="E10" s="528" t="s">
        <v>213</v>
      </c>
      <c r="G10" s="127" t="s">
        <v>168</v>
      </c>
      <c r="H10" s="127" t="s">
        <v>248</v>
      </c>
      <c r="I10" s="127" t="s">
        <v>249</v>
      </c>
      <c r="J10" s="127" t="s">
        <v>250</v>
      </c>
      <c r="K10" s="127" t="s">
        <v>251</v>
      </c>
      <c r="L10" s="127" t="s">
        <v>252</v>
      </c>
      <c r="M10" s="127" t="s">
        <v>253</v>
      </c>
      <c r="N10" s="127" t="s">
        <v>232</v>
      </c>
      <c r="O10" s="255" t="s">
        <v>247</v>
      </c>
      <c r="P10" s="256" t="s">
        <v>213</v>
      </c>
    </row>
    <row r="11" spans="1:16" ht="17.399999999999999" customHeight="1">
      <c r="A11" s="68" t="s">
        <v>190</v>
      </c>
      <c r="B11" s="563">
        <v>2008</v>
      </c>
      <c r="C11" s="563" t="s">
        <v>254</v>
      </c>
      <c r="D11" s="576" t="s">
        <v>255</v>
      </c>
      <c r="E11" s="578" t="s">
        <v>256</v>
      </c>
      <c r="G11" s="573" t="s">
        <v>257</v>
      </c>
      <c r="H11" s="522" t="s">
        <v>258</v>
      </c>
      <c r="I11" s="522" t="s">
        <v>259</v>
      </c>
      <c r="J11" s="522" t="s">
        <v>260</v>
      </c>
      <c r="K11" s="257">
        <f>(Zones!G5+Zones!G16)*3</f>
        <v>5813.5834799999993</v>
      </c>
      <c r="L11" s="257">
        <f>20*K11</f>
        <v>116271.66959999999</v>
      </c>
      <c r="M11" s="257" t="s">
        <v>261</v>
      </c>
      <c r="N11" s="90" t="s">
        <v>262</v>
      </c>
      <c r="O11" s="521">
        <v>2008</v>
      </c>
      <c r="P11" s="573" t="s">
        <v>263</v>
      </c>
    </row>
    <row r="12" spans="1:16" ht="17.399999999999999" customHeight="1">
      <c r="A12" s="68" t="s">
        <v>193</v>
      </c>
      <c r="B12" s="565"/>
      <c r="C12" s="565"/>
      <c r="D12" s="577"/>
      <c r="E12" s="565"/>
      <c r="G12" s="574"/>
      <c r="H12" s="522" t="s">
        <v>264</v>
      </c>
      <c r="I12" s="522" t="s">
        <v>265</v>
      </c>
      <c r="J12" s="522" t="s">
        <v>260</v>
      </c>
      <c r="K12" s="258">
        <f>K11</f>
        <v>5813.5834799999993</v>
      </c>
      <c r="L12" s="257">
        <f>20*K12</f>
        <v>116271.66959999999</v>
      </c>
      <c r="M12" s="257" t="s">
        <v>261</v>
      </c>
      <c r="N12" s="90" t="s">
        <v>262</v>
      </c>
      <c r="O12" s="521">
        <v>2008</v>
      </c>
      <c r="P12" s="573"/>
    </row>
    <row r="13" spans="1:16" ht="17.399999999999999" customHeight="1">
      <c r="A13" s="68" t="s">
        <v>195</v>
      </c>
      <c r="B13" s="68">
        <v>2008</v>
      </c>
      <c r="C13" s="68" t="s">
        <v>254</v>
      </c>
      <c r="D13" s="259" t="s">
        <v>266</v>
      </c>
      <c r="E13" s="68" t="s">
        <v>256</v>
      </c>
      <c r="G13" s="574"/>
      <c r="H13" s="522" t="s">
        <v>267</v>
      </c>
      <c r="I13" s="522" t="s">
        <v>268</v>
      </c>
      <c r="J13" s="522" t="s">
        <v>260</v>
      </c>
      <c r="K13" s="257">
        <f>(Zones!G4+Zones!G17)*3</f>
        <v>8402.8791600000004</v>
      </c>
      <c r="L13" s="257">
        <f>20*K13</f>
        <v>168057.58319999999</v>
      </c>
      <c r="M13" s="257" t="s">
        <v>269</v>
      </c>
      <c r="N13" s="90" t="s">
        <v>270</v>
      </c>
      <c r="O13" s="521">
        <v>2008</v>
      </c>
      <c r="P13" s="573"/>
    </row>
    <row r="14" spans="1:16" ht="25.2" customHeight="1">
      <c r="A14" s="68" t="s">
        <v>196</v>
      </c>
      <c r="B14" s="68">
        <v>2010</v>
      </c>
      <c r="C14" s="68" t="s">
        <v>271</v>
      </c>
      <c r="D14" s="259" t="s">
        <v>272</v>
      </c>
      <c r="E14" s="68" t="s">
        <v>273</v>
      </c>
      <c r="G14" s="574"/>
      <c r="H14" s="522" t="s">
        <v>274</v>
      </c>
      <c r="I14" s="522" t="s">
        <v>275</v>
      </c>
      <c r="J14" s="522" t="s">
        <v>260</v>
      </c>
      <c r="K14" s="257">
        <f>K13</f>
        <v>8402.8791600000004</v>
      </c>
      <c r="L14" s="257">
        <f t="shared" ref="L14:L25" si="0">20*K14</f>
        <v>168057.58319999999</v>
      </c>
      <c r="M14" s="257" t="s">
        <v>269</v>
      </c>
      <c r="N14" s="90" t="s">
        <v>270</v>
      </c>
      <c r="O14" s="521">
        <v>2008</v>
      </c>
      <c r="P14" s="573"/>
    </row>
    <row r="15" spans="1:16" ht="25.2" customHeight="1">
      <c r="A15" s="519" t="s">
        <v>241</v>
      </c>
      <c r="B15" s="68">
        <v>2025</v>
      </c>
      <c r="C15" s="68" t="s">
        <v>276</v>
      </c>
      <c r="D15" s="259" t="s">
        <v>272</v>
      </c>
      <c r="E15" s="74" t="s">
        <v>277</v>
      </c>
      <c r="G15" s="574"/>
      <c r="H15" s="522" t="s">
        <v>278</v>
      </c>
      <c r="I15" s="522" t="s">
        <v>279</v>
      </c>
      <c r="J15" s="522" t="s">
        <v>260</v>
      </c>
      <c r="K15" s="257">
        <f>Zones!G3*3</f>
        <v>12849</v>
      </c>
      <c r="L15" s="257">
        <f t="shared" si="0"/>
        <v>256980</v>
      </c>
      <c r="M15" s="257" t="s">
        <v>280</v>
      </c>
      <c r="N15" s="90" t="s">
        <v>266</v>
      </c>
      <c r="O15" s="521">
        <v>2008</v>
      </c>
      <c r="P15" s="573"/>
    </row>
    <row r="16" spans="1:16">
      <c r="B16" s="24"/>
      <c r="C16" s="24"/>
      <c r="D16" s="92"/>
      <c r="E16" s="24"/>
      <c r="G16" s="574"/>
      <c r="H16" s="522" t="s">
        <v>281</v>
      </c>
      <c r="I16" s="522" t="s">
        <v>282</v>
      </c>
      <c r="J16" s="522" t="s">
        <v>260</v>
      </c>
      <c r="K16" s="257">
        <f>SUM(Zones!G9:G15)*3</f>
        <v>12347.796806999999</v>
      </c>
      <c r="L16" s="257">
        <f t="shared" si="0"/>
        <v>246955.93613999998</v>
      </c>
      <c r="M16" s="257" t="s">
        <v>280</v>
      </c>
      <c r="N16" s="90" t="s">
        <v>266</v>
      </c>
      <c r="O16" s="521">
        <v>2008</v>
      </c>
      <c r="P16" s="573"/>
    </row>
    <row r="17" spans="1:17">
      <c r="A17" s="93"/>
      <c r="B17" s="24"/>
      <c r="C17" s="24"/>
      <c r="D17" s="92"/>
      <c r="E17" s="24"/>
      <c r="G17" s="574" t="s">
        <v>195</v>
      </c>
      <c r="H17" s="522" t="s">
        <v>283</v>
      </c>
      <c r="I17" s="522" t="s">
        <v>284</v>
      </c>
      <c r="J17" s="522" t="s">
        <v>285</v>
      </c>
      <c r="K17" s="258">
        <f>Zones!G20</f>
        <v>17875.932499999999</v>
      </c>
      <c r="L17" s="257">
        <f t="shared" si="0"/>
        <v>357518.64999999997</v>
      </c>
      <c r="M17" s="257" t="s">
        <v>280</v>
      </c>
      <c r="N17" s="90" t="s">
        <v>266</v>
      </c>
      <c r="O17" s="521">
        <v>2008</v>
      </c>
      <c r="P17" s="573"/>
    </row>
    <row r="18" spans="1:17">
      <c r="A18" s="93"/>
      <c r="B18" s="24"/>
      <c r="C18" s="24"/>
      <c r="D18" s="92"/>
      <c r="E18" s="24"/>
      <c r="G18" s="574"/>
      <c r="H18" s="522" t="s">
        <v>286</v>
      </c>
      <c r="I18" s="522" t="s">
        <v>287</v>
      </c>
      <c r="J18" s="522" t="s">
        <v>288</v>
      </c>
      <c r="K18" s="258">
        <f>K17</f>
        <v>17875.932499999999</v>
      </c>
      <c r="L18" s="257">
        <f t="shared" si="0"/>
        <v>357518.64999999997</v>
      </c>
      <c r="M18" s="257" t="s">
        <v>280</v>
      </c>
      <c r="N18" s="90" t="s">
        <v>266</v>
      </c>
      <c r="O18" s="521">
        <v>2008</v>
      </c>
      <c r="P18" s="573"/>
    </row>
    <row r="19" spans="1:17">
      <c r="A19" s="24"/>
      <c r="B19" s="24"/>
      <c r="C19" s="94"/>
      <c r="D19" s="92"/>
      <c r="E19" s="24"/>
      <c r="G19" s="574"/>
      <c r="H19" s="522" t="s">
        <v>289</v>
      </c>
      <c r="I19" s="522" t="s">
        <v>290</v>
      </c>
      <c r="J19" s="522" t="s">
        <v>291</v>
      </c>
      <c r="K19" s="258">
        <f>K18</f>
        <v>17875.932499999999</v>
      </c>
      <c r="L19" s="257">
        <f t="shared" si="0"/>
        <v>357518.64999999997</v>
      </c>
      <c r="M19" s="257" t="s">
        <v>280</v>
      </c>
      <c r="N19" s="90" t="s">
        <v>266</v>
      </c>
      <c r="O19" s="521">
        <v>2008</v>
      </c>
      <c r="P19" s="573"/>
    </row>
    <row r="20" spans="1:17" ht="14.4" customHeight="1">
      <c r="A20" s="94"/>
      <c r="B20" s="24"/>
      <c r="C20" s="95"/>
      <c r="D20" s="92"/>
      <c r="E20" s="24"/>
      <c r="G20" s="574" t="s">
        <v>196</v>
      </c>
      <c r="H20" s="522" t="s">
        <v>283</v>
      </c>
      <c r="I20" s="522" t="s">
        <v>284</v>
      </c>
      <c r="J20" s="522" t="s">
        <v>285</v>
      </c>
      <c r="K20" s="258">
        <f>Zones!G20</f>
        <v>17875.932499999999</v>
      </c>
      <c r="L20" s="257">
        <f t="shared" si="0"/>
        <v>357518.64999999997</v>
      </c>
      <c r="M20" s="257" t="s">
        <v>280</v>
      </c>
      <c r="N20" s="90" t="s">
        <v>272</v>
      </c>
      <c r="O20" s="521">
        <v>2010</v>
      </c>
      <c r="P20" s="573" t="s">
        <v>292</v>
      </c>
      <c r="Q20" s="424" t="s">
        <v>293</v>
      </c>
    </row>
    <row r="21" spans="1:17">
      <c r="A21" s="94"/>
      <c r="B21" s="24"/>
      <c r="C21" s="94"/>
      <c r="D21" s="92"/>
      <c r="E21" s="24"/>
      <c r="G21" s="574"/>
      <c r="H21" s="522" t="s">
        <v>286</v>
      </c>
      <c r="I21" s="522" t="s">
        <v>287</v>
      </c>
      <c r="J21" s="522" t="s">
        <v>288</v>
      </c>
      <c r="K21" s="258">
        <f>K20</f>
        <v>17875.932499999999</v>
      </c>
      <c r="L21" s="257">
        <f t="shared" si="0"/>
        <v>357518.64999999997</v>
      </c>
      <c r="M21" s="257" t="s">
        <v>280</v>
      </c>
      <c r="N21" s="90" t="s">
        <v>272</v>
      </c>
      <c r="O21" s="521">
        <v>2010</v>
      </c>
      <c r="P21" s="573"/>
      <c r="Q21" s="22"/>
    </row>
    <row r="22" spans="1:17">
      <c r="G22" s="574"/>
      <c r="H22" s="522" t="s">
        <v>289</v>
      </c>
      <c r="I22" s="522" t="s">
        <v>290</v>
      </c>
      <c r="J22" s="522" t="s">
        <v>291</v>
      </c>
      <c r="K22" s="258">
        <f>K21</f>
        <v>17875.932499999999</v>
      </c>
      <c r="L22" s="257">
        <f t="shared" si="0"/>
        <v>357518.64999999997</v>
      </c>
      <c r="M22" s="257" t="s">
        <v>280</v>
      </c>
      <c r="N22" s="90" t="s">
        <v>272</v>
      </c>
      <c r="O22" s="521">
        <v>2010</v>
      </c>
      <c r="P22" s="573"/>
    </row>
    <row r="23" spans="1:17" ht="14.4" customHeight="1">
      <c r="A23" s="94"/>
      <c r="B23" s="24"/>
      <c r="C23" s="24"/>
      <c r="D23" s="92"/>
      <c r="E23" s="24"/>
      <c r="G23" s="574" t="s">
        <v>241</v>
      </c>
      <c r="H23" s="522" t="s">
        <v>294</v>
      </c>
      <c r="I23" s="522" t="s">
        <v>284</v>
      </c>
      <c r="J23" s="522" t="s">
        <v>285</v>
      </c>
      <c r="K23" s="258">
        <f>Zones!G20</f>
        <v>17875.932499999999</v>
      </c>
      <c r="L23" s="257">
        <f t="shared" si="0"/>
        <v>357518.64999999997</v>
      </c>
      <c r="M23" s="257" t="s">
        <v>295</v>
      </c>
      <c r="N23" s="90" t="s">
        <v>272</v>
      </c>
      <c r="O23" s="521">
        <v>2025</v>
      </c>
      <c r="P23" s="573" t="s">
        <v>296</v>
      </c>
      <c r="Q23" s="424" t="s">
        <v>297</v>
      </c>
    </row>
    <row r="24" spans="1:17" ht="21" customHeight="1">
      <c r="A24" s="572"/>
      <c r="B24" s="572"/>
      <c r="C24" s="572"/>
      <c r="D24" s="572"/>
      <c r="E24" s="572"/>
      <c r="G24" s="574"/>
      <c r="H24" s="522" t="s">
        <v>298</v>
      </c>
      <c r="I24" s="522" t="s">
        <v>287</v>
      </c>
      <c r="J24" s="522" t="s">
        <v>288</v>
      </c>
      <c r="K24" s="258">
        <f>K23</f>
        <v>17875.932499999999</v>
      </c>
      <c r="L24" s="257">
        <f t="shared" si="0"/>
        <v>357518.64999999997</v>
      </c>
      <c r="M24" s="257" t="s">
        <v>295</v>
      </c>
      <c r="N24" s="90" t="s">
        <v>272</v>
      </c>
      <c r="O24" s="521">
        <v>2025</v>
      </c>
      <c r="P24" s="573"/>
      <c r="Q24" s="94" t="s">
        <v>39</v>
      </c>
    </row>
    <row r="25" spans="1:17" ht="17.399999999999999" customHeight="1">
      <c r="A25" s="385"/>
      <c r="B25" s="233"/>
      <c r="C25" s="233"/>
      <c r="D25" s="92"/>
      <c r="E25" s="24"/>
      <c r="G25" s="574"/>
      <c r="H25" s="522" t="s">
        <v>299</v>
      </c>
      <c r="I25" s="522" t="s">
        <v>290</v>
      </c>
      <c r="J25" s="522" t="s">
        <v>291</v>
      </c>
      <c r="K25" s="258">
        <f>K24</f>
        <v>17875.932499999999</v>
      </c>
      <c r="L25" s="257">
        <f t="shared" si="0"/>
        <v>357518.64999999997</v>
      </c>
      <c r="M25" s="257" t="s">
        <v>295</v>
      </c>
      <c r="N25" s="90" t="s">
        <v>272</v>
      </c>
      <c r="O25" s="521">
        <v>2025</v>
      </c>
      <c r="P25" s="573"/>
    </row>
    <row r="26" spans="1:17" ht="18.600000000000001" customHeight="1">
      <c r="A26" s="23"/>
      <c r="B26" s="23"/>
      <c r="C26" s="23"/>
      <c r="D26" s="386"/>
      <c r="E26" s="24"/>
      <c r="G26" s="582" t="s">
        <v>300</v>
      </c>
      <c r="H26" s="582"/>
      <c r="I26" s="582"/>
      <c r="J26" s="582"/>
      <c r="K26" s="582"/>
    </row>
    <row r="27" spans="1:17" ht="18.600000000000001" customHeight="1">
      <c r="A27" s="24"/>
      <c r="D27" s="77"/>
      <c r="E27" s="24"/>
      <c r="K27" s="299"/>
    </row>
    <row r="28" spans="1:17" ht="22.95" customHeight="1">
      <c r="A28" s="583" t="s">
        <v>301</v>
      </c>
      <c r="B28" s="583"/>
      <c r="C28" s="583"/>
      <c r="D28" s="583"/>
      <c r="E28" s="583"/>
      <c r="F28" s="583"/>
      <c r="G28" s="583"/>
      <c r="H28" s="583"/>
      <c r="I28" s="583"/>
    </row>
    <row r="29" spans="1:17" ht="48.6" customHeight="1">
      <c r="A29" s="530" t="s">
        <v>168</v>
      </c>
      <c r="B29" s="530" t="s">
        <v>302</v>
      </c>
      <c r="C29" s="530" t="s">
        <v>303</v>
      </c>
      <c r="D29" s="384" t="s">
        <v>304</v>
      </c>
      <c r="E29" s="384" t="s">
        <v>305</v>
      </c>
      <c r="F29" s="384" t="s">
        <v>306</v>
      </c>
      <c r="G29" s="384" t="s">
        <v>307</v>
      </c>
      <c r="H29" s="288" t="s">
        <v>308</v>
      </c>
      <c r="I29" s="312" t="s">
        <v>114</v>
      </c>
    </row>
    <row r="30" spans="1:17" ht="13.95" customHeight="1">
      <c r="A30" s="579" t="s">
        <v>309</v>
      </c>
      <c r="B30" s="579" t="s">
        <v>310</v>
      </c>
      <c r="C30" s="521" t="s">
        <v>311</v>
      </c>
      <c r="D30" s="521">
        <v>2.5</v>
      </c>
      <c r="E30" s="521">
        <v>0.65</v>
      </c>
      <c r="F30" s="586" t="s">
        <v>312</v>
      </c>
      <c r="G30" s="584"/>
      <c r="H30" s="586" t="s">
        <v>313</v>
      </c>
      <c r="I30" s="588"/>
    </row>
    <row r="31" spans="1:17" ht="13.95" customHeight="1">
      <c r="A31" s="580"/>
      <c r="B31" s="580"/>
      <c r="C31" s="521" t="s">
        <v>314</v>
      </c>
      <c r="D31" s="273">
        <v>4.09</v>
      </c>
      <c r="E31" s="521">
        <v>0.65</v>
      </c>
      <c r="F31" s="587"/>
      <c r="G31" s="585"/>
      <c r="H31" s="587"/>
      <c r="I31" s="589"/>
    </row>
    <row r="32" spans="1:17" ht="13.95" customHeight="1">
      <c r="A32" s="581"/>
      <c r="B32" s="581"/>
      <c r="C32" s="521" t="s">
        <v>315</v>
      </c>
      <c r="D32" s="521">
        <v>5.58</v>
      </c>
      <c r="E32" s="521">
        <v>0.65</v>
      </c>
      <c r="F32" s="587"/>
      <c r="G32" s="585"/>
      <c r="H32" s="587"/>
      <c r="I32" s="589"/>
    </row>
    <row r="33" spans="1:23" ht="13.95" customHeight="1">
      <c r="A33" s="289" t="s">
        <v>316</v>
      </c>
      <c r="B33" s="290"/>
      <c r="C33" s="291"/>
      <c r="D33" s="291"/>
      <c r="E33" s="292"/>
      <c r="F33" s="293"/>
      <c r="G33" s="293"/>
      <c r="H33" s="293"/>
      <c r="I33" s="294"/>
    </row>
    <row r="34" spans="1:23" ht="13.95" customHeight="1">
      <c r="A34" s="295" t="s">
        <v>317</v>
      </c>
      <c r="B34" s="296"/>
      <c r="C34" s="296"/>
      <c r="D34" s="297"/>
      <c r="E34" s="296"/>
      <c r="F34" s="296"/>
      <c r="G34" s="296"/>
      <c r="H34" s="296"/>
      <c r="I34" s="298"/>
    </row>
    <row r="35" spans="1:23" ht="34.200000000000003" customHeight="1">
      <c r="A35" s="300" t="s">
        <v>241</v>
      </c>
      <c r="B35" s="300" t="s">
        <v>318</v>
      </c>
      <c r="C35" s="317" t="s">
        <v>319</v>
      </c>
      <c r="D35" s="531">
        <f>G35*$F$35*$E$35/746*6356</f>
        <v>1.7444919571045578</v>
      </c>
      <c r="E35" s="522">
        <v>0.65</v>
      </c>
      <c r="F35" s="522">
        <v>0.9</v>
      </c>
      <c r="G35" s="521">
        <v>0.35</v>
      </c>
      <c r="H35" s="301" t="s">
        <v>320</v>
      </c>
      <c r="I35" s="302" t="s">
        <v>321</v>
      </c>
    </row>
    <row r="36" spans="1:23" ht="13.95" customHeight="1">
      <c r="D36" s="167"/>
      <c r="E36" s="24"/>
      <c r="F36" s="21" t="s">
        <v>322</v>
      </c>
    </row>
    <row r="37" spans="1:23" ht="13.95" customHeight="1">
      <c r="A37" s="21" t="s">
        <v>323</v>
      </c>
    </row>
    <row r="38" spans="1:23" ht="13.95" customHeight="1">
      <c r="A38" s="24" t="s">
        <v>324</v>
      </c>
      <c r="B38" s="514"/>
      <c r="D38" s="77"/>
    </row>
    <row r="39" spans="1:23" ht="13.95" customHeight="1">
      <c r="A39" s="24" t="s">
        <v>325</v>
      </c>
    </row>
    <row r="40" spans="1:23" ht="13.95" customHeight="1">
      <c r="A40" s="27"/>
      <c r="D40" s="77"/>
    </row>
    <row r="41" spans="1:23" ht="13.95" customHeight="1">
      <c r="A41" s="424" t="s">
        <v>326</v>
      </c>
      <c r="D41" s="77"/>
    </row>
    <row r="42" spans="1:23" ht="13.95" customHeight="1">
      <c r="D42" s="77"/>
    </row>
    <row r="43" spans="1:23" ht="13.95" customHeight="1">
      <c r="D43" s="77"/>
    </row>
    <row r="44" spans="1:23" ht="13.95" customHeight="1">
      <c r="D44" s="77"/>
    </row>
    <row r="45" spans="1:23" ht="13.95" customHeight="1">
      <c r="D45" s="77"/>
    </row>
    <row r="46" spans="1:23" ht="13.95" customHeight="1">
      <c r="D46" s="77"/>
    </row>
    <row r="47" spans="1:23">
      <c r="V47" s="76"/>
      <c r="W47" s="89"/>
    </row>
    <row r="48" spans="1:23">
      <c r="V48" s="76"/>
      <c r="W48" s="89"/>
    </row>
    <row r="49" spans="1:43">
      <c r="V49" s="76"/>
      <c r="W49" s="89"/>
    </row>
    <row r="50" spans="1:43" hidden="1">
      <c r="V50" s="76"/>
      <c r="W50" s="89"/>
    </row>
    <row r="51" spans="1:43" s="252" customFormat="1" ht="24.6" hidden="1">
      <c r="A51" s="251" t="s">
        <v>327</v>
      </c>
      <c r="E51" s="251" t="s">
        <v>328</v>
      </c>
      <c r="I51" s="251" t="s">
        <v>329</v>
      </c>
      <c r="J51" s="260"/>
      <c r="N51" s="251" t="s">
        <v>330</v>
      </c>
      <c r="Z51" s="253"/>
      <c r="AA51" s="254"/>
    </row>
    <row r="52" spans="1:43" hidden="1">
      <c r="Z52" s="76"/>
      <c r="AA52" s="89"/>
    </row>
    <row r="53" spans="1:43" hidden="1">
      <c r="Z53" s="76"/>
      <c r="AA53" s="89"/>
    </row>
    <row r="54" spans="1:43" hidden="1">
      <c r="Z54" s="76"/>
      <c r="AA54" s="89"/>
    </row>
    <row r="55" spans="1:43" hidden="1">
      <c r="Z55" s="76"/>
      <c r="AA55" s="89"/>
    </row>
    <row r="56" spans="1:43" hidden="1">
      <c r="Z56" s="76"/>
      <c r="AA56" s="89"/>
    </row>
    <row r="57" spans="1:43" hidden="1">
      <c r="Z57" s="76"/>
      <c r="AA57" s="89"/>
    </row>
    <row r="58" spans="1:43" hidden="1">
      <c r="Z58" s="76"/>
      <c r="AB58" s="147"/>
      <c r="AC58" s="147"/>
      <c r="AD58" s="147"/>
      <c r="AE58" s="147"/>
      <c r="AF58" s="147"/>
      <c r="AG58" s="147"/>
      <c r="AH58" s="147"/>
      <c r="AI58" s="147"/>
      <c r="AJ58" s="147"/>
      <c r="AK58" s="147"/>
      <c r="AL58" s="147"/>
      <c r="AM58" s="147"/>
      <c r="AN58" s="147"/>
      <c r="AO58" s="147"/>
      <c r="AP58" s="147"/>
      <c r="AQ58" s="147"/>
    </row>
    <row r="59" spans="1:43" hidden="1">
      <c r="Z59" s="88"/>
      <c r="AB59" s="76"/>
      <c r="AC59" s="76"/>
      <c r="AD59" s="76"/>
      <c r="AE59" s="76"/>
      <c r="AF59" s="76"/>
      <c r="AG59" s="76"/>
      <c r="AH59" s="76"/>
      <c r="AI59" s="76"/>
      <c r="AJ59" s="76"/>
      <c r="AK59" s="76"/>
      <c r="AL59" s="76"/>
      <c r="AM59" s="76"/>
      <c r="AN59" s="76"/>
      <c r="AO59" s="76"/>
      <c r="AP59" s="76"/>
      <c r="AQ59" s="76"/>
    </row>
    <row r="60" spans="1:43" hidden="1"/>
    <row r="61" spans="1:43" hidden="1"/>
    <row r="62" spans="1:43" hidden="1"/>
    <row r="63" spans="1:43" hidden="1"/>
    <row r="64" spans="1:43"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sheetData>
  <mergeCells count="23">
    <mergeCell ref="A30:A32"/>
    <mergeCell ref="G26:K26"/>
    <mergeCell ref="P11:P19"/>
    <mergeCell ref="G17:G19"/>
    <mergeCell ref="P20:P22"/>
    <mergeCell ref="G23:G25"/>
    <mergeCell ref="P23:P25"/>
    <mergeCell ref="A28:I28"/>
    <mergeCell ref="G30:G32"/>
    <mergeCell ref="F30:F32"/>
    <mergeCell ref="H30:H32"/>
    <mergeCell ref="I30:I32"/>
    <mergeCell ref="B30:B32"/>
    <mergeCell ref="A1:F1"/>
    <mergeCell ref="A24:E24"/>
    <mergeCell ref="G11:G16"/>
    <mergeCell ref="G20:G22"/>
    <mergeCell ref="G9:P9"/>
    <mergeCell ref="C11:C12"/>
    <mergeCell ref="D11:D12"/>
    <mergeCell ref="B11:B12"/>
    <mergeCell ref="E11:E12"/>
    <mergeCell ref="A9:E9"/>
  </mergeCells>
  <phoneticPr fontId="6" type="noConversion"/>
  <hyperlinks>
    <hyperlink ref="Q20" r:id="rId1" display="https://codes.iccsafe.org/content/CAEC2010/subchapter-2-all-occupancies-mandatory-requirements-for-the-manufacture-construction-and-installation-of-systems-equipment-and-building-components" xr:uid="{77B9D8F9-51D8-4650-A287-18167E9217A6}"/>
    <hyperlink ref="Q24" r:id="rId2" xr:uid="{B8C499DE-AA3E-4ED6-A0BE-AF1F3841BEC2}"/>
    <hyperlink ref="Q23" r:id="rId3" display="https://www.ecfr.gov/current/title-10/chapter-II/subchapter-D/part-431/subpart-F/subject-group-ECFR4287065a76436ba/section-431.97" xr:uid="{345757CC-0D70-4B90-A3F8-1AD03AF5B127}"/>
    <hyperlink ref="A41" r:id="rId4" display="https://www.pnnl.gov/main/publications/external/technical_reports/PNNL-20405.pdf" xr:uid="{B7AE0ADC-7B1E-4F90-A51B-538A93F94267}"/>
  </hyperlinks>
  <pageMargins left="0.7" right="0.7" top="0.75" bottom="0.75" header="0.3" footer="0.3"/>
  <pageSetup orientation="portrait" r:id="rId5"/>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D84A2-BD0E-4834-9878-DAB6480C4786}">
  <sheetPr codeName="Sheet9"/>
  <dimension ref="A1:R66"/>
  <sheetViews>
    <sheetView workbookViewId="0">
      <selection activeCell="F15" sqref="F15"/>
    </sheetView>
  </sheetViews>
  <sheetFormatPr defaultRowHeight="14.4"/>
  <cols>
    <col min="1" max="1" width="17.33203125" customWidth="1"/>
    <col min="18" max="18" width="27.33203125" customWidth="1"/>
  </cols>
  <sheetData>
    <row r="1" spans="1:18" ht="24" customHeight="1">
      <c r="A1" s="593" t="s">
        <v>351</v>
      </c>
      <c r="B1" s="593"/>
      <c r="C1" s="593"/>
      <c r="D1" s="593"/>
      <c r="E1" s="593"/>
      <c r="F1" s="593"/>
      <c r="G1" s="593"/>
      <c r="H1" s="593"/>
      <c r="I1" s="593"/>
      <c r="J1" s="593"/>
      <c r="K1" s="593"/>
      <c r="L1" s="593"/>
      <c r="M1" s="593"/>
      <c r="N1" s="593"/>
      <c r="O1" s="593"/>
      <c r="P1" s="593"/>
      <c r="Q1" s="593"/>
      <c r="R1" s="593"/>
    </row>
    <row r="2" spans="1:18" ht="22.2" customHeight="1" thickBot="1">
      <c r="A2" s="305" t="s">
        <v>352</v>
      </c>
      <c r="B2" s="306" t="s">
        <v>170</v>
      </c>
      <c r="C2" s="306" t="s">
        <v>171</v>
      </c>
      <c r="D2" s="306" t="s">
        <v>172</v>
      </c>
      <c r="E2" s="306" t="s">
        <v>173</v>
      </c>
      <c r="F2" s="306" t="s">
        <v>174</v>
      </c>
      <c r="G2" s="306" t="s">
        <v>175</v>
      </c>
      <c r="H2" s="306" t="s">
        <v>176</v>
      </c>
      <c r="I2" s="306" t="s">
        <v>177</v>
      </c>
      <c r="J2" s="306" t="s">
        <v>178</v>
      </c>
      <c r="K2" s="306" t="s">
        <v>179</v>
      </c>
      <c r="L2" s="306" t="s">
        <v>180</v>
      </c>
      <c r="M2" s="306" t="s">
        <v>181</v>
      </c>
      <c r="N2" s="306" t="s">
        <v>182</v>
      </c>
      <c r="O2" s="306" t="s">
        <v>183</v>
      </c>
      <c r="P2" s="306" t="s">
        <v>184</v>
      </c>
      <c r="Q2" s="306" t="s">
        <v>185</v>
      </c>
      <c r="R2" s="255" t="s">
        <v>213</v>
      </c>
    </row>
    <row r="3" spans="1:18" ht="22.2" customHeight="1">
      <c r="A3" s="307" t="s">
        <v>353</v>
      </c>
      <c r="B3" s="308">
        <v>70</v>
      </c>
      <c r="C3" s="308">
        <v>70</v>
      </c>
      <c r="D3" s="308">
        <v>70</v>
      </c>
      <c r="E3" s="308">
        <v>70</v>
      </c>
      <c r="F3" s="308">
        <v>70</v>
      </c>
      <c r="G3" s="308">
        <v>70</v>
      </c>
      <c r="H3" s="308">
        <v>70</v>
      </c>
      <c r="I3" s="308">
        <v>70</v>
      </c>
      <c r="J3" s="308">
        <v>70</v>
      </c>
      <c r="K3" s="308">
        <v>70</v>
      </c>
      <c r="L3" s="308">
        <v>70</v>
      </c>
      <c r="M3" s="308">
        <v>70</v>
      </c>
      <c r="N3" s="308">
        <v>70</v>
      </c>
      <c r="O3" s="308">
        <v>70</v>
      </c>
      <c r="P3" s="308">
        <v>70</v>
      </c>
      <c r="Q3" s="308">
        <v>70</v>
      </c>
      <c r="R3" s="590" t="s">
        <v>354</v>
      </c>
    </row>
    <row r="4" spans="1:18" ht="22.2" customHeight="1">
      <c r="A4" s="309" t="s">
        <v>355</v>
      </c>
      <c r="B4" s="97">
        <v>60</v>
      </c>
      <c r="C4" s="97">
        <v>60</v>
      </c>
      <c r="D4" s="97">
        <v>60</v>
      </c>
      <c r="E4" s="97">
        <v>60</v>
      </c>
      <c r="F4" s="97">
        <v>60</v>
      </c>
      <c r="G4" s="97">
        <v>60</v>
      </c>
      <c r="H4" s="97">
        <v>60</v>
      </c>
      <c r="I4" s="97">
        <v>60</v>
      </c>
      <c r="J4" s="97">
        <v>60</v>
      </c>
      <c r="K4" s="97">
        <v>60</v>
      </c>
      <c r="L4" s="97">
        <v>60</v>
      </c>
      <c r="M4" s="97">
        <v>60</v>
      </c>
      <c r="N4" s="97">
        <v>60</v>
      </c>
      <c r="O4" s="97">
        <v>60</v>
      </c>
      <c r="P4" s="97">
        <v>60</v>
      </c>
      <c r="Q4" s="97">
        <v>60</v>
      </c>
      <c r="R4" s="591"/>
    </row>
    <row r="5" spans="1:18" ht="22.2" customHeight="1">
      <c r="A5" s="309" t="s">
        <v>356</v>
      </c>
      <c r="B5" s="97">
        <v>75</v>
      </c>
      <c r="C5" s="97">
        <v>75</v>
      </c>
      <c r="D5" s="97">
        <v>75</v>
      </c>
      <c r="E5" s="97">
        <v>75</v>
      </c>
      <c r="F5" s="97">
        <v>75</v>
      </c>
      <c r="G5" s="97">
        <v>75</v>
      </c>
      <c r="H5" s="97">
        <v>75</v>
      </c>
      <c r="I5" s="97">
        <v>75</v>
      </c>
      <c r="J5" s="97">
        <v>75</v>
      </c>
      <c r="K5" s="97">
        <v>75</v>
      </c>
      <c r="L5" s="97">
        <v>75</v>
      </c>
      <c r="M5" s="97">
        <v>75</v>
      </c>
      <c r="N5" s="97">
        <v>75</v>
      </c>
      <c r="O5" s="97">
        <v>75</v>
      </c>
      <c r="P5" s="97">
        <v>75</v>
      </c>
      <c r="Q5" s="97">
        <v>75</v>
      </c>
      <c r="R5" s="591"/>
    </row>
    <row r="6" spans="1:18" ht="22.2" customHeight="1" thickBot="1">
      <c r="A6" s="310" t="s">
        <v>357</v>
      </c>
      <c r="B6" s="797">
        <v>85</v>
      </c>
      <c r="C6" s="797">
        <v>85</v>
      </c>
      <c r="D6" s="797">
        <v>85</v>
      </c>
      <c r="E6" s="797">
        <v>85</v>
      </c>
      <c r="F6" s="797">
        <v>85</v>
      </c>
      <c r="G6" s="797">
        <v>85</v>
      </c>
      <c r="H6" s="797">
        <v>85</v>
      </c>
      <c r="I6" s="797">
        <v>85</v>
      </c>
      <c r="J6" s="797">
        <v>85</v>
      </c>
      <c r="K6" s="797">
        <v>85</v>
      </c>
      <c r="L6" s="797">
        <v>85</v>
      </c>
      <c r="M6" s="797">
        <v>85</v>
      </c>
      <c r="N6" s="797">
        <v>85</v>
      </c>
      <c r="O6" s="797">
        <v>85</v>
      </c>
      <c r="P6" s="797">
        <v>85</v>
      </c>
      <c r="Q6" s="797">
        <v>85</v>
      </c>
      <c r="R6" s="592"/>
    </row>
    <row r="7" spans="1:18">
      <c r="A7" s="199"/>
      <c r="B7" s="798" t="s">
        <v>358</v>
      </c>
      <c r="C7" s="798"/>
      <c r="D7" s="798"/>
      <c r="E7" s="798"/>
      <c r="F7" s="798"/>
      <c r="G7" s="798"/>
      <c r="H7" s="798"/>
      <c r="I7" s="798"/>
      <c r="J7" s="798"/>
      <c r="K7" s="798"/>
      <c r="L7" s="798"/>
      <c r="M7" s="798"/>
      <c r="N7" s="798"/>
      <c r="O7" s="798"/>
      <c r="P7" s="798"/>
      <c r="Q7" s="798"/>
    </row>
    <row r="8" spans="1:18">
      <c r="A8" s="199"/>
      <c r="B8" s="199"/>
      <c r="C8" s="199"/>
      <c r="D8" s="199"/>
      <c r="E8" s="199"/>
      <c r="F8" s="199"/>
      <c r="G8" s="199"/>
      <c r="H8" s="199"/>
      <c r="I8" s="199"/>
      <c r="J8" s="199"/>
      <c r="K8" s="199"/>
      <c r="L8" s="199"/>
      <c r="M8" s="199"/>
      <c r="N8" s="199"/>
      <c r="O8" s="199"/>
      <c r="P8" s="199"/>
      <c r="Q8" s="199"/>
    </row>
    <row r="9" spans="1:18" ht="24.6" customHeight="1">
      <c r="A9" s="594" t="s">
        <v>359</v>
      </c>
      <c r="B9" s="594"/>
      <c r="C9" s="594"/>
      <c r="D9" s="594"/>
      <c r="E9" s="594"/>
      <c r="F9" s="594"/>
      <c r="G9" s="594"/>
      <c r="H9" s="594"/>
      <c r="I9" s="594"/>
      <c r="J9" s="594"/>
      <c r="K9" s="594"/>
      <c r="L9" s="594"/>
      <c r="M9" s="594"/>
      <c r="N9" s="594"/>
      <c r="O9" s="594"/>
      <c r="P9" s="594"/>
      <c r="Q9" s="594"/>
    </row>
    <row r="10" spans="1:18" ht="15" customHeight="1">
      <c r="A10" s="526"/>
      <c r="B10" s="526"/>
      <c r="C10" s="526"/>
      <c r="D10" s="526"/>
      <c r="E10" s="526"/>
      <c r="F10" s="526"/>
      <c r="G10" s="526"/>
      <c r="H10" s="526"/>
      <c r="I10" s="526"/>
      <c r="J10" s="526"/>
      <c r="K10" s="526"/>
      <c r="L10" s="526"/>
      <c r="M10" s="526"/>
      <c r="N10" s="526"/>
      <c r="O10" s="526"/>
      <c r="P10" s="526"/>
      <c r="Q10" s="526"/>
    </row>
    <row r="11" spans="1:18" ht="15" customHeight="1">
      <c r="A11" s="526"/>
      <c r="B11" s="526"/>
      <c r="C11" s="526"/>
      <c r="D11" s="526"/>
      <c r="E11" s="526"/>
      <c r="F11" s="526"/>
      <c r="G11" s="526"/>
      <c r="H11" s="526"/>
      <c r="I11" s="526"/>
      <c r="J11" s="526"/>
      <c r="K11" s="526"/>
      <c r="L11" s="526"/>
      <c r="M11" s="526"/>
      <c r="N11" s="526"/>
      <c r="O11" s="526"/>
      <c r="P11" s="526"/>
      <c r="Q11" s="526"/>
    </row>
    <row r="12" spans="1:18" ht="15" customHeight="1">
      <c r="A12" s="526"/>
      <c r="B12" s="526"/>
      <c r="C12" s="526"/>
      <c r="D12" s="526"/>
      <c r="E12" s="526"/>
      <c r="F12" s="526"/>
      <c r="G12" s="526"/>
      <c r="H12" s="526"/>
      <c r="I12" s="526"/>
      <c r="J12" s="526"/>
      <c r="K12" s="526"/>
      <c r="L12" s="526"/>
      <c r="M12" s="526"/>
      <c r="N12" s="526"/>
      <c r="O12" s="526"/>
      <c r="P12" s="526"/>
      <c r="Q12" s="526"/>
    </row>
    <row r="13" spans="1:18" ht="15" customHeight="1">
      <c r="A13" s="526"/>
      <c r="B13" s="526"/>
      <c r="C13" s="526"/>
      <c r="D13" s="526"/>
      <c r="E13" s="526"/>
      <c r="F13" s="526"/>
      <c r="G13" s="526"/>
      <c r="H13" s="526"/>
      <c r="I13" s="526"/>
      <c r="J13" s="526"/>
      <c r="K13" s="526"/>
      <c r="L13" s="526"/>
      <c r="M13" s="526"/>
      <c r="N13" s="526"/>
      <c r="O13" s="526"/>
      <c r="P13" s="526"/>
      <c r="Q13" s="526"/>
    </row>
    <row r="14" spans="1:18" ht="15" customHeight="1">
      <c r="A14" s="526"/>
      <c r="B14" s="526"/>
      <c r="C14" s="526"/>
      <c r="D14" s="526"/>
      <c r="E14" s="526"/>
      <c r="F14" s="526"/>
      <c r="G14" s="526"/>
      <c r="H14" s="526"/>
      <c r="I14" s="526"/>
      <c r="J14" s="526"/>
      <c r="K14" s="526"/>
      <c r="L14" s="526"/>
      <c r="M14" s="526"/>
      <c r="N14" s="526"/>
      <c r="O14" s="526"/>
      <c r="P14" s="526"/>
      <c r="Q14" s="526"/>
    </row>
    <row r="15" spans="1:18" ht="15" customHeight="1"/>
    <row r="16" spans="1:18" s="48" customFormat="1" ht="13.2" hidden="1">
      <c r="A16" s="48" t="s">
        <v>360</v>
      </c>
      <c r="E16" s="49"/>
      <c r="F16" s="50"/>
      <c r="G16" s="51"/>
    </row>
    <row r="17" spans="1:13" hidden="1"/>
    <row r="18" spans="1:13" s="21" customFormat="1" ht="21" hidden="1" customHeight="1">
      <c r="A18" s="598" t="s">
        <v>361</v>
      </c>
      <c r="B18" s="598"/>
      <c r="C18" s="598"/>
      <c r="D18" s="598"/>
      <c r="E18" s="598"/>
      <c r="F18" s="598"/>
      <c r="G18" s="598"/>
      <c r="H18" s="598"/>
      <c r="I18" s="598"/>
      <c r="J18" s="598"/>
      <c r="K18" s="598"/>
      <c r="L18" s="598"/>
      <c r="M18" s="598"/>
    </row>
    <row r="19" spans="1:13" s="21" customFormat="1" ht="13.2" hidden="1" customHeight="1"/>
    <row r="20" spans="1:13" s="21" customFormat="1" ht="13.2" hidden="1" customHeight="1"/>
    <row r="21" spans="1:13" s="21" customFormat="1" ht="13.2" hidden="1" customHeight="1"/>
    <row r="22" spans="1:13" s="21" customFormat="1" ht="13.2" hidden="1" customHeight="1"/>
    <row r="23" spans="1:13" s="21" customFormat="1" ht="13.2" hidden="1" customHeight="1"/>
    <row r="24" spans="1:13" s="21" customFormat="1" ht="13.2" hidden="1" customHeight="1"/>
    <row r="25" spans="1:13" s="21" customFormat="1" ht="13.2" hidden="1" customHeight="1"/>
    <row r="26" spans="1:13" s="21" customFormat="1" ht="13.2" hidden="1" customHeight="1"/>
    <row r="27" spans="1:13" s="21" customFormat="1" ht="13.2" hidden="1" customHeight="1"/>
    <row r="28" spans="1:13" s="21" customFormat="1" ht="13.2" hidden="1" customHeight="1"/>
    <row r="29" spans="1:13" s="21" customFormat="1" ht="13.2" hidden="1" customHeight="1"/>
    <row r="30" spans="1:13" s="21" customFormat="1" ht="13.2" hidden="1" customHeight="1"/>
    <row r="31" spans="1:13" s="21" customFormat="1" ht="13.2" hidden="1" customHeight="1"/>
    <row r="32" spans="1:13" s="21" customFormat="1" ht="13.2" hidden="1" customHeight="1"/>
    <row r="33" spans="1:17" s="21" customFormat="1" ht="13.2" hidden="1" customHeight="1"/>
    <row r="34" spans="1:17" s="21" customFormat="1" ht="13.2" hidden="1" customHeight="1"/>
    <row r="35" spans="1:17" s="21" customFormat="1" ht="13.2" hidden="1" customHeight="1"/>
    <row r="36" spans="1:17" s="21" customFormat="1" ht="13.2" hidden="1" customHeight="1"/>
    <row r="37" spans="1:17" hidden="1"/>
    <row r="38" spans="1:17" hidden="1"/>
    <row r="39" spans="1:17" ht="15.6" hidden="1">
      <c r="B39" s="596" t="s">
        <v>334</v>
      </c>
      <c r="C39" s="596"/>
      <c r="D39" s="596"/>
      <c r="E39" s="596"/>
      <c r="F39" s="596"/>
      <c r="G39" s="596"/>
      <c r="H39" s="596"/>
      <c r="K39" s="597" t="s">
        <v>232</v>
      </c>
      <c r="L39" s="597"/>
      <c r="M39" s="597"/>
      <c r="N39" s="597"/>
      <c r="O39" s="597"/>
      <c r="P39" s="597"/>
      <c r="Q39" s="597"/>
    </row>
    <row r="40" spans="1:17" hidden="1">
      <c r="B40" s="595" t="s">
        <v>362</v>
      </c>
      <c r="C40" s="595"/>
      <c r="D40" s="595"/>
      <c r="F40" s="595" t="s">
        <v>363</v>
      </c>
      <c r="G40" s="595"/>
      <c r="H40" s="595"/>
      <c r="K40" s="595" t="s">
        <v>362</v>
      </c>
      <c r="L40" s="595"/>
      <c r="M40" s="595"/>
      <c r="O40" s="595" t="s">
        <v>363</v>
      </c>
      <c r="P40" s="595"/>
      <c r="Q40" s="595"/>
    </row>
    <row r="41" spans="1:17" hidden="1">
      <c r="B41" t="s">
        <v>364</v>
      </c>
      <c r="C41" t="s">
        <v>365</v>
      </c>
      <c r="D41" t="s">
        <v>366</v>
      </c>
      <c r="F41" t="s">
        <v>367</v>
      </c>
      <c r="G41" t="s">
        <v>368</v>
      </c>
      <c r="H41" t="s">
        <v>369</v>
      </c>
      <c r="K41" t="s">
        <v>364</v>
      </c>
      <c r="L41" t="s">
        <v>365</v>
      </c>
      <c r="M41" t="s">
        <v>366</v>
      </c>
      <c r="O41" t="s">
        <v>367</v>
      </c>
      <c r="P41" t="s">
        <v>368</v>
      </c>
      <c r="Q41" t="s">
        <v>369</v>
      </c>
    </row>
    <row r="42" spans="1:17" hidden="1">
      <c r="A42">
        <v>1</v>
      </c>
      <c r="B42" s="11">
        <v>60</v>
      </c>
      <c r="C42" s="11">
        <v>60</v>
      </c>
      <c r="D42">
        <v>60</v>
      </c>
      <c r="F42">
        <v>60.08</v>
      </c>
      <c r="G42">
        <v>60.08</v>
      </c>
      <c r="H42">
        <v>60.08</v>
      </c>
      <c r="K42">
        <v>85</v>
      </c>
      <c r="L42">
        <v>85</v>
      </c>
      <c r="M42">
        <v>85</v>
      </c>
      <c r="O42">
        <v>80.06</v>
      </c>
      <c r="P42">
        <v>80.06</v>
      </c>
      <c r="Q42">
        <v>80.06</v>
      </c>
    </row>
    <row r="43" spans="1:17" hidden="1">
      <c r="A43">
        <v>2</v>
      </c>
      <c r="B43" s="11">
        <v>60</v>
      </c>
      <c r="C43" s="11">
        <v>60</v>
      </c>
      <c r="D43">
        <v>60</v>
      </c>
      <c r="F43">
        <v>60.08</v>
      </c>
      <c r="G43">
        <v>60.08</v>
      </c>
      <c r="H43">
        <v>60.08</v>
      </c>
      <c r="K43">
        <v>85</v>
      </c>
      <c r="L43">
        <v>85</v>
      </c>
      <c r="M43">
        <v>85</v>
      </c>
      <c r="O43">
        <v>80.06</v>
      </c>
      <c r="P43">
        <v>80.06</v>
      </c>
      <c r="Q43">
        <v>80.06</v>
      </c>
    </row>
    <row r="44" spans="1:17" hidden="1">
      <c r="A44">
        <v>3</v>
      </c>
      <c r="B44" s="11">
        <v>60</v>
      </c>
      <c r="C44" s="11">
        <v>60</v>
      </c>
      <c r="D44">
        <v>60</v>
      </c>
      <c r="F44">
        <v>60.08</v>
      </c>
      <c r="G44">
        <v>60.08</v>
      </c>
      <c r="H44">
        <v>60.08</v>
      </c>
      <c r="K44">
        <v>85</v>
      </c>
      <c r="L44">
        <v>85</v>
      </c>
      <c r="M44">
        <v>85</v>
      </c>
      <c r="O44">
        <v>80.06</v>
      </c>
      <c r="P44">
        <v>80.06</v>
      </c>
      <c r="Q44">
        <v>80.06</v>
      </c>
    </row>
    <row r="45" spans="1:17" hidden="1">
      <c r="A45">
        <v>4</v>
      </c>
      <c r="B45" s="11">
        <v>60</v>
      </c>
      <c r="C45" s="11">
        <v>60</v>
      </c>
      <c r="D45">
        <v>60</v>
      </c>
      <c r="F45">
        <v>60.08</v>
      </c>
      <c r="G45">
        <v>60.08</v>
      </c>
      <c r="H45">
        <v>60.08</v>
      </c>
      <c r="K45">
        <v>85</v>
      </c>
      <c r="L45">
        <v>85</v>
      </c>
      <c r="M45">
        <v>85</v>
      </c>
      <c r="O45">
        <v>80.06</v>
      </c>
      <c r="P45">
        <v>80.06</v>
      </c>
      <c r="Q45">
        <v>80.06</v>
      </c>
    </row>
    <row r="46" spans="1:17" hidden="1">
      <c r="A46">
        <v>5</v>
      </c>
      <c r="B46" s="11">
        <v>60</v>
      </c>
      <c r="C46" s="11">
        <v>60</v>
      </c>
      <c r="D46">
        <v>60</v>
      </c>
      <c r="F46">
        <v>60.08</v>
      </c>
      <c r="G46">
        <v>60.08</v>
      </c>
      <c r="H46">
        <v>60.08</v>
      </c>
      <c r="K46">
        <v>85</v>
      </c>
      <c r="L46">
        <v>85</v>
      </c>
      <c r="M46">
        <v>85</v>
      </c>
      <c r="O46">
        <v>80.06</v>
      </c>
      <c r="P46">
        <v>80.06</v>
      </c>
      <c r="Q46">
        <v>80.06</v>
      </c>
    </row>
    <row r="47" spans="1:17" hidden="1">
      <c r="A47">
        <v>6</v>
      </c>
      <c r="B47" s="11">
        <v>70</v>
      </c>
      <c r="C47" s="11">
        <v>70</v>
      </c>
      <c r="D47">
        <v>60</v>
      </c>
      <c r="F47">
        <v>64.039999999999992</v>
      </c>
      <c r="G47">
        <v>64.039999999999992</v>
      </c>
      <c r="H47">
        <v>60.08</v>
      </c>
      <c r="K47">
        <v>75</v>
      </c>
      <c r="L47">
        <v>75</v>
      </c>
      <c r="M47">
        <v>85</v>
      </c>
      <c r="O47">
        <v>78.080000000000013</v>
      </c>
      <c r="P47">
        <v>78.259999999999991</v>
      </c>
      <c r="Q47">
        <v>80.06</v>
      </c>
    </row>
    <row r="48" spans="1:17" hidden="1">
      <c r="A48">
        <v>7</v>
      </c>
      <c r="B48" s="11">
        <v>70</v>
      </c>
      <c r="C48" s="11">
        <v>70</v>
      </c>
      <c r="D48">
        <v>60</v>
      </c>
      <c r="F48">
        <v>68</v>
      </c>
      <c r="G48">
        <v>68</v>
      </c>
      <c r="H48">
        <v>60.08</v>
      </c>
      <c r="K48">
        <v>75</v>
      </c>
      <c r="L48">
        <v>75</v>
      </c>
      <c r="M48">
        <v>85</v>
      </c>
      <c r="O48">
        <v>77</v>
      </c>
      <c r="P48">
        <v>77</v>
      </c>
      <c r="Q48">
        <v>80.06</v>
      </c>
    </row>
    <row r="49" spans="1:17" hidden="1">
      <c r="A49">
        <v>8</v>
      </c>
      <c r="B49" s="11">
        <v>70</v>
      </c>
      <c r="C49" s="11">
        <v>70</v>
      </c>
      <c r="D49">
        <v>60</v>
      </c>
      <c r="F49">
        <v>69.800000000000011</v>
      </c>
      <c r="G49">
        <v>69.800000000000011</v>
      </c>
      <c r="H49">
        <v>60.08</v>
      </c>
      <c r="K49">
        <v>75</v>
      </c>
      <c r="L49">
        <v>75</v>
      </c>
      <c r="M49">
        <v>85</v>
      </c>
      <c r="O49">
        <v>75.2</v>
      </c>
      <c r="P49">
        <v>75.2</v>
      </c>
      <c r="Q49">
        <v>80.06</v>
      </c>
    </row>
    <row r="50" spans="1:17" hidden="1">
      <c r="A50">
        <v>9</v>
      </c>
      <c r="B50" s="11">
        <v>70</v>
      </c>
      <c r="C50" s="11">
        <v>70</v>
      </c>
      <c r="D50">
        <v>60</v>
      </c>
      <c r="F50">
        <v>69.800000000000011</v>
      </c>
      <c r="G50">
        <v>69.800000000000011</v>
      </c>
      <c r="H50">
        <v>60.08</v>
      </c>
      <c r="K50">
        <v>75</v>
      </c>
      <c r="L50">
        <v>75</v>
      </c>
      <c r="M50">
        <v>85</v>
      </c>
      <c r="O50">
        <v>75.2</v>
      </c>
      <c r="P50">
        <v>75.2</v>
      </c>
      <c r="Q50">
        <v>80.06</v>
      </c>
    </row>
    <row r="51" spans="1:17" hidden="1">
      <c r="A51">
        <v>10</v>
      </c>
      <c r="B51" s="11">
        <v>70</v>
      </c>
      <c r="C51" s="11">
        <v>70</v>
      </c>
      <c r="D51">
        <v>60</v>
      </c>
      <c r="F51">
        <v>69.800000000000011</v>
      </c>
      <c r="G51">
        <v>69.800000000000011</v>
      </c>
      <c r="H51">
        <v>60.08</v>
      </c>
      <c r="K51">
        <v>75</v>
      </c>
      <c r="L51">
        <v>75</v>
      </c>
      <c r="M51">
        <v>85</v>
      </c>
      <c r="O51">
        <v>75.2</v>
      </c>
      <c r="P51">
        <v>75.2</v>
      </c>
      <c r="Q51">
        <v>80.06</v>
      </c>
    </row>
    <row r="52" spans="1:17" hidden="1">
      <c r="A52">
        <v>11</v>
      </c>
      <c r="B52" s="11">
        <v>70</v>
      </c>
      <c r="C52" s="11">
        <v>70</v>
      </c>
      <c r="D52">
        <v>60</v>
      </c>
      <c r="F52">
        <v>69.800000000000011</v>
      </c>
      <c r="G52">
        <v>69.800000000000011</v>
      </c>
      <c r="H52">
        <v>60.08</v>
      </c>
      <c r="K52">
        <v>75</v>
      </c>
      <c r="L52">
        <v>75</v>
      </c>
      <c r="M52">
        <v>85</v>
      </c>
      <c r="O52">
        <v>75.2</v>
      </c>
      <c r="P52">
        <v>75.2</v>
      </c>
      <c r="Q52">
        <v>80.06</v>
      </c>
    </row>
    <row r="53" spans="1:17" hidden="1">
      <c r="A53">
        <v>12</v>
      </c>
      <c r="B53" s="11">
        <v>70</v>
      </c>
      <c r="C53" s="11">
        <v>70</v>
      </c>
      <c r="D53">
        <v>60</v>
      </c>
      <c r="F53">
        <v>69.800000000000011</v>
      </c>
      <c r="G53">
        <v>69.800000000000011</v>
      </c>
      <c r="H53">
        <v>60.08</v>
      </c>
      <c r="K53">
        <v>75</v>
      </c>
      <c r="L53">
        <v>75</v>
      </c>
      <c r="M53">
        <v>85</v>
      </c>
      <c r="O53">
        <v>75.2</v>
      </c>
      <c r="P53">
        <v>75.2</v>
      </c>
      <c r="Q53">
        <v>80.06</v>
      </c>
    </row>
    <row r="54" spans="1:17" hidden="1">
      <c r="A54">
        <v>13</v>
      </c>
      <c r="B54" s="11">
        <v>70</v>
      </c>
      <c r="C54" s="11">
        <v>70</v>
      </c>
      <c r="D54">
        <v>60</v>
      </c>
      <c r="F54">
        <v>69.800000000000011</v>
      </c>
      <c r="G54">
        <v>69.800000000000011</v>
      </c>
      <c r="H54">
        <v>60.08</v>
      </c>
      <c r="K54">
        <v>75</v>
      </c>
      <c r="L54">
        <v>75</v>
      </c>
      <c r="M54">
        <v>85</v>
      </c>
      <c r="O54">
        <v>75.2</v>
      </c>
      <c r="P54">
        <v>75.2</v>
      </c>
      <c r="Q54">
        <v>80.06</v>
      </c>
    </row>
    <row r="55" spans="1:17" hidden="1">
      <c r="A55">
        <v>14</v>
      </c>
      <c r="B55" s="11">
        <v>70</v>
      </c>
      <c r="C55" s="11">
        <v>70</v>
      </c>
      <c r="D55">
        <v>60</v>
      </c>
      <c r="F55">
        <v>69.800000000000011</v>
      </c>
      <c r="G55">
        <v>69.800000000000011</v>
      </c>
      <c r="H55">
        <v>60.08</v>
      </c>
      <c r="K55">
        <v>75</v>
      </c>
      <c r="L55">
        <v>75</v>
      </c>
      <c r="M55">
        <v>85</v>
      </c>
      <c r="O55">
        <v>75.2</v>
      </c>
      <c r="P55">
        <v>75.2</v>
      </c>
      <c r="Q55">
        <v>80.06</v>
      </c>
    </row>
    <row r="56" spans="1:17" hidden="1">
      <c r="A56">
        <v>15</v>
      </c>
      <c r="B56" s="11">
        <v>70</v>
      </c>
      <c r="C56" s="11">
        <v>70</v>
      </c>
      <c r="D56">
        <v>60</v>
      </c>
      <c r="F56">
        <v>69.800000000000011</v>
      </c>
      <c r="G56">
        <v>69.800000000000011</v>
      </c>
      <c r="H56">
        <v>60.08</v>
      </c>
      <c r="K56">
        <v>75</v>
      </c>
      <c r="L56">
        <v>75</v>
      </c>
      <c r="M56">
        <v>85</v>
      </c>
      <c r="O56">
        <v>75.2</v>
      </c>
      <c r="P56">
        <v>75.2</v>
      </c>
      <c r="Q56">
        <v>80.06</v>
      </c>
    </row>
    <row r="57" spans="1:17" hidden="1">
      <c r="A57">
        <v>16</v>
      </c>
      <c r="B57" s="11">
        <v>70</v>
      </c>
      <c r="C57" s="11">
        <v>70</v>
      </c>
      <c r="D57">
        <v>60</v>
      </c>
      <c r="F57">
        <v>69.800000000000011</v>
      </c>
      <c r="G57">
        <v>69.800000000000011</v>
      </c>
      <c r="H57">
        <v>60.08</v>
      </c>
      <c r="K57">
        <v>75</v>
      </c>
      <c r="L57">
        <v>75</v>
      </c>
      <c r="M57">
        <v>85</v>
      </c>
      <c r="O57">
        <v>75.2</v>
      </c>
      <c r="P57">
        <v>75.2</v>
      </c>
      <c r="Q57">
        <v>80.06</v>
      </c>
    </row>
    <row r="58" spans="1:17" hidden="1">
      <c r="A58">
        <v>17</v>
      </c>
      <c r="B58" s="11">
        <v>70</v>
      </c>
      <c r="C58" s="11">
        <v>70</v>
      </c>
      <c r="D58">
        <v>60</v>
      </c>
      <c r="F58">
        <v>69.800000000000011</v>
      </c>
      <c r="G58">
        <v>69.800000000000011</v>
      </c>
      <c r="H58">
        <v>60.08</v>
      </c>
      <c r="K58">
        <v>75</v>
      </c>
      <c r="L58">
        <v>75</v>
      </c>
      <c r="M58">
        <v>85</v>
      </c>
      <c r="O58">
        <v>75.2</v>
      </c>
      <c r="P58">
        <v>75.2</v>
      </c>
      <c r="Q58">
        <v>80.06</v>
      </c>
    </row>
    <row r="59" spans="1:17" hidden="1">
      <c r="A59">
        <v>18</v>
      </c>
      <c r="B59" s="11">
        <v>70</v>
      </c>
      <c r="C59" s="11">
        <v>70</v>
      </c>
      <c r="D59">
        <v>60</v>
      </c>
      <c r="F59">
        <v>69.800000000000011</v>
      </c>
      <c r="G59">
        <v>60.08</v>
      </c>
      <c r="H59">
        <v>60.08</v>
      </c>
      <c r="K59">
        <v>75</v>
      </c>
      <c r="L59">
        <v>75</v>
      </c>
      <c r="M59">
        <v>85</v>
      </c>
      <c r="O59">
        <v>75.2</v>
      </c>
      <c r="P59">
        <v>80.06</v>
      </c>
      <c r="Q59">
        <v>80.06</v>
      </c>
    </row>
    <row r="60" spans="1:17" hidden="1">
      <c r="A60">
        <v>19</v>
      </c>
      <c r="B60" s="11">
        <v>70</v>
      </c>
      <c r="C60" s="11">
        <v>70</v>
      </c>
      <c r="D60">
        <v>60</v>
      </c>
      <c r="F60">
        <v>69.800000000000011</v>
      </c>
      <c r="G60">
        <v>60.08</v>
      </c>
      <c r="H60">
        <v>60.08</v>
      </c>
      <c r="K60">
        <v>75</v>
      </c>
      <c r="L60">
        <v>75</v>
      </c>
      <c r="M60">
        <v>85</v>
      </c>
      <c r="O60">
        <v>75.2</v>
      </c>
      <c r="P60">
        <v>80.06</v>
      </c>
      <c r="Q60">
        <v>80.06</v>
      </c>
    </row>
    <row r="61" spans="1:17" hidden="1">
      <c r="A61">
        <v>20</v>
      </c>
      <c r="B61" s="11">
        <v>70</v>
      </c>
      <c r="C61" s="11">
        <v>60</v>
      </c>
      <c r="D61">
        <v>60</v>
      </c>
      <c r="F61">
        <v>69.800000000000011</v>
      </c>
      <c r="G61">
        <v>60.08</v>
      </c>
      <c r="H61">
        <v>60.08</v>
      </c>
      <c r="K61">
        <v>75</v>
      </c>
      <c r="L61">
        <v>85</v>
      </c>
      <c r="M61">
        <v>85</v>
      </c>
      <c r="O61">
        <v>75.2</v>
      </c>
      <c r="P61">
        <v>80.06</v>
      </c>
      <c r="Q61">
        <v>80.06</v>
      </c>
    </row>
    <row r="62" spans="1:17" hidden="1">
      <c r="A62">
        <v>21</v>
      </c>
      <c r="B62" s="11">
        <v>70</v>
      </c>
      <c r="C62" s="11">
        <v>60</v>
      </c>
      <c r="D62">
        <v>60</v>
      </c>
      <c r="F62">
        <v>69.800000000000011</v>
      </c>
      <c r="G62">
        <v>60.08</v>
      </c>
      <c r="H62">
        <v>60.08</v>
      </c>
      <c r="K62">
        <v>75</v>
      </c>
      <c r="L62">
        <v>85</v>
      </c>
      <c r="M62">
        <v>85</v>
      </c>
      <c r="O62">
        <v>75.2</v>
      </c>
      <c r="P62">
        <v>80.06</v>
      </c>
      <c r="Q62">
        <v>80.06</v>
      </c>
    </row>
    <row r="63" spans="1:17" hidden="1">
      <c r="A63">
        <v>22</v>
      </c>
      <c r="B63" s="11">
        <v>70</v>
      </c>
      <c r="C63" s="11">
        <v>60</v>
      </c>
      <c r="D63">
        <v>60</v>
      </c>
      <c r="F63">
        <v>69.800000000000011</v>
      </c>
      <c r="G63">
        <v>60.08</v>
      </c>
      <c r="H63">
        <v>60.08</v>
      </c>
      <c r="K63">
        <v>75</v>
      </c>
      <c r="L63">
        <v>85</v>
      </c>
      <c r="M63">
        <v>85</v>
      </c>
      <c r="O63">
        <v>75.2</v>
      </c>
      <c r="P63">
        <v>80.06</v>
      </c>
      <c r="Q63">
        <v>80.06</v>
      </c>
    </row>
    <row r="64" spans="1:17" hidden="1">
      <c r="A64">
        <v>23</v>
      </c>
      <c r="B64" s="11">
        <v>70</v>
      </c>
      <c r="C64" s="11">
        <v>60</v>
      </c>
      <c r="D64">
        <v>60</v>
      </c>
      <c r="F64">
        <v>60.08</v>
      </c>
      <c r="G64">
        <v>60.08</v>
      </c>
      <c r="H64">
        <v>60.08</v>
      </c>
      <c r="K64">
        <v>75</v>
      </c>
      <c r="L64">
        <v>85</v>
      </c>
      <c r="M64">
        <v>85</v>
      </c>
      <c r="O64">
        <v>80.06</v>
      </c>
      <c r="P64">
        <v>80.06</v>
      </c>
      <c r="Q64">
        <v>80.06</v>
      </c>
    </row>
    <row r="65" spans="1:17" hidden="1">
      <c r="A65">
        <v>24</v>
      </c>
      <c r="B65" s="11">
        <v>70</v>
      </c>
      <c r="C65" s="11">
        <v>60</v>
      </c>
      <c r="D65">
        <v>60</v>
      </c>
      <c r="F65">
        <v>60.08</v>
      </c>
      <c r="G65">
        <v>60.08</v>
      </c>
      <c r="H65">
        <v>60.08</v>
      </c>
      <c r="K65">
        <v>75</v>
      </c>
      <c r="L65">
        <v>85</v>
      </c>
      <c r="M65">
        <v>85</v>
      </c>
      <c r="O65">
        <v>80.06</v>
      </c>
      <c r="P65">
        <v>80.06</v>
      </c>
      <c r="Q65">
        <v>80.06</v>
      </c>
    </row>
    <row r="66" spans="1:17" hidden="1"/>
  </sheetData>
  <mergeCells count="11">
    <mergeCell ref="R3:R6"/>
    <mergeCell ref="A1:R1"/>
    <mergeCell ref="A9:Q9"/>
    <mergeCell ref="B40:D40"/>
    <mergeCell ref="F40:H40"/>
    <mergeCell ref="B39:H39"/>
    <mergeCell ref="K39:Q39"/>
    <mergeCell ref="K40:M40"/>
    <mergeCell ref="O40:Q40"/>
    <mergeCell ref="A18:M18"/>
    <mergeCell ref="B7:Q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M64"/>
  <sheetViews>
    <sheetView zoomScaleNormal="100" workbookViewId="0">
      <selection sqref="A1:K1"/>
    </sheetView>
  </sheetViews>
  <sheetFormatPr defaultRowHeight="14.4"/>
  <cols>
    <col min="1" max="5" width="20.109375" customWidth="1"/>
    <col min="6" max="6" width="22.44140625" customWidth="1"/>
    <col min="7" max="10" width="20.109375" customWidth="1"/>
    <col min="11" max="11" width="40.33203125" customWidth="1"/>
    <col min="12" max="12" width="13.88671875" customWidth="1"/>
    <col min="13" max="13" width="23.33203125" bestFit="1" customWidth="1"/>
    <col min="14" max="14" width="13.88671875" customWidth="1"/>
    <col min="15" max="15" width="12.33203125" customWidth="1"/>
    <col min="16" max="16" width="13.88671875" customWidth="1"/>
    <col min="17" max="17" width="11.6640625" customWidth="1"/>
    <col min="18" max="18" width="13.88671875" customWidth="1"/>
    <col min="19" max="19" width="12.33203125" customWidth="1"/>
    <col min="20" max="20" width="13.88671875" customWidth="1"/>
    <col min="21" max="21" width="12.33203125" customWidth="1"/>
    <col min="22" max="22" width="13.88671875" customWidth="1"/>
    <col min="23" max="23" width="11.6640625" customWidth="1"/>
    <col min="24" max="24" width="10.88671875" customWidth="1"/>
    <col min="25" max="25" width="10.6640625" customWidth="1"/>
    <col min="27" max="31" width="11.109375" customWidth="1"/>
  </cols>
  <sheetData>
    <row r="1" spans="1:13" ht="24.6" customHeight="1">
      <c r="A1" s="550" t="s">
        <v>370</v>
      </c>
      <c r="B1" s="550"/>
      <c r="C1" s="550"/>
      <c r="D1" s="550"/>
      <c r="E1" s="550"/>
      <c r="F1" s="550"/>
      <c r="G1" s="550"/>
      <c r="H1" s="550"/>
      <c r="I1" s="550"/>
      <c r="J1" s="550"/>
      <c r="K1" s="550"/>
      <c r="L1" s="3"/>
    </row>
    <row r="2" spans="1:13" ht="58.2" customHeight="1">
      <c r="A2" s="530" t="s">
        <v>371</v>
      </c>
      <c r="B2" s="311" t="s">
        <v>112</v>
      </c>
      <c r="C2" s="312" t="s">
        <v>372</v>
      </c>
      <c r="D2" s="529" t="s">
        <v>373</v>
      </c>
      <c r="E2" s="529" t="s">
        <v>374</v>
      </c>
      <c r="F2" s="529" t="s">
        <v>375</v>
      </c>
      <c r="G2" s="529" t="s">
        <v>376</v>
      </c>
      <c r="H2" s="529" t="s">
        <v>377</v>
      </c>
      <c r="I2" s="529" t="s">
        <v>378</v>
      </c>
      <c r="J2" s="530" t="s">
        <v>379</v>
      </c>
      <c r="K2" s="530" t="s">
        <v>114</v>
      </c>
      <c r="L2" s="17"/>
    </row>
    <row r="3" spans="1:13" ht="15" customHeight="1">
      <c r="A3" s="18" t="str">
        <f>Zones!A3</f>
        <v>Open_Office_Core_FloorG</v>
      </c>
      <c r="B3" s="313">
        <f>Zones!J3</f>
        <v>21.414999999999999</v>
      </c>
      <c r="C3" s="314">
        <f>Zones!G3</f>
        <v>4283</v>
      </c>
      <c r="D3" s="68">
        <v>15</v>
      </c>
      <c r="E3" s="68">
        <v>0.15</v>
      </c>
      <c r="F3" s="68"/>
      <c r="G3" s="418">
        <f>B3*D3</f>
        <v>321.22499999999997</v>
      </c>
      <c r="H3" s="418">
        <f>C3*E3</f>
        <v>642.44999999999993</v>
      </c>
      <c r="I3" s="68">
        <f>F3</f>
        <v>0</v>
      </c>
      <c r="J3" s="448">
        <f>MAX(G3,H3,I3)</f>
        <v>642.44999999999993</v>
      </c>
      <c r="K3" s="448"/>
    </row>
    <row r="4" spans="1:13" ht="15" customHeight="1">
      <c r="A4" s="18" t="str">
        <f>Zones!A4</f>
        <v>Open_Office_N_FloorG</v>
      </c>
      <c r="B4" s="18">
        <f>Zones!J4</f>
        <v>11.4899366</v>
      </c>
      <c r="C4" s="315">
        <f>Zones!G4</f>
        <v>2297.9873200000002</v>
      </c>
      <c r="D4" s="68">
        <v>15</v>
      </c>
      <c r="E4" s="68">
        <v>0.15</v>
      </c>
      <c r="F4" s="68"/>
      <c r="G4" s="448">
        <f t="shared" ref="G4:G55" si="0">B4*D4</f>
        <v>172.34904900000001</v>
      </c>
      <c r="H4" s="448">
        <f t="shared" ref="H4:H55" si="1">C4*E4</f>
        <v>344.69809800000002</v>
      </c>
      <c r="I4" s="68">
        <f t="shared" ref="I4:I56" si="2">F4</f>
        <v>0</v>
      </c>
      <c r="J4" s="448">
        <f t="shared" ref="J4:J56" si="3">MAX(G4,H4,I4)</f>
        <v>344.69809800000002</v>
      </c>
      <c r="K4" s="448"/>
    </row>
    <row r="5" spans="1:13" ht="15" customHeight="1">
      <c r="A5" s="18" t="str">
        <f>Zones!A5</f>
        <v>Closed_Office_W_FloorG</v>
      </c>
      <c r="B5" s="18">
        <f>Zones!J5</f>
        <v>8.1893057999999996</v>
      </c>
      <c r="C5" s="315">
        <f>Zones!G5</f>
        <v>1637.8611599999999</v>
      </c>
      <c r="D5" s="68">
        <v>15</v>
      </c>
      <c r="E5" s="68">
        <v>0.15</v>
      </c>
      <c r="F5" s="68"/>
      <c r="G5" s="448">
        <f t="shared" si="0"/>
        <v>122.83958699999999</v>
      </c>
      <c r="H5" s="448">
        <f t="shared" si="1"/>
        <v>245.67917399999999</v>
      </c>
      <c r="I5" s="68">
        <f t="shared" si="2"/>
        <v>0</v>
      </c>
      <c r="J5" s="448">
        <f t="shared" si="3"/>
        <v>245.67917399999999</v>
      </c>
      <c r="K5" s="448"/>
      <c r="M5" s="16"/>
    </row>
    <row r="6" spans="1:13" ht="15" customHeight="1">
      <c r="A6" s="18" t="str">
        <f>Zones!A6</f>
        <v>Closed_Office_E_FloorG</v>
      </c>
      <c r="B6" s="18">
        <f>Zones!J6</f>
        <v>8.1893057999999996</v>
      </c>
      <c r="C6" s="315">
        <f>Zones!G6</f>
        <v>1637.8611599999999</v>
      </c>
      <c r="D6" s="68">
        <v>15</v>
      </c>
      <c r="E6" s="68">
        <v>0.15</v>
      </c>
      <c r="F6" s="68"/>
      <c r="G6" s="448">
        <f t="shared" si="0"/>
        <v>122.83958699999999</v>
      </c>
      <c r="H6" s="448">
        <f t="shared" si="1"/>
        <v>245.67917399999999</v>
      </c>
      <c r="I6" s="68">
        <f t="shared" si="2"/>
        <v>0</v>
      </c>
      <c r="J6" s="448">
        <f t="shared" si="3"/>
        <v>245.67917399999999</v>
      </c>
      <c r="K6" s="448"/>
    </row>
    <row r="7" spans="1:13" ht="15" customHeight="1">
      <c r="A7" s="18" t="str">
        <f>Zones!A7</f>
        <v>Open_Office_S_FloorG</v>
      </c>
      <c r="B7" s="18">
        <f>Zones!J7</f>
        <v>5.9310375500000001</v>
      </c>
      <c r="C7" s="315">
        <f>Zones!G7</f>
        <v>1186.20751</v>
      </c>
      <c r="D7" s="68">
        <v>15</v>
      </c>
      <c r="E7" s="68">
        <v>0.15</v>
      </c>
      <c r="F7" s="68"/>
      <c r="G7" s="448">
        <f t="shared" si="0"/>
        <v>88.965563250000002</v>
      </c>
      <c r="H7" s="448">
        <f t="shared" si="1"/>
        <v>177.93112649999998</v>
      </c>
      <c r="I7" s="68">
        <f t="shared" si="2"/>
        <v>0</v>
      </c>
      <c r="J7" s="448">
        <f t="shared" si="3"/>
        <v>177.93112649999998</v>
      </c>
      <c r="K7" s="448"/>
    </row>
    <row r="8" spans="1:13" ht="15" customHeight="1">
      <c r="A8" s="18" t="str">
        <f>Zones!A8</f>
        <v>Conference_FloorG</v>
      </c>
      <c r="B8" s="18">
        <f>Zones!J8</f>
        <v>36.688733730000003</v>
      </c>
      <c r="C8" s="315">
        <f>Zones!G8</f>
        <v>1111.77981</v>
      </c>
      <c r="D8" s="68">
        <v>15</v>
      </c>
      <c r="E8" s="68">
        <v>0.15</v>
      </c>
      <c r="F8" s="68"/>
      <c r="G8" s="448">
        <f t="shared" si="0"/>
        <v>550.33100595000008</v>
      </c>
      <c r="H8" s="448">
        <f t="shared" si="1"/>
        <v>166.76697149999998</v>
      </c>
      <c r="I8" s="68">
        <f t="shared" si="2"/>
        <v>0</v>
      </c>
      <c r="J8" s="448">
        <f t="shared" si="3"/>
        <v>550.33100595000008</v>
      </c>
      <c r="K8" s="448"/>
    </row>
    <row r="9" spans="1:13" ht="15" customHeight="1">
      <c r="A9" s="18" t="str">
        <f>Zones!A9</f>
        <v>Lobby/Lounge_FloorG</v>
      </c>
      <c r="B9" s="18">
        <f>Zones!J9</f>
        <v>10.591754699999999</v>
      </c>
      <c r="C9" s="315">
        <f>Zones!G9</f>
        <v>1059.1754699999999</v>
      </c>
      <c r="D9" s="68">
        <v>15</v>
      </c>
      <c r="E9" s="68">
        <v>0.15</v>
      </c>
      <c r="F9" s="68"/>
      <c r="G9" s="448">
        <f t="shared" si="0"/>
        <v>158.87632049999999</v>
      </c>
      <c r="H9" s="448">
        <f t="shared" si="1"/>
        <v>158.87632049999999</v>
      </c>
      <c r="I9" s="68">
        <f t="shared" si="2"/>
        <v>0</v>
      </c>
      <c r="J9" s="448">
        <f t="shared" si="3"/>
        <v>158.87632049999999</v>
      </c>
      <c r="K9" s="448"/>
    </row>
    <row r="10" spans="1:13" ht="15" customHeight="1">
      <c r="A10" s="18" t="str">
        <f>Zones!A10</f>
        <v>Storage_FloorG</v>
      </c>
      <c r="B10" s="18">
        <f>Zones!J10</f>
        <v>0</v>
      </c>
      <c r="C10" s="315">
        <f>Zones!G10</f>
        <v>983.156114</v>
      </c>
      <c r="D10" s="68">
        <v>15</v>
      </c>
      <c r="E10" s="68">
        <v>0.15</v>
      </c>
      <c r="F10" s="68"/>
      <c r="G10" s="448"/>
      <c r="H10" s="448">
        <f t="shared" si="1"/>
        <v>147.47341710000001</v>
      </c>
      <c r="I10" s="68">
        <f t="shared" si="2"/>
        <v>0</v>
      </c>
      <c r="J10" s="448">
        <f t="shared" si="3"/>
        <v>147.47341710000001</v>
      </c>
      <c r="K10" s="448"/>
    </row>
    <row r="11" spans="1:13" ht="15" customHeight="1">
      <c r="A11" s="18" t="str">
        <f>Zones!A11</f>
        <v>Mechanical/Electrical_FloorG</v>
      </c>
      <c r="B11" s="18">
        <f>Zones!J11</f>
        <v>0</v>
      </c>
      <c r="C11" s="315">
        <f>Zones!G11</f>
        <v>357.35034200000001</v>
      </c>
      <c r="D11" s="68">
        <v>15</v>
      </c>
      <c r="E11" s="68">
        <v>0.15</v>
      </c>
      <c r="F11" s="68"/>
      <c r="G11" s="448"/>
      <c r="H11" s="448">
        <f t="shared" si="1"/>
        <v>53.602551300000002</v>
      </c>
      <c r="I11" s="68">
        <f t="shared" si="2"/>
        <v>0</v>
      </c>
      <c r="J11" s="448">
        <f t="shared" si="3"/>
        <v>53.602551300000002</v>
      </c>
      <c r="K11" s="448"/>
    </row>
    <row r="12" spans="1:13" ht="15" customHeight="1">
      <c r="A12" s="18" t="str">
        <f>Zones!A12</f>
        <v>IT-Room_FloorG</v>
      </c>
      <c r="B12" s="18" t="str">
        <f>Zones!J12</f>
        <v>?</v>
      </c>
      <c r="C12" s="315">
        <f>Zones!G12</f>
        <v>178.93730199999999</v>
      </c>
      <c r="D12" s="68">
        <v>15</v>
      </c>
      <c r="E12" s="68">
        <v>0.15</v>
      </c>
      <c r="F12" s="68"/>
      <c r="G12" s="448"/>
      <c r="H12" s="448">
        <f t="shared" si="1"/>
        <v>26.840595299999997</v>
      </c>
      <c r="I12" s="68">
        <f t="shared" si="2"/>
        <v>0</v>
      </c>
      <c r="J12" s="448">
        <f t="shared" si="3"/>
        <v>26.840595299999997</v>
      </c>
      <c r="K12" s="448"/>
    </row>
    <row r="13" spans="1:13" ht="15" customHeight="1">
      <c r="A13" s="18" t="str">
        <f>Zones!A13</f>
        <v>Restroom_FloorG</v>
      </c>
      <c r="B13" s="18">
        <f>Zones!J13</f>
        <v>0</v>
      </c>
      <c r="C13" s="315">
        <f>Zones!G13</f>
        <v>643.57782699999996</v>
      </c>
      <c r="D13" s="68">
        <v>15</v>
      </c>
      <c r="E13" s="68">
        <v>0.15</v>
      </c>
      <c r="F13" s="68" t="s">
        <v>380</v>
      </c>
      <c r="G13" s="448"/>
      <c r="H13" s="448">
        <f t="shared" si="1"/>
        <v>96.536674049999988</v>
      </c>
      <c r="I13" s="68">
        <v>100</v>
      </c>
      <c r="J13" s="448">
        <f t="shared" si="3"/>
        <v>100</v>
      </c>
      <c r="K13" s="448" t="s">
        <v>381</v>
      </c>
    </row>
    <row r="14" spans="1:13" ht="15" customHeight="1">
      <c r="A14" s="18" t="str">
        <f>Zones!A14</f>
        <v>Break_FloorG</v>
      </c>
      <c r="B14" s="18">
        <f>Zones!J14</f>
        <v>7.6673174819999996</v>
      </c>
      <c r="C14" s="315">
        <f>Zones!G14</f>
        <v>232.34295399999999</v>
      </c>
      <c r="D14" s="68">
        <v>15</v>
      </c>
      <c r="E14" s="68">
        <v>0.15</v>
      </c>
      <c r="F14" s="68"/>
      <c r="G14" s="448">
        <f t="shared" si="0"/>
        <v>115.00976222999999</v>
      </c>
      <c r="H14" s="448">
        <f t="shared" si="1"/>
        <v>34.851443099999997</v>
      </c>
      <c r="I14" s="68">
        <f t="shared" si="2"/>
        <v>0</v>
      </c>
      <c r="J14" s="448">
        <f t="shared" si="3"/>
        <v>115.00976222999999</v>
      </c>
      <c r="K14" s="448"/>
    </row>
    <row r="15" spans="1:13" ht="15" customHeight="1">
      <c r="A15" s="18" t="str">
        <f>Zones!A15</f>
        <v>Stairway_FloorG</v>
      </c>
      <c r="B15" s="18">
        <f>Zones!J15</f>
        <v>0</v>
      </c>
      <c r="C15" s="315">
        <f>Zones!G15</f>
        <v>661.39225999999996</v>
      </c>
      <c r="D15" s="68">
        <v>15</v>
      </c>
      <c r="E15" s="68">
        <v>0.15</v>
      </c>
      <c r="F15" s="68"/>
      <c r="G15" s="448"/>
      <c r="H15" s="448">
        <f t="shared" si="1"/>
        <v>99.208838999999998</v>
      </c>
      <c r="I15" s="68">
        <f t="shared" si="2"/>
        <v>0</v>
      </c>
      <c r="J15" s="448">
        <f t="shared" si="3"/>
        <v>99.208838999999998</v>
      </c>
      <c r="K15" s="448"/>
    </row>
    <row r="16" spans="1:13" ht="15" customHeight="1">
      <c r="A16" s="18" t="str">
        <f>Zones!A16</f>
        <v>Corridor_W_FloorG</v>
      </c>
      <c r="B16" s="18">
        <f>Zones!J16</f>
        <v>1.5</v>
      </c>
      <c r="C16" s="315">
        <f>Zones!G16</f>
        <v>300</v>
      </c>
      <c r="D16" s="68">
        <v>15</v>
      </c>
      <c r="E16" s="68">
        <v>0.15</v>
      </c>
      <c r="F16" s="68"/>
      <c r="G16" s="448">
        <f t="shared" si="0"/>
        <v>22.5</v>
      </c>
      <c r="H16" s="448">
        <f t="shared" si="1"/>
        <v>45</v>
      </c>
      <c r="I16" s="68">
        <f t="shared" si="2"/>
        <v>0</v>
      </c>
      <c r="J16" s="448">
        <f t="shared" si="3"/>
        <v>45</v>
      </c>
      <c r="K16" s="448"/>
    </row>
    <row r="17" spans="1:11" ht="15" customHeight="1">
      <c r="A17" s="18" t="str">
        <f>Zones!A17</f>
        <v>Corridor_N_FloorG</v>
      </c>
      <c r="B17" s="18">
        <f>Zones!J17</f>
        <v>2.5148619999999999</v>
      </c>
      <c r="C17" s="315">
        <f>Zones!G17</f>
        <v>502.97239999999999</v>
      </c>
      <c r="D17" s="68">
        <v>15</v>
      </c>
      <c r="E17" s="68">
        <v>0.15</v>
      </c>
      <c r="F17" s="68"/>
      <c r="G17" s="448">
        <f t="shared" si="0"/>
        <v>37.722929999999998</v>
      </c>
      <c r="H17" s="448">
        <f t="shared" si="1"/>
        <v>75.445859999999996</v>
      </c>
      <c r="I17" s="68">
        <f t="shared" si="2"/>
        <v>0</v>
      </c>
      <c r="J17" s="448">
        <f t="shared" si="3"/>
        <v>75.445859999999996</v>
      </c>
      <c r="K17" s="448"/>
    </row>
    <row r="18" spans="1:11" ht="15" customHeight="1">
      <c r="A18" s="18" t="str">
        <f>Zones!A18</f>
        <v>Corridor_E_FloorG</v>
      </c>
      <c r="B18" s="18">
        <f>Zones!J18</f>
        <v>1.496038</v>
      </c>
      <c r="C18" s="315">
        <f>Zones!G18</f>
        <v>299.20760000000001</v>
      </c>
      <c r="D18" s="68">
        <v>15</v>
      </c>
      <c r="E18" s="68">
        <v>0.15</v>
      </c>
      <c r="F18" s="68"/>
      <c r="G18" s="448">
        <f t="shared" si="0"/>
        <v>22.440570000000001</v>
      </c>
      <c r="H18" s="448">
        <f t="shared" si="1"/>
        <v>44.881140000000002</v>
      </c>
      <c r="I18" s="68">
        <f t="shared" si="2"/>
        <v>0</v>
      </c>
      <c r="J18" s="448">
        <f t="shared" si="3"/>
        <v>44.881140000000002</v>
      </c>
      <c r="K18" s="448"/>
    </row>
    <row r="19" spans="1:11" ht="15" customHeight="1">
      <c r="A19" s="18" t="str">
        <f>Zones!A19</f>
        <v>Corridor_S_FloorG</v>
      </c>
      <c r="B19" s="18">
        <f>Zones!J19</f>
        <v>2.5148619999999999</v>
      </c>
      <c r="C19" s="315">
        <f>Zones!G19</f>
        <v>502.97239999999999</v>
      </c>
      <c r="D19" s="68">
        <v>15</v>
      </c>
      <c r="E19" s="68">
        <v>0.15</v>
      </c>
      <c r="F19" s="68"/>
      <c r="G19" s="448">
        <f t="shared" si="0"/>
        <v>37.722929999999998</v>
      </c>
      <c r="H19" s="448">
        <f t="shared" si="1"/>
        <v>75.445859999999996</v>
      </c>
      <c r="I19" s="68">
        <f t="shared" si="2"/>
        <v>0</v>
      </c>
      <c r="J19" s="448">
        <f t="shared" si="3"/>
        <v>75.445859999999996</v>
      </c>
      <c r="K19" s="448"/>
    </row>
    <row r="20" spans="1:11" ht="15" customHeight="1">
      <c r="A20" s="187" t="str">
        <f>Zones!A20</f>
        <v>Plenum_FloorG</v>
      </c>
      <c r="B20" s="187">
        <f>Zones!J20</f>
        <v>0</v>
      </c>
      <c r="C20" s="316">
        <f>Zones!G20</f>
        <v>17875.932499999999</v>
      </c>
      <c r="D20" s="438"/>
      <c r="E20" s="438" t="s">
        <v>131</v>
      </c>
      <c r="F20" s="438"/>
      <c r="G20" s="449"/>
      <c r="H20" s="449"/>
      <c r="I20" s="438">
        <f t="shared" si="2"/>
        <v>0</v>
      </c>
      <c r="J20" s="449">
        <f t="shared" si="3"/>
        <v>0</v>
      </c>
      <c r="K20" s="448"/>
    </row>
    <row r="21" spans="1:11" ht="15" customHeight="1">
      <c r="A21" s="187" t="str">
        <f>Zones!A21</f>
        <v>Open_Office_Core_FloorM</v>
      </c>
      <c r="B21" s="187">
        <f>Zones!J21</f>
        <v>21.414999999999999</v>
      </c>
      <c r="C21" s="316">
        <f>Zones!G21</f>
        <v>4283</v>
      </c>
      <c r="D21" s="438">
        <f>D3</f>
        <v>15</v>
      </c>
      <c r="E21" s="438">
        <f>E3</f>
        <v>0.15</v>
      </c>
      <c r="F21" s="438"/>
      <c r="G21" s="449">
        <f t="shared" si="0"/>
        <v>321.22499999999997</v>
      </c>
      <c r="H21" s="449">
        <f t="shared" si="1"/>
        <v>642.44999999999993</v>
      </c>
      <c r="I21" s="438">
        <f t="shared" si="2"/>
        <v>0</v>
      </c>
      <c r="J21" s="449">
        <f t="shared" si="3"/>
        <v>642.44999999999993</v>
      </c>
      <c r="K21" s="448"/>
    </row>
    <row r="22" spans="1:11" ht="15" customHeight="1">
      <c r="A22" s="187" t="str">
        <f>Zones!A22</f>
        <v>Open_Office_N_FloorM</v>
      </c>
      <c r="B22" s="187">
        <f>Zones!J22</f>
        <v>11.4899366</v>
      </c>
      <c r="C22" s="316">
        <f>Zones!G22</f>
        <v>2297.9873200000002</v>
      </c>
      <c r="D22" s="438">
        <f t="shared" ref="D22:E22" si="4">D4</f>
        <v>15</v>
      </c>
      <c r="E22" s="438">
        <f t="shared" si="4"/>
        <v>0.15</v>
      </c>
      <c r="F22" s="438"/>
      <c r="G22" s="449">
        <f t="shared" si="0"/>
        <v>172.34904900000001</v>
      </c>
      <c r="H22" s="449">
        <f t="shared" si="1"/>
        <v>344.69809800000002</v>
      </c>
      <c r="I22" s="438">
        <f t="shared" si="2"/>
        <v>0</v>
      </c>
      <c r="J22" s="449">
        <f t="shared" si="3"/>
        <v>344.69809800000002</v>
      </c>
      <c r="K22" s="448"/>
    </row>
    <row r="23" spans="1:11" ht="15" customHeight="1">
      <c r="A23" s="187" t="str">
        <f>Zones!A23</f>
        <v>Closed_Office_W_FloorM</v>
      </c>
      <c r="B23" s="187">
        <f>Zones!J23</f>
        <v>8.1893057999999996</v>
      </c>
      <c r="C23" s="316">
        <f>Zones!G23</f>
        <v>1637.8611599999999</v>
      </c>
      <c r="D23" s="438">
        <f t="shared" ref="D23:E23" si="5">D5</f>
        <v>15</v>
      </c>
      <c r="E23" s="438">
        <f t="shared" si="5"/>
        <v>0.15</v>
      </c>
      <c r="F23" s="438"/>
      <c r="G23" s="449">
        <f t="shared" si="0"/>
        <v>122.83958699999999</v>
      </c>
      <c r="H23" s="449">
        <f t="shared" si="1"/>
        <v>245.67917399999999</v>
      </c>
      <c r="I23" s="438">
        <f t="shared" si="2"/>
        <v>0</v>
      </c>
      <c r="J23" s="449">
        <f t="shared" si="3"/>
        <v>245.67917399999999</v>
      </c>
      <c r="K23" s="448"/>
    </row>
    <row r="24" spans="1:11" ht="15" customHeight="1">
      <c r="A24" s="187" t="str">
        <f>Zones!A24</f>
        <v>Closed_Office_E_FloorM</v>
      </c>
      <c r="B24" s="187">
        <f>Zones!J24</f>
        <v>8.1893057999999996</v>
      </c>
      <c r="C24" s="316">
        <f>Zones!G24</f>
        <v>1637.8611599999999</v>
      </c>
      <c r="D24" s="438">
        <f t="shared" ref="D24:E24" si="6">D6</f>
        <v>15</v>
      </c>
      <c r="E24" s="438">
        <f t="shared" si="6"/>
        <v>0.15</v>
      </c>
      <c r="F24" s="438"/>
      <c r="G24" s="449">
        <f t="shared" si="0"/>
        <v>122.83958699999999</v>
      </c>
      <c r="H24" s="449">
        <f t="shared" si="1"/>
        <v>245.67917399999999</v>
      </c>
      <c r="I24" s="438">
        <f t="shared" si="2"/>
        <v>0</v>
      </c>
      <c r="J24" s="449">
        <f t="shared" si="3"/>
        <v>245.67917399999999</v>
      </c>
      <c r="K24" s="448"/>
    </row>
    <row r="25" spans="1:11" ht="15" customHeight="1">
      <c r="A25" s="187" t="str">
        <f>Zones!A25</f>
        <v>Open_Office_S_FloorM</v>
      </c>
      <c r="B25" s="187">
        <f>Zones!J25</f>
        <v>5.9310375500000001</v>
      </c>
      <c r="C25" s="316">
        <f>Zones!G25</f>
        <v>1186.20751</v>
      </c>
      <c r="D25" s="438">
        <f t="shared" ref="D25:E25" si="7">D7</f>
        <v>15</v>
      </c>
      <c r="E25" s="438">
        <f t="shared" si="7"/>
        <v>0.15</v>
      </c>
      <c r="F25" s="438"/>
      <c r="G25" s="449">
        <f t="shared" si="0"/>
        <v>88.965563250000002</v>
      </c>
      <c r="H25" s="449">
        <f t="shared" si="1"/>
        <v>177.93112649999998</v>
      </c>
      <c r="I25" s="438">
        <f t="shared" si="2"/>
        <v>0</v>
      </c>
      <c r="J25" s="449">
        <f t="shared" si="3"/>
        <v>177.93112649999998</v>
      </c>
      <c r="K25" s="448"/>
    </row>
    <row r="26" spans="1:11" ht="15" customHeight="1">
      <c r="A26" s="187" t="str">
        <f>Zones!A26</f>
        <v>Conference_FloorM</v>
      </c>
      <c r="B26" s="187">
        <f>Zones!J26</f>
        <v>36.688733730000003</v>
      </c>
      <c r="C26" s="316">
        <f>Zones!G26</f>
        <v>1111.77981</v>
      </c>
      <c r="D26" s="438">
        <f t="shared" ref="D26:E26" si="8">D8</f>
        <v>15</v>
      </c>
      <c r="E26" s="438">
        <f t="shared" si="8"/>
        <v>0.15</v>
      </c>
      <c r="F26" s="438"/>
      <c r="G26" s="449">
        <f t="shared" si="0"/>
        <v>550.33100595000008</v>
      </c>
      <c r="H26" s="449">
        <f t="shared" si="1"/>
        <v>166.76697149999998</v>
      </c>
      <c r="I26" s="438">
        <f t="shared" si="2"/>
        <v>0</v>
      </c>
      <c r="J26" s="449">
        <f t="shared" si="3"/>
        <v>550.33100595000008</v>
      </c>
      <c r="K26" s="448"/>
    </row>
    <row r="27" spans="1:11" ht="15" customHeight="1">
      <c r="A27" s="187" t="str">
        <f>Zones!A27</f>
        <v>Lobby/Lounge_FloorM</v>
      </c>
      <c r="B27" s="187">
        <f>Zones!J27</f>
        <v>10.591754699999999</v>
      </c>
      <c r="C27" s="316">
        <f>Zones!G27</f>
        <v>1059.1754699999999</v>
      </c>
      <c r="D27" s="438">
        <f t="shared" ref="D27:E27" si="9">D9</f>
        <v>15</v>
      </c>
      <c r="E27" s="438">
        <f t="shared" si="9"/>
        <v>0.15</v>
      </c>
      <c r="F27" s="438"/>
      <c r="G27" s="449">
        <f t="shared" si="0"/>
        <v>158.87632049999999</v>
      </c>
      <c r="H27" s="449">
        <f t="shared" si="1"/>
        <v>158.87632049999999</v>
      </c>
      <c r="I27" s="438">
        <f t="shared" si="2"/>
        <v>0</v>
      </c>
      <c r="J27" s="449">
        <f t="shared" si="3"/>
        <v>158.87632049999999</v>
      </c>
      <c r="K27" s="448"/>
    </row>
    <row r="28" spans="1:11" ht="15" customHeight="1">
      <c r="A28" s="187" t="str">
        <f>Zones!A28</f>
        <v>Storage_FloorM</v>
      </c>
      <c r="B28" s="187">
        <f>Zones!J28</f>
        <v>0</v>
      </c>
      <c r="C28" s="316">
        <f>Zones!G28</f>
        <v>983.156114</v>
      </c>
      <c r="D28" s="438">
        <f t="shared" ref="D28:E28" si="10">D10</f>
        <v>15</v>
      </c>
      <c r="E28" s="438">
        <f t="shared" si="10"/>
        <v>0.15</v>
      </c>
      <c r="F28" s="438"/>
      <c r="G28" s="449"/>
      <c r="H28" s="449">
        <f t="shared" si="1"/>
        <v>147.47341710000001</v>
      </c>
      <c r="I28" s="438">
        <f t="shared" si="2"/>
        <v>0</v>
      </c>
      <c r="J28" s="449">
        <f t="shared" si="3"/>
        <v>147.47341710000001</v>
      </c>
      <c r="K28" s="448"/>
    </row>
    <row r="29" spans="1:11" ht="15" customHeight="1">
      <c r="A29" s="187" t="str">
        <f>Zones!A29</f>
        <v>Mechanical/Electrical_FloorM</v>
      </c>
      <c r="B29" s="187">
        <f>Zones!J29</f>
        <v>0</v>
      </c>
      <c r="C29" s="316">
        <f>Zones!G29</f>
        <v>357.35034200000001</v>
      </c>
      <c r="D29" s="438">
        <f t="shared" ref="D29:E29" si="11">D11</f>
        <v>15</v>
      </c>
      <c r="E29" s="438">
        <f t="shared" si="11"/>
        <v>0.15</v>
      </c>
      <c r="F29" s="438"/>
      <c r="G29" s="449"/>
      <c r="H29" s="449">
        <f t="shared" si="1"/>
        <v>53.602551300000002</v>
      </c>
      <c r="I29" s="438">
        <f t="shared" si="2"/>
        <v>0</v>
      </c>
      <c r="J29" s="449">
        <f t="shared" si="3"/>
        <v>53.602551300000002</v>
      </c>
      <c r="K29" s="448"/>
    </row>
    <row r="30" spans="1:11" ht="15" customHeight="1">
      <c r="A30" s="187" t="str">
        <f>Zones!A30</f>
        <v>IT-Room_FloorM</v>
      </c>
      <c r="B30" s="187">
        <f>Zones!J30</f>
        <v>0</v>
      </c>
      <c r="C30" s="316">
        <f>Zones!G30</f>
        <v>178.93730199999999</v>
      </c>
      <c r="D30" s="438">
        <f t="shared" ref="D30:E30" si="12">D12</f>
        <v>15</v>
      </c>
      <c r="E30" s="438">
        <f t="shared" si="12"/>
        <v>0.15</v>
      </c>
      <c r="F30" s="438"/>
      <c r="G30" s="449"/>
      <c r="H30" s="449">
        <f t="shared" si="1"/>
        <v>26.840595299999997</v>
      </c>
      <c r="I30" s="438">
        <f t="shared" si="2"/>
        <v>0</v>
      </c>
      <c r="J30" s="449">
        <f t="shared" si="3"/>
        <v>26.840595299999997</v>
      </c>
      <c r="K30" s="448"/>
    </row>
    <row r="31" spans="1:11" ht="15" customHeight="1">
      <c r="A31" s="187" t="str">
        <f>Zones!A31</f>
        <v>Restroom_FloorM</v>
      </c>
      <c r="B31" s="187">
        <f>Zones!J31</f>
        <v>0</v>
      </c>
      <c r="C31" s="316">
        <f>Zones!G31</f>
        <v>643.57782699999996</v>
      </c>
      <c r="D31" s="438">
        <f t="shared" ref="D31:E31" si="13">D13</f>
        <v>15</v>
      </c>
      <c r="E31" s="438">
        <f t="shared" si="13"/>
        <v>0.15</v>
      </c>
      <c r="F31" s="438" t="s">
        <v>380</v>
      </c>
      <c r="G31" s="449"/>
      <c r="H31" s="449">
        <f t="shared" si="1"/>
        <v>96.536674049999988</v>
      </c>
      <c r="I31" s="438">
        <v>100</v>
      </c>
      <c r="J31" s="449">
        <f t="shared" si="3"/>
        <v>100</v>
      </c>
      <c r="K31" s="448"/>
    </row>
    <row r="32" spans="1:11" ht="15" customHeight="1">
      <c r="A32" s="187" t="str">
        <f>Zones!A32</f>
        <v>Break_FloorM</v>
      </c>
      <c r="B32" s="187">
        <f>Zones!J32</f>
        <v>7.6673174819999996</v>
      </c>
      <c r="C32" s="316">
        <f>Zones!G32</f>
        <v>232.34295399999999</v>
      </c>
      <c r="D32" s="438">
        <f t="shared" ref="D32:E32" si="14">D14</f>
        <v>15</v>
      </c>
      <c r="E32" s="438">
        <f t="shared" si="14"/>
        <v>0.15</v>
      </c>
      <c r="F32" s="438"/>
      <c r="G32" s="449">
        <f t="shared" si="0"/>
        <v>115.00976222999999</v>
      </c>
      <c r="H32" s="449">
        <f t="shared" si="1"/>
        <v>34.851443099999997</v>
      </c>
      <c r="I32" s="438">
        <f t="shared" si="2"/>
        <v>0</v>
      </c>
      <c r="J32" s="449">
        <f t="shared" si="3"/>
        <v>115.00976222999999</v>
      </c>
      <c r="K32" s="448"/>
    </row>
    <row r="33" spans="1:11" ht="15" customHeight="1">
      <c r="A33" s="187" t="str">
        <f>Zones!A33</f>
        <v>Stairway_FloorM</v>
      </c>
      <c r="B33" s="187">
        <f>Zones!J33</f>
        <v>0</v>
      </c>
      <c r="C33" s="316">
        <f>Zones!G33</f>
        <v>661.39225999999996</v>
      </c>
      <c r="D33" s="438">
        <f t="shared" ref="D33:E33" si="15">D15</f>
        <v>15</v>
      </c>
      <c r="E33" s="438">
        <f t="shared" si="15"/>
        <v>0.15</v>
      </c>
      <c r="F33" s="438"/>
      <c r="G33" s="449"/>
      <c r="H33" s="449">
        <f t="shared" si="1"/>
        <v>99.208838999999998</v>
      </c>
      <c r="I33" s="438">
        <f t="shared" si="2"/>
        <v>0</v>
      </c>
      <c r="J33" s="449">
        <f t="shared" si="3"/>
        <v>99.208838999999998</v>
      </c>
      <c r="K33" s="448"/>
    </row>
    <row r="34" spans="1:11" ht="15" customHeight="1">
      <c r="A34" s="187" t="str">
        <f>Zones!A34</f>
        <v>Corridor_W_FloorM</v>
      </c>
      <c r="B34" s="187">
        <f>Zones!J34</f>
        <v>1.5</v>
      </c>
      <c r="C34" s="316">
        <f>Zones!G34</f>
        <v>300</v>
      </c>
      <c r="D34" s="438">
        <f t="shared" ref="D34:E34" si="16">D16</f>
        <v>15</v>
      </c>
      <c r="E34" s="438">
        <f t="shared" si="16"/>
        <v>0.15</v>
      </c>
      <c r="F34" s="438"/>
      <c r="G34" s="449">
        <f t="shared" si="0"/>
        <v>22.5</v>
      </c>
      <c r="H34" s="449">
        <f t="shared" si="1"/>
        <v>45</v>
      </c>
      <c r="I34" s="438">
        <f t="shared" si="2"/>
        <v>0</v>
      </c>
      <c r="J34" s="449">
        <f t="shared" si="3"/>
        <v>45</v>
      </c>
      <c r="K34" s="448"/>
    </row>
    <row r="35" spans="1:11" ht="15" customHeight="1">
      <c r="A35" s="187" t="str">
        <f>Zones!A35</f>
        <v>Corridor_N_FloorM</v>
      </c>
      <c r="B35" s="187">
        <f>Zones!J35</f>
        <v>2.5148619999999999</v>
      </c>
      <c r="C35" s="316">
        <f>Zones!G35</f>
        <v>502.97239999999999</v>
      </c>
      <c r="D35" s="438">
        <f t="shared" ref="D35:E35" si="17">D17</f>
        <v>15</v>
      </c>
      <c r="E35" s="438">
        <f t="shared" si="17"/>
        <v>0.15</v>
      </c>
      <c r="F35" s="438"/>
      <c r="G35" s="449">
        <f t="shared" si="0"/>
        <v>37.722929999999998</v>
      </c>
      <c r="H35" s="449">
        <f t="shared" si="1"/>
        <v>75.445859999999996</v>
      </c>
      <c r="I35" s="438">
        <f t="shared" si="2"/>
        <v>0</v>
      </c>
      <c r="J35" s="449">
        <f t="shared" si="3"/>
        <v>75.445859999999996</v>
      </c>
      <c r="K35" s="448"/>
    </row>
    <row r="36" spans="1:11" ht="15" customHeight="1">
      <c r="A36" s="187" t="str">
        <f>Zones!A36</f>
        <v>Corridor_E_FloorM</v>
      </c>
      <c r="B36" s="187">
        <f>Zones!J36</f>
        <v>1.496038</v>
      </c>
      <c r="C36" s="316">
        <f>Zones!G36</f>
        <v>299.20760000000001</v>
      </c>
      <c r="D36" s="438">
        <f t="shared" ref="D36:E36" si="18">D18</f>
        <v>15</v>
      </c>
      <c r="E36" s="438">
        <f t="shared" si="18"/>
        <v>0.15</v>
      </c>
      <c r="F36" s="438"/>
      <c r="G36" s="449">
        <f t="shared" si="0"/>
        <v>22.440570000000001</v>
      </c>
      <c r="H36" s="449">
        <f t="shared" si="1"/>
        <v>44.881140000000002</v>
      </c>
      <c r="I36" s="438">
        <f t="shared" si="2"/>
        <v>0</v>
      </c>
      <c r="J36" s="449">
        <f t="shared" si="3"/>
        <v>44.881140000000002</v>
      </c>
      <c r="K36" s="448"/>
    </row>
    <row r="37" spans="1:11" ht="15" customHeight="1">
      <c r="A37" s="187" t="str">
        <f>Zones!A37</f>
        <v>Corridor_S_FloorM</v>
      </c>
      <c r="B37" s="187">
        <f>Zones!J37</f>
        <v>2.5148619999999999</v>
      </c>
      <c r="C37" s="316">
        <f>Zones!G37</f>
        <v>502.97239999999999</v>
      </c>
      <c r="D37" s="438">
        <f t="shared" ref="D37:E37" si="19">D19</f>
        <v>15</v>
      </c>
      <c r="E37" s="438">
        <f t="shared" si="19"/>
        <v>0.15</v>
      </c>
      <c r="F37" s="438"/>
      <c r="G37" s="449">
        <f t="shared" si="0"/>
        <v>37.722929999999998</v>
      </c>
      <c r="H37" s="449">
        <f t="shared" si="1"/>
        <v>75.445859999999996</v>
      </c>
      <c r="I37" s="438">
        <f t="shared" si="2"/>
        <v>0</v>
      </c>
      <c r="J37" s="449">
        <f t="shared" si="3"/>
        <v>75.445859999999996</v>
      </c>
      <c r="K37" s="448"/>
    </row>
    <row r="38" spans="1:11" ht="15" customHeight="1">
      <c r="A38" s="187" t="str">
        <f>Zones!A38</f>
        <v>Plenum_FloorM</v>
      </c>
      <c r="B38" s="187">
        <f>Zones!J38</f>
        <v>0</v>
      </c>
      <c r="C38" s="316">
        <f>Zones!G38</f>
        <v>17875.932499999999</v>
      </c>
      <c r="D38" s="438">
        <f t="shared" ref="D38:E38" si="20">D20</f>
        <v>0</v>
      </c>
      <c r="E38" s="438" t="str">
        <f t="shared" si="20"/>
        <v>-</v>
      </c>
      <c r="F38" s="438"/>
      <c r="G38" s="449"/>
      <c r="H38" s="449"/>
      <c r="I38" s="438">
        <f t="shared" si="2"/>
        <v>0</v>
      </c>
      <c r="J38" s="449">
        <f t="shared" si="3"/>
        <v>0</v>
      </c>
      <c r="K38" s="448"/>
    </row>
    <row r="39" spans="1:11" ht="15" customHeight="1">
      <c r="A39" s="18" t="str">
        <f>Zones!A39</f>
        <v>Open_Office_Core_FloorT</v>
      </c>
      <c r="B39" s="18">
        <f>Zones!J39</f>
        <v>21.414999999999999</v>
      </c>
      <c r="C39" s="315">
        <f>Zones!G39</f>
        <v>4283</v>
      </c>
      <c r="D39" s="68">
        <f>D3</f>
        <v>15</v>
      </c>
      <c r="E39" s="68">
        <f t="shared" ref="E39" si="21">E3</f>
        <v>0.15</v>
      </c>
      <c r="F39" s="68"/>
      <c r="G39" s="448">
        <f t="shared" si="0"/>
        <v>321.22499999999997</v>
      </c>
      <c r="H39" s="448">
        <f t="shared" si="1"/>
        <v>642.44999999999993</v>
      </c>
      <c r="I39" s="68">
        <f t="shared" si="2"/>
        <v>0</v>
      </c>
      <c r="J39" s="448">
        <f t="shared" si="3"/>
        <v>642.44999999999993</v>
      </c>
      <c r="K39" s="448"/>
    </row>
    <row r="40" spans="1:11" ht="15" customHeight="1">
      <c r="A40" s="18" t="str">
        <f>Zones!A40</f>
        <v>Open_Office_N_FloorT</v>
      </c>
      <c r="B40" s="18">
        <f>Zones!J40</f>
        <v>11.4899366</v>
      </c>
      <c r="C40" s="315">
        <f>Zones!G40</f>
        <v>2297.9873200000002</v>
      </c>
      <c r="D40" s="68">
        <f t="shared" ref="D40:E40" si="22">D4</f>
        <v>15</v>
      </c>
      <c r="E40" s="68">
        <f t="shared" si="22"/>
        <v>0.15</v>
      </c>
      <c r="F40" s="68"/>
      <c r="G40" s="448">
        <f t="shared" si="0"/>
        <v>172.34904900000001</v>
      </c>
      <c r="H40" s="448">
        <f t="shared" si="1"/>
        <v>344.69809800000002</v>
      </c>
      <c r="I40" s="68">
        <f t="shared" si="2"/>
        <v>0</v>
      </c>
      <c r="J40" s="448">
        <f t="shared" si="3"/>
        <v>344.69809800000002</v>
      </c>
      <c r="K40" s="448"/>
    </row>
    <row r="41" spans="1:11" ht="15" customHeight="1">
      <c r="A41" s="18" t="str">
        <f>Zones!A41</f>
        <v>Closed_Office_W_FloorT</v>
      </c>
      <c r="B41" s="18">
        <f>Zones!J41</f>
        <v>8.1893057999999996</v>
      </c>
      <c r="C41" s="315">
        <f>Zones!G41</f>
        <v>1637.8611599999999</v>
      </c>
      <c r="D41" s="68">
        <f t="shared" ref="D41:E41" si="23">D5</f>
        <v>15</v>
      </c>
      <c r="E41" s="68">
        <f t="shared" si="23"/>
        <v>0.15</v>
      </c>
      <c r="F41" s="68"/>
      <c r="G41" s="448">
        <f t="shared" si="0"/>
        <v>122.83958699999999</v>
      </c>
      <c r="H41" s="448">
        <f t="shared" si="1"/>
        <v>245.67917399999999</v>
      </c>
      <c r="I41" s="68">
        <f t="shared" si="2"/>
        <v>0</v>
      </c>
      <c r="J41" s="448">
        <f t="shared" si="3"/>
        <v>245.67917399999999</v>
      </c>
      <c r="K41" s="448"/>
    </row>
    <row r="42" spans="1:11" ht="15" customHeight="1">
      <c r="A42" s="18" t="str">
        <f>Zones!A42</f>
        <v>Closed_Office_E_FloorT</v>
      </c>
      <c r="B42" s="18">
        <f>Zones!J42</f>
        <v>8.1893057999999996</v>
      </c>
      <c r="C42" s="315">
        <f>Zones!G42</f>
        <v>1637.8611599999999</v>
      </c>
      <c r="D42" s="68">
        <f t="shared" ref="D42:E42" si="24">D6</f>
        <v>15</v>
      </c>
      <c r="E42" s="68">
        <f t="shared" si="24"/>
        <v>0.15</v>
      </c>
      <c r="F42" s="68"/>
      <c r="G42" s="448">
        <f t="shared" si="0"/>
        <v>122.83958699999999</v>
      </c>
      <c r="H42" s="448">
        <f t="shared" si="1"/>
        <v>245.67917399999999</v>
      </c>
      <c r="I42" s="68">
        <f t="shared" si="2"/>
        <v>0</v>
      </c>
      <c r="J42" s="448">
        <f t="shared" si="3"/>
        <v>245.67917399999999</v>
      </c>
      <c r="K42" s="448"/>
    </row>
    <row r="43" spans="1:11" ht="15" customHeight="1">
      <c r="A43" s="18" t="str">
        <f>Zones!A43</f>
        <v>Open_Office_S_FloorT</v>
      </c>
      <c r="B43" s="18">
        <f>Zones!J43</f>
        <v>5.9310375500000001</v>
      </c>
      <c r="C43" s="315">
        <f>Zones!G43</f>
        <v>1186.20751</v>
      </c>
      <c r="D43" s="68">
        <f t="shared" ref="D43:E43" si="25">D7</f>
        <v>15</v>
      </c>
      <c r="E43" s="68">
        <f t="shared" si="25"/>
        <v>0.15</v>
      </c>
      <c r="F43" s="68"/>
      <c r="G43" s="448">
        <f t="shared" si="0"/>
        <v>88.965563250000002</v>
      </c>
      <c r="H43" s="448">
        <f t="shared" si="1"/>
        <v>177.93112649999998</v>
      </c>
      <c r="I43" s="68">
        <f t="shared" si="2"/>
        <v>0</v>
      </c>
      <c r="J43" s="448">
        <f t="shared" si="3"/>
        <v>177.93112649999998</v>
      </c>
      <c r="K43" s="448"/>
    </row>
    <row r="44" spans="1:11" ht="15" customHeight="1">
      <c r="A44" s="18" t="str">
        <f>Zones!A44</f>
        <v>Conference_FloorT</v>
      </c>
      <c r="B44" s="18">
        <f>Zones!J44</f>
        <v>36.688733730000003</v>
      </c>
      <c r="C44" s="315">
        <f>Zones!G44</f>
        <v>1111.77981</v>
      </c>
      <c r="D44" s="68">
        <f t="shared" ref="D44:E44" si="26">D8</f>
        <v>15</v>
      </c>
      <c r="E44" s="68">
        <f t="shared" si="26"/>
        <v>0.15</v>
      </c>
      <c r="F44" s="68"/>
      <c r="G44" s="448">
        <f t="shared" si="0"/>
        <v>550.33100595000008</v>
      </c>
      <c r="H44" s="448">
        <f t="shared" si="1"/>
        <v>166.76697149999998</v>
      </c>
      <c r="I44" s="68">
        <f t="shared" si="2"/>
        <v>0</v>
      </c>
      <c r="J44" s="448">
        <f t="shared" si="3"/>
        <v>550.33100595000008</v>
      </c>
      <c r="K44" s="448"/>
    </row>
    <row r="45" spans="1:11" ht="15" customHeight="1">
      <c r="A45" s="18" t="str">
        <f>Zones!A45</f>
        <v>Lobby/Lounge_FloorT</v>
      </c>
      <c r="B45" s="18">
        <f>Zones!J45</f>
        <v>10.591754699999999</v>
      </c>
      <c r="C45" s="315">
        <f>Zones!G45</f>
        <v>1059.1754699999999</v>
      </c>
      <c r="D45" s="68">
        <f t="shared" ref="D45:E45" si="27">D9</f>
        <v>15</v>
      </c>
      <c r="E45" s="68">
        <f t="shared" si="27"/>
        <v>0.15</v>
      </c>
      <c r="F45" s="68"/>
      <c r="G45" s="448">
        <f t="shared" si="0"/>
        <v>158.87632049999999</v>
      </c>
      <c r="H45" s="448">
        <f t="shared" si="1"/>
        <v>158.87632049999999</v>
      </c>
      <c r="I45" s="68">
        <f t="shared" si="2"/>
        <v>0</v>
      </c>
      <c r="J45" s="448">
        <f t="shared" si="3"/>
        <v>158.87632049999999</v>
      </c>
      <c r="K45" s="448"/>
    </row>
    <row r="46" spans="1:11" ht="15" customHeight="1">
      <c r="A46" s="18" t="str">
        <f>Zones!A46</f>
        <v>Storage_FloorT</v>
      </c>
      <c r="B46" s="18">
        <f>Zones!J46</f>
        <v>0</v>
      </c>
      <c r="C46" s="315">
        <f>Zones!G46</f>
        <v>983.156114</v>
      </c>
      <c r="D46" s="68">
        <f t="shared" ref="D46:E46" si="28">D10</f>
        <v>15</v>
      </c>
      <c r="E46" s="68">
        <f t="shared" si="28"/>
        <v>0.15</v>
      </c>
      <c r="F46" s="68"/>
      <c r="G46" s="448"/>
      <c r="H46" s="448">
        <f t="shared" si="1"/>
        <v>147.47341710000001</v>
      </c>
      <c r="I46" s="68">
        <f t="shared" si="2"/>
        <v>0</v>
      </c>
      <c r="J46" s="448">
        <f t="shared" si="3"/>
        <v>147.47341710000001</v>
      </c>
      <c r="K46" s="448"/>
    </row>
    <row r="47" spans="1:11" ht="15" customHeight="1">
      <c r="A47" s="18" t="str">
        <f>Zones!A47</f>
        <v>Mechanical/Electrical_FloorT</v>
      </c>
      <c r="B47" s="18">
        <f>Zones!J47</f>
        <v>0</v>
      </c>
      <c r="C47" s="315">
        <f>Zones!G47</f>
        <v>357.35034200000001</v>
      </c>
      <c r="D47" s="68">
        <f t="shared" ref="D47:E47" si="29">D11</f>
        <v>15</v>
      </c>
      <c r="E47" s="68">
        <f t="shared" si="29"/>
        <v>0.15</v>
      </c>
      <c r="F47" s="68"/>
      <c r="G47" s="448"/>
      <c r="H47" s="448">
        <f t="shared" si="1"/>
        <v>53.602551300000002</v>
      </c>
      <c r="I47" s="68">
        <f t="shared" si="2"/>
        <v>0</v>
      </c>
      <c r="J47" s="448">
        <f t="shared" si="3"/>
        <v>53.602551300000002</v>
      </c>
      <c r="K47" s="448"/>
    </row>
    <row r="48" spans="1:11" ht="15" customHeight="1">
      <c r="A48" s="18" t="str">
        <f>Zones!A48</f>
        <v>IT-Room_FloorT</v>
      </c>
      <c r="B48" s="18">
        <f>Zones!J48</f>
        <v>0</v>
      </c>
      <c r="C48" s="315">
        <f>Zones!G48</f>
        <v>178.93730199999999</v>
      </c>
      <c r="D48" s="68">
        <f t="shared" ref="D48:E48" si="30">D12</f>
        <v>15</v>
      </c>
      <c r="E48" s="68">
        <f t="shared" si="30"/>
        <v>0.15</v>
      </c>
      <c r="F48" s="68"/>
      <c r="G48" s="448"/>
      <c r="H48" s="448">
        <f t="shared" si="1"/>
        <v>26.840595299999997</v>
      </c>
      <c r="I48" s="68">
        <f t="shared" si="2"/>
        <v>0</v>
      </c>
      <c r="J48" s="448">
        <f t="shared" si="3"/>
        <v>26.840595299999997</v>
      </c>
      <c r="K48" s="448"/>
    </row>
    <row r="49" spans="1:11" ht="15" customHeight="1">
      <c r="A49" s="18" t="str">
        <f>Zones!A49</f>
        <v>Restroom_FloorT</v>
      </c>
      <c r="B49" s="18">
        <f>Zones!J49</f>
        <v>0</v>
      </c>
      <c r="C49" s="315">
        <f>Zones!G49</f>
        <v>643.57782699999996</v>
      </c>
      <c r="D49" s="68">
        <f t="shared" ref="D49:E49" si="31">D13</f>
        <v>15</v>
      </c>
      <c r="E49" s="68">
        <f t="shared" si="31"/>
        <v>0.15</v>
      </c>
      <c r="F49" s="68" t="s">
        <v>382</v>
      </c>
      <c r="G49" s="448"/>
      <c r="H49" s="448">
        <f t="shared" si="1"/>
        <v>96.536674049999988</v>
      </c>
      <c r="I49" s="68">
        <v>100</v>
      </c>
      <c r="J49" s="448">
        <f t="shared" si="3"/>
        <v>100</v>
      </c>
      <c r="K49" s="448"/>
    </row>
    <row r="50" spans="1:11" ht="15" customHeight="1">
      <c r="A50" s="18" t="str">
        <f>Zones!A50</f>
        <v>Break_FloorT</v>
      </c>
      <c r="B50" s="18">
        <f>Zones!J50</f>
        <v>7.6673174819999996</v>
      </c>
      <c r="C50" s="315">
        <f>Zones!G50</f>
        <v>232.34295399999999</v>
      </c>
      <c r="D50" s="68">
        <f t="shared" ref="D50:E50" si="32">D14</f>
        <v>15</v>
      </c>
      <c r="E50" s="68">
        <f t="shared" si="32"/>
        <v>0.15</v>
      </c>
      <c r="F50" s="68"/>
      <c r="G50" s="448">
        <f t="shared" si="0"/>
        <v>115.00976222999999</v>
      </c>
      <c r="H50" s="448">
        <f t="shared" si="1"/>
        <v>34.851443099999997</v>
      </c>
      <c r="I50" s="68">
        <f t="shared" si="2"/>
        <v>0</v>
      </c>
      <c r="J50" s="448">
        <f t="shared" si="3"/>
        <v>115.00976222999999</v>
      </c>
      <c r="K50" s="448"/>
    </row>
    <row r="51" spans="1:11" ht="15" customHeight="1">
      <c r="A51" s="18" t="str">
        <f>Zones!A51</f>
        <v>Stairway_FloorT</v>
      </c>
      <c r="B51" s="18">
        <f>Zones!J51</f>
        <v>0</v>
      </c>
      <c r="C51" s="315">
        <f>Zones!G51</f>
        <v>661.39225999999996</v>
      </c>
      <c r="D51" s="68">
        <f t="shared" ref="D51:E51" si="33">D15</f>
        <v>15</v>
      </c>
      <c r="E51" s="68">
        <f t="shared" si="33"/>
        <v>0.15</v>
      </c>
      <c r="F51" s="68"/>
      <c r="G51" s="448"/>
      <c r="H51" s="448">
        <f t="shared" si="1"/>
        <v>99.208838999999998</v>
      </c>
      <c r="I51" s="68">
        <f t="shared" si="2"/>
        <v>0</v>
      </c>
      <c r="J51" s="448">
        <f t="shared" si="3"/>
        <v>99.208838999999998</v>
      </c>
      <c r="K51" s="448"/>
    </row>
    <row r="52" spans="1:11" ht="15" customHeight="1">
      <c r="A52" s="18" t="str">
        <f>Zones!A52</f>
        <v>Corridor_W_FloorT</v>
      </c>
      <c r="B52" s="18">
        <f>Zones!J52</f>
        <v>1.5</v>
      </c>
      <c r="C52" s="315">
        <f>Zones!G52</f>
        <v>300</v>
      </c>
      <c r="D52" s="68">
        <f t="shared" ref="D52:E52" si="34">D16</f>
        <v>15</v>
      </c>
      <c r="E52" s="68">
        <f t="shared" si="34"/>
        <v>0.15</v>
      </c>
      <c r="F52" s="68"/>
      <c r="G52" s="448">
        <f t="shared" si="0"/>
        <v>22.5</v>
      </c>
      <c r="H52" s="448">
        <f t="shared" si="1"/>
        <v>45</v>
      </c>
      <c r="I52" s="68">
        <f t="shared" si="2"/>
        <v>0</v>
      </c>
      <c r="J52" s="448">
        <f t="shared" si="3"/>
        <v>45</v>
      </c>
      <c r="K52" s="448"/>
    </row>
    <row r="53" spans="1:11" ht="15" customHeight="1">
      <c r="A53" s="18" t="str">
        <f>Zones!A53</f>
        <v>Corridor_N_FloorT</v>
      </c>
      <c r="B53" s="18">
        <f>Zones!J53</f>
        <v>2.5148619999999999</v>
      </c>
      <c r="C53" s="315">
        <f>Zones!G53</f>
        <v>502.97239999999999</v>
      </c>
      <c r="D53" s="68">
        <f t="shared" ref="D53:E53" si="35">D17</f>
        <v>15</v>
      </c>
      <c r="E53" s="68">
        <f t="shared" si="35"/>
        <v>0.15</v>
      </c>
      <c r="F53" s="68"/>
      <c r="G53" s="448">
        <f t="shared" si="0"/>
        <v>37.722929999999998</v>
      </c>
      <c r="H53" s="448">
        <f t="shared" si="1"/>
        <v>75.445859999999996</v>
      </c>
      <c r="I53" s="68">
        <f t="shared" si="2"/>
        <v>0</v>
      </c>
      <c r="J53" s="448">
        <f t="shared" si="3"/>
        <v>75.445859999999996</v>
      </c>
      <c r="K53" s="448"/>
    </row>
    <row r="54" spans="1:11" ht="15" customHeight="1">
      <c r="A54" s="18" t="str">
        <f>Zones!A54</f>
        <v>Corridor_E_FloorT</v>
      </c>
      <c r="B54" s="18">
        <f>Zones!J54</f>
        <v>1.5</v>
      </c>
      <c r="C54" s="315">
        <f>Zones!G54</f>
        <v>300</v>
      </c>
      <c r="D54" s="68">
        <f t="shared" ref="D54:E54" si="36">D18</f>
        <v>15</v>
      </c>
      <c r="E54" s="68">
        <f t="shared" si="36"/>
        <v>0.15</v>
      </c>
      <c r="F54" s="68"/>
      <c r="G54" s="448">
        <f t="shared" si="0"/>
        <v>22.5</v>
      </c>
      <c r="H54" s="448">
        <f t="shared" si="1"/>
        <v>45</v>
      </c>
      <c r="I54" s="68">
        <f t="shared" si="2"/>
        <v>0</v>
      </c>
      <c r="J54" s="448">
        <f t="shared" si="3"/>
        <v>45</v>
      </c>
      <c r="K54" s="448"/>
    </row>
    <row r="55" spans="1:11" ht="15" customHeight="1">
      <c r="A55" s="18" t="str">
        <f>Zones!A55</f>
        <v>Corridor_S_FloorT</v>
      </c>
      <c r="B55" s="18">
        <f>Zones!J55</f>
        <v>2.5148619999999999</v>
      </c>
      <c r="C55" s="315">
        <f>Zones!G55</f>
        <v>502.97239999999999</v>
      </c>
      <c r="D55" s="68">
        <f t="shared" ref="D55:E55" si="37">D19</f>
        <v>15</v>
      </c>
      <c r="E55" s="68">
        <f t="shared" si="37"/>
        <v>0.15</v>
      </c>
      <c r="F55" s="68"/>
      <c r="G55" s="448">
        <f t="shared" si="0"/>
        <v>37.722929999999998</v>
      </c>
      <c r="H55" s="448">
        <f t="shared" si="1"/>
        <v>75.445859999999996</v>
      </c>
      <c r="I55" s="68">
        <f t="shared" si="2"/>
        <v>0</v>
      </c>
      <c r="J55" s="448">
        <f t="shared" si="3"/>
        <v>75.445859999999996</v>
      </c>
      <c r="K55" s="448"/>
    </row>
    <row r="56" spans="1:11" ht="15" customHeight="1">
      <c r="A56" s="18" t="str">
        <f>Zones!A56</f>
        <v>Plenum_FloorT</v>
      </c>
      <c r="B56" s="18">
        <f>Zones!J56</f>
        <v>0</v>
      </c>
      <c r="C56" s="315">
        <f>Zones!G56</f>
        <v>17875.932499999999</v>
      </c>
      <c r="D56" s="68">
        <f t="shared" ref="D56:E56" si="38">D20</f>
        <v>0</v>
      </c>
      <c r="E56" s="68" t="str">
        <f t="shared" si="38"/>
        <v>-</v>
      </c>
      <c r="F56" s="68"/>
      <c r="G56" s="448"/>
      <c r="H56" s="448"/>
      <c r="I56" s="68">
        <f t="shared" si="2"/>
        <v>0</v>
      </c>
      <c r="J56" s="448">
        <f t="shared" si="3"/>
        <v>0</v>
      </c>
      <c r="K56" s="448"/>
    </row>
    <row r="57" spans="1:11">
      <c r="A57" s="450"/>
      <c r="B57" s="450"/>
      <c r="C57" s="450"/>
      <c r="D57" s="450"/>
      <c r="E57" s="450"/>
      <c r="F57" s="450"/>
      <c r="G57" s="450"/>
      <c r="H57" s="450"/>
      <c r="I57" s="450"/>
      <c r="J57" s="450"/>
      <c r="K57" s="450"/>
    </row>
    <row r="58" spans="1:11">
      <c r="A58" s="450" t="s">
        <v>383</v>
      </c>
      <c r="B58" s="450"/>
      <c r="C58" s="450"/>
      <c r="D58" s="450"/>
      <c r="E58" s="450"/>
      <c r="F58" s="450"/>
      <c r="G58" s="450"/>
      <c r="H58" s="450"/>
      <c r="I58" s="450"/>
      <c r="J58" s="450"/>
      <c r="K58" s="450"/>
    </row>
    <row r="59" spans="1:11">
      <c r="A59" s="450"/>
      <c r="B59" s="450"/>
      <c r="C59" s="450"/>
      <c r="D59" s="450"/>
      <c r="E59" s="450"/>
      <c r="F59" s="450"/>
      <c r="G59" s="450"/>
      <c r="H59" s="450"/>
      <c r="I59" s="450"/>
      <c r="J59" s="450"/>
      <c r="K59" s="450"/>
    </row>
    <row r="60" spans="1:11">
      <c r="A60" s="450"/>
      <c r="B60" s="450"/>
      <c r="C60" s="450"/>
      <c r="D60" s="450"/>
      <c r="E60" s="450"/>
      <c r="F60" s="450"/>
      <c r="G60" s="450"/>
      <c r="H60" s="450"/>
      <c r="I60" s="450"/>
      <c r="J60" s="450"/>
      <c r="K60" s="450"/>
    </row>
    <row r="64" spans="1:11" ht="15.6">
      <c r="K64" s="12"/>
    </row>
  </sheetData>
  <mergeCells count="1">
    <mergeCell ref="A1:K1"/>
  </mergeCells>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L99"/>
  <sheetViews>
    <sheetView zoomScaleNormal="100" workbookViewId="0">
      <selection sqref="A1:G1"/>
    </sheetView>
  </sheetViews>
  <sheetFormatPr defaultColWidth="8.88671875" defaultRowHeight="13.2"/>
  <cols>
    <col min="1" max="1" width="25.33203125" style="21" customWidth="1"/>
    <col min="2" max="4" width="22.5546875" style="21" customWidth="1"/>
    <col min="5" max="5" width="33.33203125" style="21" customWidth="1"/>
    <col min="6" max="6" width="15" style="21" customWidth="1"/>
    <col min="7" max="7" width="13.44140625" style="21" customWidth="1"/>
    <col min="8" max="8" width="8.6640625" style="21" customWidth="1"/>
    <col min="9" max="9" width="14.44140625" style="21" customWidth="1"/>
    <col min="10" max="12" width="15.109375" style="21" customWidth="1"/>
    <col min="13" max="13" width="12.33203125" style="21" customWidth="1"/>
    <col min="14" max="14" width="13.33203125" style="21" customWidth="1"/>
    <col min="15" max="15" width="15.109375" style="21" customWidth="1"/>
    <col min="16" max="16" width="11" style="21" customWidth="1"/>
    <col min="17" max="20" width="15.109375" style="21" customWidth="1"/>
    <col min="21" max="21" width="7.6640625" style="21" hidden="1" customWidth="1"/>
    <col min="22" max="22" width="12.44140625" style="21" hidden="1" customWidth="1"/>
    <col min="23" max="38" width="6.5546875" style="21" hidden="1" customWidth="1"/>
    <col min="39" max="39" width="15.109375" style="21" customWidth="1"/>
    <col min="40" max="40" width="11.109375" style="21" customWidth="1"/>
    <col min="41" max="41" width="6.109375" style="21" customWidth="1"/>
    <col min="42" max="45" width="4.88671875" style="21" customWidth="1"/>
    <col min="46" max="46" width="6.109375" style="21" customWidth="1"/>
    <col min="47" max="61" width="4.88671875" style="21" customWidth="1"/>
    <col min="62" max="16384" width="8.88671875" style="21"/>
  </cols>
  <sheetData>
    <row r="1" spans="1:7" ht="24" customHeight="1">
      <c r="A1" s="571" t="s">
        <v>384</v>
      </c>
      <c r="B1" s="571"/>
      <c r="C1" s="571"/>
      <c r="D1" s="571"/>
      <c r="E1" s="571"/>
      <c r="F1" s="571"/>
      <c r="G1" s="571"/>
    </row>
    <row r="2" spans="1:7" ht="22.2" customHeight="1">
      <c r="A2" s="198" t="s">
        <v>168</v>
      </c>
      <c r="B2" s="198" t="s">
        <v>385</v>
      </c>
      <c r="C2" s="198" t="s">
        <v>386</v>
      </c>
      <c r="D2" s="198" t="s">
        <v>387</v>
      </c>
      <c r="E2" s="198" t="s">
        <v>388</v>
      </c>
      <c r="F2" s="198" t="s">
        <v>389</v>
      </c>
      <c r="G2" s="198" t="s">
        <v>213</v>
      </c>
    </row>
    <row r="3" spans="1:7" ht="25.2" customHeight="1">
      <c r="A3" s="74" t="s">
        <v>234</v>
      </c>
      <c r="B3" s="74" t="s">
        <v>331</v>
      </c>
      <c r="C3" s="74">
        <v>0.8</v>
      </c>
      <c r="D3" s="403">
        <f>F70</f>
        <v>50</v>
      </c>
      <c r="E3" s="403">
        <f>G70</f>
        <v>855.51464680520235</v>
      </c>
      <c r="F3" s="403" t="str">
        <f>H70</f>
        <v>Btu/hr</v>
      </c>
      <c r="G3" s="403"/>
    </row>
    <row r="4" spans="1:7" ht="24" customHeight="1">
      <c r="A4" s="74" t="s">
        <v>241</v>
      </c>
      <c r="B4" s="74" t="s">
        <v>331</v>
      </c>
      <c r="C4" s="74">
        <v>0.8</v>
      </c>
      <c r="D4" s="403">
        <f>F70</f>
        <v>50</v>
      </c>
      <c r="E4" s="403">
        <f>G70</f>
        <v>855.51464680520235</v>
      </c>
      <c r="F4" s="403" t="str">
        <f>H70</f>
        <v>Btu/hr</v>
      </c>
      <c r="G4" s="403"/>
    </row>
    <row r="5" spans="1:7" ht="14.4" customHeight="1">
      <c r="A5" s="524"/>
      <c r="B5" s="524"/>
      <c r="C5" s="524"/>
      <c r="D5" s="524"/>
      <c r="E5" s="524"/>
    </row>
    <row r="6" spans="1:7" ht="14.4" customHeight="1">
      <c r="A6" s="524"/>
      <c r="B6" s="524"/>
      <c r="C6" s="524"/>
      <c r="D6" s="524"/>
      <c r="E6" s="524"/>
    </row>
    <row r="7" spans="1:7" ht="13.2" customHeight="1">
      <c r="A7" s="524"/>
      <c r="B7" s="524"/>
      <c r="C7" s="524"/>
      <c r="D7" s="524"/>
      <c r="E7" s="524"/>
    </row>
    <row r="8" spans="1:7" ht="13.2" customHeight="1">
      <c r="A8" s="550" t="s">
        <v>390</v>
      </c>
      <c r="B8" s="550"/>
      <c r="C8" s="550"/>
      <c r="D8" s="550"/>
      <c r="E8" s="550"/>
      <c r="F8" s="550"/>
      <c r="G8" s="550"/>
    </row>
    <row r="9" spans="1:7" ht="52.8">
      <c r="A9" s="328" t="s">
        <v>391</v>
      </c>
      <c r="B9" s="318" t="s">
        <v>392</v>
      </c>
      <c r="C9" s="318" t="s">
        <v>393</v>
      </c>
      <c r="D9" s="318" t="s">
        <v>112</v>
      </c>
      <c r="E9" s="318" t="s">
        <v>394</v>
      </c>
      <c r="F9" s="318" t="s">
        <v>395</v>
      </c>
      <c r="G9" s="318" t="s">
        <v>396</v>
      </c>
    </row>
    <row r="10" spans="1:7" ht="16.2" customHeight="1">
      <c r="A10" s="319" t="str">
        <f>Zones!A3</f>
        <v>Open_Office_Core_FloorG</v>
      </c>
      <c r="B10" s="320" t="s">
        <v>331</v>
      </c>
      <c r="C10" s="321">
        <f>Zones!G3*Zones!I3</f>
        <v>4283</v>
      </c>
      <c r="D10" s="322">
        <f>Zones!J3*Zones!I3</f>
        <v>21.414999999999999</v>
      </c>
      <c r="E10" s="323">
        <v>0.18</v>
      </c>
      <c r="F10" s="322">
        <f>D10*E10</f>
        <v>3.8546999999999998</v>
      </c>
      <c r="G10" s="324">
        <f>F10/60</f>
        <v>6.4244999999999997E-2</v>
      </c>
    </row>
    <row r="11" spans="1:7" ht="16.2" customHeight="1">
      <c r="A11" s="319" t="str">
        <f>Zones!A4</f>
        <v>Open_Office_N_FloorG</v>
      </c>
      <c r="B11" s="320" t="s">
        <v>331</v>
      </c>
      <c r="C11" s="321">
        <f>Zones!G4*Zones!I4</f>
        <v>2297.9873200000002</v>
      </c>
      <c r="D11" s="322">
        <f>Zones!J4*Zones!I4</f>
        <v>11.4899366</v>
      </c>
      <c r="E11" s="323">
        <v>0.18</v>
      </c>
      <c r="F11" s="322">
        <f t="shared" ref="F11:F31" si="0">D11*E11</f>
        <v>2.0681885879999999</v>
      </c>
      <c r="G11" s="324">
        <f t="shared" ref="G11:G31" si="1">F11/60</f>
        <v>3.4469809800000001E-2</v>
      </c>
    </row>
    <row r="12" spans="1:7">
      <c r="A12" s="319" t="str">
        <f>Zones!A5</f>
        <v>Closed_Office_W_FloorG</v>
      </c>
      <c r="B12" s="320" t="s">
        <v>331</v>
      </c>
      <c r="C12" s="321">
        <f>Zones!G5*Zones!I5</f>
        <v>1637.8611599999999</v>
      </c>
      <c r="D12" s="322">
        <f>Zones!J5*Zones!I5</f>
        <v>8.1893057999999996</v>
      </c>
      <c r="E12" s="323">
        <v>0.18</v>
      </c>
      <c r="F12" s="322">
        <f t="shared" si="0"/>
        <v>1.4740750439999999</v>
      </c>
      <c r="G12" s="324">
        <f t="shared" si="1"/>
        <v>2.4567917399999997E-2</v>
      </c>
    </row>
    <row r="13" spans="1:7">
      <c r="A13" s="319" t="str">
        <f>Zones!A6</f>
        <v>Closed_Office_E_FloorG</v>
      </c>
      <c r="B13" s="320" t="s">
        <v>331</v>
      </c>
      <c r="C13" s="321">
        <f>Zones!G6*Zones!I6</f>
        <v>1637.8611599999999</v>
      </c>
      <c r="D13" s="322">
        <f>Zones!J6*Zones!I6</f>
        <v>8.1893057999999996</v>
      </c>
      <c r="E13" s="323">
        <v>0.18</v>
      </c>
      <c r="F13" s="322">
        <f t="shared" si="0"/>
        <v>1.4740750439999999</v>
      </c>
      <c r="G13" s="324">
        <f>F13/60</f>
        <v>2.4567917399999997E-2</v>
      </c>
    </row>
    <row r="14" spans="1:7">
      <c r="A14" s="319" t="str">
        <f>Zones!A7</f>
        <v>Open_Office_S_FloorG</v>
      </c>
      <c r="B14" s="320" t="s">
        <v>331</v>
      </c>
      <c r="C14" s="321">
        <f>Zones!G7*Zones!I7</f>
        <v>1186.20751</v>
      </c>
      <c r="D14" s="322">
        <f>Zones!J7*Zones!I7</f>
        <v>5.9310375500000001</v>
      </c>
      <c r="E14" s="323">
        <v>0.18</v>
      </c>
      <c r="F14" s="322">
        <f t="shared" si="0"/>
        <v>1.0675867589999999</v>
      </c>
      <c r="G14" s="324">
        <f t="shared" si="1"/>
        <v>1.7793112649999998E-2</v>
      </c>
    </row>
    <row r="15" spans="1:7">
      <c r="A15" s="319" t="str">
        <f>Zones!A8</f>
        <v>Conference_FloorG</v>
      </c>
      <c r="B15" s="320" t="s">
        <v>331</v>
      </c>
      <c r="C15" s="321">
        <f>Zones!G8*Zones!I8</f>
        <v>1111.77981</v>
      </c>
      <c r="D15" s="322">
        <f>Zones!J8*Zones!I8</f>
        <v>36.688733730000003</v>
      </c>
      <c r="E15" s="325">
        <v>0.09</v>
      </c>
      <c r="F15" s="322">
        <f t="shared" si="0"/>
        <v>3.3019860357000002</v>
      </c>
      <c r="G15" s="324">
        <f t="shared" si="1"/>
        <v>5.5033100595000002E-2</v>
      </c>
    </row>
    <row r="16" spans="1:7">
      <c r="A16" s="319" t="str">
        <f>Zones!A9</f>
        <v>Lobby/Lounge_FloorG</v>
      </c>
      <c r="B16" s="320" t="s">
        <v>331</v>
      </c>
      <c r="C16" s="321">
        <f>Zones!G9*Zones!I9</f>
        <v>1059.1754699999999</v>
      </c>
      <c r="D16" s="322">
        <f>Zones!J9*Zones!I9</f>
        <v>10.591754699999999</v>
      </c>
      <c r="E16" s="325">
        <v>0.09</v>
      </c>
      <c r="F16" s="322">
        <f t="shared" si="0"/>
        <v>0.9532579229999999</v>
      </c>
      <c r="G16" s="324">
        <f t="shared" si="1"/>
        <v>1.5887632049999999E-2</v>
      </c>
    </row>
    <row r="17" spans="1:7">
      <c r="A17" s="319" t="str">
        <f>Zones!A10</f>
        <v>Storage_FloorG</v>
      </c>
      <c r="B17" s="320"/>
      <c r="C17" s="321">
        <f>Zones!G10*Zones!I10</f>
        <v>983.156114</v>
      </c>
      <c r="D17" s="322"/>
      <c r="E17" s="325">
        <v>0</v>
      </c>
      <c r="F17" s="322">
        <f t="shared" si="0"/>
        <v>0</v>
      </c>
      <c r="G17" s="324">
        <f t="shared" si="1"/>
        <v>0</v>
      </c>
    </row>
    <row r="18" spans="1:7">
      <c r="A18" s="319" t="str">
        <f>Zones!A11</f>
        <v>Mechanical/Electrical_FloorG</v>
      </c>
      <c r="B18" s="320" t="s">
        <v>331</v>
      </c>
      <c r="C18" s="321">
        <f>Zones!G11*Zones!I11</f>
        <v>357.35034200000001</v>
      </c>
      <c r="D18" s="322"/>
      <c r="E18" s="325">
        <v>0.18</v>
      </c>
      <c r="F18" s="322">
        <f t="shared" si="0"/>
        <v>0</v>
      </c>
      <c r="G18" s="324">
        <f t="shared" si="1"/>
        <v>0</v>
      </c>
    </row>
    <row r="19" spans="1:7">
      <c r="A19" s="319" t="str">
        <f>Zones!A12</f>
        <v>IT-Room_FloorG</v>
      </c>
      <c r="B19" s="320" t="s">
        <v>331</v>
      </c>
      <c r="C19" s="321">
        <f>Zones!G12*Zones!I12</f>
        <v>178.93730199999999</v>
      </c>
      <c r="D19" s="322"/>
      <c r="E19" s="325">
        <v>0.18</v>
      </c>
      <c r="F19" s="322">
        <f t="shared" si="0"/>
        <v>0</v>
      </c>
      <c r="G19" s="324">
        <f t="shared" si="1"/>
        <v>0</v>
      </c>
    </row>
    <row r="20" spans="1:7">
      <c r="A20" s="319" t="str">
        <f>Zones!A13</f>
        <v>Restroom_FloorG</v>
      </c>
      <c r="B20" s="320" t="s">
        <v>331</v>
      </c>
      <c r="C20" s="321">
        <f>Zones!G13*Zones!I13</f>
        <v>643.57782699999996</v>
      </c>
      <c r="D20" s="322"/>
      <c r="E20" s="323"/>
      <c r="F20" s="322">
        <f t="shared" si="0"/>
        <v>0</v>
      </c>
      <c r="G20" s="324">
        <f t="shared" si="1"/>
        <v>0</v>
      </c>
    </row>
    <row r="21" spans="1:7">
      <c r="A21" s="319" t="str">
        <f>Zones!A14</f>
        <v>Break_FloorG</v>
      </c>
      <c r="B21" s="320" t="s">
        <v>331</v>
      </c>
      <c r="C21" s="321">
        <f>Zones!G14*Zones!I14</f>
        <v>232.34295399999999</v>
      </c>
      <c r="D21" s="322">
        <f>Zones!J14*Zones!I14</f>
        <v>7.6673174819999996</v>
      </c>
      <c r="E21" s="325">
        <v>0.09</v>
      </c>
      <c r="F21" s="322">
        <f t="shared" si="0"/>
        <v>0.69005857337999998</v>
      </c>
      <c r="G21" s="324">
        <f t="shared" si="1"/>
        <v>1.1500976223E-2</v>
      </c>
    </row>
    <row r="22" spans="1:7">
      <c r="A22" s="319" t="str">
        <f>Zones!A15</f>
        <v>Stairway_FloorG</v>
      </c>
      <c r="B22" s="320"/>
      <c r="C22" s="321">
        <f>Zones!G15*Zones!I15</f>
        <v>661.39225999999996</v>
      </c>
      <c r="D22" s="322"/>
      <c r="E22" s="325">
        <v>0</v>
      </c>
      <c r="F22" s="322">
        <f t="shared" si="0"/>
        <v>0</v>
      </c>
      <c r="G22" s="324">
        <f t="shared" si="1"/>
        <v>0</v>
      </c>
    </row>
    <row r="23" spans="1:7">
      <c r="A23" s="319" t="str">
        <f>Zones!A16</f>
        <v>Corridor_W_FloorG</v>
      </c>
      <c r="B23" s="320"/>
      <c r="C23" s="321">
        <f>Zones!G16*Zones!I16</f>
        <v>300</v>
      </c>
      <c r="D23" s="322">
        <f>Zones!J16*Zones!I16</f>
        <v>1.5</v>
      </c>
      <c r="E23" s="325">
        <v>0</v>
      </c>
      <c r="F23" s="322">
        <f t="shared" si="0"/>
        <v>0</v>
      </c>
      <c r="G23" s="324">
        <f t="shared" si="1"/>
        <v>0</v>
      </c>
    </row>
    <row r="24" spans="1:7">
      <c r="A24" s="319" t="str">
        <f>Zones!A17</f>
        <v>Corridor_N_FloorG</v>
      </c>
      <c r="B24" s="320"/>
      <c r="C24" s="321">
        <f>Zones!G17*Zones!I17</f>
        <v>502.97239999999999</v>
      </c>
      <c r="D24" s="322">
        <f>Zones!J17*Zones!I17</f>
        <v>2.5148619999999999</v>
      </c>
      <c r="E24" s="324">
        <v>0</v>
      </c>
      <c r="F24" s="322">
        <f t="shared" si="0"/>
        <v>0</v>
      </c>
      <c r="G24" s="324">
        <f t="shared" si="1"/>
        <v>0</v>
      </c>
    </row>
    <row r="25" spans="1:7">
      <c r="A25" s="319" t="str">
        <f>Zones!A18</f>
        <v>Corridor_E_FloorG</v>
      </c>
      <c r="B25" s="320"/>
      <c r="C25" s="321">
        <f>Zones!G18*Zones!I18</f>
        <v>299.20760000000001</v>
      </c>
      <c r="D25" s="322">
        <f>Zones!J18*Zones!I18</f>
        <v>1.496038</v>
      </c>
      <c r="E25" s="325">
        <v>0</v>
      </c>
      <c r="F25" s="322">
        <f t="shared" si="0"/>
        <v>0</v>
      </c>
      <c r="G25" s="324">
        <f t="shared" si="1"/>
        <v>0</v>
      </c>
    </row>
    <row r="26" spans="1:7">
      <c r="A26" s="319" t="str">
        <f>Zones!A19</f>
        <v>Corridor_S_FloorG</v>
      </c>
      <c r="B26" s="320"/>
      <c r="C26" s="321">
        <f>Zones!G19*Zones!I19</f>
        <v>502.97239999999999</v>
      </c>
      <c r="D26" s="322">
        <f>Zones!J19*Zones!I19</f>
        <v>2.5148619999999999</v>
      </c>
      <c r="E26" s="325">
        <v>0</v>
      </c>
      <c r="F26" s="322">
        <f t="shared" si="0"/>
        <v>0</v>
      </c>
      <c r="G26" s="324">
        <f t="shared" si="1"/>
        <v>0</v>
      </c>
    </row>
    <row r="27" spans="1:7">
      <c r="A27" s="319" t="str">
        <f>Zones!A20</f>
        <v>Plenum_FloorG</v>
      </c>
      <c r="B27" s="320"/>
      <c r="C27" s="321">
        <f>Zones!G20*Zones!I20</f>
        <v>17875.932499999999</v>
      </c>
      <c r="D27" s="322"/>
      <c r="E27" s="325">
        <v>0</v>
      </c>
      <c r="F27" s="322">
        <f t="shared" si="0"/>
        <v>0</v>
      </c>
      <c r="G27" s="324">
        <f t="shared" si="1"/>
        <v>0</v>
      </c>
    </row>
    <row r="28" spans="1:7">
      <c r="A28" s="319" t="str">
        <f>Zones!A21</f>
        <v>Open_Office_Core_FloorM</v>
      </c>
      <c r="B28" s="320" t="s">
        <v>331</v>
      </c>
      <c r="C28" s="321">
        <f>Zones!G21*Zones!I21</f>
        <v>4283</v>
      </c>
      <c r="D28" s="322">
        <f>Zones!J21*Zones!I21</f>
        <v>21.414999999999999</v>
      </c>
      <c r="E28" s="325">
        <v>0.18</v>
      </c>
      <c r="F28" s="322">
        <f t="shared" si="0"/>
        <v>3.8546999999999998</v>
      </c>
      <c r="G28" s="324">
        <f t="shared" si="1"/>
        <v>6.4244999999999997E-2</v>
      </c>
    </row>
    <row r="29" spans="1:7">
      <c r="A29" s="319" t="str">
        <f>Zones!A22</f>
        <v>Open_Office_N_FloorM</v>
      </c>
      <c r="B29" s="320" t="s">
        <v>331</v>
      </c>
      <c r="C29" s="321">
        <f>Zones!G22*Zones!I22</f>
        <v>2297.9873200000002</v>
      </c>
      <c r="D29" s="322">
        <f>Zones!J22*Zones!I22</f>
        <v>11.4899366</v>
      </c>
      <c r="E29" s="325">
        <v>0.18</v>
      </c>
      <c r="F29" s="322">
        <f t="shared" si="0"/>
        <v>2.0681885879999999</v>
      </c>
      <c r="G29" s="324">
        <f t="shared" si="1"/>
        <v>3.4469809800000001E-2</v>
      </c>
    </row>
    <row r="30" spans="1:7">
      <c r="A30" s="319" t="str">
        <f>Zones!A23</f>
        <v>Closed_Office_W_FloorM</v>
      </c>
      <c r="B30" s="320" t="s">
        <v>331</v>
      </c>
      <c r="C30" s="321">
        <f>Zones!G23*Zones!I23</f>
        <v>1637.8611599999999</v>
      </c>
      <c r="D30" s="322">
        <f>Zones!J23*Zones!I23</f>
        <v>8.1893057999999996</v>
      </c>
      <c r="E30" s="325">
        <v>0.18</v>
      </c>
      <c r="F30" s="322">
        <f t="shared" si="0"/>
        <v>1.4740750439999999</v>
      </c>
      <c r="G30" s="324">
        <f t="shared" si="1"/>
        <v>2.4567917399999997E-2</v>
      </c>
    </row>
    <row r="31" spans="1:7">
      <c r="A31" s="319" t="str">
        <f>Zones!A24</f>
        <v>Closed_Office_E_FloorM</v>
      </c>
      <c r="B31" s="320" t="s">
        <v>331</v>
      </c>
      <c r="C31" s="321">
        <f>Zones!G24*Zones!I24</f>
        <v>1637.8611599999999</v>
      </c>
      <c r="D31" s="322">
        <f>Zones!J24*Zones!I24</f>
        <v>8.1893057999999996</v>
      </c>
      <c r="E31" s="325">
        <v>0.18</v>
      </c>
      <c r="F31" s="322">
        <f t="shared" si="0"/>
        <v>1.4740750439999999</v>
      </c>
      <c r="G31" s="324">
        <f t="shared" si="1"/>
        <v>2.4567917399999997E-2</v>
      </c>
    </row>
    <row r="32" spans="1:7">
      <c r="A32" s="319" t="str">
        <f>Zones!A25</f>
        <v>Open_Office_S_FloorM</v>
      </c>
      <c r="B32" s="320" t="s">
        <v>331</v>
      </c>
      <c r="C32" s="321">
        <f>Zones!G25*Zones!I25</f>
        <v>1186.20751</v>
      </c>
      <c r="D32" s="322">
        <f>Zones!J25*Zones!I25</f>
        <v>5.9310375500000001</v>
      </c>
      <c r="E32" s="323">
        <v>0.18</v>
      </c>
      <c r="F32" s="322">
        <f t="shared" ref="F32:F63" si="2">D32*E32</f>
        <v>1.0675867589999999</v>
      </c>
      <c r="G32" s="324">
        <f t="shared" ref="G32:G63" si="3">F32/60</f>
        <v>1.7793112649999998E-2</v>
      </c>
    </row>
    <row r="33" spans="1:7">
      <c r="A33" s="319" t="str">
        <f>Zones!A26</f>
        <v>Conference_FloorM</v>
      </c>
      <c r="B33" s="320" t="s">
        <v>331</v>
      </c>
      <c r="C33" s="321">
        <f>Zones!G26*Zones!I26</f>
        <v>1111.77981</v>
      </c>
      <c r="D33" s="322">
        <f>Zones!J26*Zones!I26</f>
        <v>36.688733730000003</v>
      </c>
      <c r="E33" s="325">
        <v>0.09</v>
      </c>
      <c r="F33" s="322">
        <f t="shared" si="2"/>
        <v>3.3019860357000002</v>
      </c>
      <c r="G33" s="324">
        <f t="shared" si="3"/>
        <v>5.5033100595000002E-2</v>
      </c>
    </row>
    <row r="34" spans="1:7">
      <c r="A34" s="319" t="str">
        <f>Zones!A27</f>
        <v>Lobby/Lounge_FloorM</v>
      </c>
      <c r="B34" s="320" t="s">
        <v>331</v>
      </c>
      <c r="C34" s="321">
        <f>Zones!G27*Zones!I27</f>
        <v>1059.1754699999999</v>
      </c>
      <c r="D34" s="322">
        <f>Zones!J27*Zones!I27</f>
        <v>10.591754699999999</v>
      </c>
      <c r="E34" s="325">
        <v>0.09</v>
      </c>
      <c r="F34" s="322">
        <f t="shared" si="2"/>
        <v>0.9532579229999999</v>
      </c>
      <c r="G34" s="324">
        <f t="shared" si="3"/>
        <v>1.5887632049999999E-2</v>
      </c>
    </row>
    <row r="35" spans="1:7">
      <c r="A35" s="319" t="str">
        <f>Zones!A28</f>
        <v>Storage_FloorM</v>
      </c>
      <c r="B35" s="320"/>
      <c r="C35" s="321">
        <f>Zones!G28*Zones!I28</f>
        <v>983.156114</v>
      </c>
      <c r="D35" s="322"/>
      <c r="E35" s="325">
        <v>0</v>
      </c>
      <c r="F35" s="322">
        <f t="shared" si="2"/>
        <v>0</v>
      </c>
      <c r="G35" s="324">
        <f t="shared" si="3"/>
        <v>0</v>
      </c>
    </row>
    <row r="36" spans="1:7">
      <c r="A36" s="319" t="str">
        <f>Zones!A29</f>
        <v>Mechanical/Electrical_FloorM</v>
      </c>
      <c r="B36" s="320" t="s">
        <v>331</v>
      </c>
      <c r="C36" s="321">
        <f>Zones!G29*Zones!I29</f>
        <v>357.35034200000001</v>
      </c>
      <c r="D36" s="322"/>
      <c r="E36" s="325">
        <v>0.18</v>
      </c>
      <c r="F36" s="322">
        <f t="shared" si="2"/>
        <v>0</v>
      </c>
      <c r="G36" s="324">
        <f t="shared" si="3"/>
        <v>0</v>
      </c>
    </row>
    <row r="37" spans="1:7">
      <c r="A37" s="319" t="str">
        <f>Zones!A30</f>
        <v>IT-Room_FloorM</v>
      </c>
      <c r="B37" s="320" t="s">
        <v>331</v>
      </c>
      <c r="C37" s="321">
        <f>Zones!G30*Zones!I30</f>
        <v>178.93730199999999</v>
      </c>
      <c r="D37" s="322"/>
      <c r="E37" s="325">
        <v>0.18</v>
      </c>
      <c r="F37" s="322">
        <f t="shared" si="2"/>
        <v>0</v>
      </c>
      <c r="G37" s="324">
        <f t="shared" si="3"/>
        <v>0</v>
      </c>
    </row>
    <row r="38" spans="1:7">
      <c r="A38" s="319" t="str">
        <f>Zones!A31</f>
        <v>Restroom_FloorM</v>
      </c>
      <c r="B38" s="320"/>
      <c r="C38" s="321">
        <f>Zones!G31*Zones!I31</f>
        <v>643.57782699999996</v>
      </c>
      <c r="D38" s="322"/>
      <c r="E38" s="325">
        <v>0</v>
      </c>
      <c r="F38" s="322">
        <f t="shared" si="2"/>
        <v>0</v>
      </c>
      <c r="G38" s="324">
        <f t="shared" si="3"/>
        <v>0</v>
      </c>
    </row>
    <row r="39" spans="1:7">
      <c r="A39" s="319" t="str">
        <f>Zones!A32</f>
        <v>Break_FloorM</v>
      </c>
      <c r="B39" s="320" t="s">
        <v>331</v>
      </c>
      <c r="C39" s="321">
        <f>Zones!G32*Zones!I32</f>
        <v>232.34295399999999</v>
      </c>
      <c r="D39" s="322">
        <f>Zones!J32*Zones!I32</f>
        <v>7.6673174819999996</v>
      </c>
      <c r="E39" s="325">
        <v>0.09</v>
      </c>
      <c r="F39" s="322">
        <f t="shared" si="2"/>
        <v>0.69005857337999998</v>
      </c>
      <c r="G39" s="324">
        <f t="shared" si="3"/>
        <v>1.1500976223E-2</v>
      </c>
    </row>
    <row r="40" spans="1:7">
      <c r="A40" s="319" t="str">
        <f>Zones!A33</f>
        <v>Stairway_FloorM</v>
      </c>
      <c r="B40" s="320"/>
      <c r="C40" s="321">
        <f>Zones!G33*Zones!I33</f>
        <v>661.39225999999996</v>
      </c>
      <c r="D40" s="322"/>
      <c r="E40" s="325">
        <v>0</v>
      </c>
      <c r="F40" s="322">
        <f t="shared" si="2"/>
        <v>0</v>
      </c>
      <c r="G40" s="324">
        <f t="shared" si="3"/>
        <v>0</v>
      </c>
    </row>
    <row r="41" spans="1:7">
      <c r="A41" s="319" t="str">
        <f>Zones!A34</f>
        <v>Corridor_W_FloorM</v>
      </c>
      <c r="B41" s="320"/>
      <c r="C41" s="321">
        <f>Zones!G34*Zones!I34</f>
        <v>300</v>
      </c>
      <c r="D41" s="322">
        <f>Zones!J34*Zones!I34</f>
        <v>1.5</v>
      </c>
      <c r="E41" s="325">
        <v>0</v>
      </c>
      <c r="F41" s="322">
        <f t="shared" si="2"/>
        <v>0</v>
      </c>
      <c r="G41" s="324">
        <f t="shared" si="3"/>
        <v>0</v>
      </c>
    </row>
    <row r="42" spans="1:7">
      <c r="A42" s="319" t="str">
        <f>Zones!A35</f>
        <v>Corridor_N_FloorM</v>
      </c>
      <c r="B42" s="320"/>
      <c r="C42" s="321">
        <f>Zones!G35*Zones!I35</f>
        <v>502.97239999999999</v>
      </c>
      <c r="D42" s="322">
        <f>Zones!J35*Zones!I35</f>
        <v>2.5148619999999999</v>
      </c>
      <c r="E42" s="325">
        <v>0</v>
      </c>
      <c r="F42" s="322">
        <f t="shared" si="2"/>
        <v>0</v>
      </c>
      <c r="G42" s="324">
        <f t="shared" si="3"/>
        <v>0</v>
      </c>
    </row>
    <row r="43" spans="1:7">
      <c r="A43" s="319" t="str">
        <f>Zones!A36</f>
        <v>Corridor_E_FloorM</v>
      </c>
      <c r="B43" s="320"/>
      <c r="C43" s="321">
        <f>Zones!G36*Zones!I36</f>
        <v>299.20760000000001</v>
      </c>
      <c r="D43" s="322">
        <f>Zones!J36*Zones!I36</f>
        <v>1.496038</v>
      </c>
      <c r="E43" s="325">
        <v>0</v>
      </c>
      <c r="F43" s="322">
        <f t="shared" si="2"/>
        <v>0</v>
      </c>
      <c r="G43" s="324">
        <f t="shared" si="3"/>
        <v>0</v>
      </c>
    </row>
    <row r="44" spans="1:7">
      <c r="A44" s="319" t="str">
        <f>Zones!A37</f>
        <v>Corridor_S_FloorM</v>
      </c>
      <c r="B44" s="320"/>
      <c r="C44" s="321">
        <f>Zones!G37*Zones!I37</f>
        <v>502.97239999999999</v>
      </c>
      <c r="D44" s="322">
        <f>Zones!J37*Zones!I37</f>
        <v>2.5148619999999999</v>
      </c>
      <c r="E44" s="325">
        <v>0</v>
      </c>
      <c r="F44" s="322">
        <f t="shared" si="2"/>
        <v>0</v>
      </c>
      <c r="G44" s="324">
        <f t="shared" si="3"/>
        <v>0</v>
      </c>
    </row>
    <row r="45" spans="1:7">
      <c r="A45" s="319" t="str">
        <f>Zones!A38</f>
        <v>Plenum_FloorM</v>
      </c>
      <c r="B45" s="320"/>
      <c r="C45" s="321">
        <f>Zones!G38*Zones!I38</f>
        <v>17875.932499999999</v>
      </c>
      <c r="D45" s="322"/>
      <c r="E45" s="325">
        <v>0</v>
      </c>
      <c r="F45" s="322">
        <f t="shared" si="2"/>
        <v>0</v>
      </c>
      <c r="G45" s="324">
        <f t="shared" si="3"/>
        <v>0</v>
      </c>
    </row>
    <row r="46" spans="1:7">
      <c r="A46" s="319" t="str">
        <f>Zones!A39</f>
        <v>Open_Office_Core_FloorT</v>
      </c>
      <c r="B46" s="320" t="s">
        <v>331</v>
      </c>
      <c r="C46" s="321">
        <f>Zones!G39*Zones!I39</f>
        <v>4283</v>
      </c>
      <c r="D46" s="322">
        <f>Zones!J39*Zones!I39</f>
        <v>21.414999999999999</v>
      </c>
      <c r="E46" s="325">
        <v>0.18</v>
      </c>
      <c r="F46" s="322">
        <f t="shared" si="2"/>
        <v>3.8546999999999998</v>
      </c>
      <c r="G46" s="324">
        <f t="shared" si="3"/>
        <v>6.4244999999999997E-2</v>
      </c>
    </row>
    <row r="47" spans="1:7">
      <c r="A47" s="319" t="str">
        <f>Zones!A40</f>
        <v>Open_Office_N_FloorT</v>
      </c>
      <c r="B47" s="320" t="s">
        <v>331</v>
      </c>
      <c r="C47" s="321">
        <f>Zones!G40*Zones!I40</f>
        <v>2297.9873200000002</v>
      </c>
      <c r="D47" s="322">
        <f>Zones!J40*Zones!I40</f>
        <v>11.4899366</v>
      </c>
      <c r="E47" s="325">
        <v>0.18</v>
      </c>
      <c r="F47" s="322">
        <f t="shared" si="2"/>
        <v>2.0681885879999999</v>
      </c>
      <c r="G47" s="324">
        <f t="shared" si="3"/>
        <v>3.4469809800000001E-2</v>
      </c>
    </row>
    <row r="48" spans="1:7">
      <c r="A48" s="319" t="str">
        <f>Zones!A41</f>
        <v>Closed_Office_W_FloorT</v>
      </c>
      <c r="B48" s="320" t="s">
        <v>331</v>
      </c>
      <c r="C48" s="321">
        <f>Zones!G41*Zones!I41</f>
        <v>1637.8611599999999</v>
      </c>
      <c r="D48" s="322">
        <f>Zones!J41*Zones!I41</f>
        <v>8.1893057999999996</v>
      </c>
      <c r="E48" s="325">
        <v>0.18</v>
      </c>
      <c r="F48" s="322">
        <f t="shared" si="2"/>
        <v>1.4740750439999999</v>
      </c>
      <c r="G48" s="324">
        <f t="shared" si="3"/>
        <v>2.4567917399999997E-2</v>
      </c>
    </row>
    <row r="49" spans="1:7">
      <c r="A49" s="319" t="str">
        <f>Zones!A42</f>
        <v>Closed_Office_E_FloorT</v>
      </c>
      <c r="B49" s="320" t="s">
        <v>331</v>
      </c>
      <c r="C49" s="321">
        <f>Zones!G42*Zones!I42</f>
        <v>1637.8611599999999</v>
      </c>
      <c r="D49" s="322">
        <f>Zones!J42*Zones!I42</f>
        <v>8.1893057999999996</v>
      </c>
      <c r="E49" s="325">
        <v>0.18</v>
      </c>
      <c r="F49" s="322">
        <f t="shared" si="2"/>
        <v>1.4740750439999999</v>
      </c>
      <c r="G49" s="324">
        <f t="shared" si="3"/>
        <v>2.4567917399999997E-2</v>
      </c>
    </row>
    <row r="50" spans="1:7">
      <c r="A50" s="319" t="str">
        <f>Zones!A43</f>
        <v>Open_Office_S_FloorT</v>
      </c>
      <c r="B50" s="320" t="s">
        <v>331</v>
      </c>
      <c r="C50" s="321">
        <f>Zones!G43*Zones!I43</f>
        <v>1186.20751</v>
      </c>
      <c r="D50" s="322">
        <f>Zones!J43*Zones!I43</f>
        <v>5.9310375500000001</v>
      </c>
      <c r="E50" s="325">
        <v>0.18</v>
      </c>
      <c r="F50" s="322">
        <f t="shared" si="2"/>
        <v>1.0675867589999999</v>
      </c>
      <c r="G50" s="324">
        <f t="shared" si="3"/>
        <v>1.7793112649999998E-2</v>
      </c>
    </row>
    <row r="51" spans="1:7">
      <c r="A51" s="319" t="str">
        <f>Zones!A44</f>
        <v>Conference_FloorT</v>
      </c>
      <c r="B51" s="320" t="s">
        <v>331</v>
      </c>
      <c r="C51" s="321">
        <f>Zones!G44*Zones!I44</f>
        <v>1111.77981</v>
      </c>
      <c r="D51" s="322">
        <f>Zones!J44*Zones!I44</f>
        <v>36.688733730000003</v>
      </c>
      <c r="E51" s="325">
        <v>0.09</v>
      </c>
      <c r="F51" s="322">
        <f t="shared" si="2"/>
        <v>3.3019860357000002</v>
      </c>
      <c r="G51" s="324">
        <f t="shared" si="3"/>
        <v>5.5033100595000002E-2</v>
      </c>
    </row>
    <row r="52" spans="1:7">
      <c r="A52" s="319" t="str">
        <f>Zones!A45</f>
        <v>Lobby/Lounge_FloorT</v>
      </c>
      <c r="B52" s="320" t="s">
        <v>331</v>
      </c>
      <c r="C52" s="321">
        <f>Zones!G45*Zones!I45</f>
        <v>1059.1754699999999</v>
      </c>
      <c r="D52" s="322">
        <f>Zones!J45*Zones!I45</f>
        <v>10.591754699999999</v>
      </c>
      <c r="E52" s="325">
        <v>0.09</v>
      </c>
      <c r="F52" s="322">
        <f t="shared" si="2"/>
        <v>0.9532579229999999</v>
      </c>
      <c r="G52" s="324">
        <f t="shared" si="3"/>
        <v>1.5887632049999999E-2</v>
      </c>
    </row>
    <row r="53" spans="1:7">
      <c r="A53" s="319" t="str">
        <f>Zones!A46</f>
        <v>Storage_FloorT</v>
      </c>
      <c r="B53" s="320"/>
      <c r="C53" s="321">
        <f>Zones!G46*Zones!I46</f>
        <v>983.156114</v>
      </c>
      <c r="D53" s="322"/>
      <c r="E53" s="325">
        <v>0</v>
      </c>
      <c r="F53" s="322">
        <f t="shared" si="2"/>
        <v>0</v>
      </c>
      <c r="G53" s="324">
        <f t="shared" si="3"/>
        <v>0</v>
      </c>
    </row>
    <row r="54" spans="1:7">
      <c r="A54" s="319" t="str">
        <f>Zones!A47</f>
        <v>Mechanical/Electrical_FloorT</v>
      </c>
      <c r="B54" s="320" t="s">
        <v>331</v>
      </c>
      <c r="C54" s="321">
        <f>Zones!G47*Zones!I47</f>
        <v>357.35034200000001</v>
      </c>
      <c r="D54" s="322"/>
      <c r="E54" s="325">
        <v>0.18</v>
      </c>
      <c r="F54" s="322">
        <f t="shared" si="2"/>
        <v>0</v>
      </c>
      <c r="G54" s="324">
        <f t="shared" si="3"/>
        <v>0</v>
      </c>
    </row>
    <row r="55" spans="1:7">
      <c r="A55" s="319" t="str">
        <f>Zones!A48</f>
        <v>IT-Room_FloorT</v>
      </c>
      <c r="B55" s="320" t="s">
        <v>331</v>
      </c>
      <c r="C55" s="321">
        <f>Zones!G48*Zones!I48</f>
        <v>178.93730199999999</v>
      </c>
      <c r="D55" s="322"/>
      <c r="E55" s="325">
        <v>0.18</v>
      </c>
      <c r="F55" s="322">
        <f t="shared" si="2"/>
        <v>0</v>
      </c>
      <c r="G55" s="324">
        <f t="shared" si="3"/>
        <v>0</v>
      </c>
    </row>
    <row r="56" spans="1:7">
      <c r="A56" s="319" t="str">
        <f>Zones!A49</f>
        <v>Restroom_FloorT</v>
      </c>
      <c r="B56" s="320"/>
      <c r="C56" s="321">
        <f>Zones!G49*Zones!I49</f>
        <v>643.57782699999996</v>
      </c>
      <c r="D56" s="322"/>
      <c r="E56" s="325">
        <v>0</v>
      </c>
      <c r="F56" s="322">
        <f t="shared" si="2"/>
        <v>0</v>
      </c>
      <c r="G56" s="324">
        <f t="shared" si="3"/>
        <v>0</v>
      </c>
    </row>
    <row r="57" spans="1:7">
      <c r="A57" s="319" t="str">
        <f>Zones!A50</f>
        <v>Break_FloorT</v>
      </c>
      <c r="B57" s="320"/>
      <c r="C57" s="321">
        <f>Zones!G50*Zones!I50</f>
        <v>232.34295399999999</v>
      </c>
      <c r="D57" s="322">
        <f>Zones!J50*Zones!I50</f>
        <v>7.6673174819999996</v>
      </c>
      <c r="E57" s="325"/>
      <c r="F57" s="322">
        <f t="shared" si="2"/>
        <v>0</v>
      </c>
      <c r="G57" s="324">
        <f t="shared" si="3"/>
        <v>0</v>
      </c>
    </row>
    <row r="58" spans="1:7">
      <c r="A58" s="319" t="str">
        <f>Zones!A51</f>
        <v>Stairway_FloorT</v>
      </c>
      <c r="B58" s="320"/>
      <c r="C58" s="321">
        <f>Zones!G51*Zones!I51</f>
        <v>661.39225999999996</v>
      </c>
      <c r="D58" s="322"/>
      <c r="E58" s="325">
        <v>0</v>
      </c>
      <c r="F58" s="322">
        <f t="shared" si="2"/>
        <v>0</v>
      </c>
      <c r="G58" s="324">
        <f t="shared" si="3"/>
        <v>0</v>
      </c>
    </row>
    <row r="59" spans="1:7">
      <c r="A59" s="319" t="str">
        <f>Zones!A52</f>
        <v>Corridor_W_FloorT</v>
      </c>
      <c r="B59" s="320"/>
      <c r="C59" s="321">
        <f>Zones!G52*Zones!I52</f>
        <v>300</v>
      </c>
      <c r="D59" s="322">
        <f>Zones!J52*Zones!I52</f>
        <v>1.5</v>
      </c>
      <c r="E59" s="325">
        <v>0</v>
      </c>
      <c r="F59" s="322">
        <f t="shared" si="2"/>
        <v>0</v>
      </c>
      <c r="G59" s="324">
        <f t="shared" si="3"/>
        <v>0</v>
      </c>
    </row>
    <row r="60" spans="1:7">
      <c r="A60" s="319" t="str">
        <f>Zones!A53</f>
        <v>Corridor_N_FloorT</v>
      </c>
      <c r="B60" s="320"/>
      <c r="C60" s="321">
        <f>Zones!G53*Zones!I53</f>
        <v>502.97239999999999</v>
      </c>
      <c r="D60" s="322">
        <f>Zones!J53*Zones!I53</f>
        <v>2.5148619999999999</v>
      </c>
      <c r="E60" s="325">
        <v>0</v>
      </c>
      <c r="F60" s="322">
        <f t="shared" si="2"/>
        <v>0</v>
      </c>
      <c r="G60" s="324">
        <f t="shared" si="3"/>
        <v>0</v>
      </c>
    </row>
    <row r="61" spans="1:7">
      <c r="A61" s="319" t="str">
        <f>Zones!A54</f>
        <v>Corridor_E_FloorT</v>
      </c>
      <c r="B61" s="320"/>
      <c r="C61" s="321">
        <f>Zones!G54*Zones!I54</f>
        <v>300</v>
      </c>
      <c r="D61" s="322">
        <f>Zones!J54*Zones!I54</f>
        <v>1.5</v>
      </c>
      <c r="E61" s="325">
        <v>0</v>
      </c>
      <c r="F61" s="322">
        <f t="shared" si="2"/>
        <v>0</v>
      </c>
      <c r="G61" s="324">
        <f t="shared" si="3"/>
        <v>0</v>
      </c>
    </row>
    <row r="62" spans="1:7">
      <c r="A62" s="319" t="str">
        <f>Zones!A55</f>
        <v>Corridor_S_FloorT</v>
      </c>
      <c r="B62" s="320"/>
      <c r="C62" s="321">
        <f>Zones!G55*Zones!I55</f>
        <v>502.97239999999999</v>
      </c>
      <c r="D62" s="322">
        <f>Zones!J55*Zones!I55</f>
        <v>2.5148619999999999</v>
      </c>
      <c r="E62" s="325">
        <v>0</v>
      </c>
      <c r="F62" s="322">
        <f t="shared" si="2"/>
        <v>0</v>
      </c>
      <c r="G62" s="324">
        <f t="shared" si="3"/>
        <v>0</v>
      </c>
    </row>
    <row r="63" spans="1:7">
      <c r="A63" s="319" t="str">
        <f>Zones!A56</f>
        <v>Plenum_FloorT</v>
      </c>
      <c r="B63" s="320"/>
      <c r="C63" s="321">
        <f>Zones!G56*Zones!I56</f>
        <v>17875.932499999999</v>
      </c>
      <c r="D63" s="322"/>
      <c r="E63" s="325">
        <v>0</v>
      </c>
      <c r="F63" s="322">
        <f t="shared" si="2"/>
        <v>0</v>
      </c>
      <c r="G63" s="324">
        <f t="shared" si="3"/>
        <v>0</v>
      </c>
    </row>
    <row r="68" spans="1:10" ht="15.6">
      <c r="A68" s="550" t="s">
        <v>397</v>
      </c>
      <c r="B68" s="550"/>
      <c r="C68" s="550"/>
      <c r="D68" s="550"/>
      <c r="E68" s="550"/>
      <c r="F68" s="550"/>
      <c r="G68" s="550"/>
      <c r="H68" s="550"/>
      <c r="I68" s="550"/>
      <c r="J68" s="550"/>
    </row>
    <row r="69" spans="1:10" ht="66">
      <c r="A69" s="407" t="s">
        <v>385</v>
      </c>
      <c r="B69" s="528" t="s">
        <v>395</v>
      </c>
      <c r="C69" s="528" t="s">
        <v>398</v>
      </c>
      <c r="D69" s="528" t="s">
        <v>399</v>
      </c>
      <c r="E69" s="528" t="s">
        <v>400</v>
      </c>
      <c r="F69" s="528" t="s">
        <v>401</v>
      </c>
      <c r="G69" s="600" t="s">
        <v>402</v>
      </c>
      <c r="H69" s="600"/>
      <c r="I69" s="528" t="s">
        <v>403</v>
      </c>
      <c r="J69" s="408" t="s">
        <v>213</v>
      </c>
    </row>
    <row r="70" spans="1:10">
      <c r="A70" s="58" t="s">
        <v>404</v>
      </c>
      <c r="B70" s="409">
        <f>MAX(125,SUMIFS(F10:F63,B10:B63,"Gas"))</f>
        <v>125</v>
      </c>
      <c r="C70" s="409">
        <f>B70*($B$74-B75)*8.2877*1</f>
        <v>82876.999999999985</v>
      </c>
      <c r="D70" s="409">
        <f>C70*B76</f>
        <v>49726.19999999999</v>
      </c>
      <c r="E70" s="410">
        <f>D70/$C$3</f>
        <v>62157.749999999985</v>
      </c>
      <c r="F70" s="411">
        <f>ROUNDUP((B70*F72)/B72,0)</f>
        <v>50</v>
      </c>
      <c r="G70" s="412">
        <f>(E70/800)+110*SQRT(F70)</f>
        <v>855.51464680520235</v>
      </c>
      <c r="H70" s="413" t="s">
        <v>405</v>
      </c>
      <c r="I70" s="326">
        <f>G70/B81</f>
        <v>12.581097747135329</v>
      </c>
      <c r="J70" s="601" t="s">
        <v>406</v>
      </c>
    </row>
    <row r="71" spans="1:10">
      <c r="A71" s="58" t="s">
        <v>407</v>
      </c>
      <c r="B71" s="409">
        <f>SUMIFS(F10:F63,B10:B63,"Electric")</f>
        <v>0</v>
      </c>
      <c r="C71" s="409">
        <f>B71*($B$74-B75)*8.2877*1</f>
        <v>0</v>
      </c>
      <c r="D71" s="409">
        <f>C71*B76</f>
        <v>0</v>
      </c>
      <c r="E71" s="410">
        <f>D71/1</f>
        <v>0</v>
      </c>
      <c r="F71" s="411">
        <f>ROUNDUP((B71*F72)/B72,0)</f>
        <v>0</v>
      </c>
      <c r="G71" s="414">
        <f>IFERROR(0.3+(27/F71),0)</f>
        <v>0</v>
      </c>
      <c r="H71" s="413" t="s">
        <v>408</v>
      </c>
      <c r="I71" s="327">
        <f>0.0834*G71*F71</f>
        <v>0</v>
      </c>
      <c r="J71" s="602"/>
    </row>
    <row r="72" spans="1:10">
      <c r="A72" s="415" t="s">
        <v>409</v>
      </c>
      <c r="B72" s="409">
        <f>B70+B71</f>
        <v>125</v>
      </c>
      <c r="C72" s="34"/>
      <c r="D72" s="34"/>
      <c r="E72" s="410"/>
      <c r="F72" s="411">
        <f>B72*1*B77</f>
        <v>50</v>
      </c>
      <c r="G72" s="416"/>
      <c r="H72" s="413"/>
      <c r="I72" s="66"/>
      <c r="J72" s="602"/>
    </row>
    <row r="74" spans="1:10">
      <c r="A74" s="21" t="s">
        <v>410</v>
      </c>
      <c r="B74" s="515">
        <v>135</v>
      </c>
      <c r="C74" s="21" t="s">
        <v>411</v>
      </c>
      <c r="F74" s="404"/>
      <c r="G74" s="405"/>
      <c r="H74" s="406"/>
    </row>
    <row r="75" spans="1:10">
      <c r="A75" s="21" t="s">
        <v>412</v>
      </c>
      <c r="B75" s="515">
        <v>55</v>
      </c>
      <c r="C75" s="21" t="s">
        <v>413</v>
      </c>
    </row>
    <row r="76" spans="1:10" ht="14.4">
      <c r="A76" t="s">
        <v>414</v>
      </c>
      <c r="B76" s="515">
        <v>0.6</v>
      </c>
      <c r="C76" s="21" t="s">
        <v>413</v>
      </c>
    </row>
    <row r="77" spans="1:10">
      <c r="A77" s="21" t="s">
        <v>415</v>
      </c>
      <c r="B77" s="515">
        <v>0.4</v>
      </c>
      <c r="C77" s="21" t="s">
        <v>416</v>
      </c>
    </row>
    <row r="78" spans="1:10">
      <c r="A78" s="599" t="s">
        <v>417</v>
      </c>
      <c r="B78" s="599"/>
      <c r="C78" s="599"/>
      <c r="D78" s="599"/>
      <c r="E78" s="599"/>
      <c r="F78" s="599"/>
      <c r="G78" s="599"/>
      <c r="H78" s="599"/>
      <c r="I78" s="599"/>
      <c r="J78" s="599"/>
    </row>
    <row r="79" spans="1:10">
      <c r="A79" s="28"/>
      <c r="B79" s="28"/>
      <c r="C79" s="28"/>
      <c r="D79" s="28"/>
      <c r="E79" s="28"/>
      <c r="F79" s="28"/>
      <c r="G79" s="28"/>
      <c r="H79" s="28"/>
      <c r="I79" s="28"/>
      <c r="J79" s="28"/>
    </row>
    <row r="80" spans="1:10">
      <c r="A80" s="527"/>
      <c r="B80" s="527"/>
      <c r="C80" s="527"/>
      <c r="D80" s="527"/>
      <c r="E80" s="527"/>
      <c r="F80" s="527"/>
      <c r="G80" s="527"/>
      <c r="H80" s="527"/>
      <c r="I80" s="527"/>
      <c r="J80" s="527"/>
    </row>
    <row r="81" spans="1:10" ht="14.4">
      <c r="A81" t="s">
        <v>418</v>
      </c>
      <c r="B81" s="147">
        <v>68</v>
      </c>
      <c r="C81" s="527"/>
      <c r="D81" s="527"/>
      <c r="E81" s="527"/>
      <c r="F81" s="527"/>
      <c r="G81" s="527"/>
      <c r="H81" s="527"/>
      <c r="I81" s="527"/>
      <c r="J81" s="527"/>
    </row>
    <row r="82" spans="1:10" ht="14.4">
      <c r="A82" t="s">
        <v>419</v>
      </c>
      <c r="B82" s="147">
        <f>B74-B81</f>
        <v>67</v>
      </c>
      <c r="C82" s="527"/>
      <c r="D82" s="527"/>
      <c r="E82" s="527"/>
      <c r="F82" s="527"/>
      <c r="G82" s="527"/>
      <c r="H82" s="527"/>
      <c r="I82" s="527"/>
      <c r="J82" s="527"/>
    </row>
    <row r="83" spans="1:10">
      <c r="A83" s="527"/>
      <c r="B83" s="527"/>
      <c r="C83" s="527"/>
      <c r="D83" s="527"/>
      <c r="E83" s="527"/>
      <c r="F83" s="527"/>
      <c r="G83" s="527"/>
      <c r="H83" s="527"/>
      <c r="I83" s="527"/>
      <c r="J83" s="527"/>
    </row>
    <row r="91" spans="1:10" s="48" customFormat="1" hidden="1">
      <c r="A91" s="48" t="s">
        <v>360</v>
      </c>
      <c r="G91" s="49"/>
      <c r="H91" s="51"/>
    </row>
    <row r="92" spans="1:10" hidden="1"/>
    <row r="93" spans="1:10" hidden="1"/>
    <row r="94" spans="1:10" hidden="1"/>
    <row r="95" spans="1:10" hidden="1"/>
    <row r="96" spans="1:10" hidden="1"/>
    <row r="97" hidden="1"/>
    <row r="98" hidden="1"/>
    <row r="99" hidden="1"/>
  </sheetData>
  <mergeCells count="6">
    <mergeCell ref="A1:G1"/>
    <mergeCell ref="A78:J78"/>
    <mergeCell ref="A8:G8"/>
    <mergeCell ref="A68:J68"/>
    <mergeCell ref="G69:H69"/>
    <mergeCell ref="J70:J7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M97"/>
  <sheetViews>
    <sheetView zoomScale="85" zoomScaleNormal="85" workbookViewId="0">
      <selection activeCell="A18" sqref="A18:XFD19"/>
    </sheetView>
  </sheetViews>
  <sheetFormatPr defaultColWidth="8.88671875" defaultRowHeight="13.2"/>
  <cols>
    <col min="1" max="1" width="50.33203125" style="21" customWidth="1"/>
    <col min="2" max="2" width="19" style="21" customWidth="1"/>
    <col min="3" max="3" width="23.33203125" style="21" customWidth="1"/>
    <col min="4" max="4" width="31.5546875" style="21" customWidth="1"/>
    <col min="5" max="5" width="21.33203125" style="21" customWidth="1"/>
    <col min="6" max="6" width="26.5546875" style="21" customWidth="1"/>
    <col min="7" max="7" width="32.88671875" style="21" customWidth="1"/>
    <col min="8" max="8" width="32.33203125" style="21" customWidth="1"/>
    <col min="9" max="9" width="9.6640625" style="21" customWidth="1"/>
    <col min="10" max="10" width="34.88671875" style="21" customWidth="1"/>
    <col min="11" max="11" width="24" style="21" customWidth="1"/>
    <col min="12" max="12" width="10.5546875" style="21" customWidth="1"/>
    <col min="13" max="13" width="11.44140625" style="21" customWidth="1"/>
    <col min="14" max="14" width="10.5546875" style="21" customWidth="1"/>
    <col min="15" max="15" width="13.109375" style="21" customWidth="1"/>
    <col min="16" max="16" width="9.6640625" style="21" customWidth="1"/>
    <col min="17" max="17" width="9.44140625" style="21" customWidth="1"/>
    <col min="18" max="18" width="12.88671875" style="21" customWidth="1"/>
    <col min="19" max="19" width="14.6640625" style="21" customWidth="1"/>
    <col min="20" max="20" width="20.6640625" style="21" customWidth="1"/>
    <col min="21" max="21" width="19.88671875" style="21" customWidth="1"/>
    <col min="22" max="27" width="8.88671875" style="21"/>
    <col min="28" max="28" width="13.88671875" style="21" bestFit="1" customWidth="1"/>
    <col min="29" max="16384" width="8.88671875" style="21"/>
  </cols>
  <sheetData>
    <row r="1" spans="1:8" ht="22.2" customHeight="1">
      <c r="A1" s="610" t="str">
        <f>"Interior Lighting - " &amp; Prototype!A2</f>
        <v>Interior Lighting - OfficeMedium</v>
      </c>
      <c r="B1" s="550"/>
      <c r="C1" s="550"/>
      <c r="D1" s="550"/>
      <c r="E1" s="550"/>
      <c r="F1" s="550"/>
      <c r="G1" s="550"/>
      <c r="H1" s="550"/>
    </row>
    <row r="2" spans="1:8" ht="19.2" customHeight="1">
      <c r="A2" s="613" t="s">
        <v>104</v>
      </c>
      <c r="B2" s="611" t="s">
        <v>422</v>
      </c>
      <c r="C2" s="611"/>
      <c r="D2" s="611"/>
      <c r="E2" s="611" t="s">
        <v>309</v>
      </c>
      <c r="F2" s="611"/>
      <c r="G2" s="611"/>
      <c r="H2" s="611" t="s">
        <v>114</v>
      </c>
    </row>
    <row r="3" spans="1:8" ht="26.4">
      <c r="A3" s="614"/>
      <c r="B3" s="529" t="s">
        <v>423</v>
      </c>
      <c r="C3" s="529" t="s">
        <v>424</v>
      </c>
      <c r="D3" s="529" t="s">
        <v>213</v>
      </c>
      <c r="E3" s="529" t="s">
        <v>425</v>
      </c>
      <c r="F3" s="529" t="s">
        <v>424</v>
      </c>
      <c r="G3" s="529" t="s">
        <v>213</v>
      </c>
      <c r="H3" s="612"/>
    </row>
    <row r="4" spans="1:8" ht="19.95" customHeight="1">
      <c r="A4" s="521" t="s">
        <v>116</v>
      </c>
      <c r="B4" s="521">
        <v>0.6</v>
      </c>
      <c r="C4" s="66"/>
      <c r="D4" s="574" t="s">
        <v>426</v>
      </c>
      <c r="E4" s="521">
        <v>0.75</v>
      </c>
      <c r="F4" s="521"/>
      <c r="G4" s="574" t="s">
        <v>427</v>
      </c>
      <c r="H4" s="66"/>
    </row>
    <row r="5" spans="1:8" ht="19.95" customHeight="1">
      <c r="A5" s="521" t="s">
        <v>124</v>
      </c>
      <c r="B5" s="521">
        <v>0.75</v>
      </c>
      <c r="C5" s="66"/>
      <c r="D5" s="574"/>
      <c r="E5" s="521">
        <v>1.4</v>
      </c>
      <c r="F5" s="521"/>
      <c r="G5" s="574"/>
      <c r="H5" s="66"/>
    </row>
    <row r="6" spans="1:8" ht="19.95" customHeight="1">
      <c r="A6" s="521" t="s">
        <v>127</v>
      </c>
      <c r="B6" s="521">
        <v>0.7</v>
      </c>
      <c r="C6" s="66"/>
      <c r="D6" s="574"/>
      <c r="E6" s="521">
        <v>1.1000000000000001</v>
      </c>
      <c r="F6" s="521"/>
      <c r="G6" s="574"/>
      <c r="H6" s="66"/>
    </row>
    <row r="7" spans="1:8" ht="19.95" customHeight="1">
      <c r="A7" s="521" t="s">
        <v>130</v>
      </c>
      <c r="B7" s="521">
        <v>0.4</v>
      </c>
      <c r="C7" s="66"/>
      <c r="D7" s="574"/>
      <c r="E7" s="521">
        <v>0.6</v>
      </c>
      <c r="F7" s="521"/>
      <c r="G7" s="574"/>
      <c r="H7" s="66"/>
    </row>
    <row r="8" spans="1:8" ht="19.95" customHeight="1">
      <c r="A8" s="521" t="s">
        <v>133</v>
      </c>
      <c r="B8" s="521">
        <v>0.4</v>
      </c>
      <c r="C8" s="66"/>
      <c r="D8" s="574"/>
      <c r="E8" s="521">
        <v>0.7</v>
      </c>
      <c r="F8" s="521"/>
      <c r="G8" s="574"/>
      <c r="H8" s="66"/>
    </row>
    <row r="9" spans="1:8" ht="19.95" customHeight="1">
      <c r="A9" s="521" t="s">
        <v>135</v>
      </c>
      <c r="B9" s="521">
        <v>1.1000000000000001</v>
      </c>
      <c r="C9" s="66"/>
      <c r="D9" s="574"/>
      <c r="E9" s="13">
        <v>1.2</v>
      </c>
      <c r="F9" s="521"/>
      <c r="G9" s="574"/>
      <c r="H9" s="66"/>
    </row>
    <row r="10" spans="1:8" ht="19.95" customHeight="1">
      <c r="A10" s="521" t="s">
        <v>138</v>
      </c>
      <c r="B10" s="521">
        <v>0.6</v>
      </c>
      <c r="C10" s="66"/>
      <c r="D10" s="574"/>
      <c r="E10" s="13">
        <v>0.6</v>
      </c>
      <c r="F10" s="521"/>
      <c r="G10" s="574"/>
      <c r="H10" s="66"/>
    </row>
    <row r="11" spans="1:8" ht="19.95" customHeight="1">
      <c r="A11" s="41" t="s">
        <v>140</v>
      </c>
      <c r="B11" s="521">
        <v>0.55000000000000004</v>
      </c>
      <c r="C11" s="66"/>
      <c r="D11" s="574"/>
      <c r="E11" s="521">
        <v>1.1000000000000001</v>
      </c>
      <c r="F11" s="41"/>
      <c r="G11" s="574"/>
      <c r="H11" s="522" t="s">
        <v>428</v>
      </c>
    </row>
    <row r="12" spans="1:8" ht="19.95" customHeight="1">
      <c r="A12" s="521" t="s">
        <v>143</v>
      </c>
      <c r="B12" s="15">
        <v>0.6</v>
      </c>
      <c r="C12" s="66"/>
      <c r="D12" s="574"/>
      <c r="E12" s="13">
        <v>0.6</v>
      </c>
      <c r="F12" s="521"/>
      <c r="G12" s="574"/>
      <c r="H12" s="66"/>
    </row>
    <row r="13" spans="1:8" ht="19.95" customHeight="1">
      <c r="A13" s="521" t="s">
        <v>145</v>
      </c>
      <c r="B13" s="521">
        <v>0.4</v>
      </c>
      <c r="C13" s="66"/>
      <c r="D13" s="574"/>
      <c r="E13" s="13">
        <v>0.6</v>
      </c>
      <c r="F13" s="521"/>
      <c r="G13" s="574"/>
      <c r="H13" s="66"/>
    </row>
    <row r="14" spans="1:8" ht="19.95" customHeight="1">
      <c r="A14" s="521" t="s">
        <v>152</v>
      </c>
      <c r="B14" s="521" t="s">
        <v>131</v>
      </c>
      <c r="C14" s="66"/>
      <c r="D14" s="574"/>
      <c r="E14" s="521"/>
      <c r="F14" s="521"/>
      <c r="G14" s="574"/>
      <c r="H14" s="66"/>
    </row>
    <row r="15" spans="1:8" ht="19.95" customHeight="1">
      <c r="A15" s="514"/>
      <c r="B15" s="23"/>
      <c r="C15" s="524"/>
      <c r="D15" s="524"/>
      <c r="E15" s="162"/>
      <c r="F15" s="23"/>
      <c r="G15" s="524"/>
    </row>
    <row r="16" spans="1:8" ht="19.95" customHeight="1">
      <c r="A16" s="514"/>
      <c r="B16" s="23"/>
      <c r="C16" s="524"/>
      <c r="D16" s="524"/>
      <c r="E16" s="162"/>
      <c r="F16" s="23"/>
      <c r="G16" s="524"/>
    </row>
    <row r="17" spans="1:9" ht="15" customHeight="1">
      <c r="B17" s="609" t="s">
        <v>429</v>
      </c>
      <c r="C17" s="609"/>
      <c r="D17" s="45"/>
    </row>
    <row r="18" spans="1:9" ht="19.95" customHeight="1">
      <c r="B18" s="383">
        <v>2025</v>
      </c>
      <c r="C18" s="383">
        <v>2013</v>
      </c>
      <c r="D18" s="45"/>
    </row>
    <row r="19" spans="1:9" ht="19.95" customHeight="1">
      <c r="A19" s="522" t="s">
        <v>430</v>
      </c>
      <c r="B19" s="521">
        <v>0.6</v>
      </c>
      <c r="C19" s="521">
        <v>0.8</v>
      </c>
      <c r="D19" s="45"/>
    </row>
    <row r="20" spans="1:9" ht="13.2" customHeight="1">
      <c r="A20" s="21" t="s">
        <v>431</v>
      </c>
      <c r="B20" s="45"/>
      <c r="C20" s="45"/>
      <c r="D20" s="45"/>
    </row>
    <row r="21" spans="1:9" ht="13.2" customHeight="1">
      <c r="B21" s="45"/>
      <c r="C21" s="45"/>
      <c r="D21" s="45"/>
    </row>
    <row r="22" spans="1:9" ht="13.2" customHeight="1">
      <c r="B22" s="45"/>
      <c r="C22" s="45"/>
      <c r="D22" s="45"/>
    </row>
    <row r="23" spans="1:9" ht="13.2" customHeight="1">
      <c r="B23" s="45"/>
      <c r="C23" s="45"/>
      <c r="D23" s="45"/>
    </row>
    <row r="24" spans="1:9" ht="13.2" hidden="1" customHeight="1">
      <c r="B24" s="45"/>
      <c r="C24" s="45"/>
      <c r="D24" s="45"/>
    </row>
    <row r="25" spans="1:9" s="48" customFormat="1" hidden="1">
      <c r="A25" s="48" t="s">
        <v>360</v>
      </c>
      <c r="E25" s="49"/>
      <c r="F25" s="50"/>
      <c r="G25" s="51"/>
    </row>
    <row r="26" spans="1:9" s="22" customFormat="1" hidden="1">
      <c r="E26" s="70"/>
      <c r="F26" s="71"/>
      <c r="G26" s="72"/>
    </row>
    <row r="27" spans="1:9" ht="13.2" hidden="1" customHeight="1">
      <c r="A27" s="606" t="s">
        <v>432</v>
      </c>
      <c r="B27" s="606"/>
      <c r="C27" s="606"/>
      <c r="D27" s="607"/>
    </row>
    <row r="28" spans="1:9" ht="42" hidden="1" customHeight="1">
      <c r="A28" s="67" t="s">
        <v>433</v>
      </c>
      <c r="B28" s="54" t="s">
        <v>434</v>
      </c>
      <c r="C28" s="54" t="s">
        <v>435</v>
      </c>
      <c r="D28" s="54" t="s">
        <v>436</v>
      </c>
      <c r="E28" s="54" t="s">
        <v>114</v>
      </c>
      <c r="G28" s="21" t="s">
        <v>437</v>
      </c>
      <c r="H28" s="27" t="s">
        <v>438</v>
      </c>
      <c r="I28" s="72"/>
    </row>
    <row r="29" spans="1:9" ht="13.2" hidden="1" customHeight="1">
      <c r="A29" s="54">
        <v>2025</v>
      </c>
      <c r="B29" s="54">
        <v>0.6</v>
      </c>
      <c r="C29" s="54" t="s">
        <v>439</v>
      </c>
      <c r="D29" s="54" t="s">
        <v>440</v>
      </c>
      <c r="E29" s="66"/>
      <c r="G29" s="21" t="s">
        <v>441</v>
      </c>
      <c r="H29" s="27" t="s">
        <v>442</v>
      </c>
    </row>
    <row r="30" spans="1:9" ht="13.2" hidden="1" customHeight="1">
      <c r="A30" s="54">
        <v>2022</v>
      </c>
      <c r="B30" s="54">
        <v>0.6</v>
      </c>
      <c r="C30" s="54" t="s">
        <v>439</v>
      </c>
      <c r="D30" s="54"/>
      <c r="E30" s="66"/>
      <c r="G30" s="21" t="s">
        <v>443</v>
      </c>
      <c r="H30" s="27" t="s">
        <v>442</v>
      </c>
    </row>
    <row r="31" spans="1:9" ht="13.2" hidden="1" customHeight="1">
      <c r="A31" s="54">
        <v>2019</v>
      </c>
      <c r="B31" s="54">
        <v>0.65</v>
      </c>
      <c r="C31" s="54"/>
      <c r="D31" s="54"/>
      <c r="E31" s="66"/>
    </row>
    <row r="32" spans="1:9" ht="13.2" hidden="1" customHeight="1">
      <c r="A32" s="54">
        <v>2016</v>
      </c>
      <c r="B32" s="54">
        <v>0.8</v>
      </c>
      <c r="C32" s="54"/>
      <c r="D32" s="54"/>
      <c r="E32" s="66"/>
    </row>
    <row r="33" spans="1:12" ht="13.2" hidden="1" customHeight="1">
      <c r="A33" s="54">
        <v>2013</v>
      </c>
      <c r="B33" s="54">
        <v>0.8</v>
      </c>
      <c r="C33" s="54">
        <v>0.75</v>
      </c>
      <c r="D33" s="54"/>
      <c r="E33" s="66"/>
    </row>
    <row r="34" spans="1:12" ht="13.2" hidden="1" customHeight="1">
      <c r="A34" s="54">
        <v>2010</v>
      </c>
      <c r="B34" s="54">
        <v>0.85</v>
      </c>
      <c r="C34" s="54"/>
      <c r="D34" s="54"/>
      <c r="E34" s="66"/>
    </row>
    <row r="35" spans="1:12" ht="13.2" hidden="1" customHeight="1">
      <c r="A35" s="54">
        <v>2008</v>
      </c>
      <c r="B35" s="54">
        <v>8.5000000000000006E-2</v>
      </c>
      <c r="C35" s="54">
        <v>0.9</v>
      </c>
      <c r="D35" s="54" t="s">
        <v>444</v>
      </c>
      <c r="E35" s="66"/>
    </row>
    <row r="36" spans="1:12" ht="13.2" hidden="1" customHeight="1">
      <c r="A36" s="45">
        <v>2005</v>
      </c>
      <c r="B36" s="45"/>
      <c r="C36" s="45">
        <v>1.2</v>
      </c>
      <c r="D36" s="45"/>
    </row>
    <row r="37" spans="1:12" ht="13.2" hidden="1" customHeight="1">
      <c r="A37" s="21" t="s">
        <v>445</v>
      </c>
    </row>
    <row r="38" spans="1:12" ht="13.2" hidden="1" customHeight="1"/>
    <row r="39" spans="1:12" ht="13.2" hidden="1" customHeight="1"/>
    <row r="40" spans="1:12" ht="13.2" hidden="1" customHeight="1">
      <c r="D40" s="45"/>
    </row>
    <row r="41" spans="1:12" ht="13.2" hidden="1" customHeight="1">
      <c r="A41" s="608" t="s">
        <v>446</v>
      </c>
      <c r="B41" s="608"/>
      <c r="C41" s="608"/>
      <c r="D41" s="608"/>
      <c r="E41" s="608"/>
      <c r="F41" s="608"/>
      <c r="G41" s="608"/>
      <c r="H41" s="608"/>
    </row>
    <row r="42" spans="1:12" ht="13.2" hidden="1" customHeight="1">
      <c r="A42" s="55" t="s">
        <v>447</v>
      </c>
      <c r="B42" s="56" t="s">
        <v>448</v>
      </c>
      <c r="C42" s="56" t="s">
        <v>449</v>
      </c>
      <c r="D42" s="57" t="s">
        <v>450</v>
      </c>
      <c r="E42" s="56" t="s">
        <v>389</v>
      </c>
      <c r="F42" s="58" t="s">
        <v>451</v>
      </c>
      <c r="G42" s="58" t="s">
        <v>452</v>
      </c>
      <c r="H42" s="58" t="s">
        <v>453</v>
      </c>
      <c r="K42" s="21" t="s">
        <v>454</v>
      </c>
      <c r="L42" s="21">
        <f>52*5-L45</f>
        <v>249</v>
      </c>
    </row>
    <row r="43" spans="1:12" ht="13.2" hidden="1" customHeight="1">
      <c r="A43" s="61" t="s">
        <v>455</v>
      </c>
      <c r="B43" s="62">
        <v>45323</v>
      </c>
      <c r="C43" s="59" t="s">
        <v>235</v>
      </c>
      <c r="D43" s="63">
        <v>0.53920766499999995</v>
      </c>
      <c r="E43" s="58" t="s">
        <v>456</v>
      </c>
      <c r="F43" s="60">
        <f>F91*L42+G91*L43+H91*(L44+L45)</f>
        <v>1988.2231642668005</v>
      </c>
      <c r="G43" s="60">
        <f>D43*F43</f>
        <v>1072.0651699032128</v>
      </c>
      <c r="H43" s="44">
        <f>149.66/(511.16-149.66)</f>
        <v>0.41399723374827108</v>
      </c>
      <c r="K43" s="21" t="s">
        <v>457</v>
      </c>
      <c r="L43" s="21">
        <v>52</v>
      </c>
    </row>
    <row r="44" spans="1:12" ht="13.2" hidden="1" customHeight="1">
      <c r="A44" s="64" t="s">
        <v>458</v>
      </c>
      <c r="B44" s="62">
        <v>45444</v>
      </c>
      <c r="C44" s="59" t="s">
        <v>235</v>
      </c>
      <c r="D44" s="63">
        <v>0.6</v>
      </c>
      <c r="E44" s="58" t="s">
        <v>456</v>
      </c>
      <c r="F44" s="60">
        <f>B91*L42+C91*L43+D91*(L44+L45)</f>
        <v>2238.1</v>
      </c>
      <c r="G44" s="60">
        <f>D44*F44</f>
        <v>1342.86</v>
      </c>
      <c r="H44" s="44">
        <f>149.66/(511.16-149.66)</f>
        <v>0.41399723374827108</v>
      </c>
      <c r="K44" s="21" t="s">
        <v>459</v>
      </c>
      <c r="L44" s="21">
        <v>52</v>
      </c>
    </row>
    <row r="45" spans="1:12" ht="13.2" hidden="1" customHeight="1">
      <c r="K45" s="21" t="s">
        <v>460</v>
      </c>
      <c r="L45" s="21">
        <v>11</v>
      </c>
    </row>
    <row r="46" spans="1:12" ht="13.2" hidden="1" customHeight="1"/>
    <row r="47" spans="1:12" ht="13.2" hidden="1" customHeight="1">
      <c r="B47" s="45"/>
      <c r="C47" s="45"/>
      <c r="D47" s="45"/>
    </row>
    <row r="48" spans="1:12" ht="13.2" hidden="1" customHeight="1">
      <c r="B48" s="45"/>
      <c r="C48" s="45"/>
      <c r="D48" s="45"/>
    </row>
    <row r="49" spans="1:13" ht="21" hidden="1" customHeight="1">
      <c r="A49" s="598" t="s">
        <v>461</v>
      </c>
      <c r="B49" s="598"/>
      <c r="C49" s="598"/>
      <c r="D49" s="598"/>
      <c r="E49" s="598"/>
      <c r="F49" s="598"/>
      <c r="G49" s="598"/>
      <c r="H49" s="598"/>
      <c r="I49" s="598"/>
      <c r="J49" s="598"/>
      <c r="K49" s="598"/>
      <c r="L49" s="598"/>
      <c r="M49" s="598"/>
    </row>
    <row r="50" spans="1:13" ht="13.2" hidden="1" customHeight="1"/>
    <row r="51" spans="1:13" ht="13.2" hidden="1" customHeight="1"/>
    <row r="52" spans="1:13" ht="13.2" hidden="1" customHeight="1"/>
    <row r="53" spans="1:13" ht="13.2" hidden="1" customHeight="1"/>
    <row r="54" spans="1:13" ht="13.2" hidden="1" customHeight="1"/>
    <row r="55" spans="1:13" ht="13.2" hidden="1" customHeight="1"/>
    <row r="56" spans="1:13" ht="13.2" hidden="1" customHeight="1"/>
    <row r="57" spans="1:13" ht="13.2" hidden="1" customHeight="1"/>
    <row r="58" spans="1:13" ht="13.2" hidden="1" customHeight="1"/>
    <row r="59" spans="1:13" ht="13.2" hidden="1" customHeight="1"/>
    <row r="60" spans="1:13" ht="13.2" hidden="1" customHeight="1"/>
    <row r="61" spans="1:13" ht="13.2" hidden="1" customHeight="1"/>
    <row r="62" spans="1:13" ht="13.2" hidden="1" customHeight="1"/>
    <row r="63" spans="1:13" ht="13.2" hidden="1" customHeight="1"/>
    <row r="64" spans="1:13" ht="13.2" hidden="1" customHeight="1"/>
    <row r="65" spans="1:8" ht="13.2" hidden="1" customHeight="1">
      <c r="B65" s="603" t="s">
        <v>462</v>
      </c>
      <c r="C65" s="604"/>
      <c r="D65" s="605"/>
      <c r="F65" s="603" t="s">
        <v>455</v>
      </c>
      <c r="G65" s="604"/>
      <c r="H65" s="605"/>
    </row>
    <row r="66" spans="1:8" ht="13.2" hidden="1" customHeight="1">
      <c r="A66" s="150" t="s">
        <v>463</v>
      </c>
      <c r="B66" s="21" t="s">
        <v>364</v>
      </c>
      <c r="C66" s="21" t="s">
        <v>365</v>
      </c>
      <c r="D66" s="21" t="s">
        <v>366</v>
      </c>
      <c r="F66" s="150" t="s">
        <v>367</v>
      </c>
      <c r="G66" s="525" t="s">
        <v>368</v>
      </c>
      <c r="H66" s="21" t="s">
        <v>464</v>
      </c>
    </row>
    <row r="67" spans="1:8" ht="13.2" hidden="1" customHeight="1">
      <c r="A67" s="150">
        <v>1</v>
      </c>
      <c r="B67" s="21">
        <v>0.05</v>
      </c>
      <c r="C67" s="21">
        <v>0.05</v>
      </c>
      <c r="D67" s="21">
        <v>0.05</v>
      </c>
      <c r="F67" s="21">
        <v>3.59714696E-2</v>
      </c>
      <c r="G67" s="525">
        <v>3.59714696E-2</v>
      </c>
      <c r="H67" s="21">
        <v>3.59714696E-2</v>
      </c>
    </row>
    <row r="68" spans="1:8" ht="13.2" hidden="1" customHeight="1">
      <c r="A68" s="150">
        <f>1+A67</f>
        <v>2</v>
      </c>
      <c r="B68" s="21">
        <v>0.05</v>
      </c>
      <c r="C68" s="21">
        <v>0.05</v>
      </c>
      <c r="D68" s="21">
        <v>0.05</v>
      </c>
      <c r="F68" s="21">
        <v>3.59714696E-2</v>
      </c>
      <c r="G68" s="525">
        <v>3.59714696E-2</v>
      </c>
      <c r="H68" s="21">
        <v>3.59714696E-2</v>
      </c>
    </row>
    <row r="69" spans="1:8" ht="13.2" hidden="1" customHeight="1">
      <c r="A69" s="150">
        <f t="shared" ref="A69:A89" si="0">1+A68</f>
        <v>3</v>
      </c>
      <c r="B69" s="21">
        <v>0.05</v>
      </c>
      <c r="C69" s="21">
        <v>0.05</v>
      </c>
      <c r="D69" s="21">
        <v>0.05</v>
      </c>
      <c r="F69" s="21">
        <v>3.59714696E-2</v>
      </c>
      <c r="G69" s="525">
        <v>3.59714696E-2</v>
      </c>
      <c r="H69" s="21">
        <v>3.59714696E-2</v>
      </c>
    </row>
    <row r="70" spans="1:8" ht="13.2" hidden="1" customHeight="1">
      <c r="A70" s="150">
        <f t="shared" si="0"/>
        <v>4</v>
      </c>
      <c r="B70" s="21">
        <v>0.05</v>
      </c>
      <c r="C70" s="21">
        <v>0.05</v>
      </c>
      <c r="D70" s="21">
        <v>0.05</v>
      </c>
      <c r="F70" s="21">
        <v>3.59714696E-2</v>
      </c>
      <c r="G70" s="525">
        <v>3.59714696E-2</v>
      </c>
      <c r="H70" s="21">
        <v>3.59714696E-2</v>
      </c>
    </row>
    <row r="71" spans="1:8" ht="13.2" hidden="1" customHeight="1">
      <c r="A71" s="150">
        <f t="shared" si="0"/>
        <v>5</v>
      </c>
      <c r="B71" s="21">
        <v>0.05</v>
      </c>
      <c r="C71" s="21">
        <v>0.05</v>
      </c>
      <c r="D71" s="21">
        <v>0.05</v>
      </c>
      <c r="F71" s="21">
        <v>3.59714696E-2</v>
      </c>
      <c r="G71" s="525">
        <v>3.59714696E-2</v>
      </c>
      <c r="H71" s="21">
        <v>3.59714696E-2</v>
      </c>
    </row>
    <row r="72" spans="1:8" ht="13.2" hidden="1" customHeight="1">
      <c r="A72" s="150">
        <f t="shared" si="0"/>
        <v>6</v>
      </c>
      <c r="B72" s="21">
        <v>0.1</v>
      </c>
      <c r="C72" s="21">
        <v>0.05</v>
      </c>
      <c r="D72" s="21">
        <v>0.05</v>
      </c>
      <c r="F72" s="21">
        <v>7.1952789000000003E-2</v>
      </c>
      <c r="G72" s="525">
        <v>3.59714696E-2</v>
      </c>
      <c r="H72" s="21">
        <v>3.59714696E-2</v>
      </c>
    </row>
    <row r="73" spans="1:8" ht="13.2" hidden="1" customHeight="1">
      <c r="A73" s="150">
        <f t="shared" si="0"/>
        <v>7</v>
      </c>
      <c r="B73" s="21">
        <v>0.1</v>
      </c>
      <c r="C73" s="21">
        <v>0.1</v>
      </c>
      <c r="D73" s="21">
        <v>0.05</v>
      </c>
      <c r="F73" s="21">
        <v>7.1952789000000003E-2</v>
      </c>
      <c r="G73" s="525">
        <v>7.1952789000000003E-2</v>
      </c>
      <c r="H73" s="21">
        <v>3.59714696E-2</v>
      </c>
    </row>
    <row r="74" spans="1:8" ht="13.2" hidden="1" customHeight="1">
      <c r="A74" s="150">
        <f t="shared" si="0"/>
        <v>8</v>
      </c>
      <c r="B74" s="21">
        <v>0.3</v>
      </c>
      <c r="C74" s="21">
        <v>0.1</v>
      </c>
      <c r="D74" s="21">
        <v>0.05</v>
      </c>
      <c r="F74" s="21">
        <v>0.215858367</v>
      </c>
      <c r="G74" s="525">
        <v>7.1952789000000003E-2</v>
      </c>
      <c r="H74" s="21">
        <v>3.59714696E-2</v>
      </c>
    </row>
    <row r="75" spans="1:8" ht="13.2" hidden="1" customHeight="1">
      <c r="A75" s="245">
        <f t="shared" si="0"/>
        <v>9</v>
      </c>
      <c r="B75" s="21">
        <v>0.65</v>
      </c>
      <c r="C75" s="21">
        <v>0.3</v>
      </c>
      <c r="D75" s="21">
        <v>0.05</v>
      </c>
      <c r="F75" s="21">
        <v>0.64757510100000004</v>
      </c>
      <c r="G75" s="525">
        <v>0.215858367</v>
      </c>
      <c r="H75" s="21">
        <v>3.59714696E-2</v>
      </c>
    </row>
    <row r="76" spans="1:8" ht="13.2" hidden="1" customHeight="1">
      <c r="A76" s="245">
        <f t="shared" si="0"/>
        <v>10</v>
      </c>
      <c r="B76" s="21">
        <v>0.65</v>
      </c>
      <c r="C76" s="21">
        <v>0.3</v>
      </c>
      <c r="D76" s="21">
        <v>0.05</v>
      </c>
      <c r="F76" s="21">
        <v>0.64757510100000004</v>
      </c>
      <c r="G76" s="525">
        <v>0.215858367</v>
      </c>
      <c r="H76" s="21">
        <v>3.59714696E-2</v>
      </c>
    </row>
    <row r="77" spans="1:8" ht="13.2" hidden="1" customHeight="1">
      <c r="A77" s="245">
        <f t="shared" si="0"/>
        <v>11</v>
      </c>
      <c r="B77" s="21">
        <v>0.65</v>
      </c>
      <c r="C77" s="21">
        <v>0.3</v>
      </c>
      <c r="D77" s="21">
        <v>0.05</v>
      </c>
      <c r="F77" s="21">
        <v>0.64757510100000004</v>
      </c>
      <c r="G77" s="525">
        <v>0.215858367</v>
      </c>
      <c r="H77" s="21">
        <v>3.59714696E-2</v>
      </c>
    </row>
    <row r="78" spans="1:8" ht="13.2" hidden="1" customHeight="1">
      <c r="A78" s="245">
        <f t="shared" si="0"/>
        <v>12</v>
      </c>
      <c r="B78" s="21">
        <v>0.65</v>
      </c>
      <c r="C78" s="21">
        <v>0.3</v>
      </c>
      <c r="D78" s="21">
        <v>0.05</v>
      </c>
      <c r="F78" s="21">
        <v>0.64757510100000004</v>
      </c>
      <c r="G78" s="525">
        <v>0.215858367</v>
      </c>
      <c r="H78" s="21">
        <v>3.59714696E-2</v>
      </c>
    </row>
    <row r="79" spans="1:8" ht="13.2" hidden="1" customHeight="1">
      <c r="A79" s="245">
        <f t="shared" si="0"/>
        <v>13</v>
      </c>
      <c r="B79" s="21">
        <v>0.65</v>
      </c>
      <c r="C79" s="21">
        <v>0.15</v>
      </c>
      <c r="D79" s="21">
        <v>0.05</v>
      </c>
      <c r="F79" s="21">
        <v>0.64757510100000004</v>
      </c>
      <c r="G79" s="525">
        <v>0.1079242586</v>
      </c>
      <c r="H79" s="21">
        <v>3.59714696E-2</v>
      </c>
    </row>
    <row r="80" spans="1:8" ht="13.2" hidden="1" customHeight="1">
      <c r="A80" s="245">
        <f t="shared" si="0"/>
        <v>14</v>
      </c>
      <c r="B80" s="21">
        <v>0.65</v>
      </c>
      <c r="C80" s="21">
        <v>0.15</v>
      </c>
      <c r="D80" s="21">
        <v>0.05</v>
      </c>
      <c r="F80" s="21">
        <v>0.64757510100000004</v>
      </c>
      <c r="G80" s="525">
        <v>0.1079242586</v>
      </c>
      <c r="H80" s="21">
        <v>3.59714696E-2</v>
      </c>
    </row>
    <row r="81" spans="1:8" ht="13.2" hidden="1" customHeight="1">
      <c r="A81" s="245">
        <f t="shared" si="0"/>
        <v>15</v>
      </c>
      <c r="B81" s="21">
        <v>0.65</v>
      </c>
      <c r="C81" s="21">
        <v>0.15</v>
      </c>
      <c r="D81" s="21">
        <v>0.05</v>
      </c>
      <c r="F81" s="21">
        <v>0.64757510100000004</v>
      </c>
      <c r="G81" s="525">
        <v>0.1079242586</v>
      </c>
      <c r="H81" s="21">
        <v>3.59714696E-2</v>
      </c>
    </row>
    <row r="82" spans="1:8" ht="13.2" hidden="1" customHeight="1">
      <c r="A82" s="245">
        <f t="shared" si="0"/>
        <v>16</v>
      </c>
      <c r="B82" s="21">
        <v>0.65</v>
      </c>
      <c r="C82" s="21">
        <v>0.15</v>
      </c>
      <c r="D82" s="21">
        <v>0.05</v>
      </c>
      <c r="F82" s="21">
        <v>0.64757510100000004</v>
      </c>
      <c r="G82" s="525">
        <v>0.1079242586</v>
      </c>
      <c r="H82" s="21">
        <v>3.59714696E-2</v>
      </c>
    </row>
    <row r="83" spans="1:8" ht="13.2" hidden="1" customHeight="1">
      <c r="A83" s="245">
        <f t="shared" si="0"/>
        <v>17</v>
      </c>
      <c r="B83" s="21">
        <v>0.65</v>
      </c>
      <c r="C83" s="21">
        <v>0.15</v>
      </c>
      <c r="D83" s="21">
        <v>0.05</v>
      </c>
      <c r="F83" s="21">
        <v>0.64757510100000004</v>
      </c>
      <c r="G83" s="525">
        <v>0.1079242586</v>
      </c>
      <c r="H83" s="21">
        <v>3.59714696E-2</v>
      </c>
    </row>
    <row r="84" spans="1:8" ht="13.2" hidden="1" customHeight="1">
      <c r="A84" s="150">
        <f t="shared" si="0"/>
        <v>18</v>
      </c>
      <c r="B84" s="21">
        <v>0.35</v>
      </c>
      <c r="C84" s="21">
        <v>0.05</v>
      </c>
      <c r="D84" s="21">
        <v>0.05</v>
      </c>
      <c r="F84" s="21">
        <v>0.35976394499999997</v>
      </c>
      <c r="G84" s="525">
        <v>3.59714696E-2</v>
      </c>
      <c r="H84" s="21">
        <v>3.59714696E-2</v>
      </c>
    </row>
    <row r="85" spans="1:8" ht="13.2" hidden="1" customHeight="1">
      <c r="A85" s="150">
        <f t="shared" si="0"/>
        <v>19</v>
      </c>
      <c r="B85" s="21">
        <v>0.3</v>
      </c>
      <c r="C85" s="21">
        <v>0.05</v>
      </c>
      <c r="D85" s="21">
        <v>0.05</v>
      </c>
      <c r="F85" s="21">
        <v>0.215858367</v>
      </c>
      <c r="G85" s="525">
        <v>3.59714696E-2</v>
      </c>
      <c r="H85" s="21">
        <v>3.59714696E-2</v>
      </c>
    </row>
    <row r="86" spans="1:8" ht="13.2" hidden="1" customHeight="1">
      <c r="A86" s="150">
        <f t="shared" si="0"/>
        <v>20</v>
      </c>
      <c r="B86" s="21">
        <v>0.3</v>
      </c>
      <c r="C86" s="21">
        <v>0.05</v>
      </c>
      <c r="D86" s="21">
        <v>0.05</v>
      </c>
      <c r="F86" s="21">
        <v>0.215858367</v>
      </c>
      <c r="G86" s="525">
        <v>3.59714696E-2</v>
      </c>
      <c r="H86" s="21">
        <v>3.59714696E-2</v>
      </c>
    </row>
    <row r="87" spans="1:8" ht="13.2" hidden="1" customHeight="1">
      <c r="A87" s="150">
        <f t="shared" si="0"/>
        <v>21</v>
      </c>
      <c r="B87" s="21">
        <v>0.2</v>
      </c>
      <c r="C87" s="21">
        <v>0.05</v>
      </c>
      <c r="D87" s="21">
        <v>0.05</v>
      </c>
      <c r="F87" s="21">
        <v>0.14390557800000001</v>
      </c>
      <c r="G87" s="525">
        <v>3.59714696E-2</v>
      </c>
      <c r="H87" s="21">
        <v>3.59714696E-2</v>
      </c>
    </row>
    <row r="88" spans="1:8" ht="13.2" hidden="1" customHeight="1">
      <c r="A88" s="150">
        <f t="shared" si="0"/>
        <v>22</v>
      </c>
      <c r="B88" s="21">
        <v>0.2</v>
      </c>
      <c r="C88" s="21">
        <v>0.05</v>
      </c>
      <c r="D88" s="21">
        <v>0.05</v>
      </c>
      <c r="F88" s="21">
        <v>0.14390557800000001</v>
      </c>
      <c r="G88" s="525">
        <v>3.59714696E-2</v>
      </c>
      <c r="H88" s="21">
        <v>3.59714696E-2</v>
      </c>
    </row>
    <row r="89" spans="1:8" ht="13.2" hidden="1" customHeight="1">
      <c r="A89" s="150">
        <f t="shared" si="0"/>
        <v>23</v>
      </c>
      <c r="B89" s="21">
        <v>0.1</v>
      </c>
      <c r="C89" s="21">
        <v>0.05</v>
      </c>
      <c r="D89" s="21">
        <v>0.05</v>
      </c>
      <c r="F89" s="21">
        <v>7.1952789000000003E-2</v>
      </c>
      <c r="G89" s="525">
        <v>3.59714696E-2</v>
      </c>
      <c r="H89" s="21">
        <v>3.59714696E-2</v>
      </c>
    </row>
    <row r="90" spans="1:8" ht="13.2" hidden="1" customHeight="1">
      <c r="A90" s="150">
        <f>1+A89</f>
        <v>24</v>
      </c>
      <c r="B90" s="21">
        <v>0.05</v>
      </c>
      <c r="C90" s="21">
        <v>0.05</v>
      </c>
      <c r="D90" s="21">
        <v>0.05</v>
      </c>
      <c r="F90" s="21">
        <v>3.59714696E-2</v>
      </c>
      <c r="G90" s="525">
        <v>3.59714696E-2</v>
      </c>
      <c r="H90" s="21">
        <v>3.59714696E-2</v>
      </c>
    </row>
    <row r="91" spans="1:8" ht="13.2" hidden="1" customHeight="1">
      <c r="A91" s="246" t="s">
        <v>465</v>
      </c>
      <c r="B91" s="21">
        <f>SUM(B67:B90)</f>
        <v>8.1000000000000014</v>
      </c>
      <c r="C91" s="21">
        <f>SUM(C67:C90)</f>
        <v>2.7999999999999985</v>
      </c>
      <c r="D91" s="21">
        <f>SUM(D67:D90)</f>
        <v>1.2000000000000004</v>
      </c>
      <c r="F91" s="21">
        <f>SUM(F67:F90)</f>
        <v>7.5550132956000011</v>
      </c>
      <c r="G91" s="525">
        <f>SUM(G67:G90)</f>
        <v>2.0145894437999998</v>
      </c>
      <c r="H91" s="21">
        <v>3.59714696E-2</v>
      </c>
    </row>
    <row r="92" spans="1:8" ht="13.2" hidden="1" customHeight="1">
      <c r="B92" s="45" t="s">
        <v>466</v>
      </c>
      <c r="C92" s="45" t="s">
        <v>466</v>
      </c>
      <c r="D92" s="45" t="s">
        <v>466</v>
      </c>
    </row>
    <row r="93" spans="1:8" ht="13.2" hidden="1" customHeight="1"/>
    <row r="94" spans="1:8" ht="13.2" hidden="1" customHeight="1">
      <c r="B94" s="45"/>
      <c r="C94" s="45"/>
      <c r="D94" s="45"/>
    </row>
    <row r="95" spans="1:8" ht="13.2" customHeight="1"/>
    <row r="96" spans="1:8" ht="13.2" customHeight="1"/>
    <row r="97" spans="1:1" ht="13.2" customHeight="1">
      <c r="A97" s="22"/>
    </row>
  </sheetData>
  <mergeCells count="13">
    <mergeCell ref="B17:C17"/>
    <mergeCell ref="A1:H1"/>
    <mergeCell ref="H2:H3"/>
    <mergeCell ref="G4:G14"/>
    <mergeCell ref="D4:D14"/>
    <mergeCell ref="A2:A3"/>
    <mergeCell ref="B2:D2"/>
    <mergeCell ref="E2:G2"/>
    <mergeCell ref="F65:H65"/>
    <mergeCell ref="B65:D65"/>
    <mergeCell ref="A27:D27"/>
    <mergeCell ref="A41:H41"/>
    <mergeCell ref="A49:M49"/>
  </mergeCells>
  <phoneticPr fontId="6" type="noConversion"/>
  <hyperlinks>
    <hyperlink ref="A27" r:id="rId1" xr:uid="{FEDBB14A-1404-4299-B4F2-1AA675950D8F}"/>
    <hyperlink ref="H30" r:id="rId2" xr:uid="{01D7992D-44E6-48CC-A1B9-F74017160D35}"/>
    <hyperlink ref="H29" r:id="rId3" xr:uid="{270A026A-E4AF-4B7A-8CD3-03EA7CE141D2}"/>
    <hyperlink ref="H28" r:id="rId4" xr:uid="{39763020-6A2D-4AB4-BEC0-FED08D2C3562}"/>
  </hyperlinks>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86"/>
  <sheetViews>
    <sheetView zoomScale="85" zoomScaleNormal="85" workbookViewId="0">
      <selection sqref="A1:D1"/>
    </sheetView>
  </sheetViews>
  <sheetFormatPr defaultColWidth="8.88671875" defaultRowHeight="13.2"/>
  <cols>
    <col min="1" max="1" width="27.5546875" style="21" customWidth="1"/>
    <col min="2" max="2" width="39.109375" style="21" customWidth="1"/>
    <col min="3" max="3" width="19.44140625" style="21" customWidth="1"/>
    <col min="4" max="4" width="19.109375" style="21" customWidth="1"/>
    <col min="5" max="5" width="30" style="21" customWidth="1"/>
    <col min="6" max="6" width="8.88671875" style="21"/>
    <col min="7" max="7" width="17.5546875" style="21" customWidth="1"/>
    <col min="8" max="8" width="15.5546875" style="21" customWidth="1"/>
    <col min="9" max="9" width="13.109375" style="21" customWidth="1"/>
    <col min="10" max="16384" width="8.88671875" style="21"/>
  </cols>
  <sheetData>
    <row r="1" spans="1:7" ht="22.2" customHeight="1">
      <c r="A1" s="626" t="str">
        <f>"Exterior Lighting - "&amp;Prototype!A2</f>
        <v>Exterior Lighting - OfficeMedium</v>
      </c>
      <c r="B1" s="626"/>
      <c r="C1" s="626"/>
      <c r="D1" s="626"/>
    </row>
    <row r="2" spans="1:7" ht="34.950000000000003" customHeight="1">
      <c r="A2" s="98" t="s">
        <v>467</v>
      </c>
      <c r="B2" s="98" t="s">
        <v>468</v>
      </c>
      <c r="C2" s="98" t="s">
        <v>469</v>
      </c>
      <c r="D2" s="98" t="s">
        <v>213</v>
      </c>
    </row>
    <row r="3" spans="1:7" ht="22.2" customHeight="1">
      <c r="A3" s="110">
        <f>G12</f>
        <v>1860.2953735248002</v>
      </c>
      <c r="B3" s="110">
        <f>G13</f>
        <v>856.23969610089989</v>
      </c>
      <c r="C3" s="110">
        <f>B3+A3</f>
        <v>2716.5350696257001</v>
      </c>
      <c r="D3" s="522" t="s">
        <v>470</v>
      </c>
    </row>
    <row r="4" spans="1:7" ht="22.2" customHeight="1">
      <c r="A4" s="148"/>
      <c r="B4" s="148"/>
      <c r="C4" s="148"/>
    </row>
    <row r="5" spans="1:7" ht="22.2" customHeight="1">
      <c r="A5" s="626" t="s">
        <v>471</v>
      </c>
      <c r="B5" s="626"/>
      <c r="C5" s="626"/>
      <c r="D5" s="626"/>
      <c r="E5" s="626"/>
      <c r="F5" s="626"/>
      <c r="G5" s="626"/>
    </row>
    <row r="6" spans="1:7" ht="40.950000000000003" customHeight="1">
      <c r="A6" s="390" t="s">
        <v>472</v>
      </c>
      <c r="B6" s="627" t="s">
        <v>473</v>
      </c>
      <c r="C6" s="628"/>
      <c r="D6" s="391" t="s">
        <v>389</v>
      </c>
      <c r="E6" s="391" t="s">
        <v>474</v>
      </c>
      <c r="F6" s="391" t="s">
        <v>389</v>
      </c>
      <c r="G6" s="391" t="s">
        <v>475</v>
      </c>
    </row>
    <row r="7" spans="1:7" ht="22.2" customHeight="1">
      <c r="A7" s="34" t="s">
        <v>476</v>
      </c>
      <c r="B7" s="34"/>
      <c r="C7" s="392"/>
      <c r="D7" s="522"/>
      <c r="E7" s="522">
        <v>200</v>
      </c>
      <c r="F7" s="522" t="s">
        <v>477</v>
      </c>
      <c r="G7" s="393">
        <f>$E7</f>
        <v>200</v>
      </c>
    </row>
    <row r="8" spans="1:7" ht="34.950000000000003" customHeight="1">
      <c r="A8" s="35" t="s">
        <v>478</v>
      </c>
      <c r="B8" s="35" t="s">
        <v>479</v>
      </c>
      <c r="C8" s="394">
        <f>B19/250*400</f>
        <v>85805.019659200014</v>
      </c>
      <c r="D8" s="522" t="s">
        <v>480</v>
      </c>
      <c r="E8" s="522">
        <v>1.9E-2</v>
      </c>
      <c r="F8" s="522" t="s">
        <v>481</v>
      </c>
      <c r="G8" s="393">
        <f>$E8*C8</f>
        <v>1630.2953735248002</v>
      </c>
    </row>
    <row r="9" spans="1:7" ht="22.2" customHeight="1">
      <c r="A9" s="34" t="s">
        <v>482</v>
      </c>
      <c r="B9" s="395" t="s">
        <v>483</v>
      </c>
      <c r="C9" s="396">
        <v>2</v>
      </c>
      <c r="D9" s="522" t="s">
        <v>484</v>
      </c>
      <c r="E9" s="522">
        <v>15</v>
      </c>
      <c r="F9" s="522" t="s">
        <v>485</v>
      </c>
      <c r="G9" s="393">
        <f>E9*2</f>
        <v>30</v>
      </c>
    </row>
    <row r="10" spans="1:7" ht="30.6" customHeight="1">
      <c r="A10" s="34" t="s">
        <v>486</v>
      </c>
      <c r="B10" s="395" t="s">
        <v>487</v>
      </c>
      <c r="C10" s="397">
        <f>B19*0.1</f>
        <v>5362.8137287000009</v>
      </c>
      <c r="D10" s="522" t="s">
        <v>480</v>
      </c>
      <c r="E10" s="522">
        <v>7.0000000000000001E-3</v>
      </c>
      <c r="F10" s="522" t="s">
        <v>481</v>
      </c>
      <c r="G10" s="398">
        <f>E10*C10</f>
        <v>37.539696100900009</v>
      </c>
    </row>
    <row r="11" spans="1:7" ht="91.95" customHeight="1">
      <c r="A11" s="34" t="s">
        <v>488</v>
      </c>
      <c r="B11" s="395" t="s">
        <v>489</v>
      </c>
      <c r="C11" s="397">
        <f>B18*0.5*30</f>
        <v>8186.9999999999991</v>
      </c>
      <c r="D11" s="522" t="s">
        <v>480</v>
      </c>
      <c r="E11" s="522">
        <v>0.1</v>
      </c>
      <c r="F11" s="522" t="s">
        <v>481</v>
      </c>
      <c r="G11" s="398">
        <f>E11*C11</f>
        <v>818.69999999999993</v>
      </c>
    </row>
    <row r="12" spans="1:7" ht="22.2" customHeight="1">
      <c r="A12" s="615" t="s">
        <v>490</v>
      </c>
      <c r="B12" s="615"/>
      <c r="C12" s="615"/>
      <c r="D12" s="615"/>
      <c r="E12" s="615"/>
      <c r="F12" s="615"/>
      <c r="G12" s="399">
        <f>G8+G7+G9</f>
        <v>1860.2953735248002</v>
      </c>
    </row>
    <row r="13" spans="1:7" ht="22.2" customHeight="1">
      <c r="A13" s="615" t="s">
        <v>491</v>
      </c>
      <c r="B13" s="615"/>
      <c r="C13" s="615"/>
      <c r="D13" s="615"/>
      <c r="E13" s="615"/>
      <c r="F13" s="615"/>
      <c r="G13" s="399">
        <f>G10+G11</f>
        <v>856.23969610089989</v>
      </c>
    </row>
    <row r="14" spans="1:7" ht="22.2" customHeight="1">
      <c r="A14" s="615" t="s">
        <v>409</v>
      </c>
      <c r="B14" s="615"/>
      <c r="C14" s="615"/>
      <c r="D14" s="615"/>
      <c r="E14" s="615"/>
      <c r="F14" s="615"/>
      <c r="G14" s="399">
        <f>G12+G13</f>
        <v>2716.5350696257001</v>
      </c>
    </row>
    <row r="15" spans="1:7">
      <c r="A15" s="148"/>
      <c r="B15" s="148"/>
      <c r="C15" s="148"/>
    </row>
    <row r="16" spans="1:7">
      <c r="A16" s="21" t="s">
        <v>492</v>
      </c>
      <c r="C16" s="148"/>
    </row>
    <row r="17" spans="1:7">
      <c r="C17" s="148"/>
    </row>
    <row r="18" spans="1:7">
      <c r="A18" s="21" t="s">
        <v>493</v>
      </c>
      <c r="B18" s="515">
        <f>(163.7+109.2)*2</f>
        <v>545.79999999999995</v>
      </c>
      <c r="C18" s="148"/>
    </row>
    <row r="19" spans="1:7">
      <c r="A19" s="21" t="s">
        <v>494</v>
      </c>
      <c r="B19" s="400">
        <f>Zones!G57</f>
        <v>53628.137287000005</v>
      </c>
      <c r="C19" s="148"/>
    </row>
    <row r="20" spans="1:7">
      <c r="A20" s="21" t="s">
        <v>495</v>
      </c>
      <c r="B20" s="515">
        <v>3</v>
      </c>
      <c r="C20" s="148"/>
    </row>
    <row r="21" spans="1:7">
      <c r="A21" s="148"/>
      <c r="B21" s="148"/>
      <c r="C21" s="148"/>
    </row>
    <row r="22" spans="1:7">
      <c r="A22" s="148"/>
      <c r="B22" s="148"/>
      <c r="C22" s="148"/>
    </row>
    <row r="23" spans="1:7">
      <c r="A23" s="148"/>
      <c r="B23" s="148"/>
      <c r="C23" s="148"/>
    </row>
    <row r="26" spans="1:7" s="48" customFormat="1" hidden="1">
      <c r="A26" s="48" t="s">
        <v>360</v>
      </c>
      <c r="E26" s="49"/>
      <c r="F26" s="50"/>
      <c r="G26" s="51"/>
    </row>
    <row r="27" spans="1:7" hidden="1"/>
    <row r="28" spans="1:7" hidden="1"/>
    <row r="29" spans="1:7" hidden="1"/>
    <row r="30" spans="1:7" hidden="1"/>
    <row r="31" spans="1:7" hidden="1">
      <c r="A31" s="619" t="s">
        <v>496</v>
      </c>
      <c r="B31" s="620"/>
      <c r="C31" s="620"/>
      <c r="D31" s="621"/>
    </row>
    <row r="32" spans="1:7" hidden="1">
      <c r="A32" s="622" t="s">
        <v>497</v>
      </c>
      <c r="B32" s="623"/>
      <c r="C32" s="623"/>
      <c r="D32" s="624"/>
    </row>
    <row r="33" spans="1:7" ht="26.4" hidden="1">
      <c r="A33" s="99" t="s">
        <v>433</v>
      </c>
      <c r="B33" s="54" t="s">
        <v>498</v>
      </c>
      <c r="C33" s="54" t="s">
        <v>499</v>
      </c>
      <c r="D33" s="100"/>
    </row>
    <row r="34" spans="1:7" hidden="1">
      <c r="A34" s="21">
        <v>2022</v>
      </c>
      <c r="B34" s="21">
        <v>0.1</v>
      </c>
      <c r="C34" s="21">
        <v>1</v>
      </c>
    </row>
    <row r="35" spans="1:7" hidden="1">
      <c r="A35" s="21">
        <v>2019</v>
      </c>
      <c r="B35" s="21">
        <v>0.1</v>
      </c>
      <c r="C35" s="21">
        <v>0.5</v>
      </c>
    </row>
    <row r="36" spans="1:7" hidden="1">
      <c r="A36" s="21">
        <v>2016</v>
      </c>
      <c r="B36" s="21">
        <v>0.14000000000000001</v>
      </c>
      <c r="C36" s="21">
        <v>0.6</v>
      </c>
    </row>
    <row r="37" spans="1:7" hidden="1">
      <c r="A37" s="21" t="s">
        <v>500</v>
      </c>
    </row>
    <row r="38" spans="1:7" hidden="1"/>
    <row r="39" spans="1:7" hidden="1"/>
    <row r="40" spans="1:7" hidden="1">
      <c r="A40" s="625" t="s">
        <v>501</v>
      </c>
      <c r="B40" s="625"/>
      <c r="C40" s="625"/>
    </row>
    <row r="41" spans="1:7" ht="39.6" hidden="1">
      <c r="A41" s="98" t="s">
        <v>71</v>
      </c>
      <c r="B41" s="98" t="s">
        <v>420</v>
      </c>
      <c r="C41" s="98" t="s">
        <v>421</v>
      </c>
      <c r="D41" s="243"/>
      <c r="E41" s="6"/>
    </row>
    <row r="42" spans="1:7" ht="14.4" hidden="1">
      <c r="A42" s="563" t="s">
        <v>502</v>
      </c>
      <c r="B42" s="4" t="s">
        <v>332</v>
      </c>
      <c r="C42" s="242">
        <v>0.96516938622630999</v>
      </c>
      <c r="D42" s="244"/>
      <c r="E42" s="243"/>
      <c r="F42" s="243"/>
      <c r="G42" s="6"/>
    </row>
    <row r="43" spans="1:7" ht="14.4" hidden="1">
      <c r="A43" s="564"/>
      <c r="B43" s="4" t="s">
        <v>335</v>
      </c>
      <c r="C43" s="242">
        <v>0.97338373337983097</v>
      </c>
      <c r="D43" s="8"/>
      <c r="E43"/>
      <c r="F43"/>
      <c r="G43" s="5"/>
    </row>
    <row r="44" spans="1:7" ht="14.4" hidden="1">
      <c r="A44" s="564"/>
      <c r="B44" s="4" t="s">
        <v>336</v>
      </c>
      <c r="C44" s="242">
        <v>1</v>
      </c>
      <c r="D44" s="7"/>
      <c r="E44"/>
      <c r="F44"/>
      <c r="G44" s="10"/>
    </row>
    <row r="45" spans="1:7" ht="14.4" hidden="1">
      <c r="A45" s="564"/>
      <c r="B45" s="4" t="s">
        <v>337</v>
      </c>
      <c r="C45" s="242">
        <v>0.85484318061248399</v>
      </c>
      <c r="D45" s="7"/>
      <c r="E45"/>
      <c r="F45"/>
      <c r="G45" s="10"/>
    </row>
    <row r="46" spans="1:7" ht="14.4" hidden="1">
      <c r="A46" s="564"/>
      <c r="B46" s="4" t="s">
        <v>338</v>
      </c>
      <c r="C46" s="242">
        <v>0.85484318061248399</v>
      </c>
      <c r="D46" s="7"/>
      <c r="E46"/>
      <c r="F46"/>
      <c r="G46" s="10"/>
    </row>
    <row r="47" spans="1:7" ht="14.4" hidden="1">
      <c r="A47" s="564"/>
      <c r="B47" s="4" t="s">
        <v>339</v>
      </c>
      <c r="C47" s="242">
        <v>1</v>
      </c>
      <c r="D47" s="7"/>
      <c r="E47"/>
      <c r="F47"/>
      <c r="G47" s="10"/>
    </row>
    <row r="48" spans="1:7" ht="14.4" hidden="1">
      <c r="A48" s="564"/>
      <c r="B48" s="4" t="s">
        <v>340</v>
      </c>
      <c r="C48" s="242">
        <v>1</v>
      </c>
      <c r="D48" s="7"/>
      <c r="E48"/>
      <c r="F48"/>
      <c r="G48" s="10"/>
    </row>
    <row r="49" spans="1:7" ht="14.4" hidden="1">
      <c r="A49" s="564"/>
      <c r="B49" s="4" t="s">
        <v>341</v>
      </c>
      <c r="C49" s="242">
        <v>0.972197742843804</v>
      </c>
      <c r="D49" s="7"/>
      <c r="E49"/>
      <c r="F49"/>
      <c r="G49" s="10"/>
    </row>
    <row r="50" spans="1:7" ht="14.4" hidden="1">
      <c r="A50" s="564"/>
      <c r="B50" s="4" t="s">
        <v>342</v>
      </c>
      <c r="C50" s="242">
        <v>1</v>
      </c>
      <c r="D50" s="7"/>
      <c r="E50"/>
      <c r="F50"/>
      <c r="G50" s="10"/>
    </row>
    <row r="51" spans="1:7" ht="14.4" hidden="1">
      <c r="A51" s="564"/>
      <c r="B51" s="4" t="s">
        <v>343</v>
      </c>
      <c r="C51" s="242">
        <v>1</v>
      </c>
      <c r="D51" s="7"/>
      <c r="E51"/>
      <c r="F51"/>
      <c r="G51" s="10"/>
    </row>
    <row r="52" spans="1:7" ht="14.4" hidden="1">
      <c r="A52" s="564"/>
      <c r="B52" s="4" t="s">
        <v>344</v>
      </c>
      <c r="C52" s="242">
        <v>0.89872442683077702</v>
      </c>
      <c r="D52" s="7"/>
      <c r="E52"/>
      <c r="F52"/>
      <c r="G52" s="10"/>
    </row>
    <row r="53" spans="1:7" ht="14.4" hidden="1">
      <c r="A53" s="564"/>
      <c r="B53" s="4" t="s">
        <v>345</v>
      </c>
      <c r="C53" s="242">
        <v>1</v>
      </c>
      <c r="D53" s="7"/>
      <c r="E53"/>
      <c r="F53"/>
      <c r="G53" s="10"/>
    </row>
    <row r="54" spans="1:7" ht="14.4" hidden="1">
      <c r="A54" s="564"/>
      <c r="B54" s="4" t="s">
        <v>346</v>
      </c>
      <c r="C54" s="242">
        <v>0.91550700183040901</v>
      </c>
      <c r="D54" s="7"/>
      <c r="E54"/>
      <c r="F54"/>
      <c r="G54" s="10"/>
    </row>
    <row r="55" spans="1:7" ht="14.4" hidden="1">
      <c r="A55" s="564"/>
      <c r="B55" s="4" t="s">
        <v>347</v>
      </c>
      <c r="C55" s="242">
        <v>0.94556599594220303</v>
      </c>
      <c r="D55" s="7"/>
      <c r="E55"/>
      <c r="F55"/>
      <c r="G55" s="10"/>
    </row>
    <row r="56" spans="1:7" ht="14.4" hidden="1">
      <c r="A56" s="564"/>
      <c r="B56" s="4" t="s">
        <v>348</v>
      </c>
      <c r="C56" s="242">
        <v>1</v>
      </c>
      <c r="D56" s="7"/>
      <c r="E56"/>
      <c r="F56"/>
      <c r="G56" s="10"/>
    </row>
    <row r="57" spans="1:7" ht="14.4" hidden="1">
      <c r="A57" s="565"/>
      <c r="B57" s="4" t="s">
        <v>349</v>
      </c>
      <c r="C57" s="242">
        <v>1</v>
      </c>
      <c r="D57" s="7"/>
      <c r="E57"/>
      <c r="F57"/>
      <c r="G57" s="10"/>
    </row>
    <row r="58" spans="1:7" ht="14.4" hidden="1">
      <c r="B58" s="4" t="s">
        <v>350</v>
      </c>
      <c r="C58" s="242">
        <v>1</v>
      </c>
      <c r="D58" s="7"/>
      <c r="E58"/>
      <c r="F58"/>
      <c r="G58" s="10"/>
    </row>
    <row r="59" spans="1:7" ht="14.4" hidden="1">
      <c r="D59" s="7"/>
      <c r="E59"/>
      <c r="F59"/>
      <c r="G59" s="10"/>
    </row>
    <row r="60" spans="1:7" hidden="1"/>
    <row r="61" spans="1:7" hidden="1">
      <c r="B61" s="102" t="s">
        <v>503</v>
      </c>
      <c r="C61" s="616" t="s">
        <v>504</v>
      </c>
      <c r="D61" s="617"/>
      <c r="E61" s="618"/>
    </row>
    <row r="62" spans="1:7" hidden="1">
      <c r="A62" s="521" t="s">
        <v>505</v>
      </c>
      <c r="B62" s="103" t="s">
        <v>506</v>
      </c>
      <c r="C62" s="523">
        <v>542.49</v>
      </c>
      <c r="D62" s="196">
        <v>3002.07</v>
      </c>
      <c r="E62" s="196">
        <v>280.18</v>
      </c>
    </row>
    <row r="63" spans="1:7" hidden="1">
      <c r="A63" s="580" t="s">
        <v>507</v>
      </c>
      <c r="B63" s="105"/>
      <c r="C63" s="104" t="s">
        <v>508</v>
      </c>
      <c r="D63" s="104" t="s">
        <v>509</v>
      </c>
      <c r="E63" s="104" t="s">
        <v>509</v>
      </c>
    </row>
    <row r="64" spans="1:7" hidden="1">
      <c r="A64" s="580"/>
      <c r="B64" s="106"/>
      <c r="C64" s="107" t="s">
        <v>510</v>
      </c>
      <c r="D64" s="107" t="s">
        <v>511</v>
      </c>
      <c r="E64" s="107" t="s">
        <v>512</v>
      </c>
    </row>
    <row r="65" spans="1:5" hidden="1">
      <c r="A65" s="581"/>
      <c r="B65" s="108"/>
      <c r="C65" s="109"/>
      <c r="D65" s="109" t="s">
        <v>513</v>
      </c>
      <c r="E65" s="109"/>
    </row>
    <row r="66" spans="1:5" hidden="1">
      <c r="A66" s="22" t="s">
        <v>514</v>
      </c>
    </row>
    <row r="67" spans="1:5" hidden="1"/>
    <row r="68" spans="1:5" hidden="1"/>
    <row r="69" spans="1:5" hidden="1"/>
    <row r="70" spans="1:5" hidden="1"/>
    <row r="71" spans="1:5" hidden="1"/>
    <row r="72" spans="1:5" hidden="1"/>
    <row r="73" spans="1:5" hidden="1"/>
    <row r="74" spans="1:5" hidden="1"/>
    <row r="75" spans="1:5" hidden="1"/>
    <row r="76" spans="1:5" hidden="1"/>
    <row r="77" spans="1:5" hidden="1"/>
    <row r="78" spans="1:5" hidden="1"/>
    <row r="79" spans="1:5" hidden="1"/>
    <row r="80" spans="1:5" hidden="1"/>
    <row r="81" hidden="1"/>
    <row r="82" hidden="1"/>
    <row r="83" hidden="1"/>
    <row r="84" hidden="1"/>
    <row r="85" hidden="1"/>
    <row r="86" hidden="1"/>
  </sheetData>
  <mergeCells count="12">
    <mergeCell ref="A1:D1"/>
    <mergeCell ref="A5:G5"/>
    <mergeCell ref="B6:C6"/>
    <mergeCell ref="A12:F12"/>
    <mergeCell ref="A13:F13"/>
    <mergeCell ref="A14:F14"/>
    <mergeCell ref="C61:E61"/>
    <mergeCell ref="A63:A65"/>
    <mergeCell ref="A31:D31"/>
    <mergeCell ref="A32:D32"/>
    <mergeCell ref="A42:A57"/>
    <mergeCell ref="A40:C40"/>
  </mergeCells>
  <hyperlinks>
    <hyperlink ref="A32" r:id="rId1" display="Ref: Title 24, Part 6- Table 140.6-C (office area &gt;250nSF)" xr:uid="{25B27E79-6EE5-4341-8518-EEAB1CB5EF6D}"/>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11"/>
  <dimension ref="A1:AA88"/>
  <sheetViews>
    <sheetView zoomScale="85" zoomScaleNormal="85" workbookViewId="0">
      <selection activeCell="Q31" sqref="A31:XFD31"/>
    </sheetView>
  </sheetViews>
  <sheetFormatPr defaultColWidth="8.88671875" defaultRowHeight="13.2"/>
  <cols>
    <col min="1" max="1" width="41.33203125" style="21" customWidth="1"/>
    <col min="2" max="2" width="21.5546875" style="21" customWidth="1"/>
    <col min="3" max="3" width="23.44140625" style="21" customWidth="1"/>
    <col min="4" max="4" width="27.33203125" style="21" customWidth="1"/>
    <col min="5" max="5" width="35.33203125" style="21" customWidth="1"/>
    <col min="6" max="6" width="21.5546875" style="21" customWidth="1"/>
    <col min="7" max="7" width="18.88671875" style="21" customWidth="1"/>
    <col min="8" max="8" width="14.33203125" style="21" customWidth="1"/>
    <col min="9" max="9" width="8.88671875" style="21"/>
    <col min="10" max="10" width="10.5546875" style="21" bestFit="1" customWidth="1"/>
    <col min="11" max="11" width="16.33203125" style="21" customWidth="1"/>
    <col min="12" max="19" width="15.5546875" style="21" customWidth="1"/>
    <col min="20" max="20" width="8.88671875" style="21"/>
    <col min="21" max="21" width="15.33203125" style="21" customWidth="1"/>
    <col min="22" max="24" width="14" style="21" customWidth="1"/>
    <col min="25" max="27" width="13.44140625" style="21" customWidth="1"/>
    <col min="28" max="16384" width="8.88671875" style="21"/>
  </cols>
  <sheetData>
    <row r="1" spans="1:6" ht="21" customHeight="1">
      <c r="A1" s="626" t="str">
        <f>"Equipment - "&amp;Prototype!A2</f>
        <v>Equipment - OfficeMedium</v>
      </c>
      <c r="B1" s="626"/>
      <c r="C1" s="626"/>
      <c r="D1" s="626"/>
      <c r="E1" s="626"/>
      <c r="F1" s="155"/>
    </row>
    <row r="2" spans="1:6" ht="30.6" customHeight="1">
      <c r="A2" s="387" t="s">
        <v>104</v>
      </c>
      <c r="B2" s="387" t="s">
        <v>515</v>
      </c>
      <c r="C2" s="387" t="s">
        <v>516</v>
      </c>
      <c r="D2" s="387" t="s">
        <v>517</v>
      </c>
      <c r="E2" s="533" t="s">
        <v>213</v>
      </c>
      <c r="F2" s="23"/>
    </row>
    <row r="3" spans="1:6" ht="33" customHeight="1">
      <c r="A3" s="522" t="s">
        <v>116</v>
      </c>
      <c r="B3" s="522">
        <v>0.7</v>
      </c>
      <c r="C3" s="522"/>
      <c r="D3" s="66"/>
      <c r="E3" s="234" t="s">
        <v>518</v>
      </c>
    </row>
    <row r="4" spans="1:6" ht="21" customHeight="1">
      <c r="A4" s="522" t="s">
        <v>124</v>
      </c>
      <c r="B4" s="522">
        <v>0.8</v>
      </c>
      <c r="C4" s="522"/>
      <c r="D4" s="66"/>
      <c r="E4" s="573" t="s">
        <v>519</v>
      </c>
    </row>
    <row r="5" spans="1:6" ht="21" customHeight="1">
      <c r="A5" s="522" t="s">
        <v>127</v>
      </c>
      <c r="B5" s="522">
        <v>0.5</v>
      </c>
      <c r="C5" s="522"/>
      <c r="D5" s="66"/>
      <c r="E5" s="573"/>
    </row>
    <row r="6" spans="1:6" ht="21" customHeight="1">
      <c r="A6" s="522" t="s">
        <v>130</v>
      </c>
      <c r="B6" s="522">
        <v>0.2</v>
      </c>
      <c r="C6" s="522"/>
      <c r="D6" s="66"/>
      <c r="E6" s="573"/>
    </row>
    <row r="7" spans="1:6" ht="21" customHeight="1">
      <c r="A7" s="522" t="s">
        <v>133</v>
      </c>
      <c r="B7" s="522">
        <v>3</v>
      </c>
      <c r="C7" s="522"/>
      <c r="D7" s="66"/>
      <c r="E7" s="573"/>
    </row>
    <row r="8" spans="1:6" ht="21" customHeight="1">
      <c r="A8" s="41" t="s">
        <v>135</v>
      </c>
      <c r="B8" s="231">
        <v>12</v>
      </c>
      <c r="C8" s="231"/>
      <c r="D8" s="66"/>
      <c r="E8" s="521" t="s">
        <v>520</v>
      </c>
    </row>
    <row r="9" spans="1:6" ht="21" customHeight="1">
      <c r="A9" s="522" t="s">
        <v>138</v>
      </c>
      <c r="B9" s="522">
        <v>0</v>
      </c>
      <c r="C9" s="522"/>
      <c r="D9" s="66"/>
      <c r="E9" s="573" t="s">
        <v>521</v>
      </c>
    </row>
    <row r="10" spans="1:6" ht="21" customHeight="1">
      <c r="A10" s="522" t="s">
        <v>140</v>
      </c>
      <c r="B10" s="522">
        <v>0.5</v>
      </c>
      <c r="C10" s="522"/>
      <c r="D10" s="66"/>
      <c r="E10" s="573"/>
    </row>
    <row r="11" spans="1:6" ht="21" customHeight="1">
      <c r="A11" s="522" t="s">
        <v>143</v>
      </c>
      <c r="B11" s="522">
        <v>0</v>
      </c>
      <c r="C11" s="522"/>
      <c r="D11" s="66"/>
      <c r="E11" s="573"/>
    </row>
    <row r="12" spans="1:6" ht="21" customHeight="1">
      <c r="A12" s="522" t="s">
        <v>145</v>
      </c>
      <c r="B12" s="522">
        <v>0</v>
      </c>
      <c r="C12" s="522"/>
      <c r="D12" s="66"/>
      <c r="E12" s="573"/>
    </row>
    <row r="13" spans="1:6" ht="21" customHeight="1">
      <c r="A13" s="522" t="s">
        <v>152</v>
      </c>
      <c r="B13" s="522">
        <v>0</v>
      </c>
      <c r="C13" s="522"/>
      <c r="D13" s="66"/>
      <c r="E13" s="573"/>
    </row>
    <row r="16" spans="1:6" ht="15.6">
      <c r="A16" s="626" t="s">
        <v>522</v>
      </c>
      <c r="B16" s="626"/>
      <c r="C16" s="626"/>
      <c r="D16" s="626"/>
    </row>
    <row r="17" spans="1:7">
      <c r="A17" s="533" t="s">
        <v>75</v>
      </c>
      <c r="B17" s="533" t="s">
        <v>523</v>
      </c>
      <c r="C17" s="533" t="s">
        <v>524</v>
      </c>
      <c r="D17" s="533" t="s">
        <v>213</v>
      </c>
    </row>
    <row r="18" spans="1:7" ht="26.4">
      <c r="A18" s="521" t="s">
        <v>525</v>
      </c>
      <c r="B18" s="522">
        <v>2</v>
      </c>
      <c r="C18" s="110">
        <v>13930</v>
      </c>
      <c r="D18" s="521" t="s">
        <v>526</v>
      </c>
    </row>
    <row r="20" spans="1:7" ht="31.2" customHeight="1">
      <c r="A20" s="599" t="s">
        <v>759</v>
      </c>
      <c r="B20" s="599"/>
      <c r="C20" s="599"/>
      <c r="D20" s="599"/>
    </row>
    <row r="24" spans="1:7">
      <c r="A24" s="22"/>
      <c r="B24" s="22"/>
    </row>
    <row r="25" spans="1:7" ht="15" customHeight="1"/>
    <row r="26" spans="1:7" ht="12.6" customHeight="1">
      <c r="A26" s="9"/>
      <c r="B26" s="9"/>
    </row>
    <row r="31" spans="1:7" s="48" customFormat="1" hidden="1">
      <c r="A31" s="48" t="s">
        <v>360</v>
      </c>
      <c r="E31" s="49"/>
      <c r="F31" s="50"/>
      <c r="G31" s="51"/>
    </row>
    <row r="32" spans="1:7" hidden="1"/>
    <row r="33" spans="1:27" hidden="1"/>
    <row r="34" spans="1:27" ht="21.6" hidden="1" customHeight="1">
      <c r="D34" s="629" t="s">
        <v>527</v>
      </c>
      <c r="E34" s="629"/>
      <c r="F34" s="629"/>
      <c r="G34" s="232"/>
    </row>
    <row r="35" spans="1:27" ht="21" hidden="1" customHeight="1">
      <c r="C35" s="233"/>
      <c r="D35" s="236"/>
      <c r="E35" s="329" t="s">
        <v>528</v>
      </c>
      <c r="F35" s="329" t="s">
        <v>529</v>
      </c>
      <c r="G35" s="236" t="s">
        <v>114</v>
      </c>
    </row>
    <row r="36" spans="1:27" ht="27" hidden="1" customHeight="1">
      <c r="D36" s="128" t="s">
        <v>530</v>
      </c>
      <c r="E36" s="630" t="s">
        <v>531</v>
      </c>
      <c r="F36" s="90" t="s">
        <v>532</v>
      </c>
      <c r="G36" s="237"/>
    </row>
    <row r="37" spans="1:27" ht="27" hidden="1" customHeight="1">
      <c r="D37" s="128" t="s">
        <v>533</v>
      </c>
      <c r="E37" s="630"/>
      <c r="F37" s="90" t="s">
        <v>534</v>
      </c>
      <c r="G37" s="234"/>
    </row>
    <row r="38" spans="1:27" ht="27" hidden="1" customHeight="1">
      <c r="D38" s="128" t="s">
        <v>535</v>
      </c>
      <c r="E38" s="630"/>
      <c r="F38" s="90" t="s">
        <v>536</v>
      </c>
      <c r="G38" s="234"/>
    </row>
    <row r="39" spans="1:27" ht="27" hidden="1" customHeight="1">
      <c r="C39" s="524"/>
      <c r="D39" s="128" t="s">
        <v>522</v>
      </c>
      <c r="E39" s="631" t="s">
        <v>537</v>
      </c>
      <c r="F39" s="90" t="s">
        <v>538</v>
      </c>
      <c r="G39" s="234"/>
    </row>
    <row r="40" spans="1:27" ht="27" hidden="1" customHeight="1">
      <c r="C40" s="524"/>
      <c r="D40" s="128" t="s">
        <v>539</v>
      </c>
      <c r="E40" s="632"/>
      <c r="F40" s="90" t="s">
        <v>540</v>
      </c>
      <c r="G40" s="234"/>
      <c r="H40" s="239">
        <f>(8517.8+105.3)/(10000+3930)</f>
        <v>0.61903086862885848</v>
      </c>
    </row>
    <row r="41" spans="1:27" ht="27" hidden="1" customHeight="1">
      <c r="C41" s="524"/>
      <c r="D41" s="128" t="s">
        <v>541</v>
      </c>
      <c r="E41" s="531" t="s">
        <v>542</v>
      </c>
      <c r="F41" s="238"/>
      <c r="G41" s="234"/>
    </row>
    <row r="42" spans="1:27" hidden="1">
      <c r="C42" s="524" t="s">
        <v>543</v>
      </c>
      <c r="D42" s="235"/>
      <c r="E42" s="235"/>
      <c r="F42" s="235"/>
      <c r="G42" s="66"/>
    </row>
    <row r="43" spans="1:27" hidden="1">
      <c r="C43" s="524"/>
      <c r="D43" s="149"/>
      <c r="E43" s="149"/>
      <c r="F43" s="149"/>
    </row>
    <row r="44" spans="1:27" hidden="1">
      <c r="C44" s="524"/>
      <c r="D44" s="23"/>
      <c r="E44" s="112"/>
      <c r="G44" s="113"/>
      <c r="H44" s="113"/>
    </row>
    <row r="45" spans="1:27" ht="21" hidden="1">
      <c r="A45" s="23"/>
      <c r="B45" s="23"/>
      <c r="C45" s="633" t="s">
        <v>544</v>
      </c>
      <c r="D45" s="633"/>
      <c r="E45" s="633"/>
      <c r="F45" s="633"/>
      <c r="G45" s="633"/>
      <c r="H45" s="633"/>
      <c r="I45" s="633"/>
      <c r="L45" s="633" t="s">
        <v>522</v>
      </c>
      <c r="M45" s="633"/>
      <c r="N45" s="633"/>
      <c r="O45" s="633"/>
      <c r="P45" s="633"/>
      <c r="Q45" s="633"/>
      <c r="R45" s="633"/>
      <c r="U45" s="634" t="s">
        <v>545</v>
      </c>
      <c r="V45" s="635"/>
      <c r="W45" s="636"/>
      <c r="X45" s="241"/>
      <c r="Y45" s="634" t="s">
        <v>546</v>
      </c>
      <c r="Z45" s="635"/>
      <c r="AA45" s="636"/>
    </row>
    <row r="46" spans="1:27" ht="21" hidden="1">
      <c r="A46" s="23"/>
      <c r="B46" s="23"/>
      <c r="C46" s="240"/>
      <c r="D46" s="240"/>
      <c r="E46" s="240"/>
      <c r="F46" s="240"/>
      <c r="G46" s="240"/>
      <c r="H46" s="240"/>
      <c r="I46" s="240"/>
    </row>
    <row r="47" spans="1:27" hidden="1">
      <c r="A47" s="23"/>
      <c r="B47" s="23"/>
      <c r="D47" s="113"/>
      <c r="E47" s="113"/>
      <c r="R47" s="25"/>
    </row>
    <row r="48" spans="1:27" hidden="1"/>
    <row r="49" spans="1:27" hidden="1"/>
    <row r="50" spans="1:27" hidden="1"/>
    <row r="51" spans="1:27" hidden="1"/>
    <row r="52" spans="1:27" hidden="1"/>
    <row r="53" spans="1:27" hidden="1"/>
    <row r="54" spans="1:27" hidden="1"/>
    <row r="55" spans="1:27" hidden="1"/>
    <row r="56" spans="1:27" hidden="1"/>
    <row r="57" spans="1:27" hidden="1"/>
    <row r="58" spans="1:27" ht="21" hidden="1">
      <c r="S58" s="241"/>
    </row>
    <row r="59" spans="1:27" hidden="1"/>
    <row r="60" spans="1:27" hidden="1">
      <c r="C60" s="589" t="s">
        <v>547</v>
      </c>
      <c r="D60" s="589"/>
      <c r="E60" s="589"/>
      <c r="G60" s="589" t="s">
        <v>548</v>
      </c>
      <c r="H60" s="589"/>
      <c r="I60" s="589"/>
      <c r="L60" s="589" t="str">
        <f>C60</f>
        <v>CEC 2022</v>
      </c>
      <c r="M60" s="589"/>
      <c r="N60" s="589"/>
      <c r="P60" s="589" t="s">
        <v>548</v>
      </c>
      <c r="Q60" s="589"/>
      <c r="R60" s="589"/>
      <c r="U60" s="589" t="str">
        <f>L60</f>
        <v>CEC 2022</v>
      </c>
      <c r="V60" s="589"/>
      <c r="W60" s="589"/>
      <c r="Y60" s="589" t="s">
        <v>548</v>
      </c>
      <c r="Z60" s="589"/>
      <c r="AA60" s="589"/>
    </row>
    <row r="61" spans="1:27" hidden="1">
      <c r="A61" s="150" t="s">
        <v>463</v>
      </c>
      <c r="C61" s="21" t="s">
        <v>364</v>
      </c>
      <c r="D61" s="21" t="s">
        <v>365</v>
      </c>
      <c r="E61" s="21" t="s">
        <v>366</v>
      </c>
      <c r="G61" s="150" t="s">
        <v>367</v>
      </c>
      <c r="H61" s="21" t="s">
        <v>368</v>
      </c>
      <c r="I61" s="21" t="s">
        <v>369</v>
      </c>
      <c r="L61" s="21" t="s">
        <v>364</v>
      </c>
      <c r="M61" s="21" t="s">
        <v>365</v>
      </c>
      <c r="N61" s="21" t="s">
        <v>366</v>
      </c>
      <c r="P61" s="150" t="s">
        <v>367</v>
      </c>
      <c r="Q61" s="21" t="s">
        <v>368</v>
      </c>
      <c r="R61" s="21" t="s">
        <v>369</v>
      </c>
      <c r="U61" s="21" t="s">
        <v>364</v>
      </c>
      <c r="V61" s="21" t="s">
        <v>365</v>
      </c>
      <c r="W61" s="21" t="s">
        <v>366</v>
      </c>
      <c r="Y61" s="515" t="s">
        <v>367</v>
      </c>
      <c r="Z61" s="515" t="s">
        <v>368</v>
      </c>
      <c r="AA61" s="515" t="s">
        <v>369</v>
      </c>
    </row>
    <row r="62" spans="1:27" hidden="1">
      <c r="A62" s="21">
        <v>1</v>
      </c>
      <c r="C62" s="21">
        <v>0.05</v>
      </c>
      <c r="D62" s="21">
        <v>0.05</v>
      </c>
      <c r="E62" s="21">
        <v>0.05</v>
      </c>
      <c r="G62" s="25">
        <v>0.30767384079999999</v>
      </c>
      <c r="H62" s="25">
        <v>0.2307553806</v>
      </c>
      <c r="I62" s="25">
        <v>0.2307553806</v>
      </c>
      <c r="L62" s="21">
        <v>0</v>
      </c>
      <c r="M62" s="21">
        <v>0</v>
      </c>
      <c r="N62" s="21">
        <v>0</v>
      </c>
      <c r="P62" s="25">
        <v>0.12</v>
      </c>
      <c r="Q62" s="167">
        <v>0.12</v>
      </c>
      <c r="R62" s="21">
        <v>0</v>
      </c>
      <c r="U62" s="21">
        <v>0</v>
      </c>
      <c r="V62" s="21">
        <v>0</v>
      </c>
      <c r="W62" s="21">
        <v>0</v>
      </c>
      <c r="Y62" s="21">
        <v>0</v>
      </c>
      <c r="Z62" s="21">
        <v>0</v>
      </c>
      <c r="AA62" s="21">
        <v>0</v>
      </c>
    </row>
    <row r="63" spans="1:27" hidden="1">
      <c r="A63" s="21">
        <f>A62+1</f>
        <v>2</v>
      </c>
      <c r="C63" s="21">
        <v>0.05</v>
      </c>
      <c r="D63" s="21">
        <v>0.05</v>
      </c>
      <c r="E63" s="21">
        <v>0.05</v>
      </c>
      <c r="G63" s="25">
        <v>0.30767384079999999</v>
      </c>
      <c r="H63" s="25">
        <v>0.2307553806</v>
      </c>
      <c r="I63" s="25">
        <v>0.2307553806</v>
      </c>
      <c r="L63" s="21">
        <v>0</v>
      </c>
      <c r="M63" s="21">
        <v>0</v>
      </c>
      <c r="N63" s="21">
        <v>0</v>
      </c>
      <c r="P63" s="25">
        <v>0.12</v>
      </c>
      <c r="Q63" s="167">
        <v>0.12</v>
      </c>
      <c r="R63" s="21">
        <v>0</v>
      </c>
      <c r="U63" s="21">
        <v>0</v>
      </c>
      <c r="V63" s="21">
        <v>0</v>
      </c>
      <c r="W63" s="21">
        <v>0</v>
      </c>
      <c r="Y63" s="21">
        <v>0</v>
      </c>
      <c r="Z63" s="21">
        <v>0</v>
      </c>
      <c r="AA63" s="21">
        <v>0</v>
      </c>
    </row>
    <row r="64" spans="1:27" hidden="1">
      <c r="A64" s="21">
        <f t="shared" ref="A64:A85" si="0">A63+1</f>
        <v>3</v>
      </c>
      <c r="C64" s="21">
        <v>0.05</v>
      </c>
      <c r="D64" s="21">
        <v>0.05</v>
      </c>
      <c r="E64" s="21">
        <v>0.05</v>
      </c>
      <c r="G64" s="25">
        <v>0.30767384079999999</v>
      </c>
      <c r="H64" s="25">
        <v>0.2307553806</v>
      </c>
      <c r="I64" s="25">
        <v>0.2307553806</v>
      </c>
      <c r="L64" s="21">
        <v>0</v>
      </c>
      <c r="M64" s="21">
        <v>0</v>
      </c>
      <c r="N64" s="21">
        <v>0</v>
      </c>
      <c r="P64" s="25">
        <v>0.12</v>
      </c>
      <c r="Q64" s="167">
        <v>0.12</v>
      </c>
      <c r="R64" s="21">
        <v>0</v>
      </c>
      <c r="U64" s="21">
        <v>0</v>
      </c>
      <c r="V64" s="21">
        <v>0</v>
      </c>
      <c r="W64" s="21">
        <v>0</v>
      </c>
      <c r="Y64" s="21">
        <v>0</v>
      </c>
      <c r="Z64" s="21">
        <v>0</v>
      </c>
      <c r="AA64" s="21">
        <v>0</v>
      </c>
    </row>
    <row r="65" spans="1:27" hidden="1">
      <c r="A65" s="21">
        <f t="shared" si="0"/>
        <v>4</v>
      </c>
      <c r="C65" s="21">
        <v>0.05</v>
      </c>
      <c r="D65" s="21">
        <v>0.05</v>
      </c>
      <c r="E65" s="21">
        <v>0.05</v>
      </c>
      <c r="G65" s="25">
        <v>0.30767384079999999</v>
      </c>
      <c r="H65" s="25">
        <v>0.2307553806</v>
      </c>
      <c r="I65" s="25">
        <v>0.2307553806</v>
      </c>
      <c r="L65" s="21">
        <v>0</v>
      </c>
      <c r="M65" s="21">
        <v>0</v>
      </c>
      <c r="N65" s="21">
        <v>0</v>
      </c>
      <c r="P65" s="25">
        <v>0.12</v>
      </c>
      <c r="Q65" s="167">
        <v>0.12</v>
      </c>
      <c r="R65" s="21">
        <v>0</v>
      </c>
      <c r="U65" s="21">
        <v>0</v>
      </c>
      <c r="V65" s="21">
        <v>0</v>
      </c>
      <c r="W65" s="21">
        <v>0</v>
      </c>
      <c r="Y65" s="21">
        <v>0</v>
      </c>
      <c r="Z65" s="21">
        <v>0</v>
      </c>
      <c r="AA65" s="21">
        <v>0</v>
      </c>
    </row>
    <row r="66" spans="1:27" hidden="1">
      <c r="A66" s="21">
        <f t="shared" si="0"/>
        <v>5</v>
      </c>
      <c r="C66" s="21">
        <v>0.05</v>
      </c>
      <c r="D66" s="21">
        <v>0.05</v>
      </c>
      <c r="E66" s="21">
        <v>0.05</v>
      </c>
      <c r="G66" s="25">
        <v>0.30767384079999999</v>
      </c>
      <c r="H66" s="25">
        <v>0.2307553806</v>
      </c>
      <c r="I66" s="25">
        <v>0.2307553806</v>
      </c>
      <c r="L66" s="21">
        <v>0</v>
      </c>
      <c r="M66" s="21">
        <v>0</v>
      </c>
      <c r="N66" s="21">
        <v>0</v>
      </c>
      <c r="P66" s="25">
        <v>0.12</v>
      </c>
      <c r="Q66" s="167">
        <v>0.12</v>
      </c>
      <c r="R66" s="21">
        <v>0</v>
      </c>
      <c r="U66" s="21">
        <v>0</v>
      </c>
      <c r="V66" s="21">
        <v>0</v>
      </c>
      <c r="W66" s="21">
        <v>0</v>
      </c>
      <c r="Y66" s="21">
        <v>0</v>
      </c>
      <c r="Z66" s="21">
        <v>0</v>
      </c>
      <c r="AA66" s="21">
        <v>0</v>
      </c>
    </row>
    <row r="67" spans="1:27" hidden="1">
      <c r="A67" s="21">
        <f t="shared" si="0"/>
        <v>6</v>
      </c>
      <c r="C67" s="21">
        <v>0.1</v>
      </c>
      <c r="D67" s="21">
        <v>0.05</v>
      </c>
      <c r="E67" s="21">
        <v>0.05</v>
      </c>
      <c r="G67" s="25">
        <v>0.30767384079999999</v>
      </c>
      <c r="H67" s="25">
        <v>0.2307553806</v>
      </c>
      <c r="I67" s="25">
        <v>0.2307553806</v>
      </c>
      <c r="L67" s="21">
        <v>0</v>
      </c>
      <c r="M67" s="21">
        <v>0</v>
      </c>
      <c r="N67" s="21">
        <v>0</v>
      </c>
      <c r="P67" s="25">
        <v>0.12</v>
      </c>
      <c r="Q67" s="167">
        <v>0.12</v>
      </c>
      <c r="R67" s="21">
        <v>0</v>
      </c>
      <c r="U67" s="21">
        <v>1</v>
      </c>
      <c r="V67" s="21">
        <v>1</v>
      </c>
      <c r="W67" s="21">
        <v>0</v>
      </c>
      <c r="Y67" s="21">
        <v>0</v>
      </c>
      <c r="Z67" s="21">
        <v>0</v>
      </c>
      <c r="AA67" s="21">
        <v>0</v>
      </c>
    </row>
    <row r="68" spans="1:27" hidden="1">
      <c r="A68" s="21">
        <f t="shared" si="0"/>
        <v>7</v>
      </c>
      <c r="C68" s="21">
        <v>0.1</v>
      </c>
      <c r="D68" s="21">
        <v>0.1</v>
      </c>
      <c r="E68" s="21">
        <v>0.05</v>
      </c>
      <c r="G68" s="25">
        <v>0.38123479599999999</v>
      </c>
      <c r="H68" s="25">
        <v>0.38123479599999999</v>
      </c>
      <c r="I68" s="25">
        <v>0.28592609699999999</v>
      </c>
      <c r="L68" s="21">
        <v>0</v>
      </c>
      <c r="M68" s="21">
        <v>0</v>
      </c>
      <c r="N68" s="21">
        <v>0</v>
      </c>
      <c r="P68" s="25">
        <v>0.12</v>
      </c>
      <c r="Q68" s="167">
        <v>0.12</v>
      </c>
      <c r="R68" s="21">
        <v>0</v>
      </c>
      <c r="U68" s="21">
        <v>1</v>
      </c>
      <c r="V68" s="21">
        <v>1</v>
      </c>
      <c r="W68" s="21">
        <v>0</v>
      </c>
      <c r="Y68" s="21">
        <v>0</v>
      </c>
      <c r="Z68" s="21">
        <v>0</v>
      </c>
      <c r="AA68" s="21">
        <v>0</v>
      </c>
    </row>
    <row r="69" spans="1:27" hidden="1">
      <c r="A69" s="21">
        <f t="shared" si="0"/>
        <v>8</v>
      </c>
      <c r="C69" s="21">
        <v>0.3</v>
      </c>
      <c r="D69" s="21">
        <v>0.1</v>
      </c>
      <c r="E69" s="21">
        <v>0.05</v>
      </c>
      <c r="G69" s="25">
        <v>0.38123479599999999</v>
      </c>
      <c r="H69" s="25">
        <v>0.38123479599999999</v>
      </c>
      <c r="I69" s="25">
        <v>0.28592609699999999</v>
      </c>
      <c r="L69" s="21">
        <v>0.35</v>
      </c>
      <c r="M69" s="21">
        <v>0.16</v>
      </c>
      <c r="N69" s="21">
        <v>0</v>
      </c>
      <c r="P69" s="25">
        <v>0.35</v>
      </c>
      <c r="Q69" s="167">
        <v>0.16</v>
      </c>
      <c r="R69" s="21">
        <v>0</v>
      </c>
      <c r="U69" s="21">
        <v>1</v>
      </c>
      <c r="V69" s="21">
        <v>1</v>
      </c>
      <c r="W69" s="21">
        <v>0</v>
      </c>
      <c r="Y69" s="21">
        <v>0.35</v>
      </c>
      <c r="Z69" s="21">
        <v>0.16</v>
      </c>
      <c r="AA69" s="21">
        <v>0</v>
      </c>
    </row>
    <row r="70" spans="1:27" hidden="1">
      <c r="A70" s="21">
        <f t="shared" si="0"/>
        <v>9</v>
      </c>
      <c r="C70" s="21">
        <v>0.9</v>
      </c>
      <c r="D70" s="21">
        <v>0.3</v>
      </c>
      <c r="E70" s="21">
        <v>0.05</v>
      </c>
      <c r="G70" s="25">
        <v>0.85777829100000003</v>
      </c>
      <c r="H70" s="25">
        <v>0.47654349499999998</v>
      </c>
      <c r="I70" s="25">
        <v>0.28592609699999999</v>
      </c>
      <c r="L70" s="21">
        <v>0.69</v>
      </c>
      <c r="M70" s="21">
        <v>0.14000000000000001</v>
      </c>
      <c r="N70" s="21">
        <v>0</v>
      </c>
      <c r="P70" s="21">
        <v>0.69</v>
      </c>
      <c r="Q70" s="167">
        <v>0.14000000000000001</v>
      </c>
      <c r="R70" s="21">
        <v>0</v>
      </c>
      <c r="U70" s="21">
        <v>1</v>
      </c>
      <c r="V70" s="21">
        <v>1</v>
      </c>
      <c r="W70" s="21">
        <v>0</v>
      </c>
      <c r="Y70" s="21">
        <v>0.69</v>
      </c>
      <c r="Z70" s="21">
        <v>0.14000000000000001</v>
      </c>
      <c r="AA70" s="21">
        <v>0</v>
      </c>
    </row>
    <row r="71" spans="1:27" hidden="1">
      <c r="A71" s="21">
        <f t="shared" si="0"/>
        <v>10</v>
      </c>
      <c r="C71" s="21">
        <v>0.9</v>
      </c>
      <c r="D71" s="21">
        <v>0.3</v>
      </c>
      <c r="E71" s="21">
        <v>0.05</v>
      </c>
      <c r="G71" s="25">
        <v>0.85777829100000003</v>
      </c>
      <c r="H71" s="25">
        <v>0.47654349499999998</v>
      </c>
      <c r="I71" s="25">
        <v>0.28592609699999999</v>
      </c>
      <c r="L71" s="21">
        <v>0.43</v>
      </c>
      <c r="M71" s="21">
        <v>0.21</v>
      </c>
      <c r="N71" s="21">
        <v>0</v>
      </c>
      <c r="P71" s="21">
        <v>0.43</v>
      </c>
      <c r="Q71" s="167">
        <v>0.21</v>
      </c>
      <c r="R71" s="21">
        <v>0</v>
      </c>
      <c r="U71" s="21">
        <v>1</v>
      </c>
      <c r="V71" s="21">
        <v>1</v>
      </c>
      <c r="W71" s="21">
        <v>0</v>
      </c>
      <c r="Y71" s="21">
        <v>0.43</v>
      </c>
      <c r="Z71" s="21">
        <v>0.21</v>
      </c>
      <c r="AA71" s="21">
        <v>0</v>
      </c>
    </row>
    <row r="72" spans="1:27" hidden="1">
      <c r="A72" s="21">
        <f t="shared" si="0"/>
        <v>11</v>
      </c>
      <c r="C72" s="21">
        <v>0.9</v>
      </c>
      <c r="D72" s="21">
        <v>0.3</v>
      </c>
      <c r="E72" s="21">
        <v>0.05</v>
      </c>
      <c r="G72" s="25">
        <v>0.85777829100000003</v>
      </c>
      <c r="H72" s="25">
        <v>0.47654349499999998</v>
      </c>
      <c r="I72" s="25">
        <v>0.28592609699999999</v>
      </c>
      <c r="L72" s="21">
        <v>0.37</v>
      </c>
      <c r="M72" s="21">
        <v>0.18</v>
      </c>
      <c r="N72" s="21">
        <v>0</v>
      </c>
      <c r="P72" s="25">
        <v>0.37</v>
      </c>
      <c r="Q72" s="167">
        <v>0.18</v>
      </c>
      <c r="R72" s="21">
        <v>0</v>
      </c>
      <c r="U72" s="21">
        <v>1</v>
      </c>
      <c r="V72" s="21">
        <v>1</v>
      </c>
      <c r="W72" s="21">
        <v>0</v>
      </c>
      <c r="Y72" s="21">
        <v>0.37</v>
      </c>
      <c r="Z72" s="21">
        <v>0.18</v>
      </c>
      <c r="AA72" s="21">
        <v>0</v>
      </c>
    </row>
    <row r="73" spans="1:27" hidden="1">
      <c r="A73" s="21">
        <f t="shared" si="0"/>
        <v>12</v>
      </c>
      <c r="C73" s="21">
        <v>0.9</v>
      </c>
      <c r="D73" s="21">
        <v>0.3</v>
      </c>
      <c r="E73" s="21">
        <v>0.05</v>
      </c>
      <c r="G73" s="25">
        <v>0.85777829100000003</v>
      </c>
      <c r="H73" s="25">
        <v>0.47654349499999998</v>
      </c>
      <c r="I73" s="25">
        <v>0.28592609699999999</v>
      </c>
      <c r="L73" s="21">
        <v>0.43</v>
      </c>
      <c r="M73" s="21">
        <v>0.25</v>
      </c>
      <c r="N73" s="21">
        <v>0</v>
      </c>
      <c r="P73" s="21">
        <v>0.43</v>
      </c>
      <c r="Q73" s="167">
        <v>0.25</v>
      </c>
      <c r="R73" s="21">
        <v>0</v>
      </c>
      <c r="U73" s="21">
        <v>1</v>
      </c>
      <c r="V73" s="21">
        <v>1</v>
      </c>
      <c r="W73" s="21">
        <v>0</v>
      </c>
      <c r="Y73" s="21">
        <v>0.43</v>
      </c>
      <c r="Z73" s="21">
        <v>0.25</v>
      </c>
      <c r="AA73" s="21">
        <v>0</v>
      </c>
    </row>
    <row r="74" spans="1:27" hidden="1">
      <c r="A74" s="21">
        <f t="shared" si="0"/>
        <v>13</v>
      </c>
      <c r="C74" s="21">
        <v>0.9</v>
      </c>
      <c r="D74" s="21">
        <v>0.15</v>
      </c>
      <c r="E74" s="21">
        <v>0.05</v>
      </c>
      <c r="G74" s="25">
        <v>0.76246959199999997</v>
      </c>
      <c r="H74" s="25">
        <v>0.33358044650000002</v>
      </c>
      <c r="I74" s="25">
        <v>0.28592609699999999</v>
      </c>
      <c r="L74" s="21">
        <v>0.57999999999999996</v>
      </c>
      <c r="M74" s="21">
        <v>0.21</v>
      </c>
      <c r="N74" s="21">
        <v>0</v>
      </c>
      <c r="P74" s="25">
        <v>0.57999999999999996</v>
      </c>
      <c r="Q74" s="167">
        <v>0.21</v>
      </c>
      <c r="R74" s="21">
        <v>0</v>
      </c>
      <c r="U74" s="21">
        <v>1</v>
      </c>
      <c r="V74" s="21">
        <v>1</v>
      </c>
      <c r="W74" s="21">
        <v>0</v>
      </c>
      <c r="Y74" s="21">
        <v>0.57999999999999996</v>
      </c>
      <c r="Z74" s="21">
        <v>0.21</v>
      </c>
      <c r="AA74" s="21">
        <v>0</v>
      </c>
    </row>
    <row r="75" spans="1:27" hidden="1">
      <c r="A75" s="21">
        <f t="shared" si="0"/>
        <v>14</v>
      </c>
      <c r="C75" s="21">
        <v>0.9</v>
      </c>
      <c r="D75" s="21">
        <v>0.15</v>
      </c>
      <c r="E75" s="21">
        <v>0.05</v>
      </c>
      <c r="G75" s="25">
        <v>0.85777829100000003</v>
      </c>
      <c r="H75" s="25">
        <v>0.33358044650000002</v>
      </c>
      <c r="I75" s="25">
        <v>0.28592609699999999</v>
      </c>
      <c r="L75" s="21">
        <v>0.48</v>
      </c>
      <c r="M75" s="21">
        <v>0.13</v>
      </c>
      <c r="N75" s="21">
        <v>0</v>
      </c>
      <c r="P75" s="25">
        <v>0.48</v>
      </c>
      <c r="Q75" s="167">
        <v>0.13</v>
      </c>
      <c r="R75" s="21">
        <v>0</v>
      </c>
      <c r="U75" s="21">
        <v>1</v>
      </c>
      <c r="V75" s="21">
        <v>1</v>
      </c>
      <c r="W75" s="21">
        <v>0</v>
      </c>
      <c r="Y75" s="21">
        <v>0.48</v>
      </c>
      <c r="Z75" s="21">
        <v>0.13</v>
      </c>
      <c r="AA75" s="21">
        <v>0</v>
      </c>
    </row>
    <row r="76" spans="1:27" hidden="1">
      <c r="A76" s="21">
        <f t="shared" si="0"/>
        <v>15</v>
      </c>
      <c r="C76" s="21">
        <v>0.9</v>
      </c>
      <c r="D76" s="21">
        <v>0.15</v>
      </c>
      <c r="E76" s="21">
        <v>0.05</v>
      </c>
      <c r="G76" s="25">
        <v>0.85777829100000003</v>
      </c>
      <c r="H76" s="25">
        <v>0.33358044650000002</v>
      </c>
      <c r="I76" s="25">
        <v>0.28592609699999999</v>
      </c>
      <c r="L76" s="21">
        <v>0.37</v>
      </c>
      <c r="M76" s="21">
        <v>0.08</v>
      </c>
      <c r="N76" s="21">
        <v>0</v>
      </c>
      <c r="P76" s="25">
        <v>0.37</v>
      </c>
      <c r="Q76" s="167">
        <v>0.12</v>
      </c>
      <c r="R76" s="21">
        <v>0</v>
      </c>
      <c r="U76" s="21">
        <v>1</v>
      </c>
      <c r="V76" s="21">
        <v>1</v>
      </c>
      <c r="W76" s="21">
        <v>0</v>
      </c>
      <c r="Y76" s="21">
        <v>0.37</v>
      </c>
      <c r="Z76" s="21">
        <v>0.08</v>
      </c>
      <c r="AA76" s="21">
        <v>0</v>
      </c>
    </row>
    <row r="77" spans="1:27" hidden="1">
      <c r="A77" s="21">
        <f t="shared" si="0"/>
        <v>16</v>
      </c>
      <c r="C77" s="21">
        <v>0.9</v>
      </c>
      <c r="D77" s="21">
        <v>0.15</v>
      </c>
      <c r="E77" s="21">
        <v>0.05</v>
      </c>
      <c r="G77" s="25">
        <v>0.85777829100000003</v>
      </c>
      <c r="H77" s="25">
        <v>0.33358044650000002</v>
      </c>
      <c r="I77" s="25">
        <v>0.28592609699999999</v>
      </c>
      <c r="L77" s="21">
        <v>0.37</v>
      </c>
      <c r="M77" s="21">
        <v>0.04</v>
      </c>
      <c r="N77" s="21">
        <v>0</v>
      </c>
      <c r="P77" s="25">
        <v>0.37</v>
      </c>
      <c r="Q77" s="167">
        <v>0.12</v>
      </c>
      <c r="R77" s="21">
        <v>0</v>
      </c>
      <c r="U77" s="21">
        <v>1</v>
      </c>
      <c r="V77" s="21">
        <v>1</v>
      </c>
      <c r="W77" s="21">
        <v>0</v>
      </c>
      <c r="Y77" s="21">
        <v>0.37</v>
      </c>
      <c r="Z77" s="21">
        <v>0.04</v>
      </c>
      <c r="AA77" s="21">
        <v>0</v>
      </c>
    </row>
    <row r="78" spans="1:27" hidden="1">
      <c r="A78" s="21">
        <f t="shared" si="0"/>
        <v>17</v>
      </c>
      <c r="C78" s="21">
        <v>0.9</v>
      </c>
      <c r="D78" s="21">
        <v>0.15</v>
      </c>
      <c r="E78" s="21">
        <v>0.05</v>
      </c>
      <c r="G78" s="25">
        <v>0.85777829100000003</v>
      </c>
      <c r="H78" s="25">
        <v>0.33358044650000002</v>
      </c>
      <c r="I78" s="25">
        <v>0.28592609699999999</v>
      </c>
      <c r="L78" s="21">
        <v>0.46</v>
      </c>
      <c r="M78" s="21">
        <v>0.05</v>
      </c>
      <c r="N78" s="21">
        <v>0</v>
      </c>
      <c r="P78" s="25">
        <v>0.46</v>
      </c>
      <c r="Q78" s="167">
        <v>0.12</v>
      </c>
      <c r="R78" s="21">
        <v>0</v>
      </c>
      <c r="U78" s="21">
        <v>1</v>
      </c>
      <c r="V78" s="21">
        <v>1</v>
      </c>
      <c r="W78" s="21">
        <v>0</v>
      </c>
      <c r="Y78" s="21">
        <v>0.46</v>
      </c>
      <c r="Z78" s="21">
        <v>0.05</v>
      </c>
      <c r="AA78" s="21">
        <v>0</v>
      </c>
    </row>
    <row r="79" spans="1:27" hidden="1">
      <c r="A79" s="21">
        <f t="shared" si="0"/>
        <v>18</v>
      </c>
      <c r="C79" s="21">
        <v>0.5</v>
      </c>
      <c r="D79" s="21">
        <v>0.05</v>
      </c>
      <c r="E79" s="21">
        <v>0.05</v>
      </c>
      <c r="G79" s="25">
        <v>0.47654349499999998</v>
      </c>
      <c r="H79" s="25">
        <v>0.28592609699999999</v>
      </c>
      <c r="I79" s="25">
        <v>0.28592609699999999</v>
      </c>
      <c r="L79" s="21">
        <v>0.62</v>
      </c>
      <c r="M79" s="21">
        <v>0.06</v>
      </c>
      <c r="N79" s="21">
        <v>0</v>
      </c>
      <c r="P79" s="25">
        <v>0.62</v>
      </c>
      <c r="Q79" s="167">
        <v>0.12</v>
      </c>
      <c r="R79" s="21">
        <v>0</v>
      </c>
      <c r="U79" s="21">
        <v>1</v>
      </c>
      <c r="V79" s="21">
        <v>1</v>
      </c>
      <c r="W79" s="21">
        <v>0</v>
      </c>
      <c r="Y79" s="21">
        <v>0.62</v>
      </c>
      <c r="Z79" s="21">
        <v>0.06</v>
      </c>
      <c r="AA79" s="21">
        <v>0</v>
      </c>
    </row>
    <row r="80" spans="1:27" hidden="1">
      <c r="A80" s="21">
        <f t="shared" si="0"/>
        <v>19</v>
      </c>
      <c r="C80" s="21">
        <v>0.3</v>
      </c>
      <c r="D80" s="21">
        <v>0.05</v>
      </c>
      <c r="E80" s="21">
        <v>0.05</v>
      </c>
      <c r="G80" s="25">
        <v>0.38123479599999999</v>
      </c>
      <c r="H80" s="25">
        <v>0.28592609699999999</v>
      </c>
      <c r="I80" s="25">
        <v>0.2307553806</v>
      </c>
      <c r="L80" s="69">
        <v>0.2</v>
      </c>
      <c r="M80" s="21">
        <v>0</v>
      </c>
      <c r="N80" s="21">
        <v>0</v>
      </c>
      <c r="P80" s="25">
        <v>0.12</v>
      </c>
      <c r="Q80" s="167">
        <v>0.12</v>
      </c>
      <c r="R80" s="21">
        <v>0</v>
      </c>
      <c r="U80" s="21">
        <v>1</v>
      </c>
      <c r="V80" s="21">
        <v>1</v>
      </c>
      <c r="W80" s="21">
        <v>0</v>
      </c>
      <c r="Y80" s="69">
        <v>0.12</v>
      </c>
      <c r="Z80" s="21">
        <v>0</v>
      </c>
      <c r="AA80" s="21">
        <v>0</v>
      </c>
    </row>
    <row r="81" spans="1:27" hidden="1">
      <c r="A81" s="21">
        <f t="shared" si="0"/>
        <v>20</v>
      </c>
      <c r="C81" s="21">
        <v>0.3</v>
      </c>
      <c r="D81" s="21">
        <v>0.05</v>
      </c>
      <c r="E81" s="21">
        <v>0.05</v>
      </c>
      <c r="G81" s="25">
        <v>0.38123479599999999</v>
      </c>
      <c r="H81" s="25">
        <v>0.2307553806</v>
      </c>
      <c r="I81" s="25">
        <v>0.2307553806</v>
      </c>
      <c r="L81" s="69">
        <v>0.12</v>
      </c>
      <c r="M81" s="21">
        <v>0</v>
      </c>
      <c r="N81" s="21">
        <v>0</v>
      </c>
      <c r="P81" s="25">
        <v>0.12</v>
      </c>
      <c r="Q81" s="167">
        <v>0.12</v>
      </c>
      <c r="R81" s="21">
        <v>0</v>
      </c>
      <c r="U81" s="21">
        <v>1</v>
      </c>
      <c r="V81" s="21">
        <v>0</v>
      </c>
      <c r="W81" s="21">
        <v>0</v>
      </c>
      <c r="Y81" s="69">
        <v>0.04</v>
      </c>
      <c r="Z81" s="21">
        <v>0</v>
      </c>
      <c r="AA81" s="21">
        <v>0</v>
      </c>
    </row>
    <row r="82" spans="1:27" hidden="1">
      <c r="A82" s="21">
        <f>A81+1</f>
        <v>21</v>
      </c>
      <c r="C82" s="21">
        <v>0.2</v>
      </c>
      <c r="D82" s="21">
        <v>0.05</v>
      </c>
      <c r="E82" s="21">
        <v>0.05</v>
      </c>
      <c r="G82" s="25">
        <v>0.38123479599999999</v>
      </c>
      <c r="H82" s="25">
        <v>0.2307553806</v>
      </c>
      <c r="I82" s="25">
        <v>0.2307553806</v>
      </c>
      <c r="L82" s="21">
        <v>0.04</v>
      </c>
      <c r="M82" s="21">
        <v>0</v>
      </c>
      <c r="N82" s="21">
        <v>0</v>
      </c>
      <c r="P82" s="25">
        <v>0.12</v>
      </c>
      <c r="Q82" s="167">
        <v>0.12</v>
      </c>
      <c r="R82" s="21">
        <v>0</v>
      </c>
      <c r="U82" s="21">
        <v>1</v>
      </c>
      <c r="V82" s="21">
        <v>0</v>
      </c>
      <c r="W82" s="21">
        <v>0</v>
      </c>
      <c r="Y82" s="21">
        <v>0.04</v>
      </c>
      <c r="Z82" s="21">
        <v>0</v>
      </c>
      <c r="AA82" s="21">
        <v>0</v>
      </c>
    </row>
    <row r="83" spans="1:27" hidden="1">
      <c r="A83" s="21">
        <f t="shared" si="0"/>
        <v>22</v>
      </c>
      <c r="C83" s="21">
        <v>0.2</v>
      </c>
      <c r="D83" s="21">
        <v>0.05</v>
      </c>
      <c r="E83" s="21">
        <v>0.05</v>
      </c>
      <c r="G83" s="25">
        <v>0.38123479599999999</v>
      </c>
      <c r="H83" s="25">
        <v>0.2307553806</v>
      </c>
      <c r="I83" s="25">
        <v>0.2307553806</v>
      </c>
      <c r="L83" s="69">
        <v>0.04</v>
      </c>
      <c r="M83" s="21">
        <v>0</v>
      </c>
      <c r="N83" s="21">
        <v>0</v>
      </c>
      <c r="P83" s="25">
        <v>0.12</v>
      </c>
      <c r="Q83" s="167">
        <v>0.12</v>
      </c>
      <c r="R83" s="21">
        <v>0</v>
      </c>
      <c r="U83" s="21">
        <v>1</v>
      </c>
      <c r="V83" s="21">
        <v>0</v>
      </c>
      <c r="W83" s="21">
        <v>0</v>
      </c>
      <c r="Y83" s="69">
        <v>0</v>
      </c>
      <c r="Z83" s="21">
        <v>0</v>
      </c>
      <c r="AA83" s="21">
        <v>0</v>
      </c>
    </row>
    <row r="84" spans="1:27" hidden="1">
      <c r="A84" s="21">
        <f t="shared" si="0"/>
        <v>23</v>
      </c>
      <c r="C84" s="21">
        <v>0.1</v>
      </c>
      <c r="D84" s="21">
        <v>0.05</v>
      </c>
      <c r="E84" s="21">
        <v>0.05</v>
      </c>
      <c r="G84" s="25">
        <v>0.38123479599999999</v>
      </c>
      <c r="H84" s="25">
        <v>0.2307553806</v>
      </c>
      <c r="I84" s="25">
        <v>0.2307553806</v>
      </c>
      <c r="L84" s="21">
        <v>0</v>
      </c>
      <c r="M84" s="21">
        <v>0</v>
      </c>
      <c r="N84" s="21">
        <v>0</v>
      </c>
      <c r="P84" s="25">
        <v>0.12</v>
      </c>
      <c r="Q84" s="167">
        <v>0.12</v>
      </c>
      <c r="R84" s="21">
        <v>0</v>
      </c>
      <c r="U84" s="21">
        <v>1</v>
      </c>
      <c r="V84" s="21">
        <v>0</v>
      </c>
      <c r="W84" s="21">
        <v>0</v>
      </c>
      <c r="Y84" s="21">
        <v>0</v>
      </c>
      <c r="Z84" s="21">
        <v>0</v>
      </c>
      <c r="AA84" s="21">
        <v>0</v>
      </c>
    </row>
    <row r="85" spans="1:27" hidden="1">
      <c r="A85" s="21">
        <f t="shared" si="0"/>
        <v>24</v>
      </c>
      <c r="C85" s="21">
        <v>0.05</v>
      </c>
      <c r="D85" s="21">
        <v>0.05</v>
      </c>
      <c r="E85" s="21">
        <v>0.05</v>
      </c>
      <c r="G85" s="25">
        <v>0.38123479599999999</v>
      </c>
      <c r="H85" s="25">
        <v>0.2307553806</v>
      </c>
      <c r="I85" s="25">
        <v>0.2307553806</v>
      </c>
      <c r="L85" s="21">
        <v>0</v>
      </c>
      <c r="M85" s="21">
        <v>0</v>
      </c>
      <c r="N85" s="21">
        <v>0</v>
      </c>
      <c r="P85" s="25">
        <v>0.12</v>
      </c>
      <c r="Q85" s="167">
        <v>0.12</v>
      </c>
      <c r="R85" s="21">
        <v>0</v>
      </c>
      <c r="U85" s="21">
        <v>1</v>
      </c>
      <c r="V85" s="21">
        <v>0</v>
      </c>
      <c r="W85" s="21">
        <v>0</v>
      </c>
      <c r="Y85" s="21">
        <v>0</v>
      </c>
      <c r="Z85" s="21">
        <v>0</v>
      </c>
      <c r="AA85" s="21">
        <v>0</v>
      </c>
    </row>
    <row r="86" spans="1:27" hidden="1">
      <c r="C86" s="21">
        <f>SUM(C62:C85)</f>
        <v>10.500000000000002</v>
      </c>
      <c r="D86" s="21">
        <f>SUM(D62:D85)</f>
        <v>2.7999999999999985</v>
      </c>
      <c r="E86" s="21">
        <f>SUM(E62:E85)</f>
        <v>1.2000000000000004</v>
      </c>
      <c r="G86" s="26">
        <f>SUM(G62:G85)</f>
        <v>12.997160827799995</v>
      </c>
      <c r="H86" s="26">
        <f>SUM(H62:H85)</f>
        <v>7.4467071850999993</v>
      </c>
      <c r="I86" s="26">
        <f>SUM(I62:I85)</f>
        <v>6.2001777311999984</v>
      </c>
      <c r="P86" s="26"/>
      <c r="Q86" s="26"/>
      <c r="R86" s="26"/>
    </row>
    <row r="87" spans="1:27" hidden="1">
      <c r="M87" s="26"/>
    </row>
    <row r="88" spans="1:27" hidden="1"/>
  </sheetData>
  <mergeCells count="18">
    <mergeCell ref="L45:R45"/>
    <mergeCell ref="U60:W60"/>
    <mergeCell ref="Y60:AA60"/>
    <mergeCell ref="U45:W45"/>
    <mergeCell ref="Y45:AA45"/>
    <mergeCell ref="L60:N60"/>
    <mergeCell ref="P60:R60"/>
    <mergeCell ref="G60:I60"/>
    <mergeCell ref="A1:E1"/>
    <mergeCell ref="D34:F34"/>
    <mergeCell ref="E36:E38"/>
    <mergeCell ref="E39:E40"/>
    <mergeCell ref="C45:I45"/>
    <mergeCell ref="A16:D16"/>
    <mergeCell ref="E4:E7"/>
    <mergeCell ref="E9:E13"/>
    <mergeCell ref="A20:D20"/>
    <mergeCell ref="C60:E60"/>
  </mergeCells>
  <phoneticPr fontId="6" type="noConversion"/>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FFA11CA-081D-4DA4-993D-3E209773C559}">
          <x14:formula1>
            <xm:f>Data!$A$2:$A$201</xm:f>
          </x14:formula1>
          <xm:sqref>A3 A11 A13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4"/>
  <dimension ref="A1:AM100"/>
  <sheetViews>
    <sheetView zoomScale="85" zoomScaleNormal="85" workbookViewId="0">
      <selection sqref="A1:AC1"/>
    </sheetView>
  </sheetViews>
  <sheetFormatPr defaultColWidth="9.109375" defaultRowHeight="11.4"/>
  <cols>
    <col min="1" max="1" width="18.6640625" style="114" customWidth="1"/>
    <col min="2" max="2" width="18.109375" style="114" customWidth="1"/>
    <col min="3" max="3" width="28.88671875" style="114" customWidth="1"/>
    <col min="4" max="4" width="20.33203125" style="114" customWidth="1"/>
    <col min="5" max="5" width="9.109375" style="114"/>
    <col min="6" max="29" width="5.6640625" style="114" customWidth="1"/>
    <col min="30" max="16384" width="9.109375" style="114"/>
  </cols>
  <sheetData>
    <row r="1" spans="1:39" ht="24" customHeight="1">
      <c r="A1" s="571" t="str">
        <f>"Schedules - "&amp;Prototype!A2</f>
        <v>Schedules - OfficeMedium</v>
      </c>
      <c r="B1" s="571"/>
      <c r="C1" s="571"/>
      <c r="D1" s="571"/>
      <c r="E1" s="571"/>
      <c r="F1" s="571"/>
      <c r="G1" s="571"/>
      <c r="H1" s="571"/>
      <c r="I1" s="571"/>
      <c r="J1" s="571"/>
      <c r="K1" s="571"/>
      <c r="L1" s="571"/>
      <c r="M1" s="571"/>
      <c r="N1" s="571"/>
      <c r="O1" s="571"/>
      <c r="P1" s="571"/>
      <c r="Q1" s="571"/>
      <c r="R1" s="571"/>
      <c r="S1" s="571"/>
      <c r="T1" s="571"/>
      <c r="U1" s="571"/>
      <c r="V1" s="571"/>
      <c r="W1" s="571"/>
      <c r="X1" s="571"/>
      <c r="Y1" s="571"/>
      <c r="Z1" s="571"/>
      <c r="AA1" s="571"/>
      <c r="AB1" s="571"/>
      <c r="AC1" s="679"/>
      <c r="AD1" s="124"/>
      <c r="AE1" s="124"/>
      <c r="AF1" s="124"/>
      <c r="AG1" s="124"/>
      <c r="AH1" s="124"/>
      <c r="AI1" s="125"/>
      <c r="AJ1" s="125"/>
      <c r="AK1" s="125"/>
    </row>
    <row r="2" spans="1:39" ht="24" customHeight="1">
      <c r="A2" s="677" t="s">
        <v>449</v>
      </c>
      <c r="B2" s="677" t="s">
        <v>106</v>
      </c>
      <c r="C2" s="677" t="s">
        <v>554</v>
      </c>
      <c r="D2" s="677" t="s">
        <v>213</v>
      </c>
      <c r="E2" s="678" t="s">
        <v>555</v>
      </c>
      <c r="F2" s="690" t="s">
        <v>463</v>
      </c>
      <c r="G2" s="691"/>
      <c r="H2" s="691"/>
      <c r="I2" s="691"/>
      <c r="J2" s="691"/>
      <c r="K2" s="691"/>
      <c r="L2" s="691"/>
      <c r="M2" s="691"/>
      <c r="N2" s="691"/>
      <c r="O2" s="691"/>
      <c r="P2" s="691"/>
      <c r="Q2" s="691"/>
      <c r="R2" s="691"/>
      <c r="S2" s="691"/>
      <c r="T2" s="691"/>
      <c r="U2" s="691"/>
      <c r="V2" s="691"/>
      <c r="W2" s="691"/>
      <c r="X2" s="691"/>
      <c r="Y2" s="691"/>
      <c r="Z2" s="691"/>
      <c r="AA2" s="691"/>
      <c r="AB2" s="691"/>
      <c r="AC2" s="692"/>
      <c r="AD2" s="124"/>
      <c r="AE2" s="124"/>
      <c r="AF2" s="124"/>
      <c r="AG2" s="124"/>
      <c r="AH2" s="124"/>
      <c r="AI2" s="125"/>
      <c r="AJ2" s="125"/>
      <c r="AK2" s="125"/>
    </row>
    <row r="3" spans="1:39" ht="25.2" customHeight="1" thickBot="1">
      <c r="A3" s="678"/>
      <c r="B3" s="678"/>
      <c r="C3" s="678"/>
      <c r="D3" s="678"/>
      <c r="E3" s="693"/>
      <c r="F3" s="534">
        <v>1</v>
      </c>
      <c r="G3" s="534">
        <v>2</v>
      </c>
      <c r="H3" s="534">
        <v>3</v>
      </c>
      <c r="I3" s="534">
        <v>4</v>
      </c>
      <c r="J3" s="534">
        <v>5</v>
      </c>
      <c r="K3" s="534">
        <v>6</v>
      </c>
      <c r="L3" s="534">
        <v>7</v>
      </c>
      <c r="M3" s="534">
        <v>8</v>
      </c>
      <c r="N3" s="534">
        <v>9</v>
      </c>
      <c r="O3" s="534">
        <v>10</v>
      </c>
      <c r="P3" s="534">
        <v>11</v>
      </c>
      <c r="Q3" s="534">
        <v>12</v>
      </c>
      <c r="R3" s="534">
        <v>13</v>
      </c>
      <c r="S3" s="534">
        <v>14</v>
      </c>
      <c r="T3" s="534">
        <v>15</v>
      </c>
      <c r="U3" s="534">
        <v>16</v>
      </c>
      <c r="V3" s="534">
        <v>17</v>
      </c>
      <c r="W3" s="534">
        <v>18</v>
      </c>
      <c r="X3" s="534">
        <v>19</v>
      </c>
      <c r="Y3" s="534">
        <v>20</v>
      </c>
      <c r="Z3" s="534">
        <v>21</v>
      </c>
      <c r="AA3" s="534">
        <v>22</v>
      </c>
      <c r="AB3" s="534">
        <v>23</v>
      </c>
      <c r="AC3" s="534">
        <v>24</v>
      </c>
      <c r="AD3" s="125"/>
      <c r="AE3" s="125"/>
      <c r="AF3" s="125"/>
      <c r="AG3" s="125"/>
      <c r="AH3" s="125"/>
      <c r="AI3" s="125"/>
      <c r="AJ3" s="125"/>
      <c r="AK3" s="125"/>
    </row>
    <row r="4" spans="1:39" ht="25.2" customHeight="1">
      <c r="A4" s="652" t="s">
        <v>556</v>
      </c>
      <c r="B4" s="659" t="s">
        <v>117</v>
      </c>
      <c r="C4" s="671" t="s">
        <v>557</v>
      </c>
      <c r="D4" s="682" t="s">
        <v>558</v>
      </c>
      <c r="E4" s="333" t="s">
        <v>553</v>
      </c>
      <c r="F4" s="334">
        <v>0</v>
      </c>
      <c r="G4" s="334">
        <v>0</v>
      </c>
      <c r="H4" s="334">
        <v>0</v>
      </c>
      <c r="I4" s="334">
        <v>0</v>
      </c>
      <c r="J4" s="334">
        <v>0</v>
      </c>
      <c r="K4" s="334">
        <v>0</v>
      </c>
      <c r="L4" s="334">
        <v>0.1</v>
      </c>
      <c r="M4" s="334">
        <v>0.2</v>
      </c>
      <c r="N4" s="334">
        <v>0.95</v>
      </c>
      <c r="O4" s="334">
        <v>0.95</v>
      </c>
      <c r="P4" s="334">
        <v>0.95</v>
      </c>
      <c r="Q4" s="334">
        <v>0.95</v>
      </c>
      <c r="R4" s="334">
        <v>0.5</v>
      </c>
      <c r="S4" s="334">
        <v>0.95</v>
      </c>
      <c r="T4" s="334">
        <v>0.95</v>
      </c>
      <c r="U4" s="334">
        <v>0.95</v>
      </c>
      <c r="V4" s="334">
        <v>0.95</v>
      </c>
      <c r="W4" s="334">
        <v>0.3</v>
      </c>
      <c r="X4" s="334">
        <v>0.1</v>
      </c>
      <c r="Y4" s="334">
        <v>0.1</v>
      </c>
      <c r="Z4" s="334">
        <v>0.1</v>
      </c>
      <c r="AA4" s="334">
        <v>0.1</v>
      </c>
      <c r="AB4" s="334">
        <v>0.05</v>
      </c>
      <c r="AC4" s="335">
        <v>0.05</v>
      </c>
      <c r="AD4" s="125"/>
      <c r="AE4" s="125"/>
      <c r="AF4" s="125"/>
      <c r="AG4" s="125"/>
      <c r="AH4" s="125"/>
      <c r="AI4" s="125"/>
      <c r="AJ4" s="125"/>
      <c r="AK4" s="125"/>
    </row>
    <row r="5" spans="1:39" ht="33" customHeight="1">
      <c r="A5" s="653"/>
      <c r="B5" s="660"/>
      <c r="C5" s="672"/>
      <c r="D5" s="683"/>
      <c r="E5" s="336" t="s">
        <v>457</v>
      </c>
      <c r="F5" s="337">
        <v>0</v>
      </c>
      <c r="G5" s="337">
        <v>0</v>
      </c>
      <c r="H5" s="337">
        <v>0</v>
      </c>
      <c r="I5" s="337">
        <v>0</v>
      </c>
      <c r="J5" s="337">
        <v>0</v>
      </c>
      <c r="K5" s="337">
        <v>0</v>
      </c>
      <c r="L5" s="338">
        <v>0.05</v>
      </c>
      <c r="M5" s="338">
        <v>0.05</v>
      </c>
      <c r="N5" s="338">
        <v>0.05</v>
      </c>
      <c r="O5" s="338">
        <v>0.05</v>
      </c>
      <c r="P5" s="338">
        <v>0.05</v>
      </c>
      <c r="Q5" s="338">
        <v>0.05</v>
      </c>
      <c r="R5" s="338">
        <v>0.05</v>
      </c>
      <c r="S5" s="338">
        <v>0.05</v>
      </c>
      <c r="T5" s="338">
        <v>0.05</v>
      </c>
      <c r="U5" s="338">
        <v>0.05</v>
      </c>
      <c r="V5" s="338">
        <v>0.05</v>
      </c>
      <c r="W5" s="338">
        <v>0.05</v>
      </c>
      <c r="X5" s="339">
        <v>0</v>
      </c>
      <c r="Y5" s="337">
        <v>0</v>
      </c>
      <c r="Z5" s="337">
        <v>0</v>
      </c>
      <c r="AA5" s="337">
        <v>0</v>
      </c>
      <c r="AB5" s="337">
        <v>0</v>
      </c>
      <c r="AC5" s="340">
        <v>0</v>
      </c>
      <c r="AD5" s="125"/>
      <c r="AE5" s="125"/>
      <c r="AF5" s="125"/>
      <c r="AG5" s="125"/>
      <c r="AH5" s="125"/>
      <c r="AI5" s="125"/>
      <c r="AJ5" s="125"/>
      <c r="AK5" s="125"/>
    </row>
    <row r="6" spans="1:39" ht="33" customHeight="1" thickBot="1">
      <c r="A6" s="654"/>
      <c r="B6" s="686"/>
      <c r="C6" s="673"/>
      <c r="D6" s="684"/>
      <c r="E6" s="341" t="s">
        <v>459</v>
      </c>
      <c r="F6" s="342">
        <v>0</v>
      </c>
      <c r="G6" s="342">
        <v>0</v>
      </c>
      <c r="H6" s="342">
        <v>0</v>
      </c>
      <c r="I6" s="342">
        <v>0</v>
      </c>
      <c r="J6" s="342">
        <v>0</v>
      </c>
      <c r="K6" s="342">
        <v>0</v>
      </c>
      <c r="L6" s="342">
        <v>0.05</v>
      </c>
      <c r="M6" s="342">
        <v>0.05</v>
      </c>
      <c r="N6" s="342">
        <v>0.05</v>
      </c>
      <c r="O6" s="342">
        <v>0.05</v>
      </c>
      <c r="P6" s="342">
        <v>0.05</v>
      </c>
      <c r="Q6" s="342">
        <v>0.05</v>
      </c>
      <c r="R6" s="342">
        <v>0.05</v>
      </c>
      <c r="S6" s="342">
        <v>0.05</v>
      </c>
      <c r="T6" s="342">
        <v>0.05</v>
      </c>
      <c r="U6" s="342">
        <v>0.05</v>
      </c>
      <c r="V6" s="342">
        <v>0.05</v>
      </c>
      <c r="W6" s="342">
        <v>0.05</v>
      </c>
      <c r="X6" s="342">
        <v>0</v>
      </c>
      <c r="Y6" s="342">
        <v>0</v>
      </c>
      <c r="Z6" s="342">
        <v>0</v>
      </c>
      <c r="AA6" s="342">
        <v>0</v>
      </c>
      <c r="AB6" s="342">
        <v>0</v>
      </c>
      <c r="AC6" s="343">
        <v>0</v>
      </c>
      <c r="AD6" s="125"/>
      <c r="AE6" s="125"/>
      <c r="AF6" s="125"/>
      <c r="AG6" s="125"/>
      <c r="AH6" s="125"/>
      <c r="AI6" s="125"/>
      <c r="AJ6" s="125"/>
      <c r="AK6" s="125"/>
    </row>
    <row r="7" spans="1:39" ht="38.4" customHeight="1">
      <c r="A7" s="652" t="str">
        <f>A4</f>
        <v>All zones</v>
      </c>
      <c r="B7" s="659" t="s">
        <v>117</v>
      </c>
      <c r="C7" s="725" t="s">
        <v>559</v>
      </c>
      <c r="D7" s="682" t="s">
        <v>560</v>
      </c>
      <c r="E7" s="344" t="s">
        <v>553</v>
      </c>
      <c r="F7" s="334">
        <v>0.05</v>
      </c>
      <c r="G7" s="334">
        <v>0.05</v>
      </c>
      <c r="H7" s="334">
        <v>0.05</v>
      </c>
      <c r="I7" s="334">
        <v>0.05</v>
      </c>
      <c r="J7" s="334">
        <v>0.05</v>
      </c>
      <c r="K7" s="419">
        <v>0.1</v>
      </c>
      <c r="L7" s="419">
        <v>0.1</v>
      </c>
      <c r="M7" s="419">
        <v>0.3</v>
      </c>
      <c r="N7" s="419">
        <v>0.65</v>
      </c>
      <c r="O7" s="419">
        <v>0.65</v>
      </c>
      <c r="P7" s="419">
        <v>0.65</v>
      </c>
      <c r="Q7" s="419">
        <v>0.65</v>
      </c>
      <c r="R7" s="419">
        <v>0.65</v>
      </c>
      <c r="S7" s="419">
        <v>0.65</v>
      </c>
      <c r="T7" s="419">
        <v>0.65</v>
      </c>
      <c r="U7" s="419">
        <v>0.65</v>
      </c>
      <c r="V7" s="419">
        <v>0.65</v>
      </c>
      <c r="W7" s="419">
        <v>0.35</v>
      </c>
      <c r="X7" s="419">
        <v>0.3</v>
      </c>
      <c r="Y7" s="419">
        <v>0.3</v>
      </c>
      <c r="Z7" s="334">
        <v>0.2</v>
      </c>
      <c r="AA7" s="334">
        <v>0.2</v>
      </c>
      <c r="AB7" s="334">
        <v>0.1</v>
      </c>
      <c r="AC7" s="335">
        <v>0.05</v>
      </c>
      <c r="AD7" s="125"/>
      <c r="AE7" s="125"/>
      <c r="AF7" s="125"/>
      <c r="AG7" s="125"/>
      <c r="AH7" s="125"/>
      <c r="AI7" s="125"/>
      <c r="AJ7" s="125"/>
      <c r="AK7" s="125"/>
      <c r="AM7" s="154"/>
    </row>
    <row r="8" spans="1:39" ht="38.4" customHeight="1">
      <c r="A8" s="653"/>
      <c r="B8" s="660"/>
      <c r="C8" s="672"/>
      <c r="D8" s="683"/>
      <c r="E8" s="345" t="s">
        <v>457</v>
      </c>
      <c r="F8" s="337">
        <v>0.05</v>
      </c>
      <c r="G8" s="337">
        <v>0.05</v>
      </c>
      <c r="H8" s="337">
        <v>0.05</v>
      </c>
      <c r="I8" s="337">
        <v>0.05</v>
      </c>
      <c r="J8" s="337">
        <v>0.05</v>
      </c>
      <c r="K8" s="339">
        <v>0.05</v>
      </c>
      <c r="L8" s="339">
        <v>0.05</v>
      </c>
      <c r="M8" s="339">
        <v>0.05</v>
      </c>
      <c r="N8" s="339">
        <v>0.05</v>
      </c>
      <c r="O8" s="339">
        <v>0.05</v>
      </c>
      <c r="P8" s="339">
        <v>0.05</v>
      </c>
      <c r="Q8" s="339">
        <v>0.05</v>
      </c>
      <c r="R8" s="339">
        <v>0.05</v>
      </c>
      <c r="S8" s="339">
        <v>0.05</v>
      </c>
      <c r="T8" s="339">
        <v>0.05</v>
      </c>
      <c r="U8" s="339">
        <v>0.05</v>
      </c>
      <c r="V8" s="339">
        <v>0.05</v>
      </c>
      <c r="W8" s="337">
        <v>0.05</v>
      </c>
      <c r="X8" s="337">
        <v>0.05</v>
      </c>
      <c r="Y8" s="337">
        <v>0.05</v>
      </c>
      <c r="Z8" s="337">
        <v>0.05</v>
      </c>
      <c r="AA8" s="337">
        <v>0.05</v>
      </c>
      <c r="AB8" s="337">
        <v>0.05</v>
      </c>
      <c r="AC8" s="340">
        <v>0.05</v>
      </c>
      <c r="AD8" s="125"/>
      <c r="AE8" s="125"/>
      <c r="AF8" s="125"/>
      <c r="AG8" s="125"/>
      <c r="AH8" s="125"/>
      <c r="AI8" s="125"/>
      <c r="AJ8" s="125"/>
      <c r="AK8" s="125"/>
      <c r="AM8" s="154"/>
    </row>
    <row r="9" spans="1:39" ht="38.4" customHeight="1" thickBot="1">
      <c r="A9" s="654"/>
      <c r="B9" s="686"/>
      <c r="C9" s="673"/>
      <c r="D9" s="685"/>
      <c r="E9" s="346" t="s">
        <v>459</v>
      </c>
      <c r="F9" s="347">
        <v>0.05</v>
      </c>
      <c r="G9" s="347">
        <v>0.05</v>
      </c>
      <c r="H9" s="347">
        <v>0.05</v>
      </c>
      <c r="I9" s="347">
        <v>0.05</v>
      </c>
      <c r="J9" s="347">
        <v>0.05</v>
      </c>
      <c r="K9" s="347">
        <v>0.05</v>
      </c>
      <c r="L9" s="347">
        <v>0.05</v>
      </c>
      <c r="M9" s="347">
        <v>0.05</v>
      </c>
      <c r="N9" s="347">
        <v>0.05</v>
      </c>
      <c r="O9" s="347">
        <v>0.05</v>
      </c>
      <c r="P9" s="347">
        <v>0.05</v>
      </c>
      <c r="Q9" s="347">
        <v>0.05</v>
      </c>
      <c r="R9" s="347">
        <v>0.05</v>
      </c>
      <c r="S9" s="347">
        <v>0.05</v>
      </c>
      <c r="T9" s="347">
        <v>0.05</v>
      </c>
      <c r="U9" s="347">
        <v>0.05</v>
      </c>
      <c r="V9" s="347">
        <v>0.05</v>
      </c>
      <c r="W9" s="347">
        <v>0.05</v>
      </c>
      <c r="X9" s="347">
        <v>0.05</v>
      </c>
      <c r="Y9" s="347">
        <v>0.05</v>
      </c>
      <c r="Z9" s="347">
        <v>0.05</v>
      </c>
      <c r="AA9" s="347">
        <v>0.05</v>
      </c>
      <c r="AB9" s="347">
        <v>0.05</v>
      </c>
      <c r="AC9" s="348">
        <v>0.05</v>
      </c>
      <c r="AD9" s="125"/>
      <c r="AE9" s="125"/>
      <c r="AF9" s="125"/>
      <c r="AG9" s="125"/>
      <c r="AH9" s="125"/>
      <c r="AI9" s="125"/>
      <c r="AJ9" s="125"/>
      <c r="AK9" s="125"/>
      <c r="AM9" s="154"/>
    </row>
    <row r="10" spans="1:39" ht="36" customHeight="1">
      <c r="A10" s="652" t="str">
        <f>A7</f>
        <v>All zones</v>
      </c>
      <c r="B10" s="659" t="s">
        <v>117</v>
      </c>
      <c r="C10" s="725" t="s">
        <v>561</v>
      </c>
      <c r="D10" s="687" t="s">
        <v>562</v>
      </c>
      <c r="E10" s="344" t="s">
        <v>553</v>
      </c>
      <c r="F10" s="267">
        <v>0.45</v>
      </c>
      <c r="G10" s="267">
        <v>0.45</v>
      </c>
      <c r="H10" s="267">
        <v>0.45</v>
      </c>
      <c r="I10" s="267">
        <v>0.45</v>
      </c>
      <c r="J10" s="267">
        <v>0.45</v>
      </c>
      <c r="K10" s="267">
        <v>0.45</v>
      </c>
      <c r="L10" s="267">
        <v>0.45</v>
      </c>
      <c r="M10" s="267">
        <v>0.74</v>
      </c>
      <c r="N10" s="267">
        <v>0.87</v>
      </c>
      <c r="O10" s="267">
        <v>0.9</v>
      </c>
      <c r="P10" s="267">
        <v>0.9</v>
      </c>
      <c r="Q10" s="267">
        <v>0.9</v>
      </c>
      <c r="R10" s="267">
        <v>0.9</v>
      </c>
      <c r="S10" s="267">
        <v>0.9</v>
      </c>
      <c r="T10" s="267">
        <v>0.9</v>
      </c>
      <c r="U10" s="267">
        <v>0.9</v>
      </c>
      <c r="V10" s="267">
        <v>0.9</v>
      </c>
      <c r="W10" s="267">
        <v>0.7</v>
      </c>
      <c r="X10" s="267">
        <v>0.5</v>
      </c>
      <c r="Y10" s="267">
        <v>0.5</v>
      </c>
      <c r="Z10" s="267">
        <v>0.5</v>
      </c>
      <c r="AA10" s="267">
        <v>0.45</v>
      </c>
      <c r="AB10" s="267">
        <v>0.45</v>
      </c>
      <c r="AC10" s="268">
        <v>0.45</v>
      </c>
      <c r="AD10" s="126"/>
      <c r="AE10" s="125"/>
      <c r="AF10" s="125"/>
      <c r="AG10" s="125"/>
      <c r="AH10" s="125"/>
      <c r="AI10" s="125"/>
      <c r="AJ10" s="125"/>
      <c r="AK10" s="125"/>
      <c r="AM10" s="154"/>
    </row>
    <row r="11" spans="1:39" ht="36" customHeight="1">
      <c r="A11" s="653"/>
      <c r="B11" s="660"/>
      <c r="C11" s="672"/>
      <c r="D11" s="688"/>
      <c r="E11" s="345" t="s">
        <v>457</v>
      </c>
      <c r="F11" s="349">
        <v>0.43</v>
      </c>
      <c r="G11" s="349">
        <v>0.43</v>
      </c>
      <c r="H11" s="349">
        <v>0.43</v>
      </c>
      <c r="I11" s="349">
        <v>0.43</v>
      </c>
      <c r="J11" s="349">
        <v>0.43</v>
      </c>
      <c r="K11" s="349">
        <v>0.43</v>
      </c>
      <c r="L11" s="349">
        <v>0.43</v>
      </c>
      <c r="M11" s="349">
        <v>0.43</v>
      </c>
      <c r="N11" s="349">
        <v>0.43</v>
      </c>
      <c r="O11" s="349">
        <v>0.43</v>
      </c>
      <c r="P11" s="349">
        <v>0.43</v>
      </c>
      <c r="Q11" s="349">
        <v>0.43</v>
      </c>
      <c r="R11" s="349">
        <v>0.43</v>
      </c>
      <c r="S11" s="349">
        <v>0.43</v>
      </c>
      <c r="T11" s="349">
        <v>0.43</v>
      </c>
      <c r="U11" s="349">
        <v>0.43</v>
      </c>
      <c r="V11" s="349">
        <v>0.43</v>
      </c>
      <c r="W11" s="349">
        <v>0.43</v>
      </c>
      <c r="X11" s="349">
        <v>0.43</v>
      </c>
      <c r="Y11" s="349">
        <v>0.43</v>
      </c>
      <c r="Z11" s="349">
        <v>0.43</v>
      </c>
      <c r="AA11" s="349">
        <v>0.43</v>
      </c>
      <c r="AB11" s="349">
        <v>0.43</v>
      </c>
      <c r="AC11" s="350">
        <v>0.43</v>
      </c>
      <c r="AD11" s="126"/>
      <c r="AE11" s="125"/>
      <c r="AF11" s="125"/>
      <c r="AG11" s="125"/>
      <c r="AH11" s="125"/>
      <c r="AI11" s="125"/>
      <c r="AJ11" s="125"/>
      <c r="AK11" s="125"/>
      <c r="AM11" s="154"/>
    </row>
    <row r="12" spans="1:39" ht="36" customHeight="1" thickBot="1">
      <c r="A12" s="654"/>
      <c r="B12" s="686"/>
      <c r="C12" s="681"/>
      <c r="D12" s="689"/>
      <c r="E12" s="351" t="s">
        <v>459</v>
      </c>
      <c r="F12" s="269">
        <v>0.43</v>
      </c>
      <c r="G12" s="269">
        <v>0.43</v>
      </c>
      <c r="H12" s="269">
        <v>0.43</v>
      </c>
      <c r="I12" s="269">
        <v>0.43</v>
      </c>
      <c r="J12" s="269">
        <v>0.43</v>
      </c>
      <c r="K12" s="269">
        <v>0.43</v>
      </c>
      <c r="L12" s="269">
        <v>0.43</v>
      </c>
      <c r="M12" s="269">
        <v>0.43</v>
      </c>
      <c r="N12" s="269">
        <v>0.43</v>
      </c>
      <c r="O12" s="269">
        <v>0.43</v>
      </c>
      <c r="P12" s="269">
        <v>0.43</v>
      </c>
      <c r="Q12" s="269">
        <v>0.43</v>
      </c>
      <c r="R12" s="269">
        <v>0.43</v>
      </c>
      <c r="S12" s="269">
        <v>0.43</v>
      </c>
      <c r="T12" s="269">
        <v>0.43</v>
      </c>
      <c r="U12" s="269">
        <v>0.43</v>
      </c>
      <c r="V12" s="269">
        <v>0.43</v>
      </c>
      <c r="W12" s="269">
        <v>0.43</v>
      </c>
      <c r="X12" s="269">
        <v>0.43</v>
      </c>
      <c r="Y12" s="269">
        <v>0.43</v>
      </c>
      <c r="Z12" s="269">
        <v>0.43</v>
      </c>
      <c r="AA12" s="269">
        <v>0.43</v>
      </c>
      <c r="AB12" s="269">
        <v>0.43</v>
      </c>
      <c r="AC12" s="270">
        <v>0.43</v>
      </c>
      <c r="AD12" s="126"/>
      <c r="AE12" s="125"/>
      <c r="AF12" s="125"/>
      <c r="AG12" s="125"/>
      <c r="AH12" s="125"/>
      <c r="AI12" s="125"/>
      <c r="AJ12" s="125"/>
      <c r="AK12" s="125"/>
      <c r="AM12" s="154"/>
    </row>
    <row r="13" spans="1:39" ht="36" customHeight="1">
      <c r="A13" s="652" t="str">
        <f>A4</f>
        <v>All zones</v>
      </c>
      <c r="B13" s="659" t="s">
        <v>117</v>
      </c>
      <c r="C13" s="680" t="s">
        <v>563</v>
      </c>
      <c r="D13" s="682" t="s">
        <v>564</v>
      </c>
      <c r="E13" s="352" t="s">
        <v>553</v>
      </c>
      <c r="F13" s="353">
        <v>0</v>
      </c>
      <c r="G13" s="353">
        <v>0</v>
      </c>
      <c r="H13" s="353">
        <v>0</v>
      </c>
      <c r="I13" s="353">
        <v>0</v>
      </c>
      <c r="J13" s="353">
        <v>0</v>
      </c>
      <c r="K13" s="353">
        <v>1</v>
      </c>
      <c r="L13" s="353">
        <v>1</v>
      </c>
      <c r="M13" s="353">
        <v>1</v>
      </c>
      <c r="N13" s="353">
        <v>1</v>
      </c>
      <c r="O13" s="353">
        <v>1</v>
      </c>
      <c r="P13" s="353">
        <v>1</v>
      </c>
      <c r="Q13" s="353">
        <v>1</v>
      </c>
      <c r="R13" s="353">
        <v>1</v>
      </c>
      <c r="S13" s="353">
        <v>1</v>
      </c>
      <c r="T13" s="353">
        <v>1</v>
      </c>
      <c r="U13" s="353">
        <v>1</v>
      </c>
      <c r="V13" s="353">
        <v>1</v>
      </c>
      <c r="W13" s="353">
        <v>1</v>
      </c>
      <c r="X13" s="353">
        <v>1</v>
      </c>
      <c r="Y13" s="353">
        <v>1</v>
      </c>
      <c r="Z13" s="353">
        <v>1</v>
      </c>
      <c r="AA13" s="353">
        <v>1</v>
      </c>
      <c r="AB13" s="353">
        <v>1</v>
      </c>
      <c r="AC13" s="354">
        <v>1</v>
      </c>
      <c r="AD13" s="126"/>
      <c r="AE13" s="125"/>
      <c r="AF13" s="125"/>
      <c r="AG13" s="125"/>
      <c r="AH13" s="125"/>
      <c r="AI13" s="125"/>
      <c r="AJ13" s="125"/>
      <c r="AK13" s="125"/>
      <c r="AM13" s="154"/>
    </row>
    <row r="14" spans="1:39" ht="36" customHeight="1">
      <c r="A14" s="653"/>
      <c r="B14" s="660"/>
      <c r="C14" s="672"/>
      <c r="D14" s="683"/>
      <c r="E14" s="345" t="s">
        <v>457</v>
      </c>
      <c r="F14" s="337">
        <v>0</v>
      </c>
      <c r="G14" s="337">
        <v>0</v>
      </c>
      <c r="H14" s="337">
        <v>0</v>
      </c>
      <c r="I14" s="337">
        <v>0</v>
      </c>
      <c r="J14" s="337">
        <v>0</v>
      </c>
      <c r="K14" s="339">
        <v>0</v>
      </c>
      <c r="L14" s="339">
        <v>0</v>
      </c>
      <c r="M14" s="339">
        <v>0</v>
      </c>
      <c r="N14" s="339">
        <v>0</v>
      </c>
      <c r="O14" s="339">
        <v>0</v>
      </c>
      <c r="P14" s="339">
        <v>0</v>
      </c>
      <c r="Q14" s="339">
        <v>0</v>
      </c>
      <c r="R14" s="339">
        <v>0</v>
      </c>
      <c r="S14" s="339">
        <v>0</v>
      </c>
      <c r="T14" s="339">
        <v>0</v>
      </c>
      <c r="U14" s="339">
        <v>0</v>
      </c>
      <c r="V14" s="339">
        <v>0</v>
      </c>
      <c r="W14" s="339">
        <v>0</v>
      </c>
      <c r="X14" s="339">
        <v>0</v>
      </c>
      <c r="Y14" s="337">
        <v>0</v>
      </c>
      <c r="Z14" s="337">
        <v>0</v>
      </c>
      <c r="AA14" s="337">
        <v>0</v>
      </c>
      <c r="AB14" s="337">
        <v>0</v>
      </c>
      <c r="AC14" s="340">
        <v>0</v>
      </c>
      <c r="AD14" s="126"/>
      <c r="AE14" s="125"/>
      <c r="AF14" s="125"/>
      <c r="AG14" s="125"/>
      <c r="AH14" s="125"/>
      <c r="AI14" s="125"/>
      <c r="AJ14" s="125"/>
      <c r="AK14" s="125"/>
      <c r="AM14" s="154"/>
    </row>
    <row r="15" spans="1:39" ht="36" customHeight="1" thickBot="1">
      <c r="A15" s="654"/>
      <c r="B15" s="686"/>
      <c r="C15" s="681"/>
      <c r="D15" s="684"/>
      <c r="E15" s="351" t="s">
        <v>459</v>
      </c>
      <c r="F15" s="347">
        <v>0</v>
      </c>
      <c r="G15" s="347">
        <v>0</v>
      </c>
      <c r="H15" s="347">
        <v>0</v>
      </c>
      <c r="I15" s="347">
        <v>0</v>
      </c>
      <c r="J15" s="347">
        <v>0</v>
      </c>
      <c r="K15" s="347">
        <v>0</v>
      </c>
      <c r="L15" s="347">
        <v>0</v>
      </c>
      <c r="M15" s="347">
        <v>0</v>
      </c>
      <c r="N15" s="347">
        <v>0</v>
      </c>
      <c r="O15" s="347">
        <v>0</v>
      </c>
      <c r="P15" s="347">
        <v>0</v>
      </c>
      <c r="Q15" s="347">
        <v>0</v>
      </c>
      <c r="R15" s="347">
        <v>0</v>
      </c>
      <c r="S15" s="347">
        <v>0</v>
      </c>
      <c r="T15" s="347">
        <v>0</v>
      </c>
      <c r="U15" s="347">
        <v>0</v>
      </c>
      <c r="V15" s="347">
        <v>0</v>
      </c>
      <c r="W15" s="347">
        <v>0</v>
      </c>
      <c r="X15" s="347">
        <v>0</v>
      </c>
      <c r="Y15" s="347">
        <v>0</v>
      </c>
      <c r="Z15" s="347">
        <v>0</v>
      </c>
      <c r="AA15" s="347">
        <v>0</v>
      </c>
      <c r="AB15" s="347">
        <v>0</v>
      </c>
      <c r="AC15" s="348">
        <v>0</v>
      </c>
      <c r="AD15" s="126"/>
      <c r="AE15" s="125"/>
      <c r="AF15" s="125"/>
      <c r="AG15" s="125"/>
      <c r="AH15" s="125"/>
      <c r="AI15" s="125"/>
      <c r="AJ15" s="125"/>
      <c r="AK15" s="125"/>
      <c r="AM15" s="154"/>
    </row>
    <row r="16" spans="1:39" ht="36" customHeight="1">
      <c r="A16" s="652" t="str">
        <f>A4</f>
        <v>All zones</v>
      </c>
      <c r="B16" s="659" t="s">
        <v>117</v>
      </c>
      <c r="C16" s="680" t="s">
        <v>565</v>
      </c>
      <c r="D16" s="674" t="s">
        <v>560</v>
      </c>
      <c r="E16" s="352" t="s">
        <v>553</v>
      </c>
      <c r="F16" s="355">
        <v>0.05</v>
      </c>
      <c r="G16" s="355">
        <v>0.05</v>
      </c>
      <c r="H16" s="355">
        <v>0.05</v>
      </c>
      <c r="I16" s="355">
        <v>0.05</v>
      </c>
      <c r="J16" s="355">
        <v>0.05</v>
      </c>
      <c r="K16" s="355">
        <v>0.08</v>
      </c>
      <c r="L16" s="355">
        <v>7.0000000000000007E-2</v>
      </c>
      <c r="M16" s="355">
        <v>0.19</v>
      </c>
      <c r="N16" s="355">
        <v>0.35</v>
      </c>
      <c r="O16" s="355">
        <v>0.38</v>
      </c>
      <c r="P16" s="355">
        <v>0.39</v>
      </c>
      <c r="Q16" s="355">
        <v>0.47</v>
      </c>
      <c r="R16" s="355">
        <v>0.56999999999999995</v>
      </c>
      <c r="S16" s="355">
        <v>0.54</v>
      </c>
      <c r="T16" s="355">
        <v>0.34</v>
      </c>
      <c r="U16" s="355">
        <v>0.33</v>
      </c>
      <c r="V16" s="355">
        <v>0.44</v>
      </c>
      <c r="W16" s="355">
        <v>0.26</v>
      </c>
      <c r="X16" s="355">
        <v>0.21</v>
      </c>
      <c r="Y16" s="355">
        <v>0.15</v>
      </c>
      <c r="Z16" s="355">
        <v>0.17</v>
      </c>
      <c r="AA16" s="355">
        <v>0.08</v>
      </c>
      <c r="AB16" s="355">
        <v>0.05</v>
      </c>
      <c r="AC16" s="356">
        <v>0.05</v>
      </c>
      <c r="AD16" s="126"/>
      <c r="AE16" s="125"/>
      <c r="AF16" s="125"/>
      <c r="AG16" s="125"/>
      <c r="AH16" s="125"/>
      <c r="AI16" s="125"/>
      <c r="AJ16" s="125"/>
      <c r="AK16" s="125"/>
      <c r="AM16" s="154"/>
    </row>
    <row r="17" spans="1:39" ht="36" customHeight="1">
      <c r="A17" s="653"/>
      <c r="B17" s="660"/>
      <c r="C17" s="672"/>
      <c r="D17" s="675"/>
      <c r="E17" s="345" t="s">
        <v>457</v>
      </c>
      <c r="F17" s="357">
        <v>0.05</v>
      </c>
      <c r="G17" s="357">
        <v>0.05</v>
      </c>
      <c r="H17" s="357">
        <v>0.05</v>
      </c>
      <c r="I17" s="357">
        <v>0.05</v>
      </c>
      <c r="J17" s="357">
        <v>0.05</v>
      </c>
      <c r="K17" s="357">
        <v>0.08</v>
      </c>
      <c r="L17" s="357">
        <v>7.0000000000000007E-2</v>
      </c>
      <c r="M17" s="357">
        <v>0.11</v>
      </c>
      <c r="N17" s="357">
        <v>0.15</v>
      </c>
      <c r="O17" s="357">
        <v>0.21</v>
      </c>
      <c r="P17" s="357">
        <v>0.19</v>
      </c>
      <c r="Q17" s="357">
        <v>0.23</v>
      </c>
      <c r="R17" s="357">
        <v>0.2</v>
      </c>
      <c r="S17" s="357">
        <v>0.19</v>
      </c>
      <c r="T17" s="357">
        <v>0.15</v>
      </c>
      <c r="U17" s="357">
        <v>0.12</v>
      </c>
      <c r="V17" s="357">
        <v>0.14000000000000001</v>
      </c>
      <c r="W17" s="357">
        <v>7.0000000000000007E-2</v>
      </c>
      <c r="X17" s="357">
        <v>7.0000000000000007E-2</v>
      </c>
      <c r="Y17" s="357">
        <v>7.0000000000000007E-2</v>
      </c>
      <c r="Z17" s="357">
        <v>7.0000000000000007E-2</v>
      </c>
      <c r="AA17" s="357">
        <v>0.09</v>
      </c>
      <c r="AB17" s="357">
        <v>0.05</v>
      </c>
      <c r="AC17" s="358">
        <v>0.05</v>
      </c>
      <c r="AD17" s="126"/>
      <c r="AE17" s="125"/>
      <c r="AF17" s="125"/>
      <c r="AG17" s="125"/>
      <c r="AH17" s="125"/>
      <c r="AI17" s="125"/>
      <c r="AJ17" s="125"/>
      <c r="AK17" s="125"/>
      <c r="AM17" s="154"/>
    </row>
    <row r="18" spans="1:39" ht="36" customHeight="1" thickBot="1">
      <c r="A18" s="654"/>
      <c r="B18" s="686"/>
      <c r="C18" s="681"/>
      <c r="D18" s="676"/>
      <c r="E18" s="351" t="s">
        <v>459</v>
      </c>
      <c r="F18" s="359">
        <v>0.04</v>
      </c>
      <c r="G18" s="359">
        <v>0.04</v>
      </c>
      <c r="H18" s="359">
        <v>0.04</v>
      </c>
      <c r="I18" s="359">
        <v>0.04</v>
      </c>
      <c r="J18" s="359">
        <v>0.04</v>
      </c>
      <c r="K18" s="359">
        <v>7.0000000000000007E-2</v>
      </c>
      <c r="L18" s="359">
        <v>0.04</v>
      </c>
      <c r="M18" s="359">
        <v>0.04</v>
      </c>
      <c r="N18" s="359">
        <v>0.04</v>
      </c>
      <c r="O18" s="359">
        <v>0.04</v>
      </c>
      <c r="P18" s="359">
        <v>0.04</v>
      </c>
      <c r="Q18" s="359">
        <v>0.06</v>
      </c>
      <c r="R18" s="359">
        <v>0.06</v>
      </c>
      <c r="S18" s="359">
        <v>0.09</v>
      </c>
      <c r="T18" s="359">
        <v>0.06</v>
      </c>
      <c r="U18" s="359">
        <v>0.04</v>
      </c>
      <c r="V18" s="359">
        <v>0.04</v>
      </c>
      <c r="W18" s="359">
        <v>0.04</v>
      </c>
      <c r="X18" s="359">
        <v>0.04</v>
      </c>
      <c r="Y18" s="359">
        <v>0.04</v>
      </c>
      <c r="Z18" s="359">
        <v>0.04</v>
      </c>
      <c r="AA18" s="359">
        <v>7.0000000000000007E-2</v>
      </c>
      <c r="AB18" s="359">
        <v>0.04</v>
      </c>
      <c r="AC18" s="360">
        <v>0.04</v>
      </c>
      <c r="AD18" s="126"/>
      <c r="AE18" s="125"/>
      <c r="AF18" s="125"/>
      <c r="AG18" s="125"/>
      <c r="AH18" s="125"/>
      <c r="AI18" s="125"/>
      <c r="AJ18" s="125"/>
      <c r="AK18" s="125"/>
      <c r="AM18" s="154"/>
    </row>
    <row r="19" spans="1:39" ht="36" customHeight="1">
      <c r="A19" s="652" t="str">
        <f>A4</f>
        <v>All zones</v>
      </c>
      <c r="B19" s="659" t="s">
        <v>117</v>
      </c>
      <c r="C19" s="725" t="s">
        <v>211</v>
      </c>
      <c r="D19" s="674" t="s">
        <v>566</v>
      </c>
      <c r="E19" s="344" t="s">
        <v>553</v>
      </c>
      <c r="F19" s="353">
        <v>1</v>
      </c>
      <c r="G19" s="353">
        <v>1</v>
      </c>
      <c r="H19" s="353">
        <v>1</v>
      </c>
      <c r="I19" s="353">
        <v>1</v>
      </c>
      <c r="J19" s="353">
        <v>1</v>
      </c>
      <c r="K19" s="353">
        <v>0.25</v>
      </c>
      <c r="L19" s="353">
        <v>0.25</v>
      </c>
      <c r="M19" s="353">
        <v>0.25</v>
      </c>
      <c r="N19" s="353">
        <v>0.25</v>
      </c>
      <c r="O19" s="353">
        <v>0.25</v>
      </c>
      <c r="P19" s="353">
        <v>0.25</v>
      </c>
      <c r="Q19" s="353">
        <v>0.25</v>
      </c>
      <c r="R19" s="353">
        <v>0.25</v>
      </c>
      <c r="S19" s="353">
        <v>0.25</v>
      </c>
      <c r="T19" s="353">
        <v>0.25</v>
      </c>
      <c r="U19" s="353">
        <v>0.25</v>
      </c>
      <c r="V19" s="353">
        <v>0.25</v>
      </c>
      <c r="W19" s="353">
        <v>0.25</v>
      </c>
      <c r="X19" s="353">
        <v>0.25</v>
      </c>
      <c r="Y19" s="353">
        <v>0.25</v>
      </c>
      <c r="Z19" s="353">
        <v>0.25</v>
      </c>
      <c r="AA19" s="353">
        <v>0.25</v>
      </c>
      <c r="AB19" s="353">
        <v>0.25</v>
      </c>
      <c r="AC19" s="354">
        <v>0.25</v>
      </c>
      <c r="AD19" s="126"/>
      <c r="AE19" s="125"/>
      <c r="AF19" s="125"/>
      <c r="AG19" s="125"/>
      <c r="AH19" s="125"/>
      <c r="AI19" s="125"/>
      <c r="AJ19" s="125"/>
      <c r="AK19" s="125"/>
      <c r="AM19" s="154"/>
    </row>
    <row r="20" spans="1:39" ht="36" customHeight="1">
      <c r="A20" s="653"/>
      <c r="B20" s="660"/>
      <c r="C20" s="672"/>
      <c r="D20" s="675"/>
      <c r="E20" s="345" t="s">
        <v>457</v>
      </c>
      <c r="F20" s="337">
        <v>1</v>
      </c>
      <c r="G20" s="337">
        <v>1</v>
      </c>
      <c r="H20" s="337">
        <v>1</v>
      </c>
      <c r="I20" s="337">
        <v>1</v>
      </c>
      <c r="J20" s="337">
        <v>1</v>
      </c>
      <c r="K20" s="339">
        <v>1</v>
      </c>
      <c r="L20" s="339">
        <v>1</v>
      </c>
      <c r="M20" s="339">
        <v>1</v>
      </c>
      <c r="N20" s="339">
        <v>1</v>
      </c>
      <c r="O20" s="339">
        <v>1</v>
      </c>
      <c r="P20" s="339">
        <v>1</v>
      </c>
      <c r="Q20" s="339">
        <v>1</v>
      </c>
      <c r="R20" s="339">
        <v>1</v>
      </c>
      <c r="S20" s="339">
        <v>1</v>
      </c>
      <c r="T20" s="339">
        <v>1</v>
      </c>
      <c r="U20" s="339">
        <v>1</v>
      </c>
      <c r="V20" s="339">
        <v>1</v>
      </c>
      <c r="W20" s="339">
        <v>1</v>
      </c>
      <c r="X20" s="339">
        <v>1</v>
      </c>
      <c r="Y20" s="337">
        <v>1</v>
      </c>
      <c r="Z20" s="337">
        <v>1</v>
      </c>
      <c r="AA20" s="337">
        <v>1</v>
      </c>
      <c r="AB20" s="337">
        <v>1</v>
      </c>
      <c r="AC20" s="340">
        <v>1</v>
      </c>
      <c r="AD20" s="126"/>
      <c r="AE20" s="125"/>
      <c r="AF20" s="125"/>
      <c r="AG20" s="125"/>
      <c r="AH20" s="125"/>
      <c r="AI20" s="125"/>
      <c r="AJ20" s="125"/>
      <c r="AK20" s="125"/>
      <c r="AM20" s="154"/>
    </row>
    <row r="21" spans="1:39" ht="36" customHeight="1" thickBot="1">
      <c r="A21" s="654"/>
      <c r="B21" s="686"/>
      <c r="C21" s="673"/>
      <c r="D21" s="676"/>
      <c r="E21" s="346" t="s">
        <v>459</v>
      </c>
      <c r="F21" s="342">
        <v>1</v>
      </c>
      <c r="G21" s="342">
        <v>1</v>
      </c>
      <c r="H21" s="342">
        <v>1</v>
      </c>
      <c r="I21" s="342">
        <v>1</v>
      </c>
      <c r="J21" s="342">
        <v>1</v>
      </c>
      <c r="K21" s="342">
        <v>1</v>
      </c>
      <c r="L21" s="342">
        <v>1</v>
      </c>
      <c r="M21" s="342">
        <v>1</v>
      </c>
      <c r="N21" s="342">
        <v>1</v>
      </c>
      <c r="O21" s="342">
        <v>1</v>
      </c>
      <c r="P21" s="342">
        <v>1</v>
      </c>
      <c r="Q21" s="342">
        <v>1</v>
      </c>
      <c r="R21" s="342">
        <v>1</v>
      </c>
      <c r="S21" s="342">
        <v>1</v>
      </c>
      <c r="T21" s="342">
        <v>1</v>
      </c>
      <c r="U21" s="342">
        <v>1</v>
      </c>
      <c r="V21" s="342">
        <v>1</v>
      </c>
      <c r="W21" s="342">
        <v>1</v>
      </c>
      <c r="X21" s="342">
        <v>1</v>
      </c>
      <c r="Y21" s="342">
        <v>1</v>
      </c>
      <c r="Z21" s="342">
        <v>1</v>
      </c>
      <c r="AA21" s="342">
        <v>1</v>
      </c>
      <c r="AB21" s="342">
        <v>1</v>
      </c>
      <c r="AC21" s="343">
        <v>1</v>
      </c>
      <c r="AD21" s="126"/>
      <c r="AE21" s="125"/>
      <c r="AF21" s="125"/>
      <c r="AG21" s="125"/>
      <c r="AH21" s="125"/>
      <c r="AI21" s="125"/>
      <c r="AJ21" s="125"/>
      <c r="AK21" s="125"/>
      <c r="AM21" s="154"/>
    </row>
    <row r="22" spans="1:39" ht="36" customHeight="1">
      <c r="A22" s="652" t="str">
        <f t="shared" ref="A22" si="0">A7</f>
        <v>All zones</v>
      </c>
      <c r="B22" s="659" t="s">
        <v>117</v>
      </c>
      <c r="C22" s="662" t="s">
        <v>567</v>
      </c>
      <c r="D22" s="655"/>
      <c r="E22" s="361" t="s">
        <v>553</v>
      </c>
      <c r="F22" s="362">
        <f>IF((F13=1),Thermostat!$B$3,Thermostat!$B$4)</f>
        <v>60</v>
      </c>
      <c r="G22" s="362">
        <f>IF((G13=1),Thermostat!$B$3,Thermostat!$B$4)</f>
        <v>60</v>
      </c>
      <c r="H22" s="362">
        <f>IF((H13=1),Thermostat!$B$3,Thermostat!$B$4)</f>
        <v>60</v>
      </c>
      <c r="I22" s="362">
        <f>IF((I13=1),Thermostat!$B$3,Thermostat!$B$4)</f>
        <v>60</v>
      </c>
      <c r="J22" s="362">
        <f>IF((J13=1),Thermostat!$B$3,Thermostat!$B$4)</f>
        <v>60</v>
      </c>
      <c r="K22" s="362">
        <f>IF((K13=1),Thermostat!$B$3,Thermostat!$B$4)</f>
        <v>70</v>
      </c>
      <c r="L22" s="362">
        <f>IF((L13=1),Thermostat!$B$3,Thermostat!$B$4)</f>
        <v>70</v>
      </c>
      <c r="M22" s="362">
        <f>IF((M13=1),Thermostat!$B$3,Thermostat!$B$4)</f>
        <v>70</v>
      </c>
      <c r="N22" s="362">
        <f>IF((N13=1),Thermostat!$B$3,Thermostat!$B$4)</f>
        <v>70</v>
      </c>
      <c r="O22" s="362">
        <f>IF((O13=1),Thermostat!$B$3,Thermostat!$B$4)</f>
        <v>70</v>
      </c>
      <c r="P22" s="362">
        <f>IF((P13=1),Thermostat!$B$3,Thermostat!$B$4)</f>
        <v>70</v>
      </c>
      <c r="Q22" s="362">
        <f>IF((Q13=1),Thermostat!$B$3,Thermostat!$B$4)</f>
        <v>70</v>
      </c>
      <c r="R22" s="362">
        <f>IF((R13=1),Thermostat!$B$3,Thermostat!$B$4)</f>
        <v>70</v>
      </c>
      <c r="S22" s="362">
        <f>IF((S13=1),Thermostat!$B$3,Thermostat!$B$4)</f>
        <v>70</v>
      </c>
      <c r="T22" s="362">
        <f>IF((T13=1),Thermostat!$B$3,Thermostat!$B$4)</f>
        <v>70</v>
      </c>
      <c r="U22" s="362">
        <f>IF((U13=1),Thermostat!$B$3,Thermostat!$B$4)</f>
        <v>70</v>
      </c>
      <c r="V22" s="362">
        <f>IF((V13=1),Thermostat!$B$3,Thermostat!$B$4)</f>
        <v>70</v>
      </c>
      <c r="W22" s="362">
        <f>IF((W13=1),Thermostat!$B$3,Thermostat!$B$4)</f>
        <v>70</v>
      </c>
      <c r="X22" s="362">
        <f>IF((X13=1),Thermostat!$B$3,Thermostat!$B$4)</f>
        <v>70</v>
      </c>
      <c r="Y22" s="362">
        <f>IF((Y13=1),Thermostat!$B$3,Thermostat!$B$4)</f>
        <v>70</v>
      </c>
      <c r="Z22" s="362">
        <f>IF((Z13=1),Thermostat!$B$3,Thermostat!$B$4)</f>
        <v>70</v>
      </c>
      <c r="AA22" s="362">
        <f>IF((AA13=1),Thermostat!$B$3,Thermostat!$B$4)</f>
        <v>70</v>
      </c>
      <c r="AB22" s="362">
        <f>IF((AB13=1),Thermostat!$B$3,Thermostat!$B$4)</f>
        <v>70</v>
      </c>
      <c r="AC22" s="363">
        <f>IF((AC13=1),Thermostat!$B$3,Thermostat!$B$4)</f>
        <v>70</v>
      </c>
      <c r="AD22" s="126"/>
      <c r="AE22" s="125"/>
      <c r="AF22" s="125"/>
      <c r="AG22" s="125"/>
      <c r="AH22" s="125"/>
      <c r="AI22" s="125"/>
      <c r="AJ22" s="125"/>
      <c r="AK22" s="125"/>
      <c r="AM22" s="154"/>
    </row>
    <row r="23" spans="1:39" ht="36" customHeight="1">
      <c r="A23" s="653"/>
      <c r="B23" s="660"/>
      <c r="C23" s="663"/>
      <c r="D23" s="656"/>
      <c r="E23" s="364" t="s">
        <v>457</v>
      </c>
      <c r="F23" s="365">
        <f>IF((F14=1),Thermostat!$B$3,Thermostat!$B$4)</f>
        <v>60</v>
      </c>
      <c r="G23" s="365">
        <f>IF((G14=1),Thermostat!$B$3,Thermostat!$B$4)</f>
        <v>60</v>
      </c>
      <c r="H23" s="365">
        <f>IF((H14=1),Thermostat!$B$3,Thermostat!$B$4)</f>
        <v>60</v>
      </c>
      <c r="I23" s="365">
        <f>IF((I14=1),Thermostat!$B$3,Thermostat!$B$4)</f>
        <v>60</v>
      </c>
      <c r="J23" s="365">
        <f>IF((J14=1),Thermostat!$B$3,Thermostat!$B$4)</f>
        <v>60</v>
      </c>
      <c r="K23" s="365">
        <f>IF((K14=1),Thermostat!$B$3,Thermostat!$B$4)</f>
        <v>60</v>
      </c>
      <c r="L23" s="365">
        <f>IF((L14=1),Thermostat!$B$3,Thermostat!$B$4)</f>
        <v>60</v>
      </c>
      <c r="M23" s="365">
        <f>IF((M14=1),Thermostat!$B$3,Thermostat!$B$4)</f>
        <v>60</v>
      </c>
      <c r="N23" s="365">
        <f>IF((N14=1),Thermostat!$B$3,Thermostat!$B$4)</f>
        <v>60</v>
      </c>
      <c r="O23" s="365">
        <f>IF((O14=1),Thermostat!$B$3,Thermostat!$B$4)</f>
        <v>60</v>
      </c>
      <c r="P23" s="365">
        <f>IF((P14=1),Thermostat!$B$3,Thermostat!$B$4)</f>
        <v>60</v>
      </c>
      <c r="Q23" s="365">
        <f>IF((Q14=1),Thermostat!$B$3,Thermostat!$B$4)</f>
        <v>60</v>
      </c>
      <c r="R23" s="365">
        <f>IF((R14=1),Thermostat!$B$3,Thermostat!$B$4)</f>
        <v>60</v>
      </c>
      <c r="S23" s="365">
        <f>IF((S14=1),Thermostat!$B$3,Thermostat!$B$4)</f>
        <v>60</v>
      </c>
      <c r="T23" s="365">
        <f>IF((T14=1),Thermostat!$B$3,Thermostat!$B$4)</f>
        <v>60</v>
      </c>
      <c r="U23" s="365">
        <f>IF((U14=1),Thermostat!$B$3,Thermostat!$B$4)</f>
        <v>60</v>
      </c>
      <c r="V23" s="365">
        <f>IF((V14=1),Thermostat!$B$3,Thermostat!$B$4)</f>
        <v>60</v>
      </c>
      <c r="W23" s="365">
        <f>IF((W14=1),Thermostat!$B$3,Thermostat!$B$4)</f>
        <v>60</v>
      </c>
      <c r="X23" s="365">
        <f>IF((X14=1),Thermostat!$B$3,Thermostat!$B$4)</f>
        <v>60</v>
      </c>
      <c r="Y23" s="365">
        <f>IF((Y14=1),Thermostat!$B$3,Thermostat!$B$4)</f>
        <v>60</v>
      </c>
      <c r="Z23" s="365">
        <f>IF((Z14=1),Thermostat!$B$3,Thermostat!$B$4)</f>
        <v>60</v>
      </c>
      <c r="AA23" s="365">
        <f>IF((AA14=1),Thermostat!$B$3,Thermostat!$B$4)</f>
        <v>60</v>
      </c>
      <c r="AB23" s="365">
        <f>IF((AB14=1),Thermostat!$B$3,Thermostat!$B$4)</f>
        <v>60</v>
      </c>
      <c r="AC23" s="366">
        <f>IF((AC14=1),Thermostat!$B$3,Thermostat!$B$4)</f>
        <v>60</v>
      </c>
      <c r="AD23" s="126"/>
      <c r="AE23" s="125"/>
      <c r="AF23" s="125"/>
      <c r="AG23" s="125"/>
      <c r="AH23" s="125"/>
      <c r="AI23" s="125"/>
      <c r="AJ23" s="125"/>
      <c r="AK23" s="125"/>
      <c r="AM23" s="154"/>
    </row>
    <row r="24" spans="1:39" ht="36" customHeight="1" thickBot="1">
      <c r="A24" s="654"/>
      <c r="B24" s="686"/>
      <c r="C24" s="664"/>
      <c r="D24" s="657"/>
      <c r="E24" s="367" t="s">
        <v>459</v>
      </c>
      <c r="F24" s="368">
        <f>IF((F15=1),Thermostat!$B$3,Thermostat!$B$4)</f>
        <v>60</v>
      </c>
      <c r="G24" s="368">
        <f>IF((G15=1),Thermostat!$B$3,Thermostat!$B$4)</f>
        <v>60</v>
      </c>
      <c r="H24" s="368">
        <f>IF((H15=1),Thermostat!$B$3,Thermostat!$B$4)</f>
        <v>60</v>
      </c>
      <c r="I24" s="368">
        <f>IF((I15=1),Thermostat!$B$3,Thermostat!$B$4)</f>
        <v>60</v>
      </c>
      <c r="J24" s="368">
        <f>IF((J15=1),Thermostat!$B$3,Thermostat!$B$4)</f>
        <v>60</v>
      </c>
      <c r="K24" s="368">
        <f>IF((K15=1),Thermostat!$B$3,Thermostat!$B$4)</f>
        <v>60</v>
      </c>
      <c r="L24" s="368">
        <f>IF((L15=1),Thermostat!$B$3,Thermostat!$B$4)</f>
        <v>60</v>
      </c>
      <c r="M24" s="368">
        <f>IF((M15=1),Thermostat!$B$3,Thermostat!$B$4)</f>
        <v>60</v>
      </c>
      <c r="N24" s="368">
        <f>IF((N15=1),Thermostat!$B$3,Thermostat!$B$4)</f>
        <v>60</v>
      </c>
      <c r="O24" s="368">
        <f>IF((O15=1),Thermostat!$B$3,Thermostat!$B$4)</f>
        <v>60</v>
      </c>
      <c r="P24" s="368">
        <f>IF((P15=1),Thermostat!$B$3,Thermostat!$B$4)</f>
        <v>60</v>
      </c>
      <c r="Q24" s="368">
        <f>IF((Q15=1),Thermostat!$B$3,Thermostat!$B$4)</f>
        <v>60</v>
      </c>
      <c r="R24" s="368">
        <f>IF((R15=1),Thermostat!$B$3,Thermostat!$B$4)</f>
        <v>60</v>
      </c>
      <c r="S24" s="368">
        <f>IF((S15=1),Thermostat!$B$3,Thermostat!$B$4)</f>
        <v>60</v>
      </c>
      <c r="T24" s="368">
        <f>IF((T15=1),Thermostat!$B$3,Thermostat!$B$4)</f>
        <v>60</v>
      </c>
      <c r="U24" s="368">
        <f>IF((U15=1),Thermostat!$B$3,Thermostat!$B$4)</f>
        <v>60</v>
      </c>
      <c r="V24" s="368">
        <f>IF((V15=1),Thermostat!$B$3,Thermostat!$B$4)</f>
        <v>60</v>
      </c>
      <c r="W24" s="368">
        <f>IF((W15=1),Thermostat!$B$3,Thermostat!$B$4)</f>
        <v>60</v>
      </c>
      <c r="X24" s="368">
        <f>IF((X15=1),Thermostat!$B$3,Thermostat!$B$4)</f>
        <v>60</v>
      </c>
      <c r="Y24" s="368">
        <f>IF((Y15=1),Thermostat!$B$3,Thermostat!$B$4)</f>
        <v>60</v>
      </c>
      <c r="Z24" s="368">
        <f>IF((Z15=1),Thermostat!$B$3,Thermostat!$B$4)</f>
        <v>60</v>
      </c>
      <c r="AA24" s="368">
        <f>IF((AA15=1),Thermostat!$B$3,Thermostat!$B$4)</f>
        <v>60</v>
      </c>
      <c r="AB24" s="368">
        <f>IF((AB15=1),Thermostat!$B$3,Thermostat!$B$4)</f>
        <v>60</v>
      </c>
      <c r="AC24" s="369">
        <f>IF((AC15=1),Thermostat!$B$3,Thermostat!$B$4)</f>
        <v>60</v>
      </c>
      <c r="AD24" s="126"/>
      <c r="AE24" s="125"/>
      <c r="AF24" s="125"/>
      <c r="AG24" s="125"/>
      <c r="AH24" s="125"/>
      <c r="AI24" s="125"/>
      <c r="AJ24" s="125"/>
      <c r="AK24" s="125"/>
      <c r="AM24" s="154"/>
    </row>
    <row r="25" spans="1:39" ht="36" customHeight="1">
      <c r="A25" s="652" t="str">
        <f t="shared" ref="A25" si="1">A10</f>
        <v>All zones</v>
      </c>
      <c r="B25" s="659" t="s">
        <v>117</v>
      </c>
      <c r="C25" s="662" t="s">
        <v>568</v>
      </c>
      <c r="D25" s="665"/>
      <c r="E25" s="370" t="s">
        <v>553</v>
      </c>
      <c r="F25" s="371">
        <f>IF((F13=1),Thermostat!$B$5,Thermostat!$B$6)</f>
        <v>85</v>
      </c>
      <c r="G25" s="371">
        <f>IF((G13=1),Thermostat!$B$5,Thermostat!$B$6)</f>
        <v>85</v>
      </c>
      <c r="H25" s="371">
        <f>IF((H13=1),Thermostat!$B$5,Thermostat!$B$6)</f>
        <v>85</v>
      </c>
      <c r="I25" s="371">
        <f>IF((I13=1),Thermostat!$B$5,Thermostat!$B$6)</f>
        <v>85</v>
      </c>
      <c r="J25" s="371">
        <f>IF((J13=1),Thermostat!$B$5,Thermostat!$B$6)</f>
        <v>85</v>
      </c>
      <c r="K25" s="371">
        <f>IF((K13=1),Thermostat!$B$5,Thermostat!$B$6)</f>
        <v>75</v>
      </c>
      <c r="L25" s="371">
        <f>IF((L13=1),Thermostat!$B$5,Thermostat!$B$6)</f>
        <v>75</v>
      </c>
      <c r="M25" s="371">
        <f>IF((M13=1),Thermostat!$B$5,Thermostat!$B$6)</f>
        <v>75</v>
      </c>
      <c r="N25" s="371">
        <f>IF((N13=1),Thermostat!$B$5,Thermostat!$B$6)</f>
        <v>75</v>
      </c>
      <c r="O25" s="371">
        <f>IF((O13=1),Thermostat!$B$5,Thermostat!$B$6)</f>
        <v>75</v>
      </c>
      <c r="P25" s="371">
        <f>IF((P13=1),Thermostat!$B$5,Thermostat!$B$6)</f>
        <v>75</v>
      </c>
      <c r="Q25" s="371">
        <f>IF((Q13=1),Thermostat!$B$5,Thermostat!$B$6)</f>
        <v>75</v>
      </c>
      <c r="R25" s="371">
        <f>IF((R13=1),Thermostat!$B$5,Thermostat!$B$6)</f>
        <v>75</v>
      </c>
      <c r="S25" s="371">
        <f>IF((S13=1),Thermostat!$B$5,Thermostat!$B$6)</f>
        <v>75</v>
      </c>
      <c r="T25" s="371">
        <f>IF((T13=1),Thermostat!$B$5,Thermostat!$B$6)</f>
        <v>75</v>
      </c>
      <c r="U25" s="371">
        <f>IF((U13=1),Thermostat!$B$5,Thermostat!$B$6)</f>
        <v>75</v>
      </c>
      <c r="V25" s="371">
        <f>IF((V13=1),Thermostat!$B$5,Thermostat!$B$6)</f>
        <v>75</v>
      </c>
      <c r="W25" s="371">
        <f>IF((W13=1),Thermostat!$B$5,Thermostat!$B$6)</f>
        <v>75</v>
      </c>
      <c r="X25" s="371">
        <f>IF((X13=1),Thermostat!$B$5,Thermostat!$B$6)</f>
        <v>75</v>
      </c>
      <c r="Y25" s="371">
        <f>IF((Y13=1),Thermostat!$B$5,Thermostat!$B$6)</f>
        <v>75</v>
      </c>
      <c r="Z25" s="371">
        <f>IF((Z13=1),Thermostat!$B$5,Thermostat!$B$6)</f>
        <v>75</v>
      </c>
      <c r="AA25" s="371">
        <f>IF((AA13=1),Thermostat!$B$5,Thermostat!$B$6)</f>
        <v>75</v>
      </c>
      <c r="AB25" s="371">
        <f>IF((AB13=1),Thermostat!$B$5,Thermostat!$B$6)</f>
        <v>75</v>
      </c>
      <c r="AC25" s="372">
        <f>IF((AC13=1),Thermostat!$B$5,Thermostat!$B$6)</f>
        <v>75</v>
      </c>
      <c r="AD25" s="126"/>
      <c r="AE25" s="125"/>
      <c r="AF25" s="125"/>
      <c r="AG25" s="125"/>
      <c r="AH25" s="125"/>
      <c r="AI25" s="125"/>
      <c r="AJ25" s="125"/>
      <c r="AK25" s="125"/>
      <c r="AM25" s="154"/>
    </row>
    <row r="26" spans="1:39" ht="36" customHeight="1">
      <c r="A26" s="653"/>
      <c r="B26" s="660"/>
      <c r="C26" s="663"/>
      <c r="D26" s="666"/>
      <c r="E26" s="364" t="s">
        <v>457</v>
      </c>
      <c r="F26" s="365">
        <f>IF((F14=1),Thermostat!$B$5,Thermostat!$B$6)</f>
        <v>85</v>
      </c>
      <c r="G26" s="365">
        <f>IF((G14=1),Thermostat!$B$5,Thermostat!$B$6)</f>
        <v>85</v>
      </c>
      <c r="H26" s="365">
        <f>IF((H14=1),Thermostat!$B$5,Thermostat!$B$6)</f>
        <v>85</v>
      </c>
      <c r="I26" s="365">
        <f>IF((I14=1),Thermostat!$B$5,Thermostat!$B$6)</f>
        <v>85</v>
      </c>
      <c r="J26" s="365">
        <f>IF((J14=1),Thermostat!$B$5,Thermostat!$B$6)</f>
        <v>85</v>
      </c>
      <c r="K26" s="365">
        <f>IF((K14=1),Thermostat!$B$5,Thermostat!$B$6)</f>
        <v>85</v>
      </c>
      <c r="L26" s="365">
        <f>IF((L14=1),Thermostat!$B$5,Thermostat!$B$6)</f>
        <v>85</v>
      </c>
      <c r="M26" s="365">
        <f>IF((M14=1),Thermostat!$B$5,Thermostat!$B$6)</f>
        <v>85</v>
      </c>
      <c r="N26" s="365">
        <f>IF((N14=1),Thermostat!$B$5,Thermostat!$B$6)</f>
        <v>85</v>
      </c>
      <c r="O26" s="365">
        <f>IF((O14=1),Thermostat!$B$5,Thermostat!$B$6)</f>
        <v>85</v>
      </c>
      <c r="P26" s="365">
        <f>IF((P14=1),Thermostat!$B$5,Thermostat!$B$6)</f>
        <v>85</v>
      </c>
      <c r="Q26" s="365">
        <f>IF((Q14=1),Thermostat!$B$5,Thermostat!$B$6)</f>
        <v>85</v>
      </c>
      <c r="R26" s="365">
        <f>IF((R14=1),Thermostat!$B$5,Thermostat!$B$6)</f>
        <v>85</v>
      </c>
      <c r="S26" s="365">
        <f>IF((S14=1),Thermostat!$B$5,Thermostat!$B$6)</f>
        <v>85</v>
      </c>
      <c r="T26" s="365">
        <f>IF((T14=1),Thermostat!$B$5,Thermostat!$B$6)</f>
        <v>85</v>
      </c>
      <c r="U26" s="365">
        <f>IF((U14=1),Thermostat!$B$5,Thermostat!$B$6)</f>
        <v>85</v>
      </c>
      <c r="V26" s="365">
        <f>IF((V14=1),Thermostat!$B$5,Thermostat!$B$6)</f>
        <v>85</v>
      </c>
      <c r="W26" s="365">
        <f>IF((W14=1),Thermostat!$B$5,Thermostat!$B$6)</f>
        <v>85</v>
      </c>
      <c r="X26" s="365">
        <f>IF((X14=1),Thermostat!$B$5,Thermostat!$B$6)</f>
        <v>85</v>
      </c>
      <c r="Y26" s="365">
        <f>IF((Y14=1),Thermostat!$B$5,Thermostat!$B$6)</f>
        <v>85</v>
      </c>
      <c r="Z26" s="365">
        <f>IF((Z14=1),Thermostat!$B$5,Thermostat!$B$6)</f>
        <v>85</v>
      </c>
      <c r="AA26" s="365">
        <f>IF((AA14=1),Thermostat!$B$5,Thermostat!$B$6)</f>
        <v>85</v>
      </c>
      <c r="AB26" s="365">
        <f>IF((AB14=1),Thermostat!$B$5,Thermostat!$B$6)</f>
        <v>85</v>
      </c>
      <c r="AC26" s="366">
        <f>IF((AC14=1),Thermostat!$B$5,Thermostat!$B$6)</f>
        <v>85</v>
      </c>
      <c r="AD26" s="126"/>
      <c r="AE26" s="125"/>
      <c r="AF26" s="125"/>
      <c r="AG26" s="125"/>
      <c r="AH26" s="125"/>
      <c r="AI26" s="125"/>
      <c r="AJ26" s="125"/>
      <c r="AK26" s="125"/>
      <c r="AM26" s="154"/>
    </row>
    <row r="27" spans="1:39" ht="36" customHeight="1" thickBot="1">
      <c r="A27" s="658"/>
      <c r="B27" s="661"/>
      <c r="C27" s="664"/>
      <c r="D27" s="667"/>
      <c r="E27" s="367" t="s">
        <v>459</v>
      </c>
      <c r="F27" s="368">
        <f>IF((F15=1),Thermostat!$B$5,Thermostat!$B$6)</f>
        <v>85</v>
      </c>
      <c r="G27" s="368">
        <f>IF((G15=1),Thermostat!$B$5,Thermostat!$B$6)</f>
        <v>85</v>
      </c>
      <c r="H27" s="368">
        <f>IF((H15=1),Thermostat!$B$5,Thermostat!$B$6)</f>
        <v>85</v>
      </c>
      <c r="I27" s="368">
        <f>IF((I15=1),Thermostat!$B$5,Thermostat!$B$6)</f>
        <v>85</v>
      </c>
      <c r="J27" s="368">
        <f>IF((J15=1),Thermostat!$B$5,Thermostat!$B$6)</f>
        <v>85</v>
      </c>
      <c r="K27" s="368">
        <f>IF((K15=1),Thermostat!$B$5,Thermostat!$B$6)</f>
        <v>85</v>
      </c>
      <c r="L27" s="368">
        <f>IF((L15=1),Thermostat!$B$5,Thermostat!$B$6)</f>
        <v>85</v>
      </c>
      <c r="M27" s="368">
        <f>IF((M15=1),Thermostat!$B$5,Thermostat!$B$6)</f>
        <v>85</v>
      </c>
      <c r="N27" s="368">
        <f>IF((N15=1),Thermostat!$B$5,Thermostat!$B$6)</f>
        <v>85</v>
      </c>
      <c r="O27" s="368">
        <f>IF((O15=1),Thermostat!$B$5,Thermostat!$B$6)</f>
        <v>85</v>
      </c>
      <c r="P27" s="368">
        <f>IF((P15=1),Thermostat!$B$5,Thermostat!$B$6)</f>
        <v>85</v>
      </c>
      <c r="Q27" s="368">
        <f>IF((Q15=1),Thermostat!$B$5,Thermostat!$B$6)</f>
        <v>85</v>
      </c>
      <c r="R27" s="368">
        <f>IF((R15=1),Thermostat!$B$5,Thermostat!$B$6)</f>
        <v>85</v>
      </c>
      <c r="S27" s="368">
        <f>IF((S15=1),Thermostat!$B$5,Thermostat!$B$6)</f>
        <v>85</v>
      </c>
      <c r="T27" s="368">
        <f>IF((T15=1),Thermostat!$B$5,Thermostat!$B$6)</f>
        <v>85</v>
      </c>
      <c r="U27" s="368">
        <f>IF((U15=1),Thermostat!$B$5,Thermostat!$B$6)</f>
        <v>85</v>
      </c>
      <c r="V27" s="368">
        <f>IF((V15=1),Thermostat!$B$5,Thermostat!$B$6)</f>
        <v>85</v>
      </c>
      <c r="W27" s="368">
        <f>IF((W15=1),Thermostat!$B$5,Thermostat!$B$6)</f>
        <v>85</v>
      </c>
      <c r="X27" s="368">
        <f>IF((X15=1),Thermostat!$B$5,Thermostat!$B$6)</f>
        <v>85</v>
      </c>
      <c r="Y27" s="368">
        <f>IF((Y15=1),Thermostat!$B$5,Thermostat!$B$6)</f>
        <v>85</v>
      </c>
      <c r="Z27" s="368">
        <f>IF((Z15=1),Thermostat!$B$5,Thermostat!$B$6)</f>
        <v>85</v>
      </c>
      <c r="AA27" s="368">
        <f>IF((AA15=1),Thermostat!$B$5,Thermostat!$B$6)</f>
        <v>85</v>
      </c>
      <c r="AB27" s="368">
        <f>IF((AB15=1),Thermostat!$B$5,Thermostat!$B$6)</f>
        <v>85</v>
      </c>
      <c r="AC27" s="369">
        <f>IF((AC15=1),Thermostat!$B$5,Thermostat!$B$6)</f>
        <v>85</v>
      </c>
      <c r="AD27" s="126"/>
      <c r="AE27" s="125"/>
      <c r="AF27" s="125"/>
      <c r="AG27" s="125"/>
      <c r="AH27" s="125"/>
      <c r="AI27" s="125"/>
      <c r="AJ27" s="125"/>
      <c r="AK27" s="125"/>
      <c r="AM27" s="154"/>
    </row>
    <row r="28" spans="1:39" ht="36" customHeight="1" thickBot="1">
      <c r="A28" s="668" t="s">
        <v>136</v>
      </c>
      <c r="B28" s="669"/>
      <c r="C28" s="669"/>
      <c r="D28" s="669"/>
      <c r="E28" s="669"/>
      <c r="F28" s="669"/>
      <c r="G28" s="669"/>
      <c r="H28" s="669"/>
      <c r="I28" s="669"/>
      <c r="J28" s="669"/>
      <c r="K28" s="669"/>
      <c r="L28" s="669"/>
      <c r="M28" s="669"/>
      <c r="N28" s="669"/>
      <c r="O28" s="669"/>
      <c r="P28" s="669"/>
      <c r="Q28" s="669"/>
      <c r="R28" s="669"/>
      <c r="S28" s="669"/>
      <c r="T28" s="669"/>
      <c r="U28" s="669"/>
      <c r="V28" s="669"/>
      <c r="W28" s="669"/>
      <c r="X28" s="669"/>
      <c r="Y28" s="669"/>
      <c r="Z28" s="669"/>
      <c r="AA28" s="669"/>
      <c r="AB28" s="669"/>
      <c r="AC28" s="670"/>
      <c r="AD28" s="126"/>
      <c r="AE28" s="125"/>
      <c r="AF28" s="125"/>
      <c r="AG28" s="125"/>
      <c r="AH28" s="125"/>
      <c r="AI28" s="125"/>
      <c r="AJ28" s="125"/>
      <c r="AK28" s="125"/>
      <c r="AM28" s="154"/>
    </row>
    <row r="29" spans="1:39" ht="36" customHeight="1">
      <c r="A29" s="652" t="s">
        <v>569</v>
      </c>
      <c r="B29" s="659" t="s">
        <v>136</v>
      </c>
      <c r="C29" s="671" t="s">
        <v>557</v>
      </c>
      <c r="D29" s="674" t="s">
        <v>570</v>
      </c>
      <c r="E29" s="333" t="s">
        <v>553</v>
      </c>
      <c r="F29" s="334">
        <v>0</v>
      </c>
      <c r="G29" s="334">
        <v>0</v>
      </c>
      <c r="H29" s="334">
        <v>0</v>
      </c>
      <c r="I29" s="334">
        <v>0</v>
      </c>
      <c r="J29" s="334">
        <v>0.05</v>
      </c>
      <c r="K29" s="334">
        <v>0.1</v>
      </c>
      <c r="L29" s="334">
        <v>0.25</v>
      </c>
      <c r="M29" s="334">
        <v>0.65</v>
      </c>
      <c r="N29" s="334">
        <v>0.65</v>
      </c>
      <c r="O29" s="334">
        <v>0.65</v>
      </c>
      <c r="P29" s="334">
        <v>0.65</v>
      </c>
      <c r="Q29" s="334">
        <v>0.6</v>
      </c>
      <c r="R29" s="334">
        <v>0.6</v>
      </c>
      <c r="S29" s="334">
        <v>0.65</v>
      </c>
      <c r="T29" s="334">
        <v>0.65</v>
      </c>
      <c r="U29" s="334">
        <v>0.65</v>
      </c>
      <c r="V29" s="334">
        <v>0.65</v>
      </c>
      <c r="W29" s="334">
        <v>0.4</v>
      </c>
      <c r="X29" s="334">
        <v>0.25</v>
      </c>
      <c r="Y29" s="334">
        <v>0.1</v>
      </c>
      <c r="Z29" s="334">
        <v>0.05</v>
      </c>
      <c r="AA29" s="334">
        <v>0.05</v>
      </c>
      <c r="AB29" s="334">
        <v>0.05</v>
      </c>
      <c r="AC29" s="335">
        <v>0</v>
      </c>
      <c r="AD29" s="126"/>
      <c r="AE29" s="125"/>
      <c r="AF29" s="125"/>
      <c r="AG29" s="125"/>
      <c r="AH29" s="125"/>
      <c r="AI29" s="125"/>
      <c r="AJ29" s="125"/>
      <c r="AK29" s="125"/>
      <c r="AM29" s="154"/>
    </row>
    <row r="30" spans="1:39" ht="36" customHeight="1">
      <c r="A30" s="653"/>
      <c r="B30" s="660"/>
      <c r="C30" s="672"/>
      <c r="D30" s="675"/>
      <c r="E30" s="336" t="s">
        <v>457</v>
      </c>
      <c r="F30" s="337">
        <v>0</v>
      </c>
      <c r="G30" s="337">
        <v>0</v>
      </c>
      <c r="H30" s="337">
        <v>0</v>
      </c>
      <c r="I30" s="337">
        <v>0</v>
      </c>
      <c r="J30" s="337">
        <v>0</v>
      </c>
      <c r="K30" s="337">
        <v>0</v>
      </c>
      <c r="L30" s="338">
        <v>0</v>
      </c>
      <c r="M30" s="338">
        <v>0.05</v>
      </c>
      <c r="N30" s="338">
        <v>0.05</v>
      </c>
      <c r="O30" s="338">
        <v>0.05</v>
      </c>
      <c r="P30" s="338">
        <v>0.05</v>
      </c>
      <c r="Q30" s="338">
        <v>0.05</v>
      </c>
      <c r="R30" s="338">
        <v>0.05</v>
      </c>
      <c r="S30" s="338">
        <v>0.05</v>
      </c>
      <c r="T30" s="338">
        <v>0.05</v>
      </c>
      <c r="U30" s="338">
        <v>0.05</v>
      </c>
      <c r="V30" s="338">
        <v>0.05</v>
      </c>
      <c r="W30" s="338">
        <v>0.05</v>
      </c>
      <c r="X30" s="339">
        <v>0.05</v>
      </c>
      <c r="Y30" s="337">
        <v>0.05</v>
      </c>
      <c r="Z30" s="337">
        <v>0</v>
      </c>
      <c r="AA30" s="337">
        <v>0</v>
      </c>
      <c r="AB30" s="337">
        <v>0</v>
      </c>
      <c r="AC30" s="340">
        <v>0</v>
      </c>
      <c r="AD30" s="126"/>
      <c r="AE30" s="125"/>
      <c r="AF30" s="125"/>
      <c r="AG30" s="125"/>
      <c r="AH30" s="125"/>
      <c r="AI30" s="125"/>
      <c r="AJ30" s="125"/>
      <c r="AK30" s="125"/>
      <c r="AM30" s="154"/>
    </row>
    <row r="31" spans="1:39" ht="36" customHeight="1" thickBot="1">
      <c r="A31" s="654"/>
      <c r="B31" s="660"/>
      <c r="C31" s="673"/>
      <c r="D31" s="676"/>
      <c r="E31" s="341" t="s">
        <v>459</v>
      </c>
      <c r="F31" s="342">
        <v>0</v>
      </c>
      <c r="G31" s="342">
        <v>0</v>
      </c>
      <c r="H31" s="342">
        <v>0</v>
      </c>
      <c r="I31" s="342">
        <v>0</v>
      </c>
      <c r="J31" s="342">
        <v>0</v>
      </c>
      <c r="K31" s="342">
        <v>0</v>
      </c>
      <c r="L31" s="342">
        <v>0</v>
      </c>
      <c r="M31" s="342">
        <v>0.05</v>
      </c>
      <c r="N31" s="342">
        <v>0.05</v>
      </c>
      <c r="O31" s="342">
        <v>0.05</v>
      </c>
      <c r="P31" s="342">
        <v>0.05</v>
      </c>
      <c r="Q31" s="342">
        <v>0.05</v>
      </c>
      <c r="R31" s="342">
        <v>0.05</v>
      </c>
      <c r="S31" s="342">
        <v>0.05</v>
      </c>
      <c r="T31" s="342">
        <v>0.05</v>
      </c>
      <c r="U31" s="342">
        <v>0.05</v>
      </c>
      <c r="V31" s="342">
        <v>0.05</v>
      </c>
      <c r="W31" s="342">
        <v>0.05</v>
      </c>
      <c r="X31" s="342">
        <v>0.05</v>
      </c>
      <c r="Y31" s="342">
        <v>0.05</v>
      </c>
      <c r="Z31" s="342">
        <v>0</v>
      </c>
      <c r="AA31" s="342">
        <v>0</v>
      </c>
      <c r="AB31" s="342">
        <v>0</v>
      </c>
      <c r="AC31" s="343">
        <v>0</v>
      </c>
      <c r="AD31" s="126"/>
      <c r="AE31" s="125"/>
      <c r="AF31" s="125"/>
      <c r="AG31" s="125"/>
      <c r="AH31" s="125"/>
      <c r="AI31" s="125"/>
      <c r="AJ31" s="125"/>
      <c r="AK31" s="125"/>
      <c r="AM31" s="154"/>
    </row>
    <row r="32" spans="1:39" ht="36" customHeight="1">
      <c r="A32" s="652" t="str">
        <f>A29</f>
        <v>IT room</v>
      </c>
      <c r="B32" s="659" t="str">
        <f>B29</f>
        <v>Data</v>
      </c>
      <c r="C32" s="671" t="s">
        <v>559</v>
      </c>
      <c r="D32" s="674" t="s">
        <v>570</v>
      </c>
      <c r="E32" s="373" t="s">
        <v>553</v>
      </c>
      <c r="F32" s="334">
        <v>0.05</v>
      </c>
      <c r="G32" s="334">
        <v>0.05</v>
      </c>
      <c r="H32" s="334">
        <v>0.05</v>
      </c>
      <c r="I32" s="334">
        <v>0.05</v>
      </c>
      <c r="J32" s="334">
        <v>0.1</v>
      </c>
      <c r="K32" s="334">
        <v>0.2</v>
      </c>
      <c r="L32" s="334">
        <v>0.4</v>
      </c>
      <c r="M32" s="334">
        <v>0.7</v>
      </c>
      <c r="N32" s="334">
        <v>0.8</v>
      </c>
      <c r="O32" s="334">
        <v>0.85</v>
      </c>
      <c r="P32" s="334">
        <v>0.85</v>
      </c>
      <c r="Q32" s="334">
        <v>0.85</v>
      </c>
      <c r="R32" s="334">
        <v>0.85</v>
      </c>
      <c r="S32" s="334">
        <v>0.85</v>
      </c>
      <c r="T32" s="334">
        <v>0.85</v>
      </c>
      <c r="U32" s="334">
        <v>0.85</v>
      </c>
      <c r="V32" s="334">
        <v>0.85</v>
      </c>
      <c r="W32" s="334">
        <v>0.8</v>
      </c>
      <c r="X32" s="334">
        <v>0.35</v>
      </c>
      <c r="Y32" s="334">
        <v>0.1</v>
      </c>
      <c r="Z32" s="334">
        <v>0.1</v>
      </c>
      <c r="AA32" s="334">
        <v>0.1</v>
      </c>
      <c r="AB32" s="334">
        <v>0.1</v>
      </c>
      <c r="AC32" s="335">
        <v>0.1</v>
      </c>
      <c r="AD32" s="126"/>
      <c r="AE32" s="125"/>
      <c r="AF32" s="125"/>
      <c r="AG32" s="125"/>
      <c r="AH32" s="125"/>
      <c r="AI32" s="125"/>
      <c r="AJ32" s="125"/>
      <c r="AK32" s="125"/>
      <c r="AM32" s="154"/>
    </row>
    <row r="33" spans="1:39" ht="36" customHeight="1">
      <c r="A33" s="653"/>
      <c r="B33" s="660"/>
      <c r="C33" s="672"/>
      <c r="D33" s="675"/>
      <c r="E33" s="345" t="s">
        <v>457</v>
      </c>
      <c r="F33" s="337">
        <v>0.05</v>
      </c>
      <c r="G33" s="337">
        <v>0.05</v>
      </c>
      <c r="H33" s="337">
        <v>0.05</v>
      </c>
      <c r="I33" s="337">
        <v>0.05</v>
      </c>
      <c r="J33" s="337">
        <v>0.05</v>
      </c>
      <c r="K33" s="337">
        <v>0.1</v>
      </c>
      <c r="L33" s="339">
        <v>0.1</v>
      </c>
      <c r="M33" s="339">
        <v>0.15</v>
      </c>
      <c r="N33" s="339">
        <v>0.15</v>
      </c>
      <c r="O33" s="339">
        <v>0.15</v>
      </c>
      <c r="P33" s="339">
        <v>0.15</v>
      </c>
      <c r="Q33" s="339">
        <v>0.15</v>
      </c>
      <c r="R33" s="339">
        <v>0.15</v>
      </c>
      <c r="S33" s="339">
        <v>0.15</v>
      </c>
      <c r="T33" s="339">
        <v>0.15</v>
      </c>
      <c r="U33" s="339">
        <v>0.15</v>
      </c>
      <c r="V33" s="339">
        <v>0.15</v>
      </c>
      <c r="W33" s="339">
        <v>0.1</v>
      </c>
      <c r="X33" s="337">
        <v>0.1</v>
      </c>
      <c r="Y33" s="337">
        <v>0.1</v>
      </c>
      <c r="Z33" s="339">
        <v>0.05</v>
      </c>
      <c r="AA33" s="339">
        <v>0.05</v>
      </c>
      <c r="AB33" s="339">
        <v>0.05</v>
      </c>
      <c r="AC33" s="422">
        <v>0.05</v>
      </c>
      <c r="AD33" s="126"/>
      <c r="AE33" s="125"/>
      <c r="AF33" s="125"/>
      <c r="AG33" s="125"/>
      <c r="AH33" s="125"/>
      <c r="AI33" s="125"/>
      <c r="AJ33" s="125"/>
      <c r="AK33" s="125"/>
      <c r="AM33" s="154"/>
    </row>
    <row r="34" spans="1:39" ht="36" customHeight="1" thickBot="1">
      <c r="A34" s="654"/>
      <c r="B34" s="660"/>
      <c r="C34" s="673"/>
      <c r="D34" s="676"/>
      <c r="E34" s="374" t="s">
        <v>459</v>
      </c>
      <c r="F34" s="347">
        <v>0.05</v>
      </c>
      <c r="G34" s="347">
        <v>0.05</v>
      </c>
      <c r="H34" s="347">
        <v>0.05</v>
      </c>
      <c r="I34" s="347">
        <v>0.05</v>
      </c>
      <c r="J34" s="347">
        <v>0.05</v>
      </c>
      <c r="K34" s="347">
        <v>0.1</v>
      </c>
      <c r="L34" s="420">
        <v>0.1</v>
      </c>
      <c r="M34" s="420">
        <v>0.15</v>
      </c>
      <c r="N34" s="420">
        <v>0.15</v>
      </c>
      <c r="O34" s="420">
        <v>0.15</v>
      </c>
      <c r="P34" s="420">
        <v>0.15</v>
      </c>
      <c r="Q34" s="420">
        <v>0.15</v>
      </c>
      <c r="R34" s="420">
        <v>0.15</v>
      </c>
      <c r="S34" s="420">
        <v>0.15</v>
      </c>
      <c r="T34" s="420">
        <v>0.15</v>
      </c>
      <c r="U34" s="420">
        <v>0.15</v>
      </c>
      <c r="V34" s="420">
        <v>0.15</v>
      </c>
      <c r="W34" s="420">
        <v>0.1</v>
      </c>
      <c r="X34" s="347">
        <v>0.1</v>
      </c>
      <c r="Y34" s="347">
        <v>0.1</v>
      </c>
      <c r="Z34" s="420">
        <v>0.05</v>
      </c>
      <c r="AA34" s="420">
        <v>0.05</v>
      </c>
      <c r="AB34" s="420">
        <v>0.05</v>
      </c>
      <c r="AC34" s="421">
        <v>0.05</v>
      </c>
      <c r="AD34" s="126"/>
      <c r="AE34" s="125"/>
      <c r="AF34" s="125"/>
      <c r="AG34" s="125"/>
      <c r="AH34" s="125"/>
      <c r="AI34" s="125"/>
      <c r="AJ34" s="125"/>
      <c r="AK34" s="125"/>
      <c r="AM34" s="154"/>
    </row>
    <row r="35" spans="1:39" ht="36" customHeight="1">
      <c r="A35" s="652" t="str">
        <f>A29</f>
        <v>IT room</v>
      </c>
      <c r="B35" s="659" t="str">
        <f>B29</f>
        <v>Data</v>
      </c>
      <c r="C35" s="671" t="s">
        <v>563</v>
      </c>
      <c r="D35" s="674" t="s">
        <v>571</v>
      </c>
      <c r="E35" s="352" t="s">
        <v>553</v>
      </c>
      <c r="F35" s="353">
        <v>1</v>
      </c>
      <c r="G35" s="353">
        <v>1</v>
      </c>
      <c r="H35" s="353">
        <v>1</v>
      </c>
      <c r="I35" s="353">
        <v>1</v>
      </c>
      <c r="J35" s="353">
        <v>1</v>
      </c>
      <c r="K35" s="353">
        <v>1</v>
      </c>
      <c r="L35" s="353">
        <v>1</v>
      </c>
      <c r="M35" s="353">
        <v>1</v>
      </c>
      <c r="N35" s="353">
        <v>1</v>
      </c>
      <c r="O35" s="353">
        <v>1</v>
      </c>
      <c r="P35" s="353">
        <v>1</v>
      </c>
      <c r="Q35" s="353">
        <v>1</v>
      </c>
      <c r="R35" s="353">
        <v>1</v>
      </c>
      <c r="S35" s="353">
        <v>1</v>
      </c>
      <c r="T35" s="353">
        <v>1</v>
      </c>
      <c r="U35" s="353">
        <v>1</v>
      </c>
      <c r="V35" s="353">
        <v>1</v>
      </c>
      <c r="W35" s="353">
        <v>1</v>
      </c>
      <c r="X35" s="353">
        <v>1</v>
      </c>
      <c r="Y35" s="353">
        <v>1</v>
      </c>
      <c r="Z35" s="353">
        <v>1</v>
      </c>
      <c r="AA35" s="353">
        <v>1</v>
      </c>
      <c r="AB35" s="353">
        <v>1</v>
      </c>
      <c r="AC35" s="354">
        <v>1</v>
      </c>
      <c r="AD35" s="126"/>
      <c r="AE35" s="125"/>
      <c r="AF35" s="125"/>
      <c r="AG35" s="125"/>
      <c r="AH35" s="125"/>
      <c r="AI35" s="125"/>
      <c r="AJ35" s="125"/>
      <c r="AK35" s="125"/>
      <c r="AM35" s="154"/>
    </row>
    <row r="36" spans="1:39" ht="36" customHeight="1">
      <c r="A36" s="653"/>
      <c r="B36" s="660"/>
      <c r="C36" s="672"/>
      <c r="D36" s="675"/>
      <c r="E36" s="345" t="s">
        <v>457</v>
      </c>
      <c r="F36" s="337">
        <v>1</v>
      </c>
      <c r="G36" s="337">
        <v>1</v>
      </c>
      <c r="H36" s="337">
        <v>1</v>
      </c>
      <c r="I36" s="337">
        <v>1</v>
      </c>
      <c r="J36" s="337">
        <v>1</v>
      </c>
      <c r="K36" s="337">
        <v>1</v>
      </c>
      <c r="L36" s="337">
        <v>1</v>
      </c>
      <c r="M36" s="337">
        <v>1</v>
      </c>
      <c r="N36" s="337">
        <v>1</v>
      </c>
      <c r="O36" s="337">
        <v>1</v>
      </c>
      <c r="P36" s="337">
        <v>1</v>
      </c>
      <c r="Q36" s="337">
        <v>1</v>
      </c>
      <c r="R36" s="337">
        <v>1</v>
      </c>
      <c r="S36" s="337">
        <v>1</v>
      </c>
      <c r="T36" s="337">
        <v>1</v>
      </c>
      <c r="U36" s="337">
        <v>1</v>
      </c>
      <c r="V36" s="337">
        <v>1</v>
      </c>
      <c r="W36" s="337">
        <v>1</v>
      </c>
      <c r="X36" s="337">
        <v>1</v>
      </c>
      <c r="Y36" s="337">
        <v>1</v>
      </c>
      <c r="Z36" s="337">
        <v>1</v>
      </c>
      <c r="AA36" s="337">
        <v>1</v>
      </c>
      <c r="AB36" s="337">
        <v>1</v>
      </c>
      <c r="AC36" s="340">
        <v>1</v>
      </c>
      <c r="AD36" s="126"/>
      <c r="AE36" s="125"/>
      <c r="AF36" s="125"/>
      <c r="AG36" s="125"/>
      <c r="AH36" s="125"/>
      <c r="AI36" s="125"/>
      <c r="AJ36" s="125"/>
      <c r="AK36" s="125"/>
      <c r="AM36" s="154"/>
    </row>
    <row r="37" spans="1:39" ht="36" customHeight="1" thickBot="1">
      <c r="A37" s="658"/>
      <c r="B37" s="661"/>
      <c r="C37" s="734"/>
      <c r="D37" s="730"/>
      <c r="E37" s="351" t="s">
        <v>459</v>
      </c>
      <c r="F37" s="347">
        <v>1</v>
      </c>
      <c r="G37" s="347">
        <v>1</v>
      </c>
      <c r="H37" s="347">
        <v>1</v>
      </c>
      <c r="I37" s="347">
        <v>1</v>
      </c>
      <c r="J37" s="347">
        <v>1</v>
      </c>
      <c r="K37" s="347">
        <v>1</v>
      </c>
      <c r="L37" s="347">
        <v>1</v>
      </c>
      <c r="M37" s="347">
        <v>1</v>
      </c>
      <c r="N37" s="347">
        <v>1</v>
      </c>
      <c r="O37" s="347">
        <v>1</v>
      </c>
      <c r="P37" s="347">
        <v>1</v>
      </c>
      <c r="Q37" s="347">
        <v>1</v>
      </c>
      <c r="R37" s="347">
        <v>1</v>
      </c>
      <c r="S37" s="347">
        <v>1</v>
      </c>
      <c r="T37" s="347">
        <v>1</v>
      </c>
      <c r="U37" s="347">
        <v>1</v>
      </c>
      <c r="V37" s="347">
        <v>1</v>
      </c>
      <c r="W37" s="347">
        <v>1</v>
      </c>
      <c r="X37" s="347">
        <v>1</v>
      </c>
      <c r="Y37" s="347">
        <v>1</v>
      </c>
      <c r="Z37" s="347">
        <v>1</v>
      </c>
      <c r="AA37" s="347">
        <v>1</v>
      </c>
      <c r="AB37" s="347">
        <v>1</v>
      </c>
      <c r="AC37" s="348">
        <v>1</v>
      </c>
      <c r="AD37" s="126"/>
      <c r="AE37" s="125"/>
      <c r="AF37" s="125"/>
      <c r="AG37" s="125"/>
      <c r="AH37" s="125"/>
      <c r="AI37" s="125"/>
      <c r="AJ37" s="125"/>
      <c r="AK37" s="125"/>
      <c r="AM37" s="154"/>
    </row>
    <row r="38" spans="1:39" ht="36" customHeight="1">
      <c r="A38" s="731" t="str">
        <f>A29</f>
        <v>IT room</v>
      </c>
      <c r="B38" s="660" t="str">
        <f>B29</f>
        <v>Data</v>
      </c>
      <c r="C38" s="680" t="s">
        <v>565</v>
      </c>
      <c r="D38" s="732" t="s">
        <v>572</v>
      </c>
      <c r="E38" s="352" t="s">
        <v>553</v>
      </c>
      <c r="F38" s="355">
        <v>0</v>
      </c>
      <c r="G38" s="355">
        <v>0</v>
      </c>
      <c r="H38" s="355">
        <v>0</v>
      </c>
      <c r="I38" s="355">
        <v>0</v>
      </c>
      <c r="J38" s="355">
        <v>0.1</v>
      </c>
      <c r="K38" s="355">
        <v>0.1</v>
      </c>
      <c r="L38" s="355">
        <v>0.5</v>
      </c>
      <c r="M38" s="355">
        <v>0.5</v>
      </c>
      <c r="N38" s="355">
        <v>0.5</v>
      </c>
      <c r="O38" s="355">
        <v>0.5</v>
      </c>
      <c r="P38" s="355">
        <v>0.7</v>
      </c>
      <c r="Q38" s="355">
        <v>0.9</v>
      </c>
      <c r="R38" s="355">
        <v>0.9</v>
      </c>
      <c r="S38" s="355">
        <v>0.5</v>
      </c>
      <c r="T38" s="355">
        <v>0.5</v>
      </c>
      <c r="U38" s="355">
        <v>0.7</v>
      </c>
      <c r="V38" s="355">
        <v>0.5</v>
      </c>
      <c r="W38" s="355">
        <v>0.5</v>
      </c>
      <c r="X38" s="355">
        <v>0.5</v>
      </c>
      <c r="Y38" s="355">
        <v>0.1</v>
      </c>
      <c r="Z38" s="355">
        <v>0.1</v>
      </c>
      <c r="AA38" s="355">
        <v>0.1</v>
      </c>
      <c r="AB38" s="355">
        <v>0.1</v>
      </c>
      <c r="AC38" s="356">
        <v>0</v>
      </c>
      <c r="AD38" s="126"/>
      <c r="AE38" s="125"/>
      <c r="AF38" s="125"/>
      <c r="AG38" s="125"/>
      <c r="AH38" s="125"/>
      <c r="AI38" s="125"/>
      <c r="AJ38" s="125"/>
      <c r="AK38" s="125"/>
      <c r="AM38" s="154"/>
    </row>
    <row r="39" spans="1:39" ht="36" customHeight="1">
      <c r="A39" s="653"/>
      <c r="B39" s="660"/>
      <c r="C39" s="672"/>
      <c r="D39" s="675"/>
      <c r="E39" s="345" t="s">
        <v>457</v>
      </c>
      <c r="F39" s="357">
        <v>0</v>
      </c>
      <c r="G39" s="357">
        <v>0</v>
      </c>
      <c r="H39" s="357">
        <v>0</v>
      </c>
      <c r="I39" s="357">
        <v>0</v>
      </c>
      <c r="J39" s="357">
        <v>0</v>
      </c>
      <c r="K39" s="357">
        <v>0</v>
      </c>
      <c r="L39" s="357">
        <v>0</v>
      </c>
      <c r="M39" s="357">
        <v>0</v>
      </c>
      <c r="N39" s="357">
        <v>0</v>
      </c>
      <c r="O39" s="357">
        <v>0</v>
      </c>
      <c r="P39" s="357">
        <v>0</v>
      </c>
      <c r="Q39" s="357">
        <v>0</v>
      </c>
      <c r="R39" s="357">
        <v>0</v>
      </c>
      <c r="S39" s="357">
        <v>0</v>
      </c>
      <c r="T39" s="357">
        <v>0</v>
      </c>
      <c r="U39" s="357">
        <v>0</v>
      </c>
      <c r="V39" s="357">
        <v>0</v>
      </c>
      <c r="W39" s="357">
        <v>0</v>
      </c>
      <c r="X39" s="357">
        <v>0</v>
      </c>
      <c r="Y39" s="357">
        <v>0</v>
      </c>
      <c r="Z39" s="357">
        <v>0</v>
      </c>
      <c r="AA39" s="357">
        <v>0</v>
      </c>
      <c r="AB39" s="357">
        <v>0</v>
      </c>
      <c r="AC39" s="358">
        <v>0</v>
      </c>
      <c r="AD39" s="126"/>
      <c r="AE39" s="125"/>
      <c r="AF39" s="125"/>
      <c r="AG39" s="125"/>
      <c r="AH39" s="125"/>
      <c r="AI39" s="125"/>
      <c r="AJ39" s="125"/>
      <c r="AK39" s="125"/>
      <c r="AM39" s="154"/>
    </row>
    <row r="40" spans="1:39" ht="36" customHeight="1" thickBot="1">
      <c r="A40" s="654"/>
      <c r="B40" s="686"/>
      <c r="C40" s="681"/>
      <c r="D40" s="676"/>
      <c r="E40" s="351" t="s">
        <v>459</v>
      </c>
      <c r="F40" s="359">
        <v>0</v>
      </c>
      <c r="G40" s="359">
        <v>0</v>
      </c>
      <c r="H40" s="359">
        <v>0</v>
      </c>
      <c r="I40" s="359">
        <v>0</v>
      </c>
      <c r="J40" s="359">
        <v>0</v>
      </c>
      <c r="K40" s="359">
        <v>0</v>
      </c>
      <c r="L40" s="359">
        <v>0</v>
      </c>
      <c r="M40" s="359">
        <v>0</v>
      </c>
      <c r="N40" s="359">
        <v>0</v>
      </c>
      <c r="O40" s="359">
        <v>0</v>
      </c>
      <c r="P40" s="359">
        <v>0</v>
      </c>
      <c r="Q40" s="359">
        <v>0</v>
      </c>
      <c r="R40" s="359">
        <v>0</v>
      </c>
      <c r="S40" s="359">
        <v>0</v>
      </c>
      <c r="T40" s="359">
        <v>0</v>
      </c>
      <c r="U40" s="359">
        <v>0</v>
      </c>
      <c r="V40" s="359">
        <v>0</v>
      </c>
      <c r="W40" s="359">
        <v>0</v>
      </c>
      <c r="X40" s="359">
        <v>0</v>
      </c>
      <c r="Y40" s="359">
        <v>0</v>
      </c>
      <c r="Z40" s="359">
        <v>0</v>
      </c>
      <c r="AA40" s="359">
        <v>0</v>
      </c>
      <c r="AB40" s="359">
        <v>0</v>
      </c>
      <c r="AC40" s="360">
        <v>0</v>
      </c>
      <c r="AD40" s="126"/>
      <c r="AE40" s="125"/>
      <c r="AF40" s="125"/>
      <c r="AG40" s="125"/>
      <c r="AH40" s="125"/>
      <c r="AI40" s="125"/>
      <c r="AJ40" s="125"/>
      <c r="AK40" s="125"/>
      <c r="AM40" s="154"/>
    </row>
    <row r="41" spans="1:39" ht="36" customHeight="1">
      <c r="A41" s="652" t="str">
        <f>A29</f>
        <v>IT room</v>
      </c>
      <c r="B41" s="659" t="str">
        <f>B29</f>
        <v>Data</v>
      </c>
      <c r="C41" s="725" t="s">
        <v>211</v>
      </c>
      <c r="D41" s="674" t="s">
        <v>571</v>
      </c>
      <c r="E41" s="344" t="s">
        <v>553</v>
      </c>
      <c r="F41" s="353">
        <v>0.25</v>
      </c>
      <c r="G41" s="353">
        <v>0.25</v>
      </c>
      <c r="H41" s="353">
        <v>0.25</v>
      </c>
      <c r="I41" s="353">
        <v>0.25</v>
      </c>
      <c r="J41" s="353">
        <v>0.25</v>
      </c>
      <c r="K41" s="353">
        <v>0.25</v>
      </c>
      <c r="L41" s="353">
        <v>0.25</v>
      </c>
      <c r="M41" s="353">
        <v>0.25</v>
      </c>
      <c r="N41" s="353">
        <v>0.25</v>
      </c>
      <c r="O41" s="353">
        <v>0.25</v>
      </c>
      <c r="P41" s="353">
        <v>0.25</v>
      </c>
      <c r="Q41" s="353">
        <v>0.25</v>
      </c>
      <c r="R41" s="353">
        <v>0.25</v>
      </c>
      <c r="S41" s="353">
        <v>0.25</v>
      </c>
      <c r="T41" s="353">
        <v>0.25</v>
      </c>
      <c r="U41" s="353">
        <v>0.25</v>
      </c>
      <c r="V41" s="353">
        <v>0.25</v>
      </c>
      <c r="W41" s="353">
        <v>0.25</v>
      </c>
      <c r="X41" s="353">
        <v>0.25</v>
      </c>
      <c r="Y41" s="353">
        <v>0.25</v>
      </c>
      <c r="Z41" s="353">
        <v>0.25</v>
      </c>
      <c r="AA41" s="353">
        <v>0.25</v>
      </c>
      <c r="AB41" s="353">
        <v>0.25</v>
      </c>
      <c r="AC41" s="354">
        <v>0.25</v>
      </c>
      <c r="AD41" s="126"/>
      <c r="AE41" s="125"/>
      <c r="AF41" s="125"/>
      <c r="AG41" s="125"/>
      <c r="AH41" s="125"/>
      <c r="AI41" s="125"/>
      <c r="AJ41" s="125"/>
      <c r="AK41" s="125"/>
      <c r="AM41" s="154"/>
    </row>
    <row r="42" spans="1:39" ht="36" customHeight="1">
      <c r="A42" s="653"/>
      <c r="B42" s="660"/>
      <c r="C42" s="672"/>
      <c r="D42" s="675"/>
      <c r="E42" s="345" t="s">
        <v>457</v>
      </c>
      <c r="F42" s="337">
        <v>0.25</v>
      </c>
      <c r="G42" s="337">
        <v>0.25</v>
      </c>
      <c r="H42" s="337">
        <v>0.25</v>
      </c>
      <c r="I42" s="337">
        <v>0.25</v>
      </c>
      <c r="J42" s="337">
        <v>0.25</v>
      </c>
      <c r="K42" s="337">
        <v>0.25</v>
      </c>
      <c r="L42" s="337">
        <v>0.25</v>
      </c>
      <c r="M42" s="337">
        <v>0.25</v>
      </c>
      <c r="N42" s="337">
        <v>0.25</v>
      </c>
      <c r="O42" s="337">
        <v>0.25</v>
      </c>
      <c r="P42" s="337">
        <v>0.25</v>
      </c>
      <c r="Q42" s="337">
        <v>0.25</v>
      </c>
      <c r="R42" s="337">
        <v>0.25</v>
      </c>
      <c r="S42" s="337">
        <v>0.25</v>
      </c>
      <c r="T42" s="337">
        <v>0.25</v>
      </c>
      <c r="U42" s="337">
        <v>0.25</v>
      </c>
      <c r="V42" s="337">
        <v>0.25</v>
      </c>
      <c r="W42" s="337">
        <v>0.25</v>
      </c>
      <c r="X42" s="337">
        <v>0.25</v>
      </c>
      <c r="Y42" s="337">
        <v>0.25</v>
      </c>
      <c r="Z42" s="337">
        <v>0.25</v>
      </c>
      <c r="AA42" s="337">
        <v>0.25</v>
      </c>
      <c r="AB42" s="337">
        <v>0.25</v>
      </c>
      <c r="AC42" s="340">
        <v>0.25</v>
      </c>
      <c r="AD42" s="126"/>
      <c r="AE42" s="125"/>
      <c r="AF42" s="125"/>
      <c r="AG42" s="125"/>
      <c r="AH42" s="125"/>
      <c r="AI42" s="125"/>
      <c r="AJ42" s="125"/>
      <c r="AK42" s="125"/>
      <c r="AM42" s="154"/>
    </row>
    <row r="43" spans="1:39" ht="36" customHeight="1" thickBot="1">
      <c r="A43" s="654"/>
      <c r="B43" s="686"/>
      <c r="C43" s="673"/>
      <c r="D43" s="730"/>
      <c r="E43" s="346" t="s">
        <v>459</v>
      </c>
      <c r="F43" s="342">
        <v>0.25</v>
      </c>
      <c r="G43" s="342">
        <v>0.25</v>
      </c>
      <c r="H43" s="342">
        <v>0.25</v>
      </c>
      <c r="I43" s="342">
        <v>0.25</v>
      </c>
      <c r="J43" s="342">
        <v>0.25</v>
      </c>
      <c r="K43" s="342">
        <v>0.25</v>
      </c>
      <c r="L43" s="342">
        <v>0.25</v>
      </c>
      <c r="M43" s="342">
        <v>0.25</v>
      </c>
      <c r="N43" s="342">
        <v>0.25</v>
      </c>
      <c r="O43" s="342">
        <v>0.25</v>
      </c>
      <c r="P43" s="342">
        <v>0.25</v>
      </c>
      <c r="Q43" s="342">
        <v>0.25</v>
      </c>
      <c r="R43" s="342">
        <v>0.25</v>
      </c>
      <c r="S43" s="342">
        <v>0.25</v>
      </c>
      <c r="T43" s="342">
        <v>0.25</v>
      </c>
      <c r="U43" s="342">
        <v>0.25</v>
      </c>
      <c r="V43" s="342">
        <v>0.25</v>
      </c>
      <c r="W43" s="342">
        <v>0.25</v>
      </c>
      <c r="X43" s="342">
        <v>0.25</v>
      </c>
      <c r="Y43" s="342">
        <v>0.25</v>
      </c>
      <c r="Z43" s="342">
        <v>0.25</v>
      </c>
      <c r="AA43" s="342">
        <v>0.25</v>
      </c>
      <c r="AB43" s="342">
        <v>0.25</v>
      </c>
      <c r="AC43" s="343">
        <v>0.25</v>
      </c>
      <c r="AD43" s="126"/>
      <c r="AE43" s="125"/>
      <c r="AF43" s="125"/>
      <c r="AG43" s="125"/>
      <c r="AH43" s="125"/>
      <c r="AI43" s="125"/>
      <c r="AJ43" s="125"/>
      <c r="AK43" s="125"/>
      <c r="AM43" s="154"/>
    </row>
    <row r="44" spans="1:39" ht="36" customHeight="1">
      <c r="A44" s="652" t="str">
        <f>A29</f>
        <v>IT room</v>
      </c>
      <c r="B44" s="659" t="str">
        <f>B29</f>
        <v>Data</v>
      </c>
      <c r="C44" s="662" t="s">
        <v>568</v>
      </c>
      <c r="D44" s="726" t="s">
        <v>573</v>
      </c>
      <c r="E44" s="361" t="s">
        <v>553</v>
      </c>
      <c r="F44" s="362">
        <v>80</v>
      </c>
      <c r="G44" s="362">
        <v>80</v>
      </c>
      <c r="H44" s="362">
        <v>80</v>
      </c>
      <c r="I44" s="362">
        <v>80</v>
      </c>
      <c r="J44" s="362">
        <v>80</v>
      </c>
      <c r="K44" s="362">
        <v>80</v>
      </c>
      <c r="L44" s="362">
        <v>80</v>
      </c>
      <c r="M44" s="362">
        <v>80</v>
      </c>
      <c r="N44" s="362">
        <v>80</v>
      </c>
      <c r="O44" s="362">
        <v>80</v>
      </c>
      <c r="P44" s="362">
        <v>80</v>
      </c>
      <c r="Q44" s="362">
        <v>80</v>
      </c>
      <c r="R44" s="362">
        <v>80</v>
      </c>
      <c r="S44" s="362">
        <v>80</v>
      </c>
      <c r="T44" s="362">
        <v>80</v>
      </c>
      <c r="U44" s="362">
        <v>80</v>
      </c>
      <c r="V44" s="362">
        <v>80</v>
      </c>
      <c r="W44" s="362">
        <v>80</v>
      </c>
      <c r="X44" s="362">
        <v>80</v>
      </c>
      <c r="Y44" s="362">
        <v>80</v>
      </c>
      <c r="Z44" s="362">
        <v>80</v>
      </c>
      <c r="AA44" s="362">
        <v>80</v>
      </c>
      <c r="AB44" s="362">
        <v>80</v>
      </c>
      <c r="AC44" s="363">
        <v>80</v>
      </c>
      <c r="AD44" s="126"/>
      <c r="AE44" s="125"/>
      <c r="AF44" s="125"/>
      <c r="AG44" s="125"/>
      <c r="AH44" s="125"/>
      <c r="AI44" s="125"/>
      <c r="AJ44" s="125"/>
      <c r="AK44" s="125"/>
      <c r="AM44" s="154"/>
    </row>
    <row r="45" spans="1:39" ht="36" customHeight="1">
      <c r="A45" s="653"/>
      <c r="B45" s="660"/>
      <c r="C45" s="663"/>
      <c r="D45" s="675"/>
      <c r="E45" s="364" t="s">
        <v>457</v>
      </c>
      <c r="F45" s="365">
        <v>80</v>
      </c>
      <c r="G45" s="365">
        <v>80</v>
      </c>
      <c r="H45" s="365">
        <v>80</v>
      </c>
      <c r="I45" s="365">
        <v>80</v>
      </c>
      <c r="J45" s="365">
        <v>80</v>
      </c>
      <c r="K45" s="365">
        <v>80</v>
      </c>
      <c r="L45" s="365">
        <v>80</v>
      </c>
      <c r="M45" s="365">
        <v>80</v>
      </c>
      <c r="N45" s="365">
        <v>80</v>
      </c>
      <c r="O45" s="365">
        <v>80</v>
      </c>
      <c r="P45" s="365">
        <v>80</v>
      </c>
      <c r="Q45" s="365">
        <v>80</v>
      </c>
      <c r="R45" s="365">
        <v>80</v>
      </c>
      <c r="S45" s="365">
        <v>80</v>
      </c>
      <c r="T45" s="365">
        <v>80</v>
      </c>
      <c r="U45" s="365">
        <v>80</v>
      </c>
      <c r="V45" s="365">
        <v>80</v>
      </c>
      <c r="W45" s="365">
        <v>80</v>
      </c>
      <c r="X45" s="365">
        <v>80</v>
      </c>
      <c r="Y45" s="365">
        <v>80</v>
      </c>
      <c r="Z45" s="365">
        <v>80</v>
      </c>
      <c r="AA45" s="365">
        <v>80</v>
      </c>
      <c r="AB45" s="365">
        <v>80</v>
      </c>
      <c r="AC45" s="366">
        <v>80</v>
      </c>
      <c r="AD45" s="126"/>
      <c r="AE45" s="125"/>
      <c r="AF45" s="125"/>
      <c r="AG45" s="125"/>
      <c r="AH45" s="125"/>
      <c r="AI45" s="125"/>
      <c r="AJ45" s="125"/>
      <c r="AK45" s="125"/>
      <c r="AM45" s="154"/>
    </row>
    <row r="46" spans="1:39" ht="36" customHeight="1">
      <c r="A46" s="658"/>
      <c r="B46" s="661"/>
      <c r="C46" s="664"/>
      <c r="D46" s="727"/>
      <c r="E46" s="367" t="s">
        <v>459</v>
      </c>
      <c r="F46" s="368">
        <v>80</v>
      </c>
      <c r="G46" s="368">
        <v>80</v>
      </c>
      <c r="H46" s="368">
        <v>80</v>
      </c>
      <c r="I46" s="368">
        <v>80</v>
      </c>
      <c r="J46" s="368">
        <v>80</v>
      </c>
      <c r="K46" s="368">
        <v>80</v>
      </c>
      <c r="L46" s="368">
        <v>80</v>
      </c>
      <c r="M46" s="368">
        <v>80</v>
      </c>
      <c r="N46" s="368">
        <v>80</v>
      </c>
      <c r="O46" s="368">
        <v>80</v>
      </c>
      <c r="P46" s="368">
        <v>80</v>
      </c>
      <c r="Q46" s="368">
        <v>80</v>
      </c>
      <c r="R46" s="368">
        <v>80</v>
      </c>
      <c r="S46" s="368">
        <v>80</v>
      </c>
      <c r="T46" s="368">
        <v>80</v>
      </c>
      <c r="U46" s="368">
        <v>80</v>
      </c>
      <c r="V46" s="368">
        <v>80</v>
      </c>
      <c r="W46" s="368">
        <v>80</v>
      </c>
      <c r="X46" s="368">
        <v>80</v>
      </c>
      <c r="Y46" s="368">
        <v>80</v>
      </c>
      <c r="Z46" s="368">
        <v>80</v>
      </c>
      <c r="AA46" s="368">
        <v>80</v>
      </c>
      <c r="AB46" s="368">
        <v>80</v>
      </c>
      <c r="AC46" s="369">
        <v>80</v>
      </c>
      <c r="AD46" s="126"/>
      <c r="AE46" s="125"/>
      <c r="AF46" s="125"/>
      <c r="AG46" s="125"/>
      <c r="AH46" s="125"/>
      <c r="AI46" s="125"/>
      <c r="AJ46" s="125"/>
      <c r="AK46" s="125"/>
      <c r="AM46" s="154"/>
    </row>
    <row r="47" spans="1:39" ht="36" customHeight="1">
      <c r="A47" s="668" t="s">
        <v>574</v>
      </c>
      <c r="B47" s="669"/>
      <c r="C47" s="669"/>
      <c r="D47" s="669"/>
      <c r="E47" s="669"/>
      <c r="F47" s="669"/>
      <c r="G47" s="669"/>
      <c r="H47" s="669"/>
      <c r="I47" s="669"/>
      <c r="J47" s="669"/>
      <c r="K47" s="669"/>
      <c r="L47" s="669"/>
      <c r="M47" s="669"/>
      <c r="N47" s="669"/>
      <c r="O47" s="669"/>
      <c r="P47" s="669"/>
      <c r="Q47" s="669"/>
      <c r="R47" s="669"/>
      <c r="S47" s="669"/>
      <c r="T47" s="669"/>
      <c r="U47" s="669"/>
      <c r="V47" s="669"/>
      <c r="W47" s="669"/>
      <c r="X47" s="669"/>
      <c r="Y47" s="669"/>
      <c r="Z47" s="669"/>
      <c r="AA47" s="669"/>
      <c r="AB47" s="669"/>
      <c r="AC47" s="670"/>
      <c r="AD47" s="126"/>
      <c r="AE47" s="125"/>
      <c r="AF47" s="125"/>
      <c r="AG47" s="125"/>
      <c r="AH47" s="125"/>
      <c r="AI47" s="125"/>
      <c r="AJ47" s="125"/>
      <c r="AK47" s="125"/>
      <c r="AM47" s="154"/>
    </row>
    <row r="48" spans="1:39" ht="36" customHeight="1">
      <c r="A48" s="748" t="s">
        <v>575</v>
      </c>
      <c r="B48" s="751" t="s">
        <v>576</v>
      </c>
      <c r="C48" s="753" t="s">
        <v>522</v>
      </c>
      <c r="D48" s="682" t="s">
        <v>564</v>
      </c>
      <c r="E48" s="373" t="s">
        <v>553</v>
      </c>
      <c r="F48" s="469">
        <v>0</v>
      </c>
      <c r="G48" s="469">
        <v>0</v>
      </c>
      <c r="H48" s="469">
        <v>0</v>
      </c>
      <c r="I48" s="469">
        <v>0</v>
      </c>
      <c r="J48" s="469">
        <v>0</v>
      </c>
      <c r="K48" s="469">
        <v>1</v>
      </c>
      <c r="L48" s="469">
        <v>1</v>
      </c>
      <c r="M48" s="469">
        <v>1</v>
      </c>
      <c r="N48" s="469">
        <v>1</v>
      </c>
      <c r="O48" s="469">
        <v>1</v>
      </c>
      <c r="P48" s="469">
        <v>1</v>
      </c>
      <c r="Q48" s="469">
        <v>1</v>
      </c>
      <c r="R48" s="469">
        <v>1</v>
      </c>
      <c r="S48" s="469">
        <v>1</v>
      </c>
      <c r="T48" s="469">
        <v>1</v>
      </c>
      <c r="U48" s="469">
        <v>1</v>
      </c>
      <c r="V48" s="469">
        <v>1</v>
      </c>
      <c r="W48" s="469">
        <v>1</v>
      </c>
      <c r="X48" s="469">
        <v>1</v>
      </c>
      <c r="Y48" s="469">
        <v>1</v>
      </c>
      <c r="Z48" s="469">
        <v>1</v>
      </c>
      <c r="AA48" s="469">
        <v>1</v>
      </c>
      <c r="AB48" s="469">
        <v>1</v>
      </c>
      <c r="AC48" s="470">
        <v>1</v>
      </c>
      <c r="AD48" s="126"/>
      <c r="AE48" s="125"/>
      <c r="AF48" s="125"/>
      <c r="AG48" s="125"/>
      <c r="AH48" s="125"/>
      <c r="AI48" s="125"/>
      <c r="AJ48" s="125"/>
      <c r="AK48" s="125"/>
      <c r="AM48" s="154"/>
    </row>
    <row r="49" spans="1:39" ht="36" customHeight="1">
      <c r="A49" s="749"/>
      <c r="B49" s="745"/>
      <c r="C49" s="738"/>
      <c r="D49" s="683"/>
      <c r="E49" s="345" t="s">
        <v>457</v>
      </c>
      <c r="F49" s="377">
        <v>0</v>
      </c>
      <c r="G49" s="377">
        <v>0</v>
      </c>
      <c r="H49" s="377">
        <v>0</v>
      </c>
      <c r="I49" s="377">
        <v>0</v>
      </c>
      <c r="J49" s="377">
        <v>0</v>
      </c>
      <c r="K49" s="474">
        <v>0</v>
      </c>
      <c r="L49" s="474">
        <v>0</v>
      </c>
      <c r="M49" s="474">
        <v>0</v>
      </c>
      <c r="N49" s="474">
        <v>0</v>
      </c>
      <c r="O49" s="474">
        <v>0</v>
      </c>
      <c r="P49" s="474">
        <v>0</v>
      </c>
      <c r="Q49" s="474">
        <v>0</v>
      </c>
      <c r="R49" s="474">
        <v>0</v>
      </c>
      <c r="S49" s="474">
        <v>0</v>
      </c>
      <c r="T49" s="474">
        <v>0</v>
      </c>
      <c r="U49" s="474">
        <v>0</v>
      </c>
      <c r="V49" s="474">
        <v>0</v>
      </c>
      <c r="W49" s="474">
        <v>0</v>
      </c>
      <c r="X49" s="474">
        <v>0</v>
      </c>
      <c r="Y49" s="377">
        <v>0</v>
      </c>
      <c r="Z49" s="377">
        <v>0</v>
      </c>
      <c r="AA49" s="377">
        <v>0</v>
      </c>
      <c r="AB49" s="377">
        <v>0</v>
      </c>
      <c r="AC49" s="471">
        <v>0</v>
      </c>
      <c r="AD49" s="126"/>
      <c r="AE49" s="125"/>
      <c r="AF49" s="125"/>
      <c r="AG49" s="125"/>
      <c r="AH49" s="125"/>
      <c r="AI49" s="125"/>
      <c r="AJ49" s="125"/>
      <c r="AK49" s="125"/>
      <c r="AM49" s="154"/>
    </row>
    <row r="50" spans="1:39" ht="36" customHeight="1">
      <c r="A50" s="750"/>
      <c r="B50" s="752"/>
      <c r="C50" s="754"/>
      <c r="D50" s="684"/>
      <c r="E50" s="374" t="s">
        <v>459</v>
      </c>
      <c r="F50" s="472">
        <v>0</v>
      </c>
      <c r="G50" s="472">
        <v>0</v>
      </c>
      <c r="H50" s="472">
        <v>0</v>
      </c>
      <c r="I50" s="472">
        <v>0</v>
      </c>
      <c r="J50" s="472">
        <v>0</v>
      </c>
      <c r="K50" s="472">
        <v>0</v>
      </c>
      <c r="L50" s="472">
        <v>0</v>
      </c>
      <c r="M50" s="472">
        <v>0</v>
      </c>
      <c r="N50" s="472">
        <v>0</v>
      </c>
      <c r="O50" s="472">
        <v>0</v>
      </c>
      <c r="P50" s="472">
        <v>0</v>
      </c>
      <c r="Q50" s="472">
        <v>0</v>
      </c>
      <c r="R50" s="472">
        <v>0</v>
      </c>
      <c r="S50" s="472">
        <v>0</v>
      </c>
      <c r="T50" s="472">
        <v>0</v>
      </c>
      <c r="U50" s="472">
        <v>0</v>
      </c>
      <c r="V50" s="472">
        <v>0</v>
      </c>
      <c r="W50" s="472">
        <v>0</v>
      </c>
      <c r="X50" s="472">
        <v>0</v>
      </c>
      <c r="Y50" s="472">
        <v>0</v>
      </c>
      <c r="Z50" s="472">
        <v>0</v>
      </c>
      <c r="AA50" s="472">
        <v>0</v>
      </c>
      <c r="AB50" s="472">
        <v>0</v>
      </c>
      <c r="AC50" s="473">
        <v>0</v>
      </c>
      <c r="AD50" s="126"/>
      <c r="AE50" s="125"/>
      <c r="AF50" s="125"/>
      <c r="AG50" s="125"/>
      <c r="AH50" s="125"/>
      <c r="AI50" s="125"/>
      <c r="AJ50" s="125"/>
      <c r="AK50" s="125"/>
      <c r="AM50" s="154"/>
    </row>
    <row r="51" spans="1:39" ht="36" customHeight="1">
      <c r="A51" s="731"/>
      <c r="B51" s="744" t="s">
        <v>576</v>
      </c>
      <c r="C51" s="773" t="s">
        <v>577</v>
      </c>
      <c r="D51" s="774"/>
      <c r="E51" s="775" t="s">
        <v>553</v>
      </c>
      <c r="F51" s="776">
        <v>1</v>
      </c>
      <c r="G51" s="776">
        <v>1</v>
      </c>
      <c r="H51" s="776">
        <v>1</v>
      </c>
      <c r="I51" s="776">
        <v>1</v>
      </c>
      <c r="J51" s="776">
        <v>1</v>
      </c>
      <c r="K51" s="776">
        <v>1</v>
      </c>
      <c r="L51" s="776">
        <v>1</v>
      </c>
      <c r="M51" s="776">
        <v>1</v>
      </c>
      <c r="N51" s="776">
        <v>1</v>
      </c>
      <c r="O51" s="776">
        <v>1</v>
      </c>
      <c r="P51" s="776">
        <v>1</v>
      </c>
      <c r="Q51" s="776">
        <v>1</v>
      </c>
      <c r="R51" s="776">
        <v>1</v>
      </c>
      <c r="S51" s="776">
        <v>1</v>
      </c>
      <c r="T51" s="776">
        <v>1</v>
      </c>
      <c r="U51" s="776">
        <v>1</v>
      </c>
      <c r="V51" s="776">
        <v>1</v>
      </c>
      <c r="W51" s="776">
        <v>1</v>
      </c>
      <c r="X51" s="776">
        <v>1</v>
      </c>
      <c r="Y51" s="776">
        <v>1</v>
      </c>
      <c r="Z51" s="776">
        <v>1</v>
      </c>
      <c r="AA51" s="776">
        <v>1</v>
      </c>
      <c r="AB51" s="776">
        <v>1</v>
      </c>
      <c r="AC51" s="777">
        <v>1</v>
      </c>
      <c r="AD51" s="126"/>
      <c r="AE51" s="125"/>
      <c r="AF51" s="125"/>
      <c r="AG51" s="125"/>
      <c r="AH51" s="125"/>
      <c r="AI51" s="125"/>
      <c r="AJ51" s="125"/>
      <c r="AK51" s="125"/>
      <c r="AM51" s="154"/>
    </row>
    <row r="52" spans="1:39" ht="36" customHeight="1">
      <c r="A52" s="653"/>
      <c r="B52" s="745"/>
      <c r="C52" s="778"/>
      <c r="D52" s="774"/>
      <c r="E52" s="779" t="s">
        <v>457</v>
      </c>
      <c r="F52" s="780">
        <v>1</v>
      </c>
      <c r="G52" s="780">
        <v>1</v>
      </c>
      <c r="H52" s="780">
        <v>1</v>
      </c>
      <c r="I52" s="780">
        <v>1</v>
      </c>
      <c r="J52" s="780">
        <v>1</v>
      </c>
      <c r="K52" s="780">
        <v>1</v>
      </c>
      <c r="L52" s="780">
        <v>1</v>
      </c>
      <c r="M52" s="780">
        <v>1</v>
      </c>
      <c r="N52" s="780">
        <v>1</v>
      </c>
      <c r="O52" s="780">
        <v>1</v>
      </c>
      <c r="P52" s="780">
        <v>1</v>
      </c>
      <c r="Q52" s="780">
        <v>1</v>
      </c>
      <c r="R52" s="780">
        <v>1</v>
      </c>
      <c r="S52" s="780">
        <v>1</v>
      </c>
      <c r="T52" s="780">
        <v>1</v>
      </c>
      <c r="U52" s="780">
        <v>1</v>
      </c>
      <c r="V52" s="780">
        <v>1</v>
      </c>
      <c r="W52" s="780">
        <v>1</v>
      </c>
      <c r="X52" s="780">
        <v>1</v>
      </c>
      <c r="Y52" s="780">
        <v>1</v>
      </c>
      <c r="Z52" s="780">
        <v>1</v>
      </c>
      <c r="AA52" s="780">
        <v>1</v>
      </c>
      <c r="AB52" s="780">
        <v>1</v>
      </c>
      <c r="AC52" s="781">
        <v>1</v>
      </c>
      <c r="AD52" s="126"/>
      <c r="AE52" s="125"/>
      <c r="AF52" s="125"/>
      <c r="AG52" s="125"/>
      <c r="AH52" s="125"/>
      <c r="AI52" s="125"/>
      <c r="AJ52" s="125"/>
      <c r="AK52" s="125"/>
      <c r="AM52" s="154"/>
    </row>
    <row r="53" spans="1:39" ht="36" customHeight="1" thickBot="1">
      <c r="A53" s="658"/>
      <c r="B53" s="747"/>
      <c r="C53" s="782"/>
      <c r="D53" s="783"/>
      <c r="E53" s="784" t="s">
        <v>459</v>
      </c>
      <c r="F53" s="785">
        <v>1</v>
      </c>
      <c r="G53" s="785">
        <v>1</v>
      </c>
      <c r="H53" s="785">
        <v>1</v>
      </c>
      <c r="I53" s="785">
        <v>1</v>
      </c>
      <c r="J53" s="785">
        <v>1</v>
      </c>
      <c r="K53" s="785">
        <v>1</v>
      </c>
      <c r="L53" s="785">
        <v>1</v>
      </c>
      <c r="M53" s="785">
        <v>1</v>
      </c>
      <c r="N53" s="785">
        <v>1</v>
      </c>
      <c r="O53" s="785">
        <v>1</v>
      </c>
      <c r="P53" s="785">
        <v>1</v>
      </c>
      <c r="Q53" s="785">
        <v>1</v>
      </c>
      <c r="R53" s="785">
        <v>1</v>
      </c>
      <c r="S53" s="785">
        <v>1</v>
      </c>
      <c r="T53" s="785">
        <v>1</v>
      </c>
      <c r="U53" s="785">
        <v>1</v>
      </c>
      <c r="V53" s="785">
        <v>1</v>
      </c>
      <c r="W53" s="785">
        <v>1</v>
      </c>
      <c r="X53" s="785">
        <v>1</v>
      </c>
      <c r="Y53" s="785">
        <v>1</v>
      </c>
      <c r="Z53" s="785">
        <v>1</v>
      </c>
      <c r="AA53" s="785">
        <v>1</v>
      </c>
      <c r="AB53" s="785">
        <v>1</v>
      </c>
      <c r="AC53" s="786">
        <v>1</v>
      </c>
      <c r="AD53" s="126"/>
      <c r="AE53" s="125"/>
      <c r="AF53" s="125"/>
      <c r="AG53" s="125"/>
      <c r="AH53" s="125"/>
      <c r="AI53" s="125"/>
      <c r="AJ53" s="125"/>
      <c r="AK53" s="125"/>
      <c r="AM53" s="154"/>
    </row>
    <row r="54" spans="1:39" ht="36" customHeight="1">
      <c r="A54" s="741"/>
      <c r="B54" s="744" t="s">
        <v>576</v>
      </c>
      <c r="C54" s="773" t="s">
        <v>578</v>
      </c>
      <c r="D54" s="774"/>
      <c r="E54" s="787" t="s">
        <v>553</v>
      </c>
      <c r="F54" s="788">
        <v>0</v>
      </c>
      <c r="G54" s="788">
        <v>0</v>
      </c>
      <c r="H54" s="788">
        <v>0</v>
      </c>
      <c r="I54" s="788">
        <v>0</v>
      </c>
      <c r="J54" s="788">
        <v>0</v>
      </c>
      <c r="K54" s="788">
        <v>1</v>
      </c>
      <c r="L54" s="788">
        <v>1</v>
      </c>
      <c r="M54" s="788">
        <v>1</v>
      </c>
      <c r="N54" s="788">
        <v>1</v>
      </c>
      <c r="O54" s="788">
        <v>1</v>
      </c>
      <c r="P54" s="788">
        <v>1</v>
      </c>
      <c r="Q54" s="788">
        <v>1</v>
      </c>
      <c r="R54" s="788">
        <v>1</v>
      </c>
      <c r="S54" s="788">
        <v>1</v>
      </c>
      <c r="T54" s="788">
        <v>1</v>
      </c>
      <c r="U54" s="788">
        <v>1</v>
      </c>
      <c r="V54" s="788">
        <v>1</v>
      </c>
      <c r="W54" s="788">
        <v>1</v>
      </c>
      <c r="X54" s="788">
        <v>1</v>
      </c>
      <c r="Y54" s="788">
        <v>1</v>
      </c>
      <c r="Z54" s="788">
        <v>1</v>
      </c>
      <c r="AA54" s="788">
        <v>1</v>
      </c>
      <c r="AB54" s="788">
        <v>0</v>
      </c>
      <c r="AC54" s="789">
        <v>0</v>
      </c>
      <c r="AD54" s="126"/>
      <c r="AE54" s="125"/>
      <c r="AF54" s="125"/>
      <c r="AG54" s="125"/>
      <c r="AH54" s="125"/>
      <c r="AI54" s="125"/>
      <c r="AJ54" s="125"/>
      <c r="AK54" s="125"/>
      <c r="AM54" s="154"/>
    </row>
    <row r="55" spans="1:39" ht="36" customHeight="1">
      <c r="A55" s="742"/>
      <c r="B55" s="745"/>
      <c r="C55" s="778"/>
      <c r="D55" s="774"/>
      <c r="E55" s="779" t="s">
        <v>457</v>
      </c>
      <c r="F55" s="780">
        <v>0</v>
      </c>
      <c r="G55" s="780">
        <v>0</v>
      </c>
      <c r="H55" s="780">
        <v>0</v>
      </c>
      <c r="I55" s="780">
        <v>0</v>
      </c>
      <c r="J55" s="780">
        <v>0</v>
      </c>
      <c r="K55" s="780">
        <v>1</v>
      </c>
      <c r="L55" s="780">
        <v>1</v>
      </c>
      <c r="M55" s="780">
        <v>1</v>
      </c>
      <c r="N55" s="780">
        <v>1</v>
      </c>
      <c r="O55" s="780">
        <v>1</v>
      </c>
      <c r="P55" s="780">
        <v>1</v>
      </c>
      <c r="Q55" s="780">
        <v>1</v>
      </c>
      <c r="R55" s="780">
        <v>1</v>
      </c>
      <c r="S55" s="780">
        <v>1</v>
      </c>
      <c r="T55" s="780">
        <v>1</v>
      </c>
      <c r="U55" s="780">
        <v>1</v>
      </c>
      <c r="V55" s="780">
        <v>1</v>
      </c>
      <c r="W55" s="780">
        <v>1</v>
      </c>
      <c r="X55" s="780">
        <v>1</v>
      </c>
      <c r="Y55" s="780">
        <v>1</v>
      </c>
      <c r="Z55" s="780">
        <v>1</v>
      </c>
      <c r="AA55" s="780">
        <v>1</v>
      </c>
      <c r="AB55" s="780">
        <v>1</v>
      </c>
      <c r="AC55" s="790">
        <v>1</v>
      </c>
      <c r="AD55" s="126"/>
      <c r="AE55" s="125"/>
      <c r="AF55" s="125"/>
      <c r="AG55" s="125"/>
      <c r="AH55" s="125"/>
      <c r="AI55" s="125"/>
      <c r="AJ55" s="125"/>
      <c r="AK55" s="125"/>
      <c r="AM55" s="154"/>
    </row>
    <row r="56" spans="1:39" ht="36" customHeight="1" thickBot="1">
      <c r="A56" s="743"/>
      <c r="B56" s="746"/>
      <c r="C56" s="791"/>
      <c r="D56" s="792"/>
      <c r="E56" s="793" t="s">
        <v>459</v>
      </c>
      <c r="F56" s="794">
        <v>0</v>
      </c>
      <c r="G56" s="794">
        <v>0</v>
      </c>
      <c r="H56" s="794">
        <v>0</v>
      </c>
      <c r="I56" s="794">
        <v>0</v>
      </c>
      <c r="J56" s="794">
        <v>0</v>
      </c>
      <c r="K56" s="794">
        <v>1</v>
      </c>
      <c r="L56" s="794">
        <v>1</v>
      </c>
      <c r="M56" s="794">
        <v>1</v>
      </c>
      <c r="N56" s="794">
        <v>1</v>
      </c>
      <c r="O56" s="794">
        <v>1</v>
      </c>
      <c r="P56" s="794">
        <v>1</v>
      </c>
      <c r="Q56" s="794">
        <v>1</v>
      </c>
      <c r="R56" s="794">
        <v>1</v>
      </c>
      <c r="S56" s="794">
        <v>1</v>
      </c>
      <c r="T56" s="794">
        <v>1</v>
      </c>
      <c r="U56" s="794">
        <v>1</v>
      </c>
      <c r="V56" s="794">
        <v>1</v>
      </c>
      <c r="W56" s="794">
        <v>1</v>
      </c>
      <c r="X56" s="794">
        <v>1</v>
      </c>
      <c r="Y56" s="794">
        <v>1</v>
      </c>
      <c r="Z56" s="794">
        <v>1</v>
      </c>
      <c r="AA56" s="794">
        <v>1</v>
      </c>
      <c r="AB56" s="794">
        <v>1</v>
      </c>
      <c r="AC56" s="795">
        <v>1</v>
      </c>
      <c r="AD56" s="126"/>
      <c r="AE56" s="125"/>
      <c r="AF56" s="125"/>
      <c r="AG56" s="125"/>
      <c r="AH56" s="125"/>
      <c r="AI56" s="125"/>
      <c r="AJ56" s="125"/>
      <c r="AK56" s="125"/>
      <c r="AM56" s="154"/>
    </row>
    <row r="57" spans="1:39" ht="36" customHeight="1">
      <c r="A57" s="735" t="s">
        <v>117</v>
      </c>
      <c r="B57" s="725" t="s">
        <v>576</v>
      </c>
      <c r="C57" s="725" t="s">
        <v>579</v>
      </c>
      <c r="D57" s="726" t="s">
        <v>758</v>
      </c>
      <c r="E57" s="344" t="s">
        <v>553</v>
      </c>
      <c r="F57" s="375">
        <v>131.9</v>
      </c>
      <c r="G57" s="375">
        <v>131.9</v>
      </c>
      <c r="H57" s="375">
        <v>131.9</v>
      </c>
      <c r="I57" s="375">
        <v>131.9</v>
      </c>
      <c r="J57" s="375">
        <v>131.9</v>
      </c>
      <c r="K57" s="375">
        <v>131.9</v>
      </c>
      <c r="L57" s="375">
        <v>131.9</v>
      </c>
      <c r="M57" s="375">
        <v>131.9</v>
      </c>
      <c r="N57" s="375">
        <v>131.9</v>
      </c>
      <c r="O57" s="375">
        <v>131.9</v>
      </c>
      <c r="P57" s="375">
        <v>131.9</v>
      </c>
      <c r="Q57" s="375">
        <v>131.9</v>
      </c>
      <c r="R57" s="375">
        <v>131.9</v>
      </c>
      <c r="S57" s="375">
        <v>131.9</v>
      </c>
      <c r="T57" s="375">
        <v>131.9</v>
      </c>
      <c r="U57" s="375">
        <v>131.9</v>
      </c>
      <c r="V57" s="375">
        <v>131.9</v>
      </c>
      <c r="W57" s="375">
        <v>131.9</v>
      </c>
      <c r="X57" s="375">
        <v>131.9</v>
      </c>
      <c r="Y57" s="375">
        <v>131.9</v>
      </c>
      <c r="Z57" s="375">
        <v>131.9</v>
      </c>
      <c r="AA57" s="375">
        <v>131.9</v>
      </c>
      <c r="AB57" s="375">
        <v>131.9</v>
      </c>
      <c r="AC57" s="376">
        <v>131.9</v>
      </c>
      <c r="AD57" s="126"/>
      <c r="AE57" s="125"/>
      <c r="AF57" s="125"/>
      <c r="AG57" s="125"/>
      <c r="AH57" s="125"/>
      <c r="AI57" s="125"/>
      <c r="AJ57" s="125"/>
      <c r="AK57" s="125"/>
      <c r="AM57" s="154"/>
    </row>
    <row r="58" spans="1:39" ht="36" customHeight="1">
      <c r="A58" s="736"/>
      <c r="B58" s="738"/>
      <c r="C58" s="738"/>
      <c r="D58" s="675"/>
      <c r="E58" s="345" t="s">
        <v>457</v>
      </c>
      <c r="F58" s="377">
        <v>131.9</v>
      </c>
      <c r="G58" s="377">
        <v>131.9</v>
      </c>
      <c r="H58" s="377">
        <v>131.9</v>
      </c>
      <c r="I58" s="377">
        <v>131.9</v>
      </c>
      <c r="J58" s="377">
        <v>131.9</v>
      </c>
      <c r="K58" s="377">
        <v>131.9</v>
      </c>
      <c r="L58" s="377">
        <v>131.9</v>
      </c>
      <c r="M58" s="377">
        <v>131.9</v>
      </c>
      <c r="N58" s="377">
        <v>131.9</v>
      </c>
      <c r="O58" s="377">
        <v>131.9</v>
      </c>
      <c r="P58" s="377">
        <v>131.9</v>
      </c>
      <c r="Q58" s="377">
        <v>131.9</v>
      </c>
      <c r="R58" s="377">
        <v>131.9</v>
      </c>
      <c r="S58" s="377">
        <v>131.9</v>
      </c>
      <c r="T58" s="377">
        <v>131.9</v>
      </c>
      <c r="U58" s="377">
        <v>131.9</v>
      </c>
      <c r="V58" s="377">
        <v>131.9</v>
      </c>
      <c r="W58" s="377">
        <v>131.9</v>
      </c>
      <c r="X58" s="377">
        <v>131.9</v>
      </c>
      <c r="Y58" s="377">
        <v>131.9</v>
      </c>
      <c r="Z58" s="377">
        <v>131.9</v>
      </c>
      <c r="AA58" s="377">
        <v>131.9</v>
      </c>
      <c r="AB58" s="377">
        <v>131.9</v>
      </c>
      <c r="AC58" s="378">
        <v>131.9</v>
      </c>
      <c r="AD58" s="126"/>
      <c r="AE58" s="125"/>
      <c r="AF58" s="125"/>
      <c r="AG58" s="125"/>
      <c r="AH58" s="125"/>
      <c r="AI58" s="125"/>
      <c r="AJ58" s="125"/>
      <c r="AK58" s="125"/>
      <c r="AM58" s="154"/>
    </row>
    <row r="59" spans="1:39" ht="36" customHeight="1">
      <c r="A59" s="737"/>
      <c r="B59" s="739"/>
      <c r="C59" s="740"/>
      <c r="D59" s="727"/>
      <c r="E59" s="351" t="s">
        <v>459</v>
      </c>
      <c r="F59" s="379">
        <v>131.9</v>
      </c>
      <c r="G59" s="379">
        <v>131.9</v>
      </c>
      <c r="H59" s="379">
        <v>131.9</v>
      </c>
      <c r="I59" s="379">
        <v>131.9</v>
      </c>
      <c r="J59" s="379">
        <v>131.9</v>
      </c>
      <c r="K59" s="379">
        <v>131.9</v>
      </c>
      <c r="L59" s="379">
        <v>131.9</v>
      </c>
      <c r="M59" s="379">
        <v>131.9</v>
      </c>
      <c r="N59" s="379">
        <v>131.9</v>
      </c>
      <c r="O59" s="379">
        <v>131.9</v>
      </c>
      <c r="P59" s="379">
        <v>131.9</v>
      </c>
      <c r="Q59" s="379">
        <v>131.9</v>
      </c>
      <c r="R59" s="379">
        <v>131.9</v>
      </c>
      <c r="S59" s="379">
        <v>131.9</v>
      </c>
      <c r="T59" s="379">
        <v>131.9</v>
      </c>
      <c r="U59" s="379">
        <v>131.9</v>
      </c>
      <c r="V59" s="379">
        <v>131.9</v>
      </c>
      <c r="W59" s="379">
        <v>131.9</v>
      </c>
      <c r="X59" s="379">
        <v>131.9</v>
      </c>
      <c r="Y59" s="379">
        <v>131.9</v>
      </c>
      <c r="Z59" s="379">
        <v>131.9</v>
      </c>
      <c r="AA59" s="379">
        <v>131.9</v>
      </c>
      <c r="AB59" s="379">
        <v>131.9</v>
      </c>
      <c r="AC59" s="380">
        <v>131.9</v>
      </c>
      <c r="AD59" s="126"/>
      <c r="AE59" s="125"/>
      <c r="AF59" s="125"/>
      <c r="AG59" s="125"/>
      <c r="AH59" s="125"/>
      <c r="AI59" s="125"/>
      <c r="AJ59" s="125"/>
      <c r="AK59" s="125"/>
      <c r="AM59" s="154"/>
    </row>
    <row r="60" spans="1:39" ht="23.25" customHeight="1">
      <c r="A60" s="638" t="s">
        <v>569</v>
      </c>
      <c r="B60" s="643" t="s">
        <v>576</v>
      </c>
      <c r="C60" s="643" t="s">
        <v>580</v>
      </c>
      <c r="D60" s="728" t="s">
        <v>758</v>
      </c>
      <c r="E60" s="456" t="s">
        <v>553</v>
      </c>
      <c r="F60" s="456">
        <v>120</v>
      </c>
      <c r="G60" s="456">
        <v>120</v>
      </c>
      <c r="H60" s="456">
        <v>120</v>
      </c>
      <c r="I60" s="456">
        <v>120</v>
      </c>
      <c r="J60" s="456">
        <v>120</v>
      </c>
      <c r="K60" s="456">
        <v>120</v>
      </c>
      <c r="L60" s="456">
        <v>120</v>
      </c>
      <c r="M60" s="456">
        <v>120</v>
      </c>
      <c r="N60" s="456">
        <v>120</v>
      </c>
      <c r="O60" s="456">
        <v>120</v>
      </c>
      <c r="P60" s="456">
        <v>120</v>
      </c>
      <c r="Q60" s="456">
        <v>120</v>
      </c>
      <c r="R60" s="456">
        <v>120</v>
      </c>
      <c r="S60" s="456">
        <v>120</v>
      </c>
      <c r="T60" s="456">
        <v>120</v>
      </c>
      <c r="U60" s="456">
        <v>120</v>
      </c>
      <c r="V60" s="456">
        <v>120</v>
      </c>
      <c r="W60" s="456">
        <v>120</v>
      </c>
      <c r="X60" s="456">
        <v>120</v>
      </c>
      <c r="Y60" s="456">
        <v>120</v>
      </c>
      <c r="Z60" s="456">
        <v>120</v>
      </c>
      <c r="AA60" s="456">
        <v>120</v>
      </c>
      <c r="AB60" s="456">
        <v>120</v>
      </c>
      <c r="AC60" s="457">
        <v>120</v>
      </c>
      <c r="AD60" s="126"/>
      <c r="AE60" s="125"/>
      <c r="AF60" s="125"/>
      <c r="AG60" s="125"/>
      <c r="AH60" s="125"/>
      <c r="AI60" s="125"/>
      <c r="AJ60" s="125"/>
      <c r="AK60" s="125"/>
      <c r="AM60" s="154"/>
    </row>
    <row r="61" spans="1:39" ht="23.25" customHeight="1">
      <c r="A61" s="639"/>
      <c r="B61" s="641"/>
      <c r="C61" s="641"/>
      <c r="D61" s="644"/>
      <c r="E61" s="458" t="s">
        <v>457</v>
      </c>
      <c r="F61" s="458">
        <v>120</v>
      </c>
      <c r="G61" s="458">
        <v>120</v>
      </c>
      <c r="H61" s="458">
        <v>120</v>
      </c>
      <c r="I61" s="458">
        <v>120</v>
      </c>
      <c r="J61" s="458">
        <v>120</v>
      </c>
      <c r="K61" s="458">
        <v>120</v>
      </c>
      <c r="L61" s="458">
        <v>120</v>
      </c>
      <c r="M61" s="458">
        <v>120</v>
      </c>
      <c r="N61" s="458">
        <v>120</v>
      </c>
      <c r="O61" s="458">
        <v>120</v>
      </c>
      <c r="P61" s="458">
        <v>120</v>
      </c>
      <c r="Q61" s="458">
        <v>120</v>
      </c>
      <c r="R61" s="458">
        <v>120</v>
      </c>
      <c r="S61" s="458">
        <v>120</v>
      </c>
      <c r="T61" s="458">
        <v>120</v>
      </c>
      <c r="U61" s="458">
        <v>120</v>
      </c>
      <c r="V61" s="458">
        <v>120</v>
      </c>
      <c r="W61" s="458">
        <v>120</v>
      </c>
      <c r="X61" s="458">
        <v>120</v>
      </c>
      <c r="Y61" s="458">
        <v>120</v>
      </c>
      <c r="Z61" s="458">
        <v>120</v>
      </c>
      <c r="AA61" s="458">
        <v>120</v>
      </c>
      <c r="AB61" s="458">
        <v>120</v>
      </c>
      <c r="AC61" s="459">
        <v>120</v>
      </c>
      <c r="AD61" s="126"/>
      <c r="AE61" s="125"/>
      <c r="AF61" s="125"/>
      <c r="AG61" s="125"/>
      <c r="AH61" s="125"/>
      <c r="AI61" s="125"/>
      <c r="AJ61" s="125"/>
      <c r="AK61" s="125"/>
      <c r="AM61" s="154"/>
    </row>
    <row r="62" spans="1:39" ht="23.25" customHeight="1">
      <c r="A62" s="647"/>
      <c r="B62" s="733"/>
      <c r="C62" s="649"/>
      <c r="D62" s="729"/>
      <c r="E62" s="460" t="s">
        <v>459</v>
      </c>
      <c r="F62" s="460">
        <v>120</v>
      </c>
      <c r="G62" s="460">
        <v>120</v>
      </c>
      <c r="H62" s="460">
        <v>120</v>
      </c>
      <c r="I62" s="460">
        <v>120</v>
      </c>
      <c r="J62" s="460">
        <v>120</v>
      </c>
      <c r="K62" s="460">
        <v>120</v>
      </c>
      <c r="L62" s="460">
        <v>120</v>
      </c>
      <c r="M62" s="460">
        <v>120</v>
      </c>
      <c r="N62" s="460">
        <v>120</v>
      </c>
      <c r="O62" s="460">
        <v>120</v>
      </c>
      <c r="P62" s="460">
        <v>120</v>
      </c>
      <c r="Q62" s="460">
        <v>120</v>
      </c>
      <c r="R62" s="460">
        <v>120</v>
      </c>
      <c r="S62" s="460">
        <v>120</v>
      </c>
      <c r="T62" s="460">
        <v>120</v>
      </c>
      <c r="U62" s="460">
        <v>120</v>
      </c>
      <c r="V62" s="460">
        <v>120</v>
      </c>
      <c r="W62" s="460">
        <v>120</v>
      </c>
      <c r="X62" s="460">
        <v>120</v>
      </c>
      <c r="Y62" s="460">
        <v>120</v>
      </c>
      <c r="Z62" s="460">
        <v>120</v>
      </c>
      <c r="AA62" s="460">
        <v>120</v>
      </c>
      <c r="AB62" s="460">
        <v>120</v>
      </c>
      <c r="AC62" s="461">
        <v>120</v>
      </c>
      <c r="AD62" s="126"/>
      <c r="AE62" s="125"/>
      <c r="AF62" s="125"/>
      <c r="AG62" s="125"/>
      <c r="AH62" s="125"/>
      <c r="AI62" s="125"/>
      <c r="AJ62" s="125"/>
      <c r="AK62" s="125"/>
      <c r="AM62" s="154"/>
    </row>
    <row r="63" spans="1:39" ht="23.25" customHeight="1">
      <c r="A63" s="638" t="s">
        <v>581</v>
      </c>
      <c r="B63" s="641" t="s">
        <v>576</v>
      </c>
      <c r="C63" s="643" t="s">
        <v>582</v>
      </c>
      <c r="D63" s="644" t="s">
        <v>758</v>
      </c>
      <c r="E63" s="458" t="s">
        <v>553</v>
      </c>
      <c r="F63" s="458">
        <v>117</v>
      </c>
      <c r="G63" s="458">
        <v>117</v>
      </c>
      <c r="H63" s="458">
        <v>117</v>
      </c>
      <c r="I63" s="458">
        <v>117</v>
      </c>
      <c r="J63" s="458">
        <v>117</v>
      </c>
      <c r="K63" s="458">
        <v>117</v>
      </c>
      <c r="L63" s="458">
        <v>117</v>
      </c>
      <c r="M63" s="458">
        <v>117</v>
      </c>
      <c r="N63" s="458">
        <v>117</v>
      </c>
      <c r="O63" s="458">
        <v>117</v>
      </c>
      <c r="P63" s="458">
        <v>117</v>
      </c>
      <c r="Q63" s="458">
        <v>117</v>
      </c>
      <c r="R63" s="458">
        <v>117</v>
      </c>
      <c r="S63" s="458">
        <v>117</v>
      </c>
      <c r="T63" s="458">
        <v>117</v>
      </c>
      <c r="U63" s="458">
        <v>117</v>
      </c>
      <c r="V63" s="458">
        <v>117</v>
      </c>
      <c r="W63" s="458">
        <v>117</v>
      </c>
      <c r="X63" s="458">
        <v>117</v>
      </c>
      <c r="Y63" s="458">
        <v>117</v>
      </c>
      <c r="Z63" s="458">
        <v>117</v>
      </c>
      <c r="AA63" s="458">
        <v>117</v>
      </c>
      <c r="AB63" s="458">
        <v>117</v>
      </c>
      <c r="AC63" s="459">
        <v>117</v>
      </c>
      <c r="AD63" s="126"/>
      <c r="AE63" s="125"/>
      <c r="AF63" s="125"/>
      <c r="AG63" s="125"/>
      <c r="AH63" s="125"/>
      <c r="AI63" s="125"/>
      <c r="AJ63" s="125"/>
      <c r="AK63" s="125"/>
      <c r="AM63" s="154"/>
    </row>
    <row r="64" spans="1:39" ht="23.25" customHeight="1">
      <c r="A64" s="639"/>
      <c r="B64" s="641"/>
      <c r="C64" s="641"/>
      <c r="D64" s="644"/>
      <c r="E64" s="458" t="s">
        <v>457</v>
      </c>
      <c r="F64" s="458">
        <v>117</v>
      </c>
      <c r="G64" s="458">
        <v>117</v>
      </c>
      <c r="H64" s="458">
        <v>117</v>
      </c>
      <c r="I64" s="458">
        <v>117</v>
      </c>
      <c r="J64" s="458">
        <v>117</v>
      </c>
      <c r="K64" s="458">
        <v>117</v>
      </c>
      <c r="L64" s="458">
        <v>117</v>
      </c>
      <c r="M64" s="458">
        <v>117</v>
      </c>
      <c r="N64" s="458">
        <v>117</v>
      </c>
      <c r="O64" s="458">
        <v>117</v>
      </c>
      <c r="P64" s="458">
        <v>117</v>
      </c>
      <c r="Q64" s="458">
        <v>117</v>
      </c>
      <c r="R64" s="458">
        <v>117</v>
      </c>
      <c r="S64" s="458">
        <v>117</v>
      </c>
      <c r="T64" s="458">
        <v>117</v>
      </c>
      <c r="U64" s="458">
        <v>117</v>
      </c>
      <c r="V64" s="458">
        <v>117</v>
      </c>
      <c r="W64" s="458">
        <v>117</v>
      </c>
      <c r="X64" s="458">
        <v>117</v>
      </c>
      <c r="Y64" s="458">
        <v>117</v>
      </c>
      <c r="Z64" s="458">
        <v>117</v>
      </c>
      <c r="AA64" s="458">
        <v>117</v>
      </c>
      <c r="AB64" s="458">
        <v>117</v>
      </c>
      <c r="AC64" s="459">
        <v>117</v>
      </c>
      <c r="AD64" s="126"/>
      <c r="AE64" s="125"/>
      <c r="AF64" s="125"/>
      <c r="AG64" s="125"/>
      <c r="AH64" s="125"/>
      <c r="AI64" s="125"/>
      <c r="AJ64" s="125"/>
      <c r="AK64" s="125"/>
      <c r="AM64" s="154"/>
    </row>
    <row r="65" spans="1:39" ht="23.25" customHeight="1">
      <c r="A65" s="640"/>
      <c r="B65" s="642"/>
      <c r="C65" s="642"/>
      <c r="D65" s="645"/>
      <c r="E65" s="462" t="s">
        <v>459</v>
      </c>
      <c r="F65" s="462">
        <v>117</v>
      </c>
      <c r="G65" s="462">
        <v>117</v>
      </c>
      <c r="H65" s="462">
        <v>117</v>
      </c>
      <c r="I65" s="462">
        <v>117</v>
      </c>
      <c r="J65" s="462">
        <v>117</v>
      </c>
      <c r="K65" s="462">
        <v>117</v>
      </c>
      <c r="L65" s="462">
        <v>117</v>
      </c>
      <c r="M65" s="462">
        <v>117</v>
      </c>
      <c r="N65" s="462">
        <v>117</v>
      </c>
      <c r="O65" s="462">
        <v>117</v>
      </c>
      <c r="P65" s="462">
        <v>117</v>
      </c>
      <c r="Q65" s="462">
        <v>117</v>
      </c>
      <c r="R65" s="462">
        <v>117</v>
      </c>
      <c r="S65" s="462">
        <v>117</v>
      </c>
      <c r="T65" s="462">
        <v>117</v>
      </c>
      <c r="U65" s="462">
        <v>117</v>
      </c>
      <c r="V65" s="462">
        <v>117</v>
      </c>
      <c r="W65" s="462">
        <v>117</v>
      </c>
      <c r="X65" s="462">
        <v>117</v>
      </c>
      <c r="Y65" s="462">
        <v>117</v>
      </c>
      <c r="Z65" s="462">
        <v>117</v>
      </c>
      <c r="AA65" s="462">
        <v>117</v>
      </c>
      <c r="AB65" s="462">
        <v>117</v>
      </c>
      <c r="AC65" s="463">
        <v>117</v>
      </c>
      <c r="AD65" s="126"/>
      <c r="AE65" s="125"/>
      <c r="AF65" s="125"/>
      <c r="AG65" s="125"/>
      <c r="AH65" s="125"/>
      <c r="AI65" s="125"/>
      <c r="AJ65" s="125"/>
      <c r="AK65" s="125"/>
      <c r="AM65" s="154"/>
    </row>
    <row r="66" spans="1:39" ht="23.25" customHeight="1">
      <c r="A66" s="646" t="s">
        <v>583</v>
      </c>
      <c r="B66" s="648" t="s">
        <v>576</v>
      </c>
      <c r="C66" s="648" t="s">
        <v>584</v>
      </c>
      <c r="D66" s="650" t="s">
        <v>758</v>
      </c>
      <c r="E66" s="464" t="s">
        <v>553</v>
      </c>
      <c r="F66" s="464">
        <v>147</v>
      </c>
      <c r="G66" s="464">
        <v>147</v>
      </c>
      <c r="H66" s="464">
        <v>147</v>
      </c>
      <c r="I66" s="464">
        <v>147</v>
      </c>
      <c r="J66" s="464">
        <v>147</v>
      </c>
      <c r="K66" s="464">
        <v>147</v>
      </c>
      <c r="L66" s="464">
        <v>147</v>
      </c>
      <c r="M66" s="464">
        <v>147</v>
      </c>
      <c r="N66" s="464">
        <v>147</v>
      </c>
      <c r="O66" s="464">
        <v>147</v>
      </c>
      <c r="P66" s="464">
        <v>147</v>
      </c>
      <c r="Q66" s="464">
        <v>147</v>
      </c>
      <c r="R66" s="464">
        <v>147</v>
      </c>
      <c r="S66" s="464">
        <v>147</v>
      </c>
      <c r="T66" s="464">
        <v>147</v>
      </c>
      <c r="U66" s="464">
        <v>147</v>
      </c>
      <c r="V66" s="464">
        <v>147</v>
      </c>
      <c r="W66" s="464">
        <v>147</v>
      </c>
      <c r="X66" s="464">
        <v>147</v>
      </c>
      <c r="Y66" s="464">
        <v>147</v>
      </c>
      <c r="Z66" s="464">
        <v>147</v>
      </c>
      <c r="AA66" s="464">
        <v>147</v>
      </c>
      <c r="AB66" s="464">
        <v>147</v>
      </c>
      <c r="AC66" s="465">
        <v>147</v>
      </c>
      <c r="AD66" s="126"/>
      <c r="AE66" s="125"/>
      <c r="AF66" s="125"/>
      <c r="AG66" s="125"/>
      <c r="AH66" s="125"/>
      <c r="AI66" s="125"/>
      <c r="AJ66" s="125"/>
      <c r="AK66" s="125"/>
      <c r="AM66" s="154"/>
    </row>
    <row r="67" spans="1:39" ht="23.25" customHeight="1">
      <c r="A67" s="639"/>
      <c r="B67" s="641"/>
      <c r="C67" s="641"/>
      <c r="D67" s="644"/>
      <c r="E67" s="458" t="s">
        <v>457</v>
      </c>
      <c r="F67" s="458">
        <v>147</v>
      </c>
      <c r="G67" s="458">
        <v>147</v>
      </c>
      <c r="H67" s="458">
        <v>147</v>
      </c>
      <c r="I67" s="458">
        <v>147</v>
      </c>
      <c r="J67" s="458">
        <v>147</v>
      </c>
      <c r="K67" s="458">
        <v>147</v>
      </c>
      <c r="L67" s="458">
        <v>147</v>
      </c>
      <c r="M67" s="458">
        <v>147</v>
      </c>
      <c r="N67" s="458">
        <v>147</v>
      </c>
      <c r="O67" s="458">
        <v>147</v>
      </c>
      <c r="P67" s="458">
        <v>147</v>
      </c>
      <c r="Q67" s="458">
        <v>147</v>
      </c>
      <c r="R67" s="458">
        <v>147</v>
      </c>
      <c r="S67" s="458">
        <v>147</v>
      </c>
      <c r="T67" s="458">
        <v>147</v>
      </c>
      <c r="U67" s="458">
        <v>147</v>
      </c>
      <c r="V67" s="458">
        <v>147</v>
      </c>
      <c r="W67" s="458">
        <v>147</v>
      </c>
      <c r="X67" s="458">
        <v>147</v>
      </c>
      <c r="Y67" s="458">
        <v>147</v>
      </c>
      <c r="Z67" s="458">
        <v>147</v>
      </c>
      <c r="AA67" s="458">
        <v>147</v>
      </c>
      <c r="AB67" s="458">
        <v>147</v>
      </c>
      <c r="AC67" s="466">
        <v>147</v>
      </c>
      <c r="AD67" s="126"/>
      <c r="AE67" s="125"/>
      <c r="AF67" s="125"/>
      <c r="AG67" s="125"/>
      <c r="AH67" s="125"/>
      <c r="AI67" s="125"/>
      <c r="AJ67" s="125"/>
      <c r="AK67" s="125"/>
      <c r="AM67" s="154"/>
    </row>
    <row r="68" spans="1:39" ht="23.25" customHeight="1">
      <c r="A68" s="647"/>
      <c r="B68" s="649"/>
      <c r="C68" s="649"/>
      <c r="D68" s="651"/>
      <c r="E68" s="467" t="s">
        <v>459</v>
      </c>
      <c r="F68" s="467">
        <v>147</v>
      </c>
      <c r="G68" s="467">
        <v>147</v>
      </c>
      <c r="H68" s="467">
        <v>147</v>
      </c>
      <c r="I68" s="467">
        <v>147</v>
      </c>
      <c r="J68" s="467">
        <v>147</v>
      </c>
      <c r="K68" s="467">
        <v>147</v>
      </c>
      <c r="L68" s="467">
        <v>147</v>
      </c>
      <c r="M68" s="467">
        <v>147</v>
      </c>
      <c r="N68" s="467">
        <v>147</v>
      </c>
      <c r="O68" s="467">
        <v>147</v>
      </c>
      <c r="P68" s="467">
        <v>147</v>
      </c>
      <c r="Q68" s="467">
        <v>147</v>
      </c>
      <c r="R68" s="467">
        <v>147</v>
      </c>
      <c r="S68" s="467">
        <v>147</v>
      </c>
      <c r="T68" s="467">
        <v>147</v>
      </c>
      <c r="U68" s="467">
        <v>147</v>
      </c>
      <c r="V68" s="467">
        <v>147</v>
      </c>
      <c r="W68" s="467">
        <v>147</v>
      </c>
      <c r="X68" s="467">
        <v>147</v>
      </c>
      <c r="Y68" s="467">
        <v>147</v>
      </c>
      <c r="Z68" s="467">
        <v>147</v>
      </c>
      <c r="AA68" s="467">
        <v>147</v>
      </c>
      <c r="AB68" s="467">
        <v>147</v>
      </c>
      <c r="AC68" s="468">
        <v>147</v>
      </c>
      <c r="AD68" s="126"/>
      <c r="AE68" s="125"/>
      <c r="AF68" s="125"/>
      <c r="AG68" s="125"/>
      <c r="AH68" s="125"/>
      <c r="AI68" s="125"/>
      <c r="AJ68" s="125"/>
      <c r="AK68" s="125"/>
      <c r="AM68" s="154"/>
    </row>
    <row r="69" spans="1:39" ht="14.4">
      <c r="B69" s="381"/>
      <c r="C69" s="381"/>
      <c r="D69" s="381"/>
      <c r="F69" s="332"/>
      <c r="G69" s="332"/>
      <c r="H69" s="332"/>
      <c r="I69" s="332"/>
      <c r="J69" s="332"/>
      <c r="K69" s="332"/>
      <c r="L69" s="332"/>
      <c r="M69" s="332"/>
      <c r="N69" s="332"/>
      <c r="O69" s="332"/>
      <c r="P69" s="332"/>
      <c r="Q69" s="332"/>
      <c r="R69" s="332"/>
      <c r="S69" s="332"/>
      <c r="T69" s="332"/>
      <c r="U69" s="332"/>
      <c r="V69" s="332"/>
      <c r="W69" s="332"/>
      <c r="X69" s="332"/>
      <c r="Y69" s="332"/>
      <c r="Z69" s="332"/>
      <c r="AA69" s="332"/>
      <c r="AB69" s="332"/>
      <c r="AC69" s="332"/>
      <c r="AD69" s="126"/>
      <c r="AE69" s="125"/>
      <c r="AF69" s="125"/>
      <c r="AG69" s="125"/>
      <c r="AH69" s="125"/>
      <c r="AI69" s="125"/>
      <c r="AJ69" s="125"/>
      <c r="AK69" s="125"/>
      <c r="AM69" s="154"/>
    </row>
    <row r="70" spans="1:39" ht="14.4">
      <c r="B70" s="381"/>
      <c r="C70" s="381"/>
      <c r="D70" s="381"/>
      <c r="F70" s="332"/>
      <c r="G70" s="332"/>
      <c r="H70" s="332"/>
      <c r="I70" s="332"/>
      <c r="J70" s="332"/>
      <c r="K70" s="332"/>
      <c r="L70" s="332"/>
      <c r="M70" s="332"/>
      <c r="N70" s="332"/>
      <c r="O70" s="332"/>
      <c r="P70" s="332"/>
      <c r="Q70" s="332"/>
      <c r="R70" s="332"/>
      <c r="S70" s="332"/>
      <c r="T70" s="332"/>
      <c r="U70" s="332"/>
      <c r="V70" s="332"/>
      <c r="W70" s="332"/>
      <c r="X70" s="332"/>
      <c r="Y70" s="332"/>
      <c r="Z70" s="332"/>
      <c r="AA70" s="332"/>
      <c r="AB70" s="332"/>
      <c r="AC70" s="332"/>
      <c r="AD70" s="126"/>
      <c r="AE70" s="125"/>
      <c r="AF70" s="125"/>
      <c r="AG70" s="125"/>
      <c r="AH70" s="125"/>
      <c r="AI70" s="125"/>
      <c r="AJ70" s="125"/>
      <c r="AK70" s="125"/>
      <c r="AM70" s="154"/>
    </row>
    <row r="71" spans="1:39" ht="14.4">
      <c r="B71" s="381"/>
      <c r="C71" s="381"/>
      <c r="D71" s="381"/>
      <c r="F71" s="332"/>
      <c r="G71" s="332"/>
      <c r="H71" s="332"/>
      <c r="I71" s="332"/>
      <c r="J71" s="332"/>
      <c r="K71" s="332"/>
      <c r="L71" s="332"/>
      <c r="M71" s="332"/>
      <c r="N71" s="332"/>
      <c r="O71" s="332"/>
      <c r="P71" s="332"/>
      <c r="Q71" s="332"/>
      <c r="R71" s="332"/>
      <c r="S71" s="332"/>
      <c r="T71" s="332"/>
      <c r="U71" s="332"/>
      <c r="V71" s="332"/>
      <c r="W71" s="332"/>
      <c r="X71" s="332"/>
      <c r="Y71" s="332"/>
      <c r="Z71" s="332"/>
      <c r="AA71" s="332"/>
      <c r="AB71" s="332"/>
      <c r="AC71" s="332"/>
      <c r="AD71" s="126"/>
      <c r="AE71" s="125"/>
      <c r="AF71" s="125"/>
      <c r="AG71" s="125"/>
      <c r="AH71" s="125"/>
      <c r="AI71" s="125"/>
      <c r="AJ71" s="125"/>
      <c r="AK71" s="125"/>
      <c r="AM71" s="154"/>
    </row>
    <row r="72" spans="1:39" s="153" customFormat="1" ht="21.6" hidden="1" customHeight="1">
      <c r="A72" s="382" t="s">
        <v>360</v>
      </c>
      <c r="B72" s="382"/>
      <c r="C72" s="382"/>
      <c r="D72" s="382"/>
      <c r="E72" s="382"/>
      <c r="F72" s="382"/>
    </row>
    <row r="73" spans="1:39" ht="36" hidden="1" customHeight="1">
      <c r="B73" s="381"/>
      <c r="C73" s="381"/>
      <c r="D73" s="381"/>
      <c r="F73" s="332"/>
      <c r="G73" s="332"/>
      <c r="H73" s="332"/>
      <c r="I73" s="332"/>
      <c r="J73" s="332"/>
      <c r="K73" s="332"/>
      <c r="L73" s="332"/>
      <c r="M73" s="332"/>
      <c r="N73" s="332"/>
      <c r="O73" s="332"/>
      <c r="P73" s="332"/>
      <c r="Q73" s="332"/>
      <c r="R73" s="332"/>
      <c r="S73" s="332"/>
      <c r="T73" s="332"/>
      <c r="U73" s="332"/>
      <c r="V73" s="332"/>
      <c r="W73" s="332"/>
      <c r="X73" s="332"/>
      <c r="Y73" s="332"/>
      <c r="Z73" s="332"/>
      <c r="AA73" s="332"/>
      <c r="AB73" s="332"/>
      <c r="AC73" s="332"/>
      <c r="AD73" s="126"/>
      <c r="AE73" s="125"/>
      <c r="AF73" s="125"/>
      <c r="AG73" s="125"/>
      <c r="AH73" s="125"/>
      <c r="AI73" s="125"/>
      <c r="AJ73" s="125"/>
      <c r="AK73" s="125"/>
      <c r="AM73" s="154"/>
    </row>
    <row r="74" spans="1:39" ht="36" hidden="1" customHeight="1" thickBot="1">
      <c r="B74" s="330"/>
      <c r="C74" s="330"/>
      <c r="D74" s="330"/>
      <c r="E74" s="331"/>
      <c r="F74" s="332"/>
      <c r="G74" s="332"/>
      <c r="H74" s="332"/>
      <c r="I74" s="332"/>
      <c r="J74" s="332"/>
      <c r="K74" s="332"/>
      <c r="L74" s="332"/>
      <c r="M74" s="332"/>
      <c r="N74" s="332"/>
      <c r="O74" s="332"/>
      <c r="P74" s="332"/>
      <c r="Q74" s="332"/>
      <c r="R74" s="332"/>
      <c r="S74" s="332"/>
      <c r="T74" s="332"/>
      <c r="U74" s="332"/>
      <c r="V74" s="332"/>
      <c r="W74" s="332"/>
      <c r="X74" s="332"/>
      <c r="Y74" s="332"/>
      <c r="Z74" s="332"/>
      <c r="AA74" s="332"/>
      <c r="AB74" s="332"/>
      <c r="AC74" s="332"/>
      <c r="AD74" s="126"/>
      <c r="AE74" s="125"/>
      <c r="AF74" s="125"/>
      <c r="AG74" s="125"/>
      <c r="AH74" s="125"/>
      <c r="AI74" s="125"/>
      <c r="AJ74" s="125"/>
      <c r="AK74" s="125"/>
      <c r="AM74" s="154"/>
    </row>
    <row r="75" spans="1:39" ht="36" hidden="1" customHeight="1" thickBot="1">
      <c r="B75" s="721" t="s">
        <v>585</v>
      </c>
      <c r="C75" s="722"/>
      <c r="D75" s="722"/>
      <c r="E75" s="722"/>
      <c r="F75" s="722"/>
      <c r="G75" s="722"/>
      <c r="H75" s="722"/>
      <c r="I75" s="722"/>
      <c r="J75" s="722"/>
      <c r="K75" s="722"/>
      <c r="L75" s="722"/>
      <c r="M75" s="722"/>
      <c r="N75" s="722"/>
      <c r="O75" s="722"/>
      <c r="P75" s="722"/>
      <c r="Q75" s="722"/>
      <c r="R75" s="722"/>
      <c r="S75" s="722"/>
      <c r="T75" s="722"/>
      <c r="U75" s="722"/>
      <c r="V75" s="722"/>
      <c r="W75" s="722"/>
      <c r="X75" s="722"/>
      <c r="Y75" s="722"/>
      <c r="Z75" s="722"/>
      <c r="AA75" s="722"/>
      <c r="AB75" s="722"/>
      <c r="AC75" s="723"/>
      <c r="AD75" s="126"/>
      <c r="AE75" s="125"/>
      <c r="AF75" s="125"/>
      <c r="AG75" s="125"/>
      <c r="AH75" s="125"/>
      <c r="AI75" s="125"/>
      <c r="AJ75" s="125"/>
      <c r="AK75" s="125"/>
    </row>
    <row r="76" spans="1:39" ht="33" hidden="1" customHeight="1">
      <c r="B76" s="719" t="s">
        <v>586</v>
      </c>
      <c r="C76" s="718" t="s">
        <v>587</v>
      </c>
      <c r="D76" s="718" t="s">
        <v>588</v>
      </c>
      <c r="E76" s="535" t="s">
        <v>553</v>
      </c>
      <c r="F76" s="535">
        <f>0</f>
        <v>0</v>
      </c>
      <c r="G76" s="535">
        <v>0</v>
      </c>
      <c r="H76" s="535">
        <v>0</v>
      </c>
      <c r="I76" s="535">
        <v>0</v>
      </c>
      <c r="J76" s="535">
        <v>0</v>
      </c>
      <c r="K76" s="535">
        <v>0</v>
      </c>
      <c r="L76" s="535">
        <v>0.2</v>
      </c>
      <c r="M76" s="535">
        <v>0.7</v>
      </c>
      <c r="N76" s="535">
        <v>1</v>
      </c>
      <c r="O76" s="535">
        <v>1</v>
      </c>
      <c r="P76" s="535">
        <v>1</v>
      </c>
      <c r="Q76" s="535">
        <v>1</v>
      </c>
      <c r="R76" s="535">
        <v>1</v>
      </c>
      <c r="S76" s="535">
        <v>1</v>
      </c>
      <c r="T76" s="535">
        <v>1</v>
      </c>
      <c r="U76" s="535">
        <v>1</v>
      </c>
      <c r="V76" s="535">
        <v>1</v>
      </c>
      <c r="W76" s="535">
        <v>0.7</v>
      </c>
      <c r="X76" s="535">
        <v>0.5</v>
      </c>
      <c r="Y76" s="535">
        <v>0.3</v>
      </c>
      <c r="Z76" s="535">
        <v>0.2</v>
      </c>
      <c r="AA76" s="535">
        <v>0.2</v>
      </c>
      <c r="AB76" s="535">
        <v>0</v>
      </c>
      <c r="AC76" s="116">
        <v>0</v>
      </c>
      <c r="AD76" s="125"/>
      <c r="AE76" s="125"/>
      <c r="AF76" s="125"/>
      <c r="AG76" s="125"/>
      <c r="AH76" s="125"/>
      <c r="AI76" s="125"/>
      <c r="AJ76" s="125"/>
      <c r="AK76" s="125"/>
    </row>
    <row r="77" spans="1:39" ht="33" hidden="1" customHeight="1" thickBot="1">
      <c r="B77" s="720"/>
      <c r="C77" s="711"/>
      <c r="D77" s="711"/>
      <c r="E77" s="537" t="s">
        <v>457</v>
      </c>
      <c r="F77" s="537">
        <v>0</v>
      </c>
      <c r="G77" s="537">
        <v>0</v>
      </c>
      <c r="H77" s="537">
        <v>0</v>
      </c>
      <c r="I77" s="537">
        <v>0</v>
      </c>
      <c r="J77" s="537">
        <v>0</v>
      </c>
      <c r="K77" s="537">
        <v>0</v>
      </c>
      <c r="L77" s="537">
        <v>0.1</v>
      </c>
      <c r="M77" s="537">
        <v>0.1</v>
      </c>
      <c r="N77" s="537">
        <v>0.5</v>
      </c>
      <c r="O77" s="537">
        <v>0.5</v>
      </c>
      <c r="P77" s="537">
        <v>0.5</v>
      </c>
      <c r="Q77" s="537">
        <v>0.5</v>
      </c>
      <c r="R77" s="537">
        <v>0.1</v>
      </c>
      <c r="S77" s="537">
        <v>0.1</v>
      </c>
      <c r="T77" s="537">
        <v>0.1</v>
      </c>
      <c r="U77" s="537">
        <v>0.1</v>
      </c>
      <c r="V77" s="537">
        <v>0.1</v>
      </c>
      <c r="W77" s="537">
        <v>0.05</v>
      </c>
      <c r="X77" s="537">
        <v>5.0000000000000001E-3</v>
      </c>
      <c r="Y77" s="537">
        <v>0</v>
      </c>
      <c r="Z77" s="537">
        <v>0</v>
      </c>
      <c r="AA77" s="537">
        <v>0</v>
      </c>
      <c r="AB77" s="537">
        <v>0</v>
      </c>
      <c r="AC77" s="118">
        <v>0</v>
      </c>
      <c r="AD77" s="125"/>
      <c r="AE77" s="125"/>
      <c r="AF77" s="125"/>
      <c r="AG77" s="125"/>
      <c r="AH77" s="125"/>
      <c r="AI77" s="125"/>
      <c r="AJ77" s="125"/>
      <c r="AK77" s="125"/>
    </row>
    <row r="78" spans="1:39" ht="38.4" hidden="1" customHeight="1" thickBot="1">
      <c r="B78" s="724" t="s">
        <v>589</v>
      </c>
      <c r="C78" s="724"/>
      <c r="D78" s="724"/>
      <c r="E78" s="724"/>
      <c r="F78" s="724"/>
      <c r="G78" s="724"/>
      <c r="H78" s="724"/>
      <c r="I78" s="724"/>
      <c r="J78" s="724"/>
      <c r="K78" s="724"/>
      <c r="L78" s="724"/>
      <c r="M78" s="724"/>
      <c r="N78" s="724"/>
      <c r="O78" s="724"/>
      <c r="P78" s="724"/>
      <c r="Q78" s="724"/>
      <c r="R78" s="724"/>
      <c r="S78" s="724"/>
      <c r="T78" s="724"/>
      <c r="U78" s="724"/>
      <c r="V78" s="724"/>
      <c r="W78" s="724"/>
      <c r="X78" s="724"/>
      <c r="Y78" s="724"/>
      <c r="Z78" s="724"/>
      <c r="AA78" s="724"/>
      <c r="AB78" s="724"/>
      <c r="AC78" s="724"/>
      <c r="AD78" s="125"/>
      <c r="AE78" s="125"/>
      <c r="AF78" s="125"/>
      <c r="AG78" s="125"/>
      <c r="AH78" s="125"/>
      <c r="AI78" s="125"/>
      <c r="AJ78" s="125"/>
      <c r="AK78" s="125"/>
    </row>
    <row r="79" spans="1:39" ht="33" hidden="1" customHeight="1">
      <c r="B79" s="715" t="s">
        <v>590</v>
      </c>
      <c r="C79" s="712" t="s">
        <v>591</v>
      </c>
      <c r="D79" s="718" t="s">
        <v>592</v>
      </c>
      <c r="E79" s="535" t="s">
        <v>553</v>
      </c>
      <c r="F79" s="535">
        <v>0</v>
      </c>
      <c r="G79" s="535">
        <v>0</v>
      </c>
      <c r="H79" s="535">
        <v>0</v>
      </c>
      <c r="I79" s="535">
        <v>0</v>
      </c>
      <c r="J79" s="535">
        <v>0</v>
      </c>
      <c r="K79" s="535">
        <v>0</v>
      </c>
      <c r="L79" s="535">
        <v>0</v>
      </c>
      <c r="M79" s="535">
        <v>1</v>
      </c>
      <c r="N79" s="535">
        <v>1</v>
      </c>
      <c r="O79" s="535">
        <v>1</v>
      </c>
      <c r="P79" s="535">
        <v>1</v>
      </c>
      <c r="Q79" s="535">
        <v>1</v>
      </c>
      <c r="R79" s="535">
        <v>1</v>
      </c>
      <c r="S79" s="535">
        <v>1</v>
      </c>
      <c r="T79" s="535">
        <v>1</v>
      </c>
      <c r="U79" s="535">
        <v>1</v>
      </c>
      <c r="V79" s="535">
        <v>1</v>
      </c>
      <c r="W79" s="535">
        <v>1</v>
      </c>
      <c r="X79" s="535">
        <v>0</v>
      </c>
      <c r="Y79" s="535">
        <v>0</v>
      </c>
      <c r="Z79" s="535">
        <v>0</v>
      </c>
      <c r="AA79" s="535">
        <v>0</v>
      </c>
      <c r="AB79" s="535">
        <v>0</v>
      </c>
      <c r="AC79" s="116">
        <v>0</v>
      </c>
      <c r="AD79" s="125"/>
      <c r="AE79" s="125"/>
      <c r="AF79" s="125"/>
      <c r="AG79" s="125"/>
      <c r="AH79" s="125"/>
      <c r="AI79" s="125"/>
      <c r="AJ79" s="125"/>
      <c r="AK79" s="125"/>
    </row>
    <row r="80" spans="1:39" ht="33" hidden="1" customHeight="1">
      <c r="B80" s="716"/>
      <c r="C80" s="713"/>
      <c r="D80" s="710"/>
      <c r="E80" s="536" t="s">
        <v>457</v>
      </c>
      <c r="F80" s="536">
        <v>0</v>
      </c>
      <c r="G80" s="536">
        <v>0</v>
      </c>
      <c r="H80" s="536">
        <v>0</v>
      </c>
      <c r="I80" s="536">
        <v>0</v>
      </c>
      <c r="J80" s="536">
        <v>0</v>
      </c>
      <c r="K80" s="536">
        <v>0</v>
      </c>
      <c r="L80" s="536">
        <v>0</v>
      </c>
      <c r="M80" s="536">
        <v>0</v>
      </c>
      <c r="N80" s="536">
        <v>1</v>
      </c>
      <c r="O80" s="536">
        <v>1</v>
      </c>
      <c r="P80" s="536">
        <v>1</v>
      </c>
      <c r="Q80" s="536">
        <v>1</v>
      </c>
      <c r="R80" s="536">
        <v>0</v>
      </c>
      <c r="S80" s="536">
        <v>0</v>
      </c>
      <c r="T80" s="536">
        <v>0</v>
      </c>
      <c r="U80" s="536">
        <v>0</v>
      </c>
      <c r="V80" s="536">
        <v>0</v>
      </c>
      <c r="W80" s="536">
        <v>0</v>
      </c>
      <c r="X80" s="536">
        <v>0</v>
      </c>
      <c r="Y80" s="536">
        <v>0</v>
      </c>
      <c r="Z80" s="536">
        <v>0</v>
      </c>
      <c r="AA80" s="536">
        <v>0</v>
      </c>
      <c r="AB80" s="536">
        <v>0</v>
      </c>
      <c r="AC80" s="117">
        <v>0</v>
      </c>
      <c r="AD80" s="125"/>
      <c r="AE80" s="125"/>
      <c r="AF80" s="125"/>
      <c r="AG80" s="125"/>
      <c r="AH80" s="125"/>
      <c r="AI80" s="125"/>
      <c r="AJ80" s="125"/>
      <c r="AK80" s="125"/>
    </row>
    <row r="81" spans="2:39" ht="33" hidden="1" customHeight="1">
      <c r="B81" s="716"/>
      <c r="C81" s="713"/>
      <c r="D81" s="710"/>
      <c r="E81" s="536" t="s">
        <v>593</v>
      </c>
      <c r="F81" s="536">
        <v>0</v>
      </c>
      <c r="G81" s="536">
        <v>0</v>
      </c>
      <c r="H81" s="536">
        <v>0</v>
      </c>
      <c r="I81" s="536">
        <v>0</v>
      </c>
      <c r="J81" s="536">
        <v>0</v>
      </c>
      <c r="K81" s="536">
        <v>0</v>
      </c>
      <c r="L81" s="536">
        <v>0</v>
      </c>
      <c r="M81" s="536">
        <v>0</v>
      </c>
      <c r="N81" s="536">
        <v>0</v>
      </c>
      <c r="O81" s="536">
        <v>0</v>
      </c>
      <c r="P81" s="536">
        <v>0</v>
      </c>
      <c r="Q81" s="536">
        <v>0</v>
      </c>
      <c r="R81" s="536">
        <v>0</v>
      </c>
      <c r="S81" s="536">
        <v>0</v>
      </c>
      <c r="T81" s="536">
        <v>0</v>
      </c>
      <c r="U81" s="536">
        <v>0</v>
      </c>
      <c r="V81" s="536">
        <v>0</v>
      </c>
      <c r="W81" s="536">
        <v>0</v>
      </c>
      <c r="X81" s="536">
        <v>0</v>
      </c>
      <c r="Y81" s="536">
        <v>0</v>
      </c>
      <c r="Z81" s="536">
        <v>0</v>
      </c>
      <c r="AA81" s="536">
        <v>0</v>
      </c>
      <c r="AB81" s="536">
        <v>0</v>
      </c>
      <c r="AC81" s="117">
        <v>0</v>
      </c>
      <c r="AD81" s="125"/>
      <c r="AE81" s="125"/>
      <c r="AF81" s="125"/>
      <c r="AG81" s="125"/>
      <c r="AH81" s="125"/>
      <c r="AI81" s="125"/>
      <c r="AJ81" s="125"/>
      <c r="AK81" s="125"/>
    </row>
    <row r="82" spans="2:39" ht="33" hidden="1" customHeight="1">
      <c r="B82" s="716"/>
      <c r="C82" s="713"/>
      <c r="D82" s="710" t="s">
        <v>594</v>
      </c>
      <c r="E82" s="536" t="s">
        <v>553</v>
      </c>
      <c r="F82" s="536">
        <v>0</v>
      </c>
      <c r="G82" s="536">
        <v>0</v>
      </c>
      <c r="H82" s="536">
        <v>0</v>
      </c>
      <c r="I82" s="536">
        <v>0</v>
      </c>
      <c r="J82" s="536">
        <v>0</v>
      </c>
      <c r="K82" s="536">
        <v>0</v>
      </c>
      <c r="L82" s="536">
        <v>1</v>
      </c>
      <c r="M82" s="536">
        <v>1</v>
      </c>
      <c r="N82" s="536">
        <v>1</v>
      </c>
      <c r="O82" s="536">
        <v>1</v>
      </c>
      <c r="P82" s="536">
        <v>1</v>
      </c>
      <c r="Q82" s="536">
        <v>1</v>
      </c>
      <c r="R82" s="536">
        <v>1</v>
      </c>
      <c r="S82" s="536">
        <v>1</v>
      </c>
      <c r="T82" s="536">
        <v>1</v>
      </c>
      <c r="U82" s="536">
        <v>1</v>
      </c>
      <c r="V82" s="536">
        <v>1</v>
      </c>
      <c r="W82" s="536">
        <v>1</v>
      </c>
      <c r="X82" s="536">
        <v>1</v>
      </c>
      <c r="Y82" s="536">
        <v>1</v>
      </c>
      <c r="Z82" s="536">
        <v>1</v>
      </c>
      <c r="AA82" s="536">
        <v>1</v>
      </c>
      <c r="AB82" s="536">
        <v>0</v>
      </c>
      <c r="AC82" s="117">
        <v>0</v>
      </c>
      <c r="AD82" s="125"/>
      <c r="AE82" s="125"/>
      <c r="AF82" s="125"/>
      <c r="AG82" s="125"/>
      <c r="AH82" s="125"/>
      <c r="AI82" s="125"/>
      <c r="AJ82" s="125"/>
      <c r="AK82" s="125"/>
    </row>
    <row r="83" spans="2:39" ht="33" hidden="1" customHeight="1">
      <c r="B83" s="716"/>
      <c r="C83" s="713"/>
      <c r="D83" s="710"/>
      <c r="E83" s="536" t="s">
        <v>457</v>
      </c>
      <c r="F83" s="536">
        <v>0</v>
      </c>
      <c r="G83" s="536">
        <v>0</v>
      </c>
      <c r="H83" s="536">
        <v>0</v>
      </c>
      <c r="I83" s="536">
        <v>0</v>
      </c>
      <c r="J83" s="536">
        <v>0</v>
      </c>
      <c r="K83" s="536">
        <v>0</v>
      </c>
      <c r="L83" s="536">
        <v>0</v>
      </c>
      <c r="M83" s="536">
        <v>0</v>
      </c>
      <c r="N83" s="536">
        <v>0</v>
      </c>
      <c r="O83" s="536">
        <v>0</v>
      </c>
      <c r="P83" s="536">
        <v>0</v>
      </c>
      <c r="Q83" s="536">
        <v>0</v>
      </c>
      <c r="R83" s="536">
        <v>0</v>
      </c>
      <c r="S83" s="536">
        <v>0</v>
      </c>
      <c r="T83" s="536">
        <v>0</v>
      </c>
      <c r="U83" s="536">
        <v>0</v>
      </c>
      <c r="V83" s="536">
        <v>0</v>
      </c>
      <c r="W83" s="536">
        <v>0</v>
      </c>
      <c r="X83" s="536">
        <v>0</v>
      </c>
      <c r="Y83" s="536">
        <v>0</v>
      </c>
      <c r="Z83" s="536">
        <v>0</v>
      </c>
      <c r="AA83" s="536">
        <v>0</v>
      </c>
      <c r="AB83" s="536">
        <v>0</v>
      </c>
      <c r="AC83" s="117">
        <v>0</v>
      </c>
      <c r="AD83" s="125"/>
      <c r="AE83" s="125"/>
      <c r="AF83" s="125"/>
      <c r="AG83" s="125"/>
      <c r="AH83" s="125"/>
      <c r="AI83" s="125"/>
      <c r="AJ83" s="125"/>
      <c r="AK83" s="125"/>
    </row>
    <row r="84" spans="2:39" ht="33" hidden="1" customHeight="1" thickBot="1">
      <c r="B84" s="717"/>
      <c r="C84" s="714"/>
      <c r="D84" s="711"/>
      <c r="E84" s="537" t="s">
        <v>593</v>
      </c>
      <c r="F84" s="537">
        <v>0</v>
      </c>
      <c r="G84" s="537">
        <v>0</v>
      </c>
      <c r="H84" s="537">
        <v>0</v>
      </c>
      <c r="I84" s="537">
        <v>0</v>
      </c>
      <c r="J84" s="537">
        <v>0</v>
      </c>
      <c r="K84" s="537">
        <v>0</v>
      </c>
      <c r="L84" s="537">
        <v>0</v>
      </c>
      <c r="M84" s="537">
        <v>0</v>
      </c>
      <c r="N84" s="537">
        <v>0</v>
      </c>
      <c r="O84" s="537">
        <v>0</v>
      </c>
      <c r="P84" s="537">
        <v>0</v>
      </c>
      <c r="Q84" s="537">
        <v>0</v>
      </c>
      <c r="R84" s="537">
        <v>0</v>
      </c>
      <c r="S84" s="537">
        <v>0</v>
      </c>
      <c r="T84" s="537">
        <v>0</v>
      </c>
      <c r="U84" s="537">
        <v>0</v>
      </c>
      <c r="V84" s="537">
        <v>0</v>
      </c>
      <c r="W84" s="537">
        <v>0</v>
      </c>
      <c r="X84" s="537">
        <v>0</v>
      </c>
      <c r="Y84" s="537">
        <v>0</v>
      </c>
      <c r="Z84" s="537">
        <v>0</v>
      </c>
      <c r="AA84" s="537">
        <v>0</v>
      </c>
      <c r="AB84" s="537">
        <v>0</v>
      </c>
      <c r="AC84" s="118">
        <v>0</v>
      </c>
      <c r="AD84" s="125"/>
      <c r="AE84" s="125"/>
      <c r="AF84" s="125"/>
      <c r="AG84" s="125"/>
      <c r="AH84" s="125"/>
      <c r="AI84" s="125"/>
      <c r="AJ84" s="125"/>
      <c r="AK84" s="125"/>
    </row>
    <row r="85" spans="2:39" ht="12" hidden="1" thickBot="1"/>
    <row r="86" spans="2:39" ht="11.4" hidden="1" customHeight="1">
      <c r="B86" s="694" t="s">
        <v>595</v>
      </c>
      <c r="C86" s="697" t="s">
        <v>521</v>
      </c>
      <c r="D86" s="697" t="s">
        <v>117</v>
      </c>
      <c r="E86" s="535" t="s">
        <v>553</v>
      </c>
      <c r="F86" s="271">
        <v>0.05</v>
      </c>
      <c r="G86" s="271">
        <v>0.05</v>
      </c>
      <c r="H86" s="271">
        <v>0.05</v>
      </c>
      <c r="I86" s="271">
        <v>0.05</v>
      </c>
      <c r="J86" s="271">
        <v>0.05</v>
      </c>
      <c r="K86" s="271">
        <v>0.1</v>
      </c>
      <c r="L86" s="271">
        <v>0.1</v>
      </c>
      <c r="M86" s="271">
        <v>0.3</v>
      </c>
      <c r="N86" s="271">
        <v>0.9</v>
      </c>
      <c r="O86" s="271">
        <v>0.9</v>
      </c>
      <c r="P86" s="271">
        <v>0.9</v>
      </c>
      <c r="Q86" s="271">
        <v>0.9</v>
      </c>
      <c r="R86" s="271">
        <v>0.9</v>
      </c>
      <c r="S86" s="271">
        <v>0.9</v>
      </c>
      <c r="T86" s="271">
        <v>0.9</v>
      </c>
      <c r="U86" s="271">
        <v>0.9</v>
      </c>
      <c r="V86" s="271">
        <v>0.9</v>
      </c>
      <c r="W86" s="271">
        <v>0.5</v>
      </c>
      <c r="X86" s="271">
        <v>0.3</v>
      </c>
      <c r="Y86" s="271">
        <v>0.3</v>
      </c>
      <c r="Z86" s="271">
        <v>0.2</v>
      </c>
      <c r="AA86" s="271">
        <v>0.2</v>
      </c>
      <c r="AB86" s="271">
        <v>0.1</v>
      </c>
      <c r="AC86" s="272">
        <v>0.05</v>
      </c>
    </row>
    <row r="87" spans="2:39" ht="13.2" hidden="1">
      <c r="B87" s="695"/>
      <c r="C87" s="698"/>
      <c r="D87" s="698"/>
      <c r="E87" s="536" t="s">
        <v>457</v>
      </c>
      <c r="F87" s="273">
        <v>0.43</v>
      </c>
      <c r="G87" s="273">
        <v>0.05</v>
      </c>
      <c r="H87" s="273">
        <v>0.05</v>
      </c>
      <c r="I87" s="273">
        <v>0.05</v>
      </c>
      <c r="J87" s="273">
        <v>0.05</v>
      </c>
      <c r="K87" s="273">
        <v>0.05</v>
      </c>
      <c r="L87" s="273">
        <v>0.1</v>
      </c>
      <c r="M87" s="273">
        <v>0.1</v>
      </c>
      <c r="N87" s="273">
        <v>0.3</v>
      </c>
      <c r="O87" s="273">
        <v>0.3</v>
      </c>
      <c r="P87" s="273">
        <v>0.3</v>
      </c>
      <c r="Q87" s="273">
        <v>0.3</v>
      </c>
      <c r="R87" s="273">
        <v>0.15</v>
      </c>
      <c r="S87" s="273">
        <v>0.15</v>
      </c>
      <c r="T87" s="273">
        <v>0.15</v>
      </c>
      <c r="U87" s="273">
        <v>0.15</v>
      </c>
      <c r="V87" s="273">
        <v>0.15</v>
      </c>
      <c r="W87" s="273">
        <v>0.05</v>
      </c>
      <c r="X87" s="273">
        <v>0.05</v>
      </c>
      <c r="Y87" s="273">
        <v>0.05</v>
      </c>
      <c r="Z87" s="273">
        <v>0.05</v>
      </c>
      <c r="AA87" s="273">
        <v>0.05</v>
      </c>
      <c r="AB87" s="273">
        <v>0.05</v>
      </c>
      <c r="AC87" s="274">
        <v>0.05</v>
      </c>
    </row>
    <row r="88" spans="2:39" ht="13.8" hidden="1" thickBot="1">
      <c r="B88" s="696"/>
      <c r="C88" s="699"/>
      <c r="D88" s="699"/>
      <c r="E88" s="537" t="s">
        <v>459</v>
      </c>
      <c r="F88" s="275">
        <v>0.43</v>
      </c>
      <c r="G88" s="275">
        <v>0.43</v>
      </c>
      <c r="H88" s="275">
        <v>0.43</v>
      </c>
      <c r="I88" s="275">
        <v>0.43</v>
      </c>
      <c r="J88" s="275">
        <v>0.43</v>
      </c>
      <c r="K88" s="275">
        <v>0.43</v>
      </c>
      <c r="L88" s="275">
        <v>0.43</v>
      </c>
      <c r="M88" s="275">
        <v>0.43</v>
      </c>
      <c r="N88" s="275">
        <v>0.43</v>
      </c>
      <c r="O88" s="275">
        <v>0.43</v>
      </c>
      <c r="P88" s="275">
        <v>0.43</v>
      </c>
      <c r="Q88" s="275">
        <v>0.43</v>
      </c>
      <c r="R88" s="275">
        <v>0.43</v>
      </c>
      <c r="S88" s="275">
        <v>0.43</v>
      </c>
      <c r="T88" s="275">
        <v>0.43</v>
      </c>
      <c r="U88" s="275">
        <v>0.43</v>
      </c>
      <c r="V88" s="275">
        <v>0.43</v>
      </c>
      <c r="W88" s="275">
        <v>0.43</v>
      </c>
      <c r="X88" s="275">
        <v>0.43</v>
      </c>
      <c r="Y88" s="275">
        <v>0.43</v>
      </c>
      <c r="Z88" s="275">
        <v>0.43</v>
      </c>
      <c r="AA88" s="275">
        <v>0.43</v>
      </c>
      <c r="AB88" s="275">
        <v>0.43</v>
      </c>
      <c r="AC88" s="275">
        <v>0.43</v>
      </c>
    </row>
    <row r="89" spans="2:39" hidden="1"/>
    <row r="90" spans="2:39" ht="12" hidden="1" customHeight="1" thickBot="1"/>
    <row r="91" spans="2:39" s="153" customFormat="1" ht="21.6" hidden="1" customHeight="1">
      <c r="B91" s="709" t="s">
        <v>360</v>
      </c>
      <c r="C91" s="709"/>
      <c r="D91" s="709"/>
      <c r="E91" s="709"/>
      <c r="F91" s="709"/>
    </row>
    <row r="92" spans="2:39" ht="21.6" hidden="1" customHeight="1" thickBot="1"/>
    <row r="93" spans="2:39" ht="34.950000000000003" hidden="1" customHeight="1">
      <c r="B93" s="700" t="s">
        <v>596</v>
      </c>
      <c r="C93" s="703" t="s">
        <v>455</v>
      </c>
      <c r="D93" s="706" t="s">
        <v>597</v>
      </c>
      <c r="E93" s="535" t="s">
        <v>553</v>
      </c>
      <c r="F93" s="119">
        <v>0.40947755650000001</v>
      </c>
      <c r="G93" s="119">
        <v>0.40947755650000001</v>
      </c>
      <c r="H93" s="119">
        <v>0.40947755650000001</v>
      </c>
      <c r="I93" s="119">
        <v>0.40947755650000001</v>
      </c>
      <c r="J93" s="119">
        <v>0.40947755650000001</v>
      </c>
      <c r="K93" s="119">
        <v>0.40947755650000001</v>
      </c>
      <c r="L93" s="119">
        <v>0.47975263350000003</v>
      </c>
      <c r="M93" s="119">
        <v>0.47975263350000003</v>
      </c>
      <c r="N93" s="119">
        <v>0.95950526700000005</v>
      </c>
      <c r="O93" s="119">
        <v>0.95950526700000005</v>
      </c>
      <c r="P93" s="119">
        <v>0.95950526700000005</v>
      </c>
      <c r="Q93" s="119">
        <v>0.95950526700000005</v>
      </c>
      <c r="R93" s="119">
        <v>0.90193495097999998</v>
      </c>
      <c r="S93" s="119">
        <v>0.95950526700000005</v>
      </c>
      <c r="T93" s="119">
        <v>0.95950526700000005</v>
      </c>
      <c r="U93" s="119">
        <v>0.95950526700000005</v>
      </c>
      <c r="V93" s="119">
        <v>0.95950526700000005</v>
      </c>
      <c r="W93" s="119">
        <v>0.47975263350000003</v>
      </c>
      <c r="X93" s="119">
        <v>0.19190105339999999</v>
      </c>
      <c r="Y93" s="119">
        <v>0.19190105339999999</v>
      </c>
      <c r="Z93" s="119">
        <v>0.19190105339999999</v>
      </c>
      <c r="AA93" s="119">
        <v>0.19190105339999999</v>
      </c>
      <c r="AB93" s="119">
        <v>0.19190105339999999</v>
      </c>
      <c r="AC93" s="120">
        <v>0.1637910226</v>
      </c>
      <c r="AM93" s="154"/>
    </row>
    <row r="94" spans="2:39" ht="34.950000000000003" hidden="1" customHeight="1">
      <c r="B94" s="701"/>
      <c r="C94" s="704"/>
      <c r="D94" s="707"/>
      <c r="E94" s="536" t="s">
        <v>457</v>
      </c>
      <c r="F94" s="115">
        <v>0.1637910226</v>
      </c>
      <c r="G94" s="115">
        <v>0.1637910226</v>
      </c>
      <c r="H94" s="115">
        <v>0.1637910226</v>
      </c>
      <c r="I94" s="115">
        <v>0.1637910226</v>
      </c>
      <c r="J94" s="115">
        <v>0.1637910226</v>
      </c>
      <c r="K94" s="115">
        <v>0.1637910226</v>
      </c>
      <c r="L94" s="115">
        <v>0.1637910226</v>
      </c>
      <c r="M94" s="115">
        <v>0.1637910226</v>
      </c>
      <c r="N94" s="115">
        <v>0.1637910226</v>
      </c>
      <c r="O94" s="115">
        <v>0.1637910226</v>
      </c>
      <c r="P94" s="115">
        <v>0.1637910226</v>
      </c>
      <c r="Q94" s="115">
        <v>0.1637910226</v>
      </c>
      <c r="R94" s="115">
        <v>0.1637910226</v>
      </c>
      <c r="S94" s="115">
        <v>0.1637910226</v>
      </c>
      <c r="T94" s="115">
        <v>0.1637910226</v>
      </c>
      <c r="U94" s="115">
        <v>0.1637910226</v>
      </c>
      <c r="V94" s="115">
        <v>0.1637910226</v>
      </c>
      <c r="W94" s="115">
        <v>0.1637910226</v>
      </c>
      <c r="X94" s="115">
        <v>0.1637910226</v>
      </c>
      <c r="Y94" s="115">
        <v>0.1637910226</v>
      </c>
      <c r="Z94" s="115">
        <v>0.1637910226</v>
      </c>
      <c r="AA94" s="115">
        <v>0.1637910226</v>
      </c>
      <c r="AB94" s="115">
        <v>0.1637910226</v>
      </c>
      <c r="AC94" s="121">
        <v>0.1637910226</v>
      </c>
      <c r="AM94" s="154"/>
    </row>
    <row r="95" spans="2:39" ht="34.950000000000003" hidden="1" customHeight="1" thickBot="1">
      <c r="B95" s="702"/>
      <c r="C95" s="705"/>
      <c r="D95" s="708"/>
      <c r="E95" s="537" t="s">
        <v>459</v>
      </c>
      <c r="F95" s="122">
        <v>0.1637910226</v>
      </c>
      <c r="G95" s="122">
        <v>0.1637910226</v>
      </c>
      <c r="H95" s="122">
        <v>0.1637910226</v>
      </c>
      <c r="I95" s="122">
        <v>0.1637910226</v>
      </c>
      <c r="J95" s="122">
        <v>0.1637910226</v>
      </c>
      <c r="K95" s="122">
        <v>0.1637910226</v>
      </c>
      <c r="L95" s="122">
        <v>0.1637910226</v>
      </c>
      <c r="M95" s="122">
        <v>0.1637910226</v>
      </c>
      <c r="N95" s="122">
        <v>0.1637910226</v>
      </c>
      <c r="O95" s="122">
        <v>0.1637910226</v>
      </c>
      <c r="P95" s="122">
        <v>0.1637910226</v>
      </c>
      <c r="Q95" s="122">
        <v>0.1637910226</v>
      </c>
      <c r="R95" s="122">
        <v>0.1637910226</v>
      </c>
      <c r="S95" s="122">
        <v>0.1637910226</v>
      </c>
      <c r="T95" s="122">
        <v>0.1637910226</v>
      </c>
      <c r="U95" s="122">
        <v>0.1637910226</v>
      </c>
      <c r="V95" s="122">
        <v>0.1637910226</v>
      </c>
      <c r="W95" s="122">
        <v>0.1637910226</v>
      </c>
      <c r="X95" s="122">
        <v>0.1637910226</v>
      </c>
      <c r="Y95" s="122">
        <v>0.1637910226</v>
      </c>
      <c r="Z95" s="122">
        <v>0.1637910226</v>
      </c>
      <c r="AA95" s="122">
        <v>0.1637910226</v>
      </c>
      <c r="AB95" s="122">
        <v>0.1637910226</v>
      </c>
      <c r="AC95" s="123">
        <v>0.1637910226</v>
      </c>
      <c r="AM95" s="154"/>
    </row>
    <row r="96" spans="2:39" ht="12" hidden="1" customHeight="1" thickBot="1"/>
    <row r="97" ht="12" hidden="1" customHeight="1" thickBot="1"/>
    <row r="98" hidden="1"/>
    <row r="99" hidden="1"/>
    <row r="100" hidden="1"/>
  </sheetData>
  <mergeCells count="109">
    <mergeCell ref="A60:A62"/>
    <mergeCell ref="B60:B62"/>
    <mergeCell ref="A35:A37"/>
    <mergeCell ref="B35:B37"/>
    <mergeCell ref="C35:C37"/>
    <mergeCell ref="A44:A46"/>
    <mergeCell ref="B44:B46"/>
    <mergeCell ref="C44:C46"/>
    <mergeCell ref="A57:A59"/>
    <mergeCell ref="B57:B59"/>
    <mergeCell ref="C57:C59"/>
    <mergeCell ref="A54:A56"/>
    <mergeCell ref="B54:B56"/>
    <mergeCell ref="C54:C56"/>
    <mergeCell ref="A51:A53"/>
    <mergeCell ref="B51:B53"/>
    <mergeCell ref="A48:A50"/>
    <mergeCell ref="B48:B50"/>
    <mergeCell ref="C48:C50"/>
    <mergeCell ref="B29:B31"/>
    <mergeCell ref="C29:C31"/>
    <mergeCell ref="D29:D31"/>
    <mergeCell ref="D35:D37"/>
    <mergeCell ref="C51:C53"/>
    <mergeCell ref="D44:D46"/>
    <mergeCell ref="A38:A40"/>
    <mergeCell ref="B38:B40"/>
    <mergeCell ref="C38:C40"/>
    <mergeCell ref="D38:D40"/>
    <mergeCell ref="A41:A43"/>
    <mergeCell ref="B41:B43"/>
    <mergeCell ref="C41:C43"/>
    <mergeCell ref="D41:D43"/>
    <mergeCell ref="D51:D53"/>
    <mergeCell ref="D48:D50"/>
    <mergeCell ref="C76:C77"/>
    <mergeCell ref="B76:B77"/>
    <mergeCell ref="D76:D77"/>
    <mergeCell ref="B75:AC75"/>
    <mergeCell ref="B78:AC78"/>
    <mergeCell ref="B16:B18"/>
    <mergeCell ref="B4:B6"/>
    <mergeCell ref="B7:B9"/>
    <mergeCell ref="C10:C12"/>
    <mergeCell ref="C7:C9"/>
    <mergeCell ref="B13:B15"/>
    <mergeCell ref="D57:D59"/>
    <mergeCell ref="C60:C62"/>
    <mergeCell ref="D54:D56"/>
    <mergeCell ref="D60:D62"/>
    <mergeCell ref="D4:D6"/>
    <mergeCell ref="C4:C6"/>
    <mergeCell ref="C16:C18"/>
    <mergeCell ref="D16:D18"/>
    <mergeCell ref="B19:B21"/>
    <mergeCell ref="C19:C21"/>
    <mergeCell ref="D19:D21"/>
    <mergeCell ref="B22:B24"/>
    <mergeCell ref="C22:C24"/>
    <mergeCell ref="B86:B88"/>
    <mergeCell ref="C86:C88"/>
    <mergeCell ref="D86:D88"/>
    <mergeCell ref="B93:B95"/>
    <mergeCell ref="C93:C95"/>
    <mergeCell ref="D93:D95"/>
    <mergeCell ref="B91:F91"/>
    <mergeCell ref="D82:D84"/>
    <mergeCell ref="C79:C84"/>
    <mergeCell ref="B79:B84"/>
    <mergeCell ref="D79:D81"/>
    <mergeCell ref="A2:A3"/>
    <mergeCell ref="A1:AC1"/>
    <mergeCell ref="A4:A6"/>
    <mergeCell ref="A7:A9"/>
    <mergeCell ref="A10:A12"/>
    <mergeCell ref="C13:C15"/>
    <mergeCell ref="D13:D15"/>
    <mergeCell ref="D7:D9"/>
    <mergeCell ref="B10:B12"/>
    <mergeCell ref="D10:D12"/>
    <mergeCell ref="B2:B3"/>
    <mergeCell ref="F2:AC2"/>
    <mergeCell ref="E2:E3"/>
    <mergeCell ref="D2:D3"/>
    <mergeCell ref="C2:C3"/>
    <mergeCell ref="A63:A65"/>
    <mergeCell ref="B63:B65"/>
    <mergeCell ref="C63:C65"/>
    <mergeCell ref="D63:D65"/>
    <mergeCell ref="A66:A68"/>
    <mergeCell ref="B66:B68"/>
    <mergeCell ref="C66:C68"/>
    <mergeCell ref="D66:D68"/>
    <mergeCell ref="A13:A15"/>
    <mergeCell ref="A16:A18"/>
    <mergeCell ref="A19:A21"/>
    <mergeCell ref="A22:A24"/>
    <mergeCell ref="D22:D24"/>
    <mergeCell ref="A25:A27"/>
    <mergeCell ref="B25:B27"/>
    <mergeCell ref="C25:C27"/>
    <mergeCell ref="D25:D27"/>
    <mergeCell ref="A47:AC47"/>
    <mergeCell ref="A32:A34"/>
    <mergeCell ref="B32:B34"/>
    <mergeCell ref="C32:C34"/>
    <mergeCell ref="D32:D34"/>
    <mergeCell ref="A28:AC28"/>
    <mergeCell ref="A29:A3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Q88"/>
  <sheetViews>
    <sheetView workbookViewId="0">
      <selection sqref="A1:G1"/>
    </sheetView>
  </sheetViews>
  <sheetFormatPr defaultColWidth="8.88671875" defaultRowHeight="13.2"/>
  <cols>
    <col min="1" max="1" width="17.33203125" style="21" customWidth="1"/>
    <col min="2" max="2" width="15.44140625" style="21" customWidth="1"/>
    <col min="3" max="6" width="13.6640625" style="21" customWidth="1"/>
    <col min="7" max="7" width="13.33203125" style="21" customWidth="1"/>
    <col min="8" max="8" width="12.6640625" style="21" bestFit="1" customWidth="1"/>
    <col min="9" max="9" width="14" style="21" customWidth="1"/>
    <col min="10" max="10" width="18.6640625" style="21" customWidth="1"/>
    <col min="11" max="11" width="19" style="21" customWidth="1"/>
    <col min="12" max="12" width="17.6640625" style="21" customWidth="1"/>
    <col min="13" max="13" width="8.88671875" style="21"/>
    <col min="14" max="14" width="37.109375" style="21" customWidth="1"/>
    <col min="15" max="15" width="11.109375" style="21" bestFit="1" customWidth="1"/>
    <col min="16" max="16" width="11.109375" style="21" customWidth="1"/>
    <col min="17" max="17" width="9.109375" style="21" bestFit="1" customWidth="1"/>
    <col min="18" max="16384" width="8.88671875" style="21"/>
  </cols>
  <sheetData>
    <row r="1" spans="1:13" ht="28.95" customHeight="1">
      <c r="A1" s="550" t="s">
        <v>598</v>
      </c>
      <c r="B1" s="550"/>
      <c r="C1" s="550"/>
      <c r="D1" s="550"/>
      <c r="E1" s="550"/>
      <c r="F1" s="550"/>
      <c r="G1" s="550"/>
      <c r="H1" s="758" t="s">
        <v>599</v>
      </c>
      <c r="I1" s="758"/>
      <c r="J1" s="758"/>
      <c r="K1" s="758"/>
      <c r="L1" s="758"/>
      <c r="M1" s="758"/>
    </row>
    <row r="2" spans="1:13" ht="27" customHeight="1">
      <c r="A2" s="156" t="s">
        <v>26</v>
      </c>
      <c r="B2" s="156" t="s">
        <v>600</v>
      </c>
      <c r="C2" s="156" t="s">
        <v>601</v>
      </c>
      <c r="D2" s="156" t="s">
        <v>193</v>
      </c>
      <c r="E2" s="156" t="s">
        <v>195</v>
      </c>
      <c r="F2" s="156" t="s">
        <v>196</v>
      </c>
      <c r="G2" s="156" t="s">
        <v>602</v>
      </c>
      <c r="H2" s="758"/>
      <c r="I2" s="758"/>
      <c r="J2" s="758"/>
      <c r="K2" s="758"/>
      <c r="L2" s="758"/>
      <c r="M2" s="758"/>
    </row>
    <row r="3" spans="1:13" ht="16.95" customHeight="1">
      <c r="A3" s="755" t="s">
        <v>502</v>
      </c>
      <c r="B3" s="451">
        <v>1</v>
      </c>
      <c r="C3" s="454">
        <v>0.58416858423571771</v>
      </c>
      <c r="D3" s="454">
        <v>0.23368803175651617</v>
      </c>
      <c r="E3" s="454">
        <v>8.0589257324727673E-2</v>
      </c>
      <c r="F3" s="454">
        <v>3.5655035074731521E-2</v>
      </c>
      <c r="G3" s="454">
        <v>6.5899091608306926E-2</v>
      </c>
      <c r="J3" s="759" t="s">
        <v>603</v>
      </c>
      <c r="K3" s="759"/>
      <c r="L3" s="759"/>
    </row>
    <row r="4" spans="1:13" ht="16.95" customHeight="1">
      <c r="A4" s="756"/>
      <c r="B4" s="452">
        <v>2</v>
      </c>
      <c r="C4" s="454">
        <v>0.49146763186748776</v>
      </c>
      <c r="D4" s="454">
        <v>0.36417246230291739</v>
      </c>
      <c r="E4" s="454">
        <v>0.14389230427067698</v>
      </c>
      <c r="F4" s="454">
        <v>1.6417205808145474E-4</v>
      </c>
      <c r="G4" s="454">
        <v>3.0342950083651085E-4</v>
      </c>
      <c r="I4" s="22"/>
      <c r="J4" s="230" t="s">
        <v>333</v>
      </c>
      <c r="K4" s="230" t="s">
        <v>604</v>
      </c>
      <c r="L4" s="230" t="s">
        <v>605</v>
      </c>
      <c r="M4" s="23"/>
    </row>
    <row r="5" spans="1:13" ht="16.95" customHeight="1">
      <c r="A5" s="756"/>
      <c r="B5" s="452">
        <v>3</v>
      </c>
      <c r="C5" s="454">
        <v>0.39038790545248364</v>
      </c>
      <c r="D5" s="454">
        <v>0.34620320004962379</v>
      </c>
      <c r="E5" s="454">
        <v>0.15643681511597263</v>
      </c>
      <c r="F5" s="454">
        <v>7.9942242255856125E-2</v>
      </c>
      <c r="G5" s="454">
        <v>2.7029837126063803E-2</v>
      </c>
      <c r="J5" s="229">
        <v>0.35389988454261673</v>
      </c>
      <c r="K5" s="229">
        <v>0.29432530367139048</v>
      </c>
      <c r="L5" s="229">
        <v>0.35177481178599351</v>
      </c>
      <c r="M5" s="228"/>
    </row>
    <row r="6" spans="1:13" ht="16.95" customHeight="1">
      <c r="A6" s="756"/>
      <c r="B6" s="452">
        <v>4</v>
      </c>
      <c r="C6" s="454">
        <v>0.39416524289017729</v>
      </c>
      <c r="D6" s="454">
        <v>0.34192239100463012</v>
      </c>
      <c r="E6" s="454">
        <v>0.15720657625452711</v>
      </c>
      <c r="F6" s="454">
        <v>8.0510019069449226E-2</v>
      </c>
      <c r="G6" s="454">
        <v>2.6195770781216175E-2</v>
      </c>
    </row>
    <row r="7" spans="1:13" ht="16.95" customHeight="1">
      <c r="A7" s="756"/>
      <c r="B7" s="452">
        <v>5</v>
      </c>
      <c r="C7" s="454">
        <v>0.18231852365632323</v>
      </c>
      <c r="D7" s="454">
        <v>0.72976781490435016</v>
      </c>
      <c r="E7" s="454">
        <v>3.4824867088042145E-2</v>
      </c>
      <c r="F7" s="454">
        <v>3.0231360474524273E-2</v>
      </c>
      <c r="G7" s="454">
        <v>2.2857433876760144E-2</v>
      </c>
    </row>
    <row r="8" spans="1:13" ht="16.95" customHeight="1">
      <c r="A8" s="756"/>
      <c r="B8" s="452">
        <v>6</v>
      </c>
      <c r="C8" s="454">
        <v>0.33042937319460475</v>
      </c>
      <c r="D8" s="454">
        <v>0.40085064300513529</v>
      </c>
      <c r="E8" s="454">
        <v>0.15452474474202355</v>
      </c>
      <c r="F8" s="454">
        <v>6.4158610637039939E-2</v>
      </c>
      <c r="G8" s="454">
        <v>5.0036628421196584E-2</v>
      </c>
    </row>
    <row r="9" spans="1:13" ht="16.95" customHeight="1">
      <c r="A9" s="756"/>
      <c r="B9" s="452">
        <v>7</v>
      </c>
      <c r="C9" s="454">
        <v>0.16640128355197242</v>
      </c>
      <c r="D9" s="454">
        <v>0.53222331424116376</v>
      </c>
      <c r="E9" s="454">
        <v>0.21554310902495269</v>
      </c>
      <c r="F9" s="454">
        <v>6.977528117714521E-2</v>
      </c>
      <c r="G9" s="454">
        <v>1.6057012004765794E-2</v>
      </c>
    </row>
    <row r="10" spans="1:13" ht="16.95" customHeight="1">
      <c r="A10" s="756"/>
      <c r="B10" s="452">
        <v>8</v>
      </c>
      <c r="C10" s="454">
        <v>0.35090245339033721</v>
      </c>
      <c r="D10" s="454">
        <v>0.41331991851014249</v>
      </c>
      <c r="E10" s="454">
        <v>0.11308818876032821</v>
      </c>
      <c r="F10" s="454">
        <v>5.1793646344390466E-2</v>
      </c>
      <c r="G10" s="454">
        <v>7.0895792994801643E-2</v>
      </c>
    </row>
    <row r="11" spans="1:13" ht="16.95" customHeight="1">
      <c r="A11" s="756"/>
      <c r="B11" s="452">
        <v>9</v>
      </c>
      <c r="C11" s="454">
        <v>0.38396158194148067</v>
      </c>
      <c r="D11" s="454">
        <v>0.40666613814470476</v>
      </c>
      <c r="E11" s="454">
        <v>9.2304311148304022E-2</v>
      </c>
      <c r="F11" s="454">
        <v>6.322920280966654E-2</v>
      </c>
      <c r="G11" s="454">
        <v>5.3838765955844005E-2</v>
      </c>
    </row>
    <row r="12" spans="1:13" ht="16.95" customHeight="1">
      <c r="A12" s="756"/>
      <c r="B12" s="452">
        <v>10</v>
      </c>
      <c r="C12" s="454">
        <v>0.16196628377447275</v>
      </c>
      <c r="D12" s="454">
        <v>0.41330991756079627</v>
      </c>
      <c r="E12" s="454">
        <v>0.26423682318792296</v>
      </c>
      <c r="F12" s="454">
        <v>9.8549959782339713E-2</v>
      </c>
      <c r="G12" s="454">
        <v>6.193701569446821E-2</v>
      </c>
    </row>
    <row r="13" spans="1:13" ht="16.95" customHeight="1">
      <c r="A13" s="756"/>
      <c r="B13" s="452">
        <v>11</v>
      </c>
      <c r="C13" s="454">
        <v>0.46794721495178143</v>
      </c>
      <c r="D13" s="454">
        <v>0.16134049169179066</v>
      </c>
      <c r="E13" s="454">
        <v>0.14624531738763658</v>
      </c>
      <c r="F13" s="454">
        <v>8.8280087265749929E-2</v>
      </c>
      <c r="G13" s="454">
        <v>0.13618688870304146</v>
      </c>
    </row>
    <row r="14" spans="1:13" ht="16.95" customHeight="1">
      <c r="A14" s="756"/>
      <c r="B14" s="452">
        <v>12</v>
      </c>
      <c r="C14" s="454">
        <v>0.37431596072623147</v>
      </c>
      <c r="D14" s="454">
        <v>0.31214220667624254</v>
      </c>
      <c r="E14" s="454">
        <v>0.16493079507493916</v>
      </c>
      <c r="F14" s="454">
        <v>8.7939491493124564E-2</v>
      </c>
      <c r="G14" s="454">
        <v>6.0671546029462273E-2</v>
      </c>
    </row>
    <row r="15" spans="1:13" ht="16.95" customHeight="1">
      <c r="A15" s="756"/>
      <c r="B15" s="452">
        <v>13</v>
      </c>
      <c r="C15" s="454">
        <v>0.68744185567771976</v>
      </c>
      <c r="D15" s="454">
        <v>0.130715365150535</v>
      </c>
      <c r="E15" s="454">
        <v>3.9793065325846283E-2</v>
      </c>
      <c r="F15" s="454">
        <v>4.9872788974286215E-2</v>
      </c>
      <c r="G15" s="454">
        <v>9.2176924871612803E-2</v>
      </c>
    </row>
    <row r="16" spans="1:13" ht="16.95" customHeight="1">
      <c r="A16" s="756"/>
      <c r="B16" s="452">
        <v>14</v>
      </c>
      <c r="C16" s="454">
        <v>0.21025203237486476</v>
      </c>
      <c r="D16" s="454">
        <v>0.41588544219398826</v>
      </c>
      <c r="E16" s="454">
        <v>0.21254859691320868</v>
      </c>
      <c r="F16" s="454">
        <v>6.0236044659894815E-2</v>
      </c>
      <c r="G16" s="454">
        <v>0.10107788385804346</v>
      </c>
    </row>
    <row r="17" spans="1:7" ht="16.95" customHeight="1">
      <c r="A17" s="756"/>
      <c r="B17" s="452">
        <v>15</v>
      </c>
      <c r="C17" s="454">
        <v>0.30202483716259815</v>
      </c>
      <c r="D17" s="454">
        <v>0.16756759918230449</v>
      </c>
      <c r="E17" s="454">
        <v>0.25287062467750043</v>
      </c>
      <c r="F17" s="454">
        <v>0.17736792803498194</v>
      </c>
      <c r="G17" s="454">
        <v>0.10016901094261485</v>
      </c>
    </row>
    <row r="18" spans="1:7" ht="16.95" customHeight="1">
      <c r="A18" s="757"/>
      <c r="B18" s="453">
        <v>16</v>
      </c>
      <c r="C18" s="454">
        <v>0.27081429859232081</v>
      </c>
      <c r="D18" s="454">
        <v>0.30945550231581431</v>
      </c>
      <c r="E18" s="454">
        <v>0.23934765466894697</v>
      </c>
      <c r="F18" s="454">
        <v>6.6132420610680101E-2</v>
      </c>
      <c r="G18" s="454">
        <v>0.11425012381223795</v>
      </c>
    </row>
    <row r="19" spans="1:7">
      <c r="B19" s="21" t="s">
        <v>332</v>
      </c>
      <c r="C19" s="455">
        <v>0.34876466977424414</v>
      </c>
      <c r="D19" s="455">
        <v>0.38184428761074246</v>
      </c>
      <c r="E19" s="455">
        <v>0.15173083362070491</v>
      </c>
      <c r="F19" s="455">
        <v>7.1156687325647006E-2</v>
      </c>
      <c r="G19" s="455">
        <v>4.6503521668660813E-2</v>
      </c>
    </row>
    <row r="21" spans="1:7">
      <c r="A21" s="21" t="s">
        <v>606</v>
      </c>
    </row>
    <row r="27" spans="1:7" s="48" customFormat="1" hidden="1">
      <c r="A27" s="48" t="s">
        <v>360</v>
      </c>
      <c r="E27" s="49"/>
      <c r="F27" s="50"/>
      <c r="G27" s="51"/>
    </row>
    <row r="28" spans="1:7" ht="13.8" hidden="1" thickBot="1"/>
    <row r="29" spans="1:7" ht="18.600000000000001" hidden="1" customHeight="1">
      <c r="A29" s="201" t="s">
        <v>549</v>
      </c>
      <c r="B29" s="202" t="s">
        <v>333</v>
      </c>
      <c r="C29" s="202" t="s">
        <v>607</v>
      </c>
      <c r="D29" s="202" t="s">
        <v>605</v>
      </c>
      <c r="E29" s="203" t="s">
        <v>608</v>
      </c>
    </row>
    <row r="30" spans="1:7" ht="18.600000000000001" hidden="1" customHeight="1">
      <c r="A30" s="204" t="s">
        <v>609</v>
      </c>
      <c r="B30" s="200">
        <v>582249224.85420477</v>
      </c>
      <c r="C30" s="200">
        <v>484234913.32619816</v>
      </c>
      <c r="D30" s="200">
        <v>578752976.28407097</v>
      </c>
      <c r="E30" s="205">
        <v>1645237114.464474</v>
      </c>
    </row>
    <row r="31" spans="1:7" ht="18.600000000000001" hidden="1" customHeight="1" thickBot="1">
      <c r="A31" s="206" t="s">
        <v>610</v>
      </c>
      <c r="B31" s="207">
        <v>0.35389988454261673</v>
      </c>
      <c r="C31" s="207">
        <v>0.29432530367139048</v>
      </c>
      <c r="D31" s="207">
        <v>0.35177481178599351</v>
      </c>
      <c r="E31" s="208">
        <v>1.0000000000000007</v>
      </c>
    </row>
    <row r="32" spans="1:7" hidden="1"/>
    <row r="33" spans="1:17" hidden="1">
      <c r="L33" s="21" t="s">
        <v>611</v>
      </c>
    </row>
    <row r="34" spans="1:17" ht="34.200000000000003" hidden="1">
      <c r="A34" s="212" t="s">
        <v>612</v>
      </c>
      <c r="B34" s="213" t="s">
        <v>71</v>
      </c>
      <c r="C34" s="214" t="s">
        <v>601</v>
      </c>
      <c r="D34" s="214" t="s">
        <v>193</v>
      </c>
      <c r="E34" s="214" t="s">
        <v>195</v>
      </c>
      <c r="F34" s="215" t="s">
        <v>196</v>
      </c>
      <c r="G34" s="216"/>
      <c r="H34" s="216"/>
      <c r="I34" s="216"/>
      <c r="J34" s="216"/>
      <c r="K34" s="213" t="s">
        <v>601</v>
      </c>
      <c r="L34" s="213" t="s">
        <v>193</v>
      </c>
      <c r="M34" s="213" t="s">
        <v>195</v>
      </c>
      <c r="N34" s="213" t="s">
        <v>613</v>
      </c>
      <c r="O34" s="212" t="s">
        <v>614</v>
      </c>
      <c r="P34" s="212" t="s">
        <v>409</v>
      </c>
      <c r="Q34" s="216" t="s">
        <v>615</v>
      </c>
    </row>
    <row r="35" spans="1:17" hidden="1">
      <c r="A35" s="217" t="s">
        <v>332</v>
      </c>
      <c r="B35" s="218" t="s">
        <v>605</v>
      </c>
      <c r="C35" s="219">
        <f>K35+$O35*K35/$Q35</f>
        <v>482973.36114171543</v>
      </c>
      <c r="D35" s="219">
        <f t="shared" ref="D35:F35" si="0">L35+$O35*L35/$Q35</f>
        <v>528782.39971812489</v>
      </c>
      <c r="E35" s="219">
        <f t="shared" si="0"/>
        <v>210118.61880981739</v>
      </c>
      <c r="F35" s="219">
        <f t="shared" si="0"/>
        <v>98538.60618285535</v>
      </c>
      <c r="G35" s="220">
        <f>C35/$P35</f>
        <v>0.36577447080307801</v>
      </c>
      <c r="H35" s="220">
        <f t="shared" ref="H35:J35" si="1">D35/$P35</f>
        <v>0.40046743358610704</v>
      </c>
      <c r="I35" s="220">
        <f t="shared" si="1"/>
        <v>0.1591309848215072</v>
      </c>
      <c r="J35" s="220">
        <f t="shared" si="1"/>
        <v>7.4627110789307102E-2</v>
      </c>
      <c r="K35" s="219">
        <v>460513.3989764757</v>
      </c>
      <c r="L35" s="219">
        <v>504192.15593482653</v>
      </c>
      <c r="M35" s="219">
        <v>200347.36306700596</v>
      </c>
      <c r="N35" s="219">
        <v>93956.213975031293</v>
      </c>
      <c r="O35" s="219">
        <v>61403.853899173504</v>
      </c>
      <c r="P35" s="219">
        <v>1320412.9858525139</v>
      </c>
      <c r="Q35" s="221">
        <f>SUM(K35:N35)</f>
        <v>1259009.1319533396</v>
      </c>
    </row>
    <row r="36" spans="1:17" hidden="1">
      <c r="A36" s="222">
        <v>1</v>
      </c>
      <c r="B36" s="223" t="s">
        <v>605</v>
      </c>
      <c r="C36" s="219">
        <f t="shared" ref="C36:C68" si="2">K36+$O36*K36/$Q36</f>
        <v>182191.72735974347</v>
      </c>
      <c r="D36" s="219">
        <f t="shared" ref="D36:D68" si="3">L36+$O36*L36/$Q36</f>
        <v>154537.04910795347</v>
      </c>
      <c r="E36" s="219">
        <f t="shared" ref="E36:E68" si="4">M36+$O36*M36/$Q36</f>
        <v>72923.613677651651</v>
      </c>
      <c r="F36" s="219">
        <f t="shared" ref="F36:F68" si="5">N36+$O36*N36/$Q36</f>
        <v>37264.44784312867</v>
      </c>
      <c r="G36" s="224">
        <f t="shared" ref="G36:G68" si="6">C36/$P36</f>
        <v>0.40766360063712981</v>
      </c>
      <c r="H36" s="224">
        <f t="shared" ref="H36:H68" si="7">D36/$P36</f>
        <v>0.34578479925595873</v>
      </c>
      <c r="I36" s="224">
        <f t="shared" ref="I36:I68" si="8">E36/$P36</f>
        <v>0.16317043234681575</v>
      </c>
      <c r="J36" s="224">
        <f t="shared" ref="J36:J68" si="9">F36/$P36</f>
        <v>8.3381167760095548E-2</v>
      </c>
      <c r="K36" s="219">
        <v>177411.7833408025</v>
      </c>
      <c r="L36" s="219">
        <v>150482.64743838808</v>
      </c>
      <c r="M36" s="219">
        <v>71010.405015055308</v>
      </c>
      <c r="N36" s="219">
        <v>36286.785590466709</v>
      </c>
      <c r="O36" s="219">
        <v>11725.216603764648</v>
      </c>
      <c r="P36" s="219">
        <v>446916.83798847732</v>
      </c>
      <c r="Q36" s="221">
        <f t="shared" ref="Q36:Q68" si="10">SUM(K36:N36)</f>
        <v>435191.62138471263</v>
      </c>
    </row>
    <row r="37" spans="1:17" hidden="1">
      <c r="A37" s="222">
        <v>2</v>
      </c>
      <c r="B37" s="223" t="s">
        <v>605</v>
      </c>
      <c r="C37" s="219">
        <f t="shared" si="2"/>
        <v>7571.3771087637142</v>
      </c>
      <c r="D37" s="219">
        <f t="shared" si="3"/>
        <v>5624.5187412193645</v>
      </c>
      <c r="E37" s="219">
        <f t="shared" si="4"/>
        <v>2223.2050472091005</v>
      </c>
      <c r="F37" s="219">
        <f t="shared" si="5"/>
        <v>0</v>
      </c>
      <c r="G37" s="224">
        <f t="shared" si="6"/>
        <v>0.49103881991864146</v>
      </c>
      <c r="H37" s="224">
        <f t="shared" si="7"/>
        <v>0.36477605138724983</v>
      </c>
      <c r="I37" s="224">
        <f t="shared" si="8"/>
        <v>0.14418512869410863</v>
      </c>
      <c r="J37" s="224">
        <f t="shared" si="9"/>
        <v>0</v>
      </c>
      <c r="K37" s="219">
        <v>7571.3771087637142</v>
      </c>
      <c r="L37" s="219">
        <v>5624.5187412193645</v>
      </c>
      <c r="M37" s="219">
        <v>2223.2050472091005</v>
      </c>
      <c r="N37" s="219">
        <v>0</v>
      </c>
      <c r="O37" s="219">
        <v>0</v>
      </c>
      <c r="P37" s="219">
        <v>15419.10089719218</v>
      </c>
      <c r="Q37" s="221">
        <f t="shared" si="10"/>
        <v>15419.10089719218</v>
      </c>
    </row>
    <row r="38" spans="1:17" hidden="1">
      <c r="A38" s="222">
        <v>3</v>
      </c>
      <c r="B38" s="223" t="s">
        <v>605</v>
      </c>
      <c r="C38" s="219">
        <f t="shared" si="2"/>
        <v>3436.5746866504915</v>
      </c>
      <c r="D38" s="219">
        <f t="shared" si="3"/>
        <v>428.89863197973153</v>
      </c>
      <c r="E38" s="219">
        <f t="shared" si="4"/>
        <v>0</v>
      </c>
      <c r="F38" s="219">
        <f t="shared" si="5"/>
        <v>0</v>
      </c>
      <c r="G38" s="224">
        <f t="shared" si="6"/>
        <v>0.88904369617231849</v>
      </c>
      <c r="H38" s="224">
        <f t="shared" si="7"/>
        <v>0.11095630382768155</v>
      </c>
      <c r="I38" s="224">
        <f t="shared" si="8"/>
        <v>0</v>
      </c>
      <c r="J38" s="224">
        <f t="shared" si="9"/>
        <v>0</v>
      </c>
      <c r="K38" s="219">
        <v>3436.5746866504915</v>
      </c>
      <c r="L38" s="219">
        <v>428.89863197973153</v>
      </c>
      <c r="M38" s="219">
        <v>0</v>
      </c>
      <c r="N38" s="219">
        <v>0</v>
      </c>
      <c r="O38" s="219">
        <v>0</v>
      </c>
      <c r="P38" s="219">
        <v>3865.4733186302228</v>
      </c>
      <c r="Q38" s="221">
        <f t="shared" si="10"/>
        <v>3865.4733186302228</v>
      </c>
    </row>
    <row r="39" spans="1:17" hidden="1">
      <c r="A39" s="222">
        <v>4</v>
      </c>
      <c r="B39" s="223" t="s">
        <v>605</v>
      </c>
      <c r="C39" s="219">
        <f t="shared" si="2"/>
        <v>2414.0808027344815</v>
      </c>
      <c r="D39" s="219">
        <f t="shared" si="3"/>
        <v>7826.0618467209242</v>
      </c>
      <c r="E39" s="219">
        <f t="shared" si="4"/>
        <v>13832.412795447075</v>
      </c>
      <c r="F39" s="219">
        <f t="shared" si="5"/>
        <v>6688.0787663276751</v>
      </c>
      <c r="G39" s="224">
        <f t="shared" si="6"/>
        <v>7.8479552344637424E-2</v>
      </c>
      <c r="H39" s="224">
        <f t="shared" si="7"/>
        <v>0.25441809141450566</v>
      </c>
      <c r="I39" s="224">
        <f t="shared" si="8"/>
        <v>0.44967905084340265</v>
      </c>
      <c r="J39" s="224">
        <f t="shared" si="9"/>
        <v>0.21742330539745433</v>
      </c>
      <c r="K39" s="219">
        <v>1840.1633115753957</v>
      </c>
      <c r="L39" s="219">
        <v>5965.5136100428972</v>
      </c>
      <c r="M39" s="219">
        <v>10543.929808776733</v>
      </c>
      <c r="N39" s="219">
        <v>5098.0717616336779</v>
      </c>
      <c r="O39" s="219">
        <v>7312.9557192014508</v>
      </c>
      <c r="P39" s="219">
        <v>30760.634211230154</v>
      </c>
      <c r="Q39" s="221">
        <f t="shared" si="10"/>
        <v>23447.678492028703</v>
      </c>
    </row>
    <row r="40" spans="1:17" hidden="1">
      <c r="A40" s="222">
        <v>5</v>
      </c>
      <c r="B40" s="223" t="s">
        <v>605</v>
      </c>
      <c r="C40" s="219">
        <f t="shared" si="2"/>
        <v>12891.566157899029</v>
      </c>
      <c r="D40" s="219">
        <f t="shared" si="3"/>
        <v>2958.0293860479328</v>
      </c>
      <c r="E40" s="219">
        <f t="shared" si="4"/>
        <v>779.88615080276918</v>
      </c>
      <c r="F40" s="219">
        <f t="shared" si="5"/>
        <v>1178.3493944181653</v>
      </c>
      <c r="G40" s="224">
        <f t="shared" si="6"/>
        <v>0.72392679902162127</v>
      </c>
      <c r="H40" s="224">
        <f t="shared" si="7"/>
        <v>0.16610834700960495</v>
      </c>
      <c r="I40" s="224">
        <f t="shared" si="8"/>
        <v>4.3794561330781953E-2</v>
      </c>
      <c r="J40" s="224">
        <f t="shared" si="9"/>
        <v>6.6170292637991637E-2</v>
      </c>
      <c r="K40" s="219">
        <v>11486.752044323637</v>
      </c>
      <c r="L40" s="219">
        <v>2635.6883004890842</v>
      </c>
      <c r="M40" s="219">
        <v>694.90073799794754</v>
      </c>
      <c r="N40" s="219">
        <v>1049.9428191637408</v>
      </c>
      <c r="O40" s="219">
        <v>1940.5471871934872</v>
      </c>
      <c r="P40" s="219">
        <v>17807.831089167899</v>
      </c>
      <c r="Q40" s="221">
        <f t="shared" si="10"/>
        <v>15867.28390197441</v>
      </c>
    </row>
    <row r="41" spans="1:17" hidden="1">
      <c r="A41" s="222">
        <v>6</v>
      </c>
      <c r="B41" s="223" t="s">
        <v>605</v>
      </c>
      <c r="C41" s="219">
        <f t="shared" si="2"/>
        <v>2178.4634980930305</v>
      </c>
      <c r="D41" s="219">
        <f t="shared" si="3"/>
        <v>8792.1068054246152</v>
      </c>
      <c r="E41" s="219">
        <f t="shared" si="4"/>
        <v>358.43828075874387</v>
      </c>
      <c r="F41" s="219">
        <f t="shared" si="5"/>
        <v>344.63989020967779</v>
      </c>
      <c r="G41" s="224">
        <f t="shared" si="6"/>
        <v>0.18661376542683136</v>
      </c>
      <c r="H41" s="224">
        <f t="shared" si="7"/>
        <v>0.75315843411257843</v>
      </c>
      <c r="I41" s="224">
        <f t="shared" si="8"/>
        <v>3.0704906143280468E-2</v>
      </c>
      <c r="J41" s="224">
        <f t="shared" si="9"/>
        <v>2.9522894317309877E-2</v>
      </c>
      <c r="K41" s="219">
        <v>2127.9869849424172</v>
      </c>
      <c r="L41" s="219">
        <v>8588.3875807627846</v>
      </c>
      <c r="M41" s="219">
        <v>350.13301670073241</v>
      </c>
      <c r="N41" s="219">
        <v>336.65434444973141</v>
      </c>
      <c r="O41" s="219">
        <v>270.48654763040179</v>
      </c>
      <c r="P41" s="219">
        <v>11673.648474486066</v>
      </c>
      <c r="Q41" s="221">
        <f t="shared" si="10"/>
        <v>11403.161926855666</v>
      </c>
    </row>
    <row r="42" spans="1:17" hidden="1">
      <c r="A42" s="222">
        <v>7</v>
      </c>
      <c r="B42" s="223" t="s">
        <v>605</v>
      </c>
      <c r="C42" s="219">
        <f t="shared" si="2"/>
        <v>84200.170168308177</v>
      </c>
      <c r="D42" s="219">
        <f t="shared" si="3"/>
        <v>130447.56737579827</v>
      </c>
      <c r="E42" s="219">
        <f t="shared" si="4"/>
        <v>46949.79636180841</v>
      </c>
      <c r="F42" s="219">
        <f t="shared" si="5"/>
        <v>18081.36988858915</v>
      </c>
      <c r="G42" s="224">
        <f t="shared" si="6"/>
        <v>0.3010601408470005</v>
      </c>
      <c r="H42" s="224">
        <f t="shared" si="7"/>
        <v>0.46641904557679958</v>
      </c>
      <c r="I42" s="224">
        <f t="shared" si="8"/>
        <v>0.16787035319726881</v>
      </c>
      <c r="J42" s="224">
        <f t="shared" si="9"/>
        <v>6.4650460378929894E-2</v>
      </c>
      <c r="K42" s="219">
        <v>75637.172000400271</v>
      </c>
      <c r="L42" s="219">
        <v>117181.29631940751</v>
      </c>
      <c r="M42" s="219">
        <v>42175.090806864842</v>
      </c>
      <c r="N42" s="219">
        <v>16242.528744684547</v>
      </c>
      <c r="O42" s="219">
        <v>28442.815923146842</v>
      </c>
      <c r="P42" s="219">
        <v>279678.90379450435</v>
      </c>
      <c r="Q42" s="221">
        <f t="shared" si="10"/>
        <v>251236.08787135716</v>
      </c>
    </row>
    <row r="43" spans="1:17" hidden="1">
      <c r="A43" s="222">
        <v>8</v>
      </c>
      <c r="B43" s="223" t="s">
        <v>605</v>
      </c>
      <c r="C43" s="219">
        <f t="shared" si="2"/>
        <v>5216.0149429178909</v>
      </c>
      <c r="D43" s="219">
        <f t="shared" si="3"/>
        <v>8383.1949542871716</v>
      </c>
      <c r="E43" s="219">
        <f t="shared" si="4"/>
        <v>10955.98808429778</v>
      </c>
      <c r="F43" s="219">
        <f t="shared" si="5"/>
        <v>3728.953745529936</v>
      </c>
      <c r="G43" s="224">
        <f t="shared" si="6"/>
        <v>0.18441475612410355</v>
      </c>
      <c r="H43" s="224">
        <f t="shared" si="7"/>
        <v>0.2963919524683809</v>
      </c>
      <c r="I43" s="224">
        <f t="shared" si="8"/>
        <v>0.38735431028771206</v>
      </c>
      <c r="J43" s="224">
        <f t="shared" si="9"/>
        <v>0.13183898111980366</v>
      </c>
      <c r="K43" s="219">
        <v>5216.0149429178909</v>
      </c>
      <c r="L43" s="219">
        <v>8383.1949542871716</v>
      </c>
      <c r="M43" s="219">
        <v>10955.98808429778</v>
      </c>
      <c r="N43" s="219">
        <v>3728.953745529936</v>
      </c>
      <c r="O43" s="219">
        <v>0</v>
      </c>
      <c r="P43" s="219">
        <v>28284.151727032775</v>
      </c>
      <c r="Q43" s="221">
        <f t="shared" si="10"/>
        <v>28284.151727032779</v>
      </c>
    </row>
    <row r="44" spans="1:17" hidden="1">
      <c r="A44" s="222">
        <v>9</v>
      </c>
      <c r="B44" s="223" t="s">
        <v>605</v>
      </c>
      <c r="C44" s="219">
        <f t="shared" si="2"/>
        <v>3606.3119210788545</v>
      </c>
      <c r="D44" s="219">
        <f t="shared" si="3"/>
        <v>140.34340780627892</v>
      </c>
      <c r="E44" s="219">
        <f t="shared" si="4"/>
        <v>172.53835439375493</v>
      </c>
      <c r="F44" s="219">
        <f t="shared" si="5"/>
        <v>0</v>
      </c>
      <c r="G44" s="224">
        <f t="shared" si="6"/>
        <v>0.92016680279544893</v>
      </c>
      <c r="H44" s="224">
        <f t="shared" si="7"/>
        <v>3.580925546115505E-2</v>
      </c>
      <c r="I44" s="224">
        <f t="shared" si="8"/>
        <v>4.4023941743395884E-2</v>
      </c>
      <c r="J44" s="224">
        <f t="shared" si="9"/>
        <v>0</v>
      </c>
      <c r="K44" s="219">
        <v>3606.3119210788545</v>
      </c>
      <c r="L44" s="219">
        <v>140.34340780627892</v>
      </c>
      <c r="M44" s="219">
        <v>172.53835439375493</v>
      </c>
      <c r="N44" s="219">
        <v>0</v>
      </c>
      <c r="O44" s="219">
        <v>0</v>
      </c>
      <c r="P44" s="219">
        <v>3919.1936832788888</v>
      </c>
      <c r="Q44" s="221">
        <f t="shared" si="10"/>
        <v>3919.1936832788883</v>
      </c>
    </row>
    <row r="45" spans="1:17" hidden="1">
      <c r="A45" s="222">
        <v>10</v>
      </c>
      <c r="B45" s="223" t="s">
        <v>605</v>
      </c>
      <c r="C45" s="219">
        <f t="shared" si="2"/>
        <v>0</v>
      </c>
      <c r="D45" s="219">
        <f t="shared" si="3"/>
        <v>10120.956052484831</v>
      </c>
      <c r="E45" s="219">
        <f t="shared" si="4"/>
        <v>9089.6702640962867</v>
      </c>
      <c r="F45" s="219">
        <f t="shared" si="5"/>
        <v>1656.740497686538</v>
      </c>
      <c r="G45" s="224">
        <f t="shared" si="6"/>
        <v>0</v>
      </c>
      <c r="H45" s="224">
        <f t="shared" si="7"/>
        <v>0.48501356891684222</v>
      </c>
      <c r="I45" s="224">
        <f t="shared" si="8"/>
        <v>0.43559258554277208</v>
      </c>
      <c r="J45" s="224">
        <f t="shared" si="9"/>
        <v>7.9393845540385768E-2</v>
      </c>
      <c r="K45" s="219">
        <v>0</v>
      </c>
      <c r="L45" s="219">
        <v>8879.8801021837116</v>
      </c>
      <c r="M45" s="219">
        <v>7975.0550931147382</v>
      </c>
      <c r="N45" s="219">
        <v>1453.5837230788804</v>
      </c>
      <c r="O45" s="219">
        <v>2558.8478958903252</v>
      </c>
      <c r="P45" s="219">
        <v>20867.366814267654</v>
      </c>
      <c r="Q45" s="221">
        <f t="shared" si="10"/>
        <v>18308.518918377333</v>
      </c>
    </row>
    <row r="46" spans="1:17" hidden="1">
      <c r="A46" s="222">
        <v>11</v>
      </c>
      <c r="B46" s="223" t="s">
        <v>605</v>
      </c>
      <c r="C46" s="219">
        <f t="shared" si="2"/>
        <v>6470.8687725701811</v>
      </c>
      <c r="D46" s="219">
        <f t="shared" si="3"/>
        <v>3637.358297168038</v>
      </c>
      <c r="E46" s="219">
        <f t="shared" si="4"/>
        <v>5678.2323995333181</v>
      </c>
      <c r="F46" s="219">
        <f t="shared" si="5"/>
        <v>3980.4480962031712</v>
      </c>
      <c r="G46" s="224">
        <f t="shared" si="6"/>
        <v>0.32735868021522679</v>
      </c>
      <c r="H46" s="224">
        <f t="shared" si="7"/>
        <v>0.18401251106779717</v>
      </c>
      <c r="I46" s="224">
        <f t="shared" si="8"/>
        <v>0.28725952103155666</v>
      </c>
      <c r="J46" s="224">
        <f t="shared" si="9"/>
        <v>0.20136928768541948</v>
      </c>
      <c r="K46" s="219">
        <v>5820.8178790967931</v>
      </c>
      <c r="L46" s="219">
        <v>3271.9563559356902</v>
      </c>
      <c r="M46" s="219">
        <v>5107.808214713993</v>
      </c>
      <c r="N46" s="219">
        <v>3580.5800209410631</v>
      </c>
      <c r="O46" s="219">
        <v>1985.7450947871698</v>
      </c>
      <c r="P46" s="219">
        <v>19766.907565474707</v>
      </c>
      <c r="Q46" s="221">
        <f t="shared" si="10"/>
        <v>17781.162470687541</v>
      </c>
    </row>
    <row r="47" spans="1:17" hidden="1">
      <c r="A47" s="222" t="s">
        <v>616</v>
      </c>
      <c r="B47" s="223" t="s">
        <v>605</v>
      </c>
      <c r="C47" s="219">
        <f t="shared" si="2"/>
        <v>17953.620476612963</v>
      </c>
      <c r="D47" s="219">
        <f t="shared" si="3"/>
        <v>53677.204249960436</v>
      </c>
      <c r="E47" s="219">
        <f t="shared" si="4"/>
        <v>25403.522737534615</v>
      </c>
      <c r="F47" s="219">
        <f t="shared" si="5"/>
        <v>7511.628321027416</v>
      </c>
      <c r="G47" s="224">
        <f t="shared" si="6"/>
        <v>0.17172942661620494</v>
      </c>
      <c r="H47" s="224">
        <f t="shared" si="7"/>
        <v>0.5134315677561675</v>
      </c>
      <c r="I47" s="224">
        <f t="shared" si="8"/>
        <v>0.24298900600195583</v>
      </c>
      <c r="J47" s="224">
        <f t="shared" si="9"/>
        <v>7.1849999625671207E-2</v>
      </c>
      <c r="K47" s="219">
        <v>17617.941137455593</v>
      </c>
      <c r="L47" s="219">
        <v>52673.600075865674</v>
      </c>
      <c r="M47" s="219">
        <v>24928.552369529287</v>
      </c>
      <c r="N47" s="219">
        <v>7371.1831983245684</v>
      </c>
      <c r="O47" s="219">
        <v>1954.6990039603052</v>
      </c>
      <c r="P47" s="219">
        <v>104545.97578513548</v>
      </c>
      <c r="Q47" s="221">
        <f t="shared" si="10"/>
        <v>102591.27678117513</v>
      </c>
    </row>
    <row r="48" spans="1:17" hidden="1">
      <c r="A48" s="222" t="s">
        <v>617</v>
      </c>
      <c r="B48" s="223" t="s">
        <v>605</v>
      </c>
      <c r="C48" s="219">
        <f t="shared" si="2"/>
        <v>2638.9051002016281</v>
      </c>
      <c r="D48" s="219">
        <f t="shared" si="3"/>
        <v>12116.560255513459</v>
      </c>
      <c r="E48" s="219">
        <f t="shared" si="4"/>
        <v>1310.5698529945687</v>
      </c>
      <c r="F48" s="219">
        <f t="shared" si="5"/>
        <v>1122.9047787869197</v>
      </c>
      <c r="G48" s="224">
        <f t="shared" si="6"/>
        <v>0.15352343437822205</v>
      </c>
      <c r="H48" s="224">
        <f t="shared" si="7"/>
        <v>0.7049044481118194</v>
      </c>
      <c r="I48" s="224">
        <f t="shared" si="8"/>
        <v>7.624494901651245E-2</v>
      </c>
      <c r="J48" s="224">
        <f t="shared" si="9"/>
        <v>6.5327168493445956E-2</v>
      </c>
      <c r="K48" s="219">
        <v>2638.9051002016281</v>
      </c>
      <c r="L48" s="219">
        <v>12116.560255513459</v>
      </c>
      <c r="M48" s="219">
        <v>1310.5698529945687</v>
      </c>
      <c r="N48" s="219">
        <v>1122.9047787869197</v>
      </c>
      <c r="O48" s="219">
        <v>0</v>
      </c>
      <c r="P48" s="219">
        <v>17188.939987496578</v>
      </c>
      <c r="Q48" s="221">
        <f t="shared" si="10"/>
        <v>17188.939987496575</v>
      </c>
    </row>
    <row r="49" spans="1:17" hidden="1">
      <c r="A49" s="222">
        <v>13</v>
      </c>
      <c r="B49" s="223" t="s">
        <v>605</v>
      </c>
      <c r="C49" s="219">
        <f t="shared" si="2"/>
        <v>14195.289608501897</v>
      </c>
      <c r="D49" s="219">
        <f t="shared" si="3"/>
        <v>19129.955420247818</v>
      </c>
      <c r="E49" s="219">
        <f t="shared" si="4"/>
        <v>7286.6220582970118</v>
      </c>
      <c r="F49" s="219">
        <f t="shared" si="5"/>
        <v>3466.2278378644855</v>
      </c>
      <c r="G49" s="224">
        <f t="shared" si="6"/>
        <v>0.32204861922195455</v>
      </c>
      <c r="H49" s="224">
        <f t="shared" si="7"/>
        <v>0.43400141164985601</v>
      </c>
      <c r="I49" s="224">
        <f t="shared" si="8"/>
        <v>0.16531163769010576</v>
      </c>
      <c r="J49" s="224">
        <f t="shared" si="9"/>
        <v>7.8638331438083769E-2</v>
      </c>
      <c r="K49" s="219">
        <v>14195.289608501897</v>
      </c>
      <c r="L49" s="219">
        <v>19129.955420247818</v>
      </c>
      <c r="M49" s="219">
        <v>7286.6220582970118</v>
      </c>
      <c r="N49" s="219">
        <v>3466.2278378644855</v>
      </c>
      <c r="O49" s="219">
        <v>0</v>
      </c>
      <c r="P49" s="219">
        <v>44078.094924911209</v>
      </c>
      <c r="Q49" s="221">
        <f t="shared" si="10"/>
        <v>44078.094924911209</v>
      </c>
    </row>
    <row r="50" spans="1:17" hidden="1">
      <c r="A50" s="222">
        <v>16</v>
      </c>
      <c r="B50" s="223" t="s">
        <v>605</v>
      </c>
      <c r="C50" s="219">
        <f t="shared" si="2"/>
        <v>101961.28975837209</v>
      </c>
      <c r="D50" s="219">
        <f t="shared" si="3"/>
        <v>72970.939527697818</v>
      </c>
      <c r="E50" s="219">
        <f t="shared" si="4"/>
        <v>3430.8468042692839</v>
      </c>
      <c r="F50" s="219">
        <f t="shared" si="5"/>
        <v>6661.2221633663266</v>
      </c>
      <c r="G50" s="224">
        <f t="shared" si="6"/>
        <v>0.55106972825030076</v>
      </c>
      <c r="H50" s="224">
        <f t="shared" si="7"/>
        <v>0.39438571158713431</v>
      </c>
      <c r="I50" s="224">
        <f t="shared" si="8"/>
        <v>1.8542682429552596E-2</v>
      </c>
      <c r="J50" s="224">
        <f t="shared" si="9"/>
        <v>3.6001877733012409E-2</v>
      </c>
      <c r="K50" s="219">
        <v>101961.28975837209</v>
      </c>
      <c r="L50" s="219">
        <v>72970.939527697818</v>
      </c>
      <c r="M50" s="219">
        <v>3430.8468042692839</v>
      </c>
      <c r="N50" s="219">
        <v>6661.2221633663266</v>
      </c>
      <c r="O50" s="219">
        <v>0</v>
      </c>
      <c r="P50" s="219">
        <v>185024.29825370549</v>
      </c>
      <c r="Q50" s="221">
        <f t="shared" si="10"/>
        <v>185024.29825370555</v>
      </c>
    </row>
    <row r="51" spans="1:17" hidden="1">
      <c r="A51" s="225">
        <v>17</v>
      </c>
      <c r="B51" s="226" t="s">
        <v>605</v>
      </c>
      <c r="C51" s="227">
        <f t="shared" si="2"/>
        <v>5453.3559900141718</v>
      </c>
      <c r="D51" s="227">
        <f t="shared" si="3"/>
        <v>9228.3389996664646</v>
      </c>
      <c r="E51" s="227">
        <f t="shared" si="4"/>
        <v>1433.0748645831407</v>
      </c>
      <c r="F51" s="227">
        <f t="shared" si="5"/>
        <v>2720.7019657880551</v>
      </c>
      <c r="G51" s="224">
        <f t="shared" si="6"/>
        <v>0.28952585006172493</v>
      </c>
      <c r="H51" s="224">
        <f t="shared" si="7"/>
        <v>0.48994466864600522</v>
      </c>
      <c r="I51" s="224">
        <f t="shared" si="8"/>
        <v>7.6083831521412723E-2</v>
      </c>
      <c r="J51" s="224">
        <f t="shared" si="9"/>
        <v>0.14444564977085708</v>
      </c>
      <c r="K51" s="219">
        <v>4910.6369159978722</v>
      </c>
      <c r="L51" s="219">
        <v>8309.9328648425999</v>
      </c>
      <c r="M51" s="219">
        <v>1290.4549687012702</v>
      </c>
      <c r="N51" s="219">
        <v>2449.9371643977497</v>
      </c>
      <c r="O51" s="219">
        <v>1874.5099061123401</v>
      </c>
      <c r="P51" s="219">
        <v>18835.471820051833</v>
      </c>
      <c r="Q51" s="221">
        <f t="shared" si="10"/>
        <v>16960.961913939493</v>
      </c>
    </row>
    <row r="52" spans="1:17" hidden="1">
      <c r="A52" s="217" t="s">
        <v>332</v>
      </c>
      <c r="B52" s="218" t="s">
        <v>333</v>
      </c>
      <c r="C52" s="219">
        <f t="shared" si="2"/>
        <v>335232.75072177727</v>
      </c>
      <c r="D52" s="219">
        <f t="shared" si="3"/>
        <v>281904.97699872637</v>
      </c>
      <c r="E52" s="219">
        <f t="shared" si="4"/>
        <v>113281.90282662419</v>
      </c>
      <c r="F52" s="219">
        <f t="shared" si="5"/>
        <v>40606.87865655317</v>
      </c>
      <c r="G52" s="220">
        <f t="shared" si="6"/>
        <v>0.43478758086801378</v>
      </c>
      <c r="H52" s="220">
        <f t="shared" si="7"/>
        <v>0.36562293725786332</v>
      </c>
      <c r="I52" s="220">
        <f t="shared" si="8"/>
        <v>0.14692348638391478</v>
      </c>
      <c r="J52" s="220">
        <f t="shared" si="9"/>
        <v>5.2665995490209755E-2</v>
      </c>
      <c r="K52" s="219">
        <v>306649.58962274663</v>
      </c>
      <c r="L52" s="219">
        <v>257868.73544767173</v>
      </c>
      <c r="M52" s="219">
        <v>103623.07661967809</v>
      </c>
      <c r="N52" s="219">
        <v>37144.588794151459</v>
      </c>
      <c r="O52" s="219">
        <v>65740.518719433123</v>
      </c>
      <c r="P52" s="219">
        <v>771026.50920367974</v>
      </c>
      <c r="Q52" s="221">
        <f t="shared" si="10"/>
        <v>705285.99048424792</v>
      </c>
    </row>
    <row r="53" spans="1:17" hidden="1">
      <c r="A53" s="222">
        <v>1</v>
      </c>
      <c r="B53" s="223" t="s">
        <v>333</v>
      </c>
      <c r="C53" s="219">
        <f t="shared" si="2"/>
        <v>65229.463217811157</v>
      </c>
      <c r="D53" s="219">
        <f t="shared" si="3"/>
        <v>35998.992719496586</v>
      </c>
      <c r="E53" s="219">
        <f t="shared" si="4"/>
        <v>12971.410125653467</v>
      </c>
      <c r="F53" s="219">
        <f t="shared" si="5"/>
        <v>5353.9987305180739</v>
      </c>
      <c r="G53" s="224">
        <f t="shared" si="6"/>
        <v>0.54560731541795315</v>
      </c>
      <c r="H53" s="224">
        <f t="shared" si="7"/>
        <v>0.30111107475849713</v>
      </c>
      <c r="I53" s="224">
        <f t="shared" si="8"/>
        <v>0.10849845923476126</v>
      </c>
      <c r="J53" s="224">
        <f t="shared" si="9"/>
        <v>4.4783150588788782E-2</v>
      </c>
      <c r="K53" s="219">
        <v>61053.075946961508</v>
      </c>
      <c r="L53" s="219">
        <v>33694.11808860951</v>
      </c>
      <c r="M53" s="219">
        <v>12140.901495636761</v>
      </c>
      <c r="N53" s="219">
        <v>5011.203143321286</v>
      </c>
      <c r="O53" s="219">
        <v>7654.5661189502225</v>
      </c>
      <c r="P53" s="219">
        <v>119553.86479347924</v>
      </c>
      <c r="Q53" s="221">
        <f t="shared" si="10"/>
        <v>111899.29867452905</v>
      </c>
    </row>
    <row r="54" spans="1:17" hidden="1">
      <c r="A54" s="222">
        <v>2</v>
      </c>
      <c r="B54" s="223" t="s">
        <v>333</v>
      </c>
      <c r="C54" s="219">
        <f t="shared" si="2"/>
        <v>15927.037873427967</v>
      </c>
      <c r="D54" s="219">
        <f t="shared" si="3"/>
        <v>11699.668635885755</v>
      </c>
      <c r="E54" s="219">
        <f t="shared" si="4"/>
        <v>4233.541111203368</v>
      </c>
      <c r="F54" s="219">
        <f t="shared" si="5"/>
        <v>1756.7409067043143</v>
      </c>
      <c r="G54" s="224">
        <f t="shared" si="6"/>
        <v>0.47377943626720215</v>
      </c>
      <c r="H54" s="224">
        <f t="shared" si="7"/>
        <v>0.34802845669569493</v>
      </c>
      <c r="I54" s="224">
        <f t="shared" si="8"/>
        <v>0.12593457346053616</v>
      </c>
      <c r="J54" s="224">
        <f t="shared" si="9"/>
        <v>5.2257533576566199E-2</v>
      </c>
      <c r="K54" s="219">
        <v>15539.885619893405</v>
      </c>
      <c r="L54" s="219">
        <v>11415.274694338863</v>
      </c>
      <c r="M54" s="219">
        <v>4130.6327741567111</v>
      </c>
      <c r="N54" s="219">
        <v>1714.0382895377147</v>
      </c>
      <c r="O54" s="219">
        <v>817.15714929471108</v>
      </c>
      <c r="P54" s="219">
        <v>33616.988527221423</v>
      </c>
      <c r="Q54" s="221">
        <f t="shared" si="10"/>
        <v>32799.83137792669</v>
      </c>
    </row>
    <row r="55" spans="1:17" hidden="1">
      <c r="A55" s="222">
        <v>3</v>
      </c>
      <c r="B55" s="223" t="s">
        <v>333</v>
      </c>
      <c r="C55" s="219">
        <f t="shared" si="2"/>
        <v>3807.0755047541197</v>
      </c>
      <c r="D55" s="219">
        <f t="shared" si="3"/>
        <v>3222.0877597081362</v>
      </c>
      <c r="E55" s="219">
        <f t="shared" si="4"/>
        <v>1730.7407032970723</v>
      </c>
      <c r="F55" s="219">
        <f t="shared" si="5"/>
        <v>645.26015773705183</v>
      </c>
      <c r="G55" s="224">
        <f t="shared" si="6"/>
        <v>0.40478565328100452</v>
      </c>
      <c r="H55" s="224">
        <f t="shared" si="7"/>
        <v>0.34258708478817568</v>
      </c>
      <c r="I55" s="224">
        <f t="shared" si="8"/>
        <v>0.18402025527712185</v>
      </c>
      <c r="J55" s="224">
        <f t="shared" si="9"/>
        <v>6.8607006653697997E-2</v>
      </c>
      <c r="K55" s="219">
        <v>3304.3819593329522</v>
      </c>
      <c r="L55" s="219">
        <v>2796.6371171970573</v>
      </c>
      <c r="M55" s="219">
        <v>1502.2103840904608</v>
      </c>
      <c r="N55" s="219">
        <v>560.05876995086192</v>
      </c>
      <c r="O55" s="219">
        <v>1241.8758949250478</v>
      </c>
      <c r="P55" s="219">
        <v>9405.1641254963797</v>
      </c>
      <c r="Q55" s="221">
        <f t="shared" si="10"/>
        <v>8163.288230571332</v>
      </c>
    </row>
    <row r="56" spans="1:17" hidden="1">
      <c r="A56" s="222">
        <v>4</v>
      </c>
      <c r="B56" s="223" t="s">
        <v>333</v>
      </c>
      <c r="C56" s="219">
        <f t="shared" si="2"/>
        <v>5167.4817273024873</v>
      </c>
      <c r="D56" s="219">
        <f t="shared" si="3"/>
        <v>16215.76592552317</v>
      </c>
      <c r="E56" s="219">
        <f t="shared" si="4"/>
        <v>21623.256635492286</v>
      </c>
      <c r="F56" s="219">
        <f t="shared" si="5"/>
        <v>2242.8183196922419</v>
      </c>
      <c r="G56" s="224">
        <f t="shared" si="6"/>
        <v>0.1142002007868229</v>
      </c>
      <c r="H56" s="224">
        <f t="shared" si="7"/>
        <v>0.35836483268486768</v>
      </c>
      <c r="I56" s="224">
        <f t="shared" si="8"/>
        <v>0.47786917878997082</v>
      </c>
      <c r="J56" s="224">
        <f t="shared" si="9"/>
        <v>4.9565787738338668E-2</v>
      </c>
      <c r="K56" s="219">
        <v>4769.6280577688785</v>
      </c>
      <c r="L56" s="219">
        <v>14967.285075812406</v>
      </c>
      <c r="M56" s="219">
        <v>19958.443394984046</v>
      </c>
      <c r="N56" s="219">
        <v>2070.1397219388709</v>
      </c>
      <c r="O56" s="219">
        <v>3483.8263575059827</v>
      </c>
      <c r="P56" s="219">
        <v>45249.322608010181</v>
      </c>
      <c r="Q56" s="221">
        <f t="shared" si="10"/>
        <v>41765.496250504206</v>
      </c>
    </row>
    <row r="57" spans="1:17" hidden="1">
      <c r="A57" s="222">
        <v>5</v>
      </c>
      <c r="B57" s="223" t="s">
        <v>333</v>
      </c>
      <c r="C57" s="219">
        <f t="shared" si="2"/>
        <v>12851.321385633715</v>
      </c>
      <c r="D57" s="219">
        <f t="shared" si="3"/>
        <v>15793.938638053813</v>
      </c>
      <c r="E57" s="219">
        <f t="shared" si="4"/>
        <v>10394.135102521128</v>
      </c>
      <c r="F57" s="219">
        <f t="shared" si="5"/>
        <v>4113.7174527085826</v>
      </c>
      <c r="G57" s="224">
        <f t="shared" si="6"/>
        <v>0.29780751880021555</v>
      </c>
      <c r="H57" s="224">
        <f t="shared" si="7"/>
        <v>0.3659976695579093</v>
      </c>
      <c r="I57" s="224">
        <f t="shared" si="8"/>
        <v>0.24086640525669187</v>
      </c>
      <c r="J57" s="224">
        <f t="shared" si="9"/>
        <v>9.5328406385183168E-2</v>
      </c>
      <c r="K57" s="219">
        <v>11964.516948360564</v>
      </c>
      <c r="L57" s="219">
        <v>14704.079125093285</v>
      </c>
      <c r="M57" s="219">
        <v>9676.8886144800999</v>
      </c>
      <c r="N57" s="219">
        <v>3829.8506983662564</v>
      </c>
      <c r="O57" s="219">
        <v>2977.7771926170335</v>
      </c>
      <c r="P57" s="219">
        <v>43153.112578917244</v>
      </c>
      <c r="Q57" s="221">
        <f t="shared" si="10"/>
        <v>40175.335386300205</v>
      </c>
    </row>
    <row r="58" spans="1:17" hidden="1">
      <c r="A58" s="222">
        <v>6</v>
      </c>
      <c r="B58" s="223" t="s">
        <v>333</v>
      </c>
      <c r="C58" s="219">
        <f t="shared" si="2"/>
        <v>16204.518732067496</v>
      </c>
      <c r="D58" s="219">
        <f t="shared" si="3"/>
        <v>13781.37882260199</v>
      </c>
      <c r="E58" s="219">
        <f t="shared" si="4"/>
        <v>3564.9044478534406</v>
      </c>
      <c r="F58" s="219">
        <f t="shared" si="5"/>
        <v>1404.0197513942448</v>
      </c>
      <c r="G58" s="224">
        <f t="shared" si="6"/>
        <v>0.46358464781047137</v>
      </c>
      <c r="H58" s="224">
        <f t="shared" si="7"/>
        <v>0.39426259757876164</v>
      </c>
      <c r="I58" s="224">
        <f t="shared" si="8"/>
        <v>0.10198605711539477</v>
      </c>
      <c r="J58" s="224">
        <f t="shared" si="9"/>
        <v>4.0166697495372147E-2</v>
      </c>
      <c r="K58" s="219">
        <v>12953.637778978089</v>
      </c>
      <c r="L58" s="219">
        <v>11016.617791282524</v>
      </c>
      <c r="M58" s="219">
        <v>2849.7286280263106</v>
      </c>
      <c r="N58" s="219">
        <v>1122.3513388337117</v>
      </c>
      <c r="O58" s="219">
        <v>7012.4862167965348</v>
      </c>
      <c r="P58" s="219">
        <v>34954.821753917175</v>
      </c>
      <c r="Q58" s="221">
        <f t="shared" si="10"/>
        <v>27942.335537120634</v>
      </c>
    </row>
    <row r="59" spans="1:17" hidden="1">
      <c r="A59" s="222">
        <v>7</v>
      </c>
      <c r="B59" s="223" t="s">
        <v>333</v>
      </c>
      <c r="C59" s="219">
        <f t="shared" si="2"/>
        <v>92999.780252837227</v>
      </c>
      <c r="D59" s="219">
        <f t="shared" si="3"/>
        <v>56772.585142698328</v>
      </c>
      <c r="E59" s="219">
        <f t="shared" si="4"/>
        <v>11980.620144667677</v>
      </c>
      <c r="F59" s="219">
        <f t="shared" si="5"/>
        <v>6324.2125174496923</v>
      </c>
      <c r="G59" s="224">
        <f t="shared" si="6"/>
        <v>0.55331586513559627</v>
      </c>
      <c r="H59" s="224">
        <f t="shared" si="7"/>
        <v>0.33777684182493622</v>
      </c>
      <c r="I59" s="224">
        <f t="shared" si="8"/>
        <v>7.1280460902008527E-2</v>
      </c>
      <c r="J59" s="224">
        <f t="shared" si="9"/>
        <v>3.7626832137458606E-2</v>
      </c>
      <c r="K59" s="219">
        <v>83838.387953077778</v>
      </c>
      <c r="L59" s="219">
        <v>51179.927579962998</v>
      </c>
      <c r="M59" s="219">
        <v>10800.411322224219</v>
      </c>
      <c r="N59" s="219">
        <v>5701.2154339954186</v>
      </c>
      <c r="O59" s="219">
        <v>16557.255768392512</v>
      </c>
      <c r="P59" s="219">
        <v>168077.19805765297</v>
      </c>
      <c r="Q59" s="221">
        <f t="shared" si="10"/>
        <v>151519.94228926042</v>
      </c>
    </row>
    <row r="60" spans="1:17" hidden="1">
      <c r="A60" s="222">
        <v>8</v>
      </c>
      <c r="B60" s="223" t="s">
        <v>333</v>
      </c>
      <c r="C60" s="219">
        <f t="shared" si="2"/>
        <v>6996.8101410332947</v>
      </c>
      <c r="D60" s="219">
        <f t="shared" si="3"/>
        <v>12420.799343530132</v>
      </c>
      <c r="E60" s="219">
        <f t="shared" si="4"/>
        <v>2486.6478225537348</v>
      </c>
      <c r="F60" s="219">
        <f t="shared" si="5"/>
        <v>2298.120905426445</v>
      </c>
      <c r="G60" s="224">
        <f t="shared" si="6"/>
        <v>0.28909597559329897</v>
      </c>
      <c r="H60" s="224">
        <f t="shared" si="7"/>
        <v>0.51320573682683324</v>
      </c>
      <c r="I60" s="224">
        <f t="shared" si="8"/>
        <v>0.10274394527331848</v>
      </c>
      <c r="J60" s="224">
        <f t="shared" si="9"/>
        <v>9.4954342306549686E-2</v>
      </c>
      <c r="K60" s="219">
        <v>6673.1279007423627</v>
      </c>
      <c r="L60" s="219">
        <v>11846.195763230005</v>
      </c>
      <c r="M60" s="219">
        <v>2371.6120102628652</v>
      </c>
      <c r="N60" s="219">
        <v>2191.8066124652237</v>
      </c>
      <c r="O60" s="219">
        <v>1119.6359258431503</v>
      </c>
      <c r="P60" s="219">
        <v>24202.378212543597</v>
      </c>
      <c r="Q60" s="221">
        <f t="shared" si="10"/>
        <v>23082.742286700461</v>
      </c>
    </row>
    <row r="61" spans="1:17" hidden="1">
      <c r="A61" s="222">
        <v>9</v>
      </c>
      <c r="B61" s="223" t="s">
        <v>333</v>
      </c>
      <c r="C61" s="219">
        <f t="shared" si="2"/>
        <v>3737.4393883719586</v>
      </c>
      <c r="D61" s="219">
        <f t="shared" si="3"/>
        <v>3424.3261311300157</v>
      </c>
      <c r="E61" s="219">
        <f t="shared" si="4"/>
        <v>3268.1209214050514</v>
      </c>
      <c r="F61" s="219">
        <f t="shared" si="5"/>
        <v>1262.5898404028956</v>
      </c>
      <c r="G61" s="224">
        <f t="shared" si="6"/>
        <v>0.31964481248049603</v>
      </c>
      <c r="H61" s="224">
        <f t="shared" si="7"/>
        <v>0.29286577528523183</v>
      </c>
      <c r="I61" s="224">
        <f t="shared" si="8"/>
        <v>0.27950631181771524</v>
      </c>
      <c r="J61" s="224">
        <f t="shared" si="9"/>
        <v>0.10798310041655658</v>
      </c>
      <c r="K61" s="219">
        <v>3111.3842107157684</v>
      </c>
      <c r="L61" s="219">
        <v>2850.7202792071062</v>
      </c>
      <c r="M61" s="219">
        <v>2720.6808664792629</v>
      </c>
      <c r="N61" s="219">
        <v>1051.0945291211631</v>
      </c>
      <c r="O61" s="219">
        <v>1958.5963957866206</v>
      </c>
      <c r="P61" s="219">
        <v>11692.476281309924</v>
      </c>
      <c r="Q61" s="221">
        <f t="shared" si="10"/>
        <v>9733.8798855232999</v>
      </c>
    </row>
    <row r="62" spans="1:17" hidden="1">
      <c r="A62" s="222">
        <v>10</v>
      </c>
      <c r="B62" s="223" t="s">
        <v>333</v>
      </c>
      <c r="C62" s="219">
        <f t="shared" si="2"/>
        <v>8928.9349443664014</v>
      </c>
      <c r="D62" s="219">
        <f t="shared" si="3"/>
        <v>12484.590623016558</v>
      </c>
      <c r="E62" s="219">
        <f t="shared" si="4"/>
        <v>9269.5939566815377</v>
      </c>
      <c r="F62" s="219">
        <f t="shared" si="5"/>
        <v>2980.9380794132176</v>
      </c>
      <c r="G62" s="224">
        <f t="shared" si="6"/>
        <v>0.26523644444584088</v>
      </c>
      <c r="H62" s="224">
        <f t="shared" si="7"/>
        <v>0.37085816481394163</v>
      </c>
      <c r="I62" s="224">
        <f t="shared" si="8"/>
        <v>0.27535581319002767</v>
      </c>
      <c r="J62" s="224">
        <f t="shared" si="9"/>
        <v>8.8549577550190162E-2</v>
      </c>
      <c r="K62" s="219">
        <v>7915.6092993824814</v>
      </c>
      <c r="L62" s="219">
        <v>11067.741253606557</v>
      </c>
      <c r="M62" s="219">
        <v>8217.6076522209096</v>
      </c>
      <c r="N62" s="219">
        <v>2642.637820670222</v>
      </c>
      <c r="O62" s="219">
        <v>3820.4615775975444</v>
      </c>
      <c r="P62" s="219">
        <v>33664.057603477704</v>
      </c>
      <c r="Q62" s="221">
        <f t="shared" si="10"/>
        <v>29843.596025880172</v>
      </c>
    </row>
    <row r="63" spans="1:17" hidden="1">
      <c r="A63" s="222">
        <v>11</v>
      </c>
      <c r="B63" s="223" t="s">
        <v>333</v>
      </c>
      <c r="C63" s="219">
        <f t="shared" si="2"/>
        <v>6195.8663667464516</v>
      </c>
      <c r="D63" s="219">
        <f t="shared" si="3"/>
        <v>14718.241635904626</v>
      </c>
      <c r="E63" s="219">
        <f t="shared" si="4"/>
        <v>9675.3400771290853</v>
      </c>
      <c r="F63" s="219">
        <f t="shared" si="5"/>
        <v>4998.7413786141506</v>
      </c>
      <c r="G63" s="224">
        <f t="shared" si="6"/>
        <v>0.17409894858489369</v>
      </c>
      <c r="H63" s="224">
        <f t="shared" si="7"/>
        <v>0.4135709587898963</v>
      </c>
      <c r="I63" s="224">
        <f t="shared" si="8"/>
        <v>0.27186941017160743</v>
      </c>
      <c r="J63" s="224">
        <f t="shared" si="9"/>
        <v>0.14046068245360194</v>
      </c>
      <c r="K63" s="219">
        <v>5363.5935420605965</v>
      </c>
      <c r="L63" s="219">
        <v>12741.182768646364</v>
      </c>
      <c r="M63" s="219">
        <v>8375.6796036548985</v>
      </c>
      <c r="N63" s="219">
        <v>4327.2748942203125</v>
      </c>
      <c r="O63" s="219">
        <v>4780.4586498121407</v>
      </c>
      <c r="P63" s="219">
        <v>35588.189458394336</v>
      </c>
      <c r="Q63" s="221">
        <f t="shared" si="10"/>
        <v>30807.730808582171</v>
      </c>
    </row>
    <row r="64" spans="1:17" hidden="1">
      <c r="A64" s="222" t="s">
        <v>616</v>
      </c>
      <c r="B64" s="223" t="s">
        <v>333</v>
      </c>
      <c r="C64" s="219">
        <f t="shared" si="2"/>
        <v>19492.107471324347</v>
      </c>
      <c r="D64" s="219">
        <f t="shared" si="3"/>
        <v>37335.716323119399</v>
      </c>
      <c r="E64" s="219">
        <f t="shared" si="4"/>
        <v>6810.7175027215726</v>
      </c>
      <c r="F64" s="219">
        <f t="shared" si="5"/>
        <v>2801.0120575142619</v>
      </c>
      <c r="G64" s="224">
        <f t="shared" si="6"/>
        <v>0.29338107327826324</v>
      </c>
      <c r="H64" s="224">
        <f t="shared" si="7"/>
        <v>0.5619501402095094</v>
      </c>
      <c r="I64" s="224">
        <f t="shared" si="8"/>
        <v>0.10250998326799955</v>
      </c>
      <c r="J64" s="224">
        <f t="shared" si="9"/>
        <v>4.2158803244227015E-2</v>
      </c>
      <c r="K64" s="219">
        <v>18662.937035211835</v>
      </c>
      <c r="L64" s="219">
        <v>35747.500568011485</v>
      </c>
      <c r="M64" s="219">
        <v>6520.9979015815388</v>
      </c>
      <c r="N64" s="219">
        <v>2681.8604269016018</v>
      </c>
      <c r="O64" s="219">
        <v>2826.257422973119</v>
      </c>
      <c r="P64" s="219">
        <v>66439.553354679636</v>
      </c>
      <c r="Q64" s="221">
        <f t="shared" si="10"/>
        <v>63613.29593170646</v>
      </c>
    </row>
    <row r="65" spans="1:17" hidden="1">
      <c r="A65" s="222" t="s">
        <v>617</v>
      </c>
      <c r="B65" s="223" t="s">
        <v>333</v>
      </c>
      <c r="C65" s="219">
        <f t="shared" si="2"/>
        <v>10012.274438136112</v>
      </c>
      <c r="D65" s="219">
        <f t="shared" si="3"/>
        <v>8109.6761570929593</v>
      </c>
      <c r="E65" s="219">
        <f t="shared" si="4"/>
        <v>2815.1428253442473</v>
      </c>
      <c r="F65" s="219">
        <f t="shared" si="5"/>
        <v>190.48657354842723</v>
      </c>
      <c r="G65" s="224">
        <f t="shared" si="6"/>
        <v>0.47389594269300089</v>
      </c>
      <c r="H65" s="224">
        <f t="shared" si="7"/>
        <v>0.38384311688083944</v>
      </c>
      <c r="I65" s="224">
        <f t="shared" si="8"/>
        <v>0.13324492564351878</v>
      </c>
      <c r="J65" s="224">
        <f t="shared" si="9"/>
        <v>9.0160147826407779E-3</v>
      </c>
      <c r="K65" s="219">
        <v>7747.8095665381716</v>
      </c>
      <c r="L65" s="219">
        <v>6275.5198031855198</v>
      </c>
      <c r="M65" s="219">
        <v>2178.4451323363678</v>
      </c>
      <c r="N65" s="219">
        <v>147.40443901678816</v>
      </c>
      <c r="O65" s="219">
        <v>4778.4010530448977</v>
      </c>
      <c r="P65" s="219">
        <v>21127.579994121748</v>
      </c>
      <c r="Q65" s="221">
        <f t="shared" si="10"/>
        <v>16349.178941076847</v>
      </c>
    </row>
    <row r="66" spans="1:17" hidden="1">
      <c r="A66" s="222">
        <v>13</v>
      </c>
      <c r="B66" s="223" t="s">
        <v>333</v>
      </c>
      <c r="C66" s="219">
        <f t="shared" si="2"/>
        <v>9873.685889666609</v>
      </c>
      <c r="D66" s="219">
        <f t="shared" si="3"/>
        <v>12446.603408930672</v>
      </c>
      <c r="E66" s="219">
        <f t="shared" si="4"/>
        <v>5696.7273175761611</v>
      </c>
      <c r="F66" s="219">
        <f t="shared" si="5"/>
        <v>1083.3003005378521</v>
      </c>
      <c r="G66" s="224">
        <f t="shared" si="6"/>
        <v>0.33929822544291605</v>
      </c>
      <c r="H66" s="224">
        <f t="shared" si="7"/>
        <v>0.42771367214159189</v>
      </c>
      <c r="I66" s="224">
        <f t="shared" si="8"/>
        <v>0.19576169338227142</v>
      </c>
      <c r="J66" s="224">
        <f t="shared" si="9"/>
        <v>3.72264090332209E-2</v>
      </c>
      <c r="K66" s="219">
        <v>9694.1975635253984</v>
      </c>
      <c r="L66" s="219">
        <v>12220.343424870365</v>
      </c>
      <c r="M66" s="219">
        <v>5593.1696328229164</v>
      </c>
      <c r="N66" s="219">
        <v>1063.6075778986499</v>
      </c>
      <c r="O66" s="219">
        <v>528.99871759396478</v>
      </c>
      <c r="P66" s="219">
        <v>29100.316916711286</v>
      </c>
      <c r="Q66" s="221">
        <f t="shared" si="10"/>
        <v>28571.318199117326</v>
      </c>
    </row>
    <row r="67" spans="1:17" hidden="1">
      <c r="A67" s="222">
        <v>16</v>
      </c>
      <c r="B67" s="223" t="s">
        <v>333</v>
      </c>
      <c r="C67" s="219">
        <f t="shared" si="2"/>
        <v>29359.589498212958</v>
      </c>
      <c r="D67" s="219">
        <f t="shared" si="3"/>
        <v>8324.2586713094934</v>
      </c>
      <c r="E67" s="219">
        <f t="shared" si="4"/>
        <v>966.10497577923263</v>
      </c>
      <c r="F67" s="219">
        <f t="shared" si="5"/>
        <v>0</v>
      </c>
      <c r="G67" s="224">
        <f t="shared" si="6"/>
        <v>0.75962807478285232</v>
      </c>
      <c r="H67" s="224">
        <f t="shared" si="7"/>
        <v>0.21537564715835622</v>
      </c>
      <c r="I67" s="224">
        <f t="shared" si="8"/>
        <v>2.4996278058791729E-2</v>
      </c>
      <c r="J67" s="224">
        <f t="shared" si="9"/>
        <v>0</v>
      </c>
      <c r="K67" s="219">
        <v>28946.750742163837</v>
      </c>
      <c r="L67" s="219">
        <v>8207.2074231950155</v>
      </c>
      <c r="M67" s="219">
        <v>952.52012724319161</v>
      </c>
      <c r="N67" s="219">
        <v>0</v>
      </c>
      <c r="O67" s="219">
        <v>543.47485269963977</v>
      </c>
      <c r="P67" s="219">
        <v>38649.953145301675</v>
      </c>
      <c r="Q67" s="221">
        <f t="shared" si="10"/>
        <v>38106.478292602049</v>
      </c>
    </row>
    <row r="68" spans="1:17" hidden="1">
      <c r="A68" s="225">
        <v>17</v>
      </c>
      <c r="B68" s="226" t="s">
        <v>333</v>
      </c>
      <c r="C68" s="219">
        <f t="shared" si="2"/>
        <v>9827.4065745978842</v>
      </c>
      <c r="D68" s="219">
        <f t="shared" si="3"/>
        <v>3632.792482406699</v>
      </c>
      <c r="E68" s="219">
        <f t="shared" si="4"/>
        <v>0</v>
      </c>
      <c r="F68" s="219">
        <f t="shared" si="5"/>
        <v>1176.8686005711593</v>
      </c>
      <c r="G68" s="224">
        <f t="shared" si="6"/>
        <v>0.67140542112008961</v>
      </c>
      <c r="H68" s="224">
        <f t="shared" si="7"/>
        <v>0.24819127487782475</v>
      </c>
      <c r="I68" s="224">
        <f t="shared" si="8"/>
        <v>0</v>
      </c>
      <c r="J68" s="224">
        <f t="shared" si="9"/>
        <v>8.0403304002085743E-2</v>
      </c>
      <c r="K68" s="219">
        <v>8440.6119100051619</v>
      </c>
      <c r="L68" s="219">
        <v>3120.1509025623945</v>
      </c>
      <c r="M68" s="219">
        <v>0</v>
      </c>
      <c r="N68" s="219">
        <v>1010.7947657491204</v>
      </c>
      <c r="O68" s="219">
        <v>2065.5100792590665</v>
      </c>
      <c r="P68" s="219">
        <v>14637.067657575741</v>
      </c>
      <c r="Q68" s="221">
        <f t="shared" si="10"/>
        <v>12571.557578316677</v>
      </c>
    </row>
    <row r="72" spans="1:17">
      <c r="G72" s="78"/>
      <c r="H72" s="78"/>
      <c r="I72" s="78"/>
      <c r="J72" s="78"/>
    </row>
    <row r="73" spans="1:17">
      <c r="G73" s="78"/>
      <c r="H73" s="78"/>
      <c r="I73" s="78"/>
      <c r="J73" s="78"/>
    </row>
    <row r="74" spans="1:17">
      <c r="G74" s="78"/>
      <c r="H74" s="78"/>
      <c r="I74" s="78"/>
      <c r="J74" s="78"/>
    </row>
    <row r="75" spans="1:17">
      <c r="G75" s="78"/>
      <c r="H75" s="78"/>
      <c r="I75" s="78"/>
      <c r="J75" s="78"/>
    </row>
    <row r="76" spans="1:17">
      <c r="G76" s="78"/>
      <c r="H76" s="78"/>
      <c r="I76" s="78"/>
      <c r="J76" s="78"/>
    </row>
    <row r="77" spans="1:17">
      <c r="G77" s="78"/>
      <c r="H77" s="78"/>
      <c r="I77" s="78"/>
      <c r="J77" s="78"/>
    </row>
    <row r="78" spans="1:17">
      <c r="G78" s="78"/>
      <c r="H78" s="78"/>
      <c r="I78" s="78"/>
      <c r="J78" s="78"/>
    </row>
    <row r="79" spans="1:17">
      <c r="G79" s="78"/>
      <c r="H79" s="78"/>
      <c r="I79" s="78"/>
      <c r="J79" s="78"/>
    </row>
    <row r="80" spans="1:17">
      <c r="G80" s="78"/>
      <c r="H80" s="78"/>
      <c r="I80" s="78"/>
      <c r="J80" s="78"/>
    </row>
    <row r="81" spans="7:10">
      <c r="G81" s="78"/>
      <c r="H81" s="78"/>
      <c r="I81" s="78"/>
      <c r="J81" s="78"/>
    </row>
    <row r="82" spans="7:10">
      <c r="G82" s="78"/>
      <c r="H82" s="78"/>
      <c r="I82" s="78"/>
      <c r="J82" s="78"/>
    </row>
    <row r="83" spans="7:10">
      <c r="G83" s="78"/>
      <c r="H83" s="78"/>
      <c r="I83" s="78"/>
      <c r="J83" s="78"/>
    </row>
    <row r="84" spans="7:10">
      <c r="G84" s="78"/>
      <c r="H84" s="78"/>
      <c r="I84" s="78"/>
      <c r="J84" s="78"/>
    </row>
    <row r="85" spans="7:10">
      <c r="G85" s="78"/>
      <c r="H85" s="78"/>
      <c r="I85" s="78"/>
      <c r="J85" s="78"/>
    </row>
    <row r="86" spans="7:10">
      <c r="G86" s="78"/>
      <c r="H86" s="78"/>
      <c r="I86" s="78"/>
      <c r="J86" s="78"/>
    </row>
    <row r="87" spans="7:10">
      <c r="G87" s="78"/>
      <c r="H87" s="78"/>
      <c r="I87" s="78"/>
      <c r="J87" s="78"/>
    </row>
    <row r="88" spans="7:10">
      <c r="G88" s="78"/>
      <c r="H88" s="78"/>
      <c r="I88" s="78"/>
      <c r="J88" s="78"/>
    </row>
  </sheetData>
  <mergeCells count="4">
    <mergeCell ref="A3:A18"/>
    <mergeCell ref="A1:G1"/>
    <mergeCell ref="H1:M2"/>
    <mergeCell ref="J3:L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86"/>
  <sheetViews>
    <sheetView zoomScale="73" zoomScaleNormal="85" workbookViewId="0">
      <selection activeCell="I1" sqref="I1:L1"/>
    </sheetView>
  </sheetViews>
  <sheetFormatPr defaultColWidth="8.88671875" defaultRowHeight="12.75" customHeight="1"/>
  <cols>
    <col min="1" max="11" width="15.109375" style="21" customWidth="1"/>
    <col min="12" max="12" width="16.33203125" style="21" customWidth="1"/>
    <col min="13" max="13" width="8.88671875" style="21"/>
    <col min="14" max="14" width="14.44140625" style="21" customWidth="1"/>
    <col min="15" max="15" width="15.44140625" style="21" customWidth="1"/>
    <col min="16" max="16" width="19.33203125" style="21" customWidth="1"/>
    <col min="17" max="17" width="18.33203125" style="21" customWidth="1"/>
    <col min="18" max="18" width="18.109375" style="21" customWidth="1"/>
    <col min="19" max="21" width="13.88671875" style="21" customWidth="1"/>
    <col min="22" max="22" width="16" style="21" customWidth="1"/>
    <col min="23" max="24" width="8.88671875" style="21"/>
    <col min="25" max="25" width="13.6640625" style="21" customWidth="1"/>
    <col min="26" max="28" width="8.88671875" style="21"/>
    <col min="29" max="29" width="12.44140625" style="21" customWidth="1"/>
    <col min="30" max="16384" width="8.88671875" style="21"/>
  </cols>
  <sheetData>
    <row r="1" spans="1:24" ht="29.4" customHeight="1">
      <c r="A1" s="764" t="s">
        <v>618</v>
      </c>
      <c r="B1" s="764"/>
      <c r="C1" s="764"/>
      <c r="D1" s="764"/>
      <c r="E1" s="764"/>
      <c r="F1" s="764"/>
      <c r="G1" s="764"/>
      <c r="H1" s="764"/>
      <c r="I1" s="764" t="s">
        <v>619</v>
      </c>
      <c r="J1" s="764"/>
      <c r="K1" s="764"/>
      <c r="L1" s="765"/>
      <c r="N1" s="763" t="s">
        <v>620</v>
      </c>
      <c r="O1" s="540"/>
      <c r="P1" s="540"/>
      <c r="Q1" s="540"/>
      <c r="R1" s="540"/>
      <c r="S1" s="540"/>
      <c r="T1" s="540"/>
      <c r="U1" s="540"/>
      <c r="V1" s="540"/>
      <c r="W1" s="261"/>
      <c r="X1" s="261"/>
    </row>
    <row r="2" spans="1:24" ht="54" customHeight="1">
      <c r="A2" s="475" t="s">
        <v>26</v>
      </c>
      <c r="B2" s="476" t="s">
        <v>600</v>
      </c>
      <c r="C2" s="477" t="s">
        <v>621</v>
      </c>
      <c r="D2" s="490" t="s">
        <v>622</v>
      </c>
      <c r="E2" s="491" t="s">
        <v>623</v>
      </c>
      <c r="F2" s="477" t="s">
        <v>624</v>
      </c>
      <c r="G2" s="478" t="s">
        <v>625</v>
      </c>
      <c r="H2" s="479" t="s">
        <v>626</v>
      </c>
      <c r="I2" s="480" t="s">
        <v>627</v>
      </c>
      <c r="J2" s="481" t="s">
        <v>628</v>
      </c>
      <c r="K2" s="507" t="s">
        <v>629</v>
      </c>
      <c r="L2" s="509" t="s">
        <v>630</v>
      </c>
      <c r="N2" s="101" t="s">
        <v>26</v>
      </c>
      <c r="O2" s="127" t="s">
        <v>600</v>
      </c>
      <c r="P2" s="127" t="s">
        <v>631</v>
      </c>
      <c r="Q2" s="127" t="s">
        <v>632</v>
      </c>
      <c r="R2" s="127" t="s">
        <v>633</v>
      </c>
      <c r="S2" s="487" t="s">
        <v>634</v>
      </c>
      <c r="T2" s="487" t="s">
        <v>635</v>
      </c>
      <c r="U2" s="504" t="s">
        <v>636</v>
      </c>
      <c r="V2" s="528" t="s">
        <v>637</v>
      </c>
      <c r="W2" s="261"/>
      <c r="X2" s="261"/>
    </row>
    <row r="3" spans="1:24" ht="19.2" customHeight="1">
      <c r="A3" s="761" t="s">
        <v>638</v>
      </c>
      <c r="B3" s="482">
        <v>1</v>
      </c>
      <c r="C3" s="494">
        <v>53.2</v>
      </c>
      <c r="D3" s="495">
        <v>2.5</v>
      </c>
      <c r="E3" s="499">
        <v>55.8</v>
      </c>
      <c r="F3" s="492">
        <v>43.3</v>
      </c>
      <c r="G3" s="492">
        <v>1.3</v>
      </c>
      <c r="H3" s="492">
        <v>44.5</v>
      </c>
      <c r="I3" s="538">
        <v>59.8</v>
      </c>
      <c r="J3" s="489">
        <f>I3*1.25</f>
        <v>74.75</v>
      </c>
      <c r="K3" s="508">
        <f>I3*0.75</f>
        <v>44.849999999999994</v>
      </c>
      <c r="L3" s="510">
        <f>J3-K3</f>
        <v>29.900000000000006</v>
      </c>
      <c r="N3" s="760" t="s">
        <v>502</v>
      </c>
      <c r="O3" s="484">
        <v>1</v>
      </c>
      <c r="P3" s="485">
        <v>5279</v>
      </c>
      <c r="Q3" s="486">
        <v>16.7</v>
      </c>
      <c r="R3" s="486">
        <v>5.01</v>
      </c>
      <c r="S3" s="488">
        <f>(Q3+R3)*3.412</f>
        <v>74.074520000000007</v>
      </c>
      <c r="T3" s="488">
        <f>S3*1.25</f>
        <v>92.593150000000009</v>
      </c>
      <c r="U3" s="505">
        <f>S3*0.75</f>
        <v>55.555890000000005</v>
      </c>
      <c r="V3" s="506">
        <f>T3-U3</f>
        <v>37.037260000000003</v>
      </c>
    </row>
    <row r="4" spans="1:24" ht="19.2" customHeight="1">
      <c r="A4" s="761"/>
      <c r="B4" s="482">
        <v>2</v>
      </c>
      <c r="C4" s="496">
        <v>64</v>
      </c>
      <c r="D4" s="497">
        <v>2</v>
      </c>
      <c r="E4" s="500">
        <v>65.900000000000006</v>
      </c>
      <c r="F4" s="492">
        <v>46.4</v>
      </c>
      <c r="G4" s="492">
        <v>1.2</v>
      </c>
      <c r="H4" s="492">
        <v>47.6</v>
      </c>
      <c r="I4" s="538">
        <v>65.5</v>
      </c>
      <c r="J4" s="489">
        <f t="shared" ref="J4:J18" si="0">I4*1.25</f>
        <v>81.875</v>
      </c>
      <c r="K4" s="508">
        <f t="shared" ref="K4:K18" si="1">I4*0.75</f>
        <v>49.125</v>
      </c>
      <c r="L4" s="510">
        <f t="shared" ref="L4:L18" si="2">J4-K4</f>
        <v>32.75</v>
      </c>
      <c r="N4" s="760"/>
      <c r="O4" s="484">
        <v>2</v>
      </c>
      <c r="P4" s="485">
        <v>12449</v>
      </c>
      <c r="Q4" s="486">
        <v>15.2</v>
      </c>
      <c r="R4" s="486">
        <v>6.24</v>
      </c>
      <c r="S4" s="488">
        <f t="shared" ref="S4:S18" si="3">(Q4+R4)*3.412</f>
        <v>73.153279999999995</v>
      </c>
      <c r="T4" s="488">
        <f t="shared" ref="T4:T18" si="4">S4*1.25</f>
        <v>91.441599999999994</v>
      </c>
      <c r="U4" s="505">
        <f t="shared" ref="U4:U18" si="5">S4*0.75</f>
        <v>54.864959999999996</v>
      </c>
      <c r="V4" s="506">
        <f t="shared" ref="V4:V18" si="6">T4-U4</f>
        <v>36.576639999999998</v>
      </c>
    </row>
    <row r="5" spans="1:24" ht="19.2" customHeight="1">
      <c r="A5" s="761"/>
      <c r="B5" s="482">
        <v>3</v>
      </c>
      <c r="C5" s="496">
        <v>55.2</v>
      </c>
      <c r="D5" s="497">
        <v>1.6</v>
      </c>
      <c r="E5" s="500">
        <v>56.9</v>
      </c>
      <c r="F5" s="492">
        <v>45.8</v>
      </c>
      <c r="G5" s="492">
        <v>1.2</v>
      </c>
      <c r="H5" s="492">
        <v>47</v>
      </c>
      <c r="I5" s="538">
        <v>62.2</v>
      </c>
      <c r="J5" s="489">
        <f t="shared" si="0"/>
        <v>77.75</v>
      </c>
      <c r="K5" s="508">
        <f t="shared" si="1"/>
        <v>46.650000000000006</v>
      </c>
      <c r="L5" s="510">
        <f t="shared" si="2"/>
        <v>31.099999999999994</v>
      </c>
      <c r="N5" s="760"/>
      <c r="O5" s="484">
        <v>3</v>
      </c>
      <c r="P5" s="485">
        <v>242565</v>
      </c>
      <c r="Q5" s="486">
        <v>14.3</v>
      </c>
      <c r="R5" s="486">
        <v>4.83</v>
      </c>
      <c r="S5" s="488">
        <f t="shared" si="3"/>
        <v>65.271560000000008</v>
      </c>
      <c r="T5" s="488">
        <f t="shared" si="4"/>
        <v>81.589450000000014</v>
      </c>
      <c r="U5" s="505">
        <f t="shared" si="5"/>
        <v>48.953670000000002</v>
      </c>
      <c r="V5" s="506">
        <f t="shared" si="6"/>
        <v>32.635780000000011</v>
      </c>
    </row>
    <row r="6" spans="1:24" ht="19.2" customHeight="1">
      <c r="A6" s="761"/>
      <c r="B6" s="482">
        <v>4</v>
      </c>
      <c r="C6" s="496">
        <v>61.7</v>
      </c>
      <c r="D6" s="497">
        <v>1.9</v>
      </c>
      <c r="E6" s="500">
        <v>63.6</v>
      </c>
      <c r="F6" s="492">
        <v>47.6</v>
      </c>
      <c r="G6" s="492">
        <v>1.2</v>
      </c>
      <c r="H6" s="492">
        <v>48.7</v>
      </c>
      <c r="I6" s="538">
        <v>67.7</v>
      </c>
      <c r="J6" s="489">
        <f t="shared" si="0"/>
        <v>84.625</v>
      </c>
      <c r="K6" s="508">
        <f t="shared" si="1"/>
        <v>50.775000000000006</v>
      </c>
      <c r="L6" s="510">
        <f t="shared" si="2"/>
        <v>33.849999999999994</v>
      </c>
      <c r="N6" s="760"/>
      <c r="O6" s="484">
        <v>4</v>
      </c>
      <c r="P6" s="485">
        <v>137610</v>
      </c>
      <c r="Q6" s="486">
        <v>14.4</v>
      </c>
      <c r="R6" s="486">
        <v>4.76</v>
      </c>
      <c r="S6" s="488">
        <f t="shared" si="3"/>
        <v>65.373919999999998</v>
      </c>
      <c r="T6" s="488">
        <f t="shared" si="4"/>
        <v>81.717399999999998</v>
      </c>
      <c r="U6" s="505">
        <f t="shared" si="5"/>
        <v>49.030439999999999</v>
      </c>
      <c r="V6" s="506">
        <f t="shared" si="6"/>
        <v>32.686959999999999</v>
      </c>
    </row>
    <row r="7" spans="1:24" ht="19.2" customHeight="1">
      <c r="A7" s="761"/>
      <c r="B7" s="482">
        <v>5</v>
      </c>
      <c r="C7" s="496">
        <v>54.7</v>
      </c>
      <c r="D7" s="497">
        <v>1.7</v>
      </c>
      <c r="E7" s="500">
        <v>56.4</v>
      </c>
      <c r="F7" s="492">
        <v>45.6</v>
      </c>
      <c r="G7" s="492">
        <v>1.2</v>
      </c>
      <c r="H7" s="492">
        <v>46.8</v>
      </c>
      <c r="I7" s="538">
        <v>59.7</v>
      </c>
      <c r="J7" s="489">
        <f t="shared" si="0"/>
        <v>74.625</v>
      </c>
      <c r="K7" s="508">
        <f t="shared" si="1"/>
        <v>44.775000000000006</v>
      </c>
      <c r="L7" s="510">
        <f t="shared" si="2"/>
        <v>29.849999999999994</v>
      </c>
      <c r="N7" s="760"/>
      <c r="O7" s="484">
        <v>5</v>
      </c>
      <c r="P7" s="485">
        <v>3834</v>
      </c>
      <c r="Q7" s="486">
        <v>8.6</v>
      </c>
      <c r="R7" s="486">
        <v>9.32</v>
      </c>
      <c r="S7" s="488">
        <f t="shared" si="3"/>
        <v>61.143040000000006</v>
      </c>
      <c r="T7" s="488">
        <f t="shared" si="4"/>
        <v>76.42880000000001</v>
      </c>
      <c r="U7" s="505">
        <f t="shared" si="5"/>
        <v>45.857280000000003</v>
      </c>
      <c r="V7" s="506">
        <f t="shared" si="6"/>
        <v>30.571520000000007</v>
      </c>
    </row>
    <row r="8" spans="1:24" ht="19.2" customHeight="1">
      <c r="A8" s="761"/>
      <c r="B8" s="482">
        <v>6</v>
      </c>
      <c r="C8" s="496">
        <v>53.9</v>
      </c>
      <c r="D8" s="497">
        <v>1.2</v>
      </c>
      <c r="E8" s="500">
        <v>55.1</v>
      </c>
      <c r="F8" s="492">
        <v>47.2</v>
      </c>
      <c r="G8" s="492">
        <v>1.2</v>
      </c>
      <c r="H8" s="492">
        <v>48.3</v>
      </c>
      <c r="I8" s="538">
        <v>69</v>
      </c>
      <c r="J8" s="489">
        <f t="shared" si="0"/>
        <v>86.25</v>
      </c>
      <c r="K8" s="508">
        <f t="shared" si="1"/>
        <v>51.75</v>
      </c>
      <c r="L8" s="510">
        <f t="shared" si="2"/>
        <v>34.5</v>
      </c>
      <c r="N8" s="760"/>
      <c r="O8" s="484">
        <v>6</v>
      </c>
      <c r="P8" s="485">
        <v>109980</v>
      </c>
      <c r="Q8" s="486">
        <v>10.9</v>
      </c>
      <c r="R8" s="486">
        <v>4.88</v>
      </c>
      <c r="S8" s="488">
        <f t="shared" si="3"/>
        <v>53.841360000000002</v>
      </c>
      <c r="T8" s="488">
        <f t="shared" si="4"/>
        <v>67.301699999999997</v>
      </c>
      <c r="U8" s="505">
        <f t="shared" si="5"/>
        <v>40.381019999999999</v>
      </c>
      <c r="V8" s="506">
        <f t="shared" si="6"/>
        <v>26.920679999999997</v>
      </c>
    </row>
    <row r="9" spans="1:24" ht="19.2" customHeight="1">
      <c r="A9" s="761"/>
      <c r="B9" s="482">
        <v>7</v>
      </c>
      <c r="C9" s="496">
        <v>56.1</v>
      </c>
      <c r="D9" s="497">
        <v>1.2</v>
      </c>
      <c r="E9" s="500">
        <v>57.2</v>
      </c>
      <c r="F9" s="492">
        <v>47.3</v>
      </c>
      <c r="G9" s="492">
        <v>1.1000000000000001</v>
      </c>
      <c r="H9" s="492">
        <v>48.4</v>
      </c>
      <c r="I9" s="538">
        <v>64.900000000000006</v>
      </c>
      <c r="J9" s="489">
        <f t="shared" si="0"/>
        <v>81.125</v>
      </c>
      <c r="K9" s="508">
        <f t="shared" si="1"/>
        <v>48.675000000000004</v>
      </c>
      <c r="L9" s="510">
        <f t="shared" si="2"/>
        <v>32.449999999999996</v>
      </c>
      <c r="N9" s="760"/>
      <c r="O9" s="484">
        <v>7</v>
      </c>
      <c r="P9" s="485">
        <v>76710</v>
      </c>
      <c r="Q9" s="486">
        <v>14.8</v>
      </c>
      <c r="R9" s="486">
        <v>9.36</v>
      </c>
      <c r="S9" s="488">
        <f t="shared" si="3"/>
        <v>82.433920000000001</v>
      </c>
      <c r="T9" s="488">
        <f t="shared" si="4"/>
        <v>103.0424</v>
      </c>
      <c r="U9" s="505">
        <f t="shared" si="5"/>
        <v>61.82544</v>
      </c>
      <c r="V9" s="506">
        <f t="shared" si="6"/>
        <v>41.21696</v>
      </c>
    </row>
    <row r="10" spans="1:24" ht="19.2" customHeight="1">
      <c r="A10" s="761"/>
      <c r="B10" s="482">
        <v>8</v>
      </c>
      <c r="C10" s="496">
        <v>58</v>
      </c>
      <c r="D10" s="497">
        <v>1.1000000000000001</v>
      </c>
      <c r="E10" s="500">
        <v>59.1</v>
      </c>
      <c r="F10" s="492">
        <v>48.5</v>
      </c>
      <c r="G10" s="492">
        <v>1.1000000000000001</v>
      </c>
      <c r="H10" s="492">
        <v>49.7</v>
      </c>
      <c r="I10" s="538">
        <v>65.900000000000006</v>
      </c>
      <c r="J10" s="489">
        <f t="shared" si="0"/>
        <v>82.375</v>
      </c>
      <c r="K10" s="508">
        <f t="shared" si="1"/>
        <v>49.425000000000004</v>
      </c>
      <c r="L10" s="510">
        <f t="shared" si="2"/>
        <v>32.949999999999996</v>
      </c>
      <c r="N10" s="760"/>
      <c r="O10" s="484">
        <v>8</v>
      </c>
      <c r="P10" s="485">
        <v>177013</v>
      </c>
      <c r="Q10" s="486">
        <v>10.4</v>
      </c>
      <c r="R10" s="486">
        <v>4.24</v>
      </c>
      <c r="S10" s="488">
        <f t="shared" si="3"/>
        <v>49.951680000000003</v>
      </c>
      <c r="T10" s="488">
        <f t="shared" si="4"/>
        <v>62.439600000000006</v>
      </c>
      <c r="U10" s="505">
        <f t="shared" si="5"/>
        <v>37.463760000000001</v>
      </c>
      <c r="V10" s="506">
        <f t="shared" si="6"/>
        <v>24.975840000000005</v>
      </c>
    </row>
    <row r="11" spans="1:24" ht="19.2" customHeight="1">
      <c r="A11" s="761"/>
      <c r="B11" s="482">
        <v>9</v>
      </c>
      <c r="C11" s="496">
        <v>58.2</v>
      </c>
      <c r="D11" s="497">
        <v>1.2</v>
      </c>
      <c r="E11" s="500">
        <v>59.4</v>
      </c>
      <c r="F11" s="492">
        <v>47.7</v>
      </c>
      <c r="G11" s="492">
        <v>1.1000000000000001</v>
      </c>
      <c r="H11" s="492">
        <v>48.9</v>
      </c>
      <c r="I11" s="538">
        <v>65.900000000000006</v>
      </c>
      <c r="J11" s="489">
        <f t="shared" si="0"/>
        <v>82.375</v>
      </c>
      <c r="K11" s="508">
        <f t="shared" si="1"/>
        <v>49.425000000000004</v>
      </c>
      <c r="L11" s="510">
        <f t="shared" si="2"/>
        <v>32.949999999999996</v>
      </c>
      <c r="N11" s="760"/>
      <c r="O11" s="484">
        <v>9</v>
      </c>
      <c r="P11" s="485">
        <v>240000</v>
      </c>
      <c r="Q11" s="486">
        <v>10.9</v>
      </c>
      <c r="R11" s="486">
        <v>4.38</v>
      </c>
      <c r="S11" s="488">
        <f t="shared" si="3"/>
        <v>52.135360000000006</v>
      </c>
      <c r="T11" s="488">
        <f t="shared" si="4"/>
        <v>65.169200000000004</v>
      </c>
      <c r="U11" s="505">
        <f t="shared" si="5"/>
        <v>39.101520000000008</v>
      </c>
      <c r="V11" s="506">
        <f t="shared" si="6"/>
        <v>26.067679999999996</v>
      </c>
    </row>
    <row r="12" spans="1:24" ht="19.2" customHeight="1">
      <c r="A12" s="761"/>
      <c r="B12" s="482">
        <v>10</v>
      </c>
      <c r="C12" s="496">
        <v>54.1</v>
      </c>
      <c r="D12" s="497">
        <v>1.3</v>
      </c>
      <c r="E12" s="500">
        <v>55.4</v>
      </c>
      <c r="F12" s="492">
        <v>48.8</v>
      </c>
      <c r="G12" s="492">
        <v>1.1000000000000001</v>
      </c>
      <c r="H12" s="492">
        <v>49.9</v>
      </c>
      <c r="I12" s="538">
        <v>66.400000000000006</v>
      </c>
      <c r="J12" s="489">
        <f t="shared" si="0"/>
        <v>83</v>
      </c>
      <c r="K12" s="508">
        <f t="shared" si="1"/>
        <v>49.800000000000004</v>
      </c>
      <c r="L12" s="510">
        <f t="shared" si="2"/>
        <v>33.199999999999996</v>
      </c>
      <c r="N12" s="760"/>
      <c r="O12" s="484">
        <v>10</v>
      </c>
      <c r="P12" s="485">
        <v>65927</v>
      </c>
      <c r="Q12" s="486">
        <v>11.9</v>
      </c>
      <c r="R12" s="486">
        <v>7.21</v>
      </c>
      <c r="S12" s="488">
        <f t="shared" si="3"/>
        <v>65.203319999999991</v>
      </c>
      <c r="T12" s="488">
        <f t="shared" si="4"/>
        <v>81.504149999999981</v>
      </c>
      <c r="U12" s="505">
        <f t="shared" si="5"/>
        <v>48.902489999999993</v>
      </c>
      <c r="V12" s="506">
        <f t="shared" si="6"/>
        <v>32.601659999999988</v>
      </c>
    </row>
    <row r="13" spans="1:24" ht="19.2" customHeight="1">
      <c r="A13" s="761"/>
      <c r="B13" s="482">
        <v>11</v>
      </c>
      <c r="C13" s="496">
        <v>58.3</v>
      </c>
      <c r="D13" s="497">
        <v>1.5</v>
      </c>
      <c r="E13" s="500">
        <v>59.7</v>
      </c>
      <c r="F13" s="492">
        <v>48</v>
      </c>
      <c r="G13" s="492">
        <v>1.2</v>
      </c>
      <c r="H13" s="492">
        <v>49.2</v>
      </c>
      <c r="I13" s="538">
        <v>68.599999999999994</v>
      </c>
      <c r="J13" s="489">
        <f t="shared" si="0"/>
        <v>85.75</v>
      </c>
      <c r="K13" s="508">
        <f t="shared" si="1"/>
        <v>51.449999999999996</v>
      </c>
      <c r="L13" s="510">
        <f t="shared" si="2"/>
        <v>34.300000000000004</v>
      </c>
      <c r="N13" s="760"/>
      <c r="O13" s="484">
        <v>11</v>
      </c>
      <c r="P13" s="485">
        <v>18413</v>
      </c>
      <c r="Q13" s="486">
        <v>11.4</v>
      </c>
      <c r="R13" s="486">
        <v>4.29</v>
      </c>
      <c r="S13" s="488">
        <f t="shared" si="3"/>
        <v>53.534280000000003</v>
      </c>
      <c r="T13" s="488">
        <f t="shared" si="4"/>
        <v>66.917850000000001</v>
      </c>
      <c r="U13" s="505">
        <f t="shared" si="5"/>
        <v>40.150710000000004</v>
      </c>
      <c r="V13" s="506">
        <f t="shared" si="6"/>
        <v>26.767139999999998</v>
      </c>
    </row>
    <row r="14" spans="1:24" ht="19.2" customHeight="1">
      <c r="A14" s="761"/>
      <c r="B14" s="482">
        <v>12</v>
      </c>
      <c r="C14" s="496">
        <v>58.4</v>
      </c>
      <c r="D14" s="497">
        <v>1.7</v>
      </c>
      <c r="E14" s="500">
        <v>60.1</v>
      </c>
      <c r="F14" s="492">
        <v>47.2</v>
      </c>
      <c r="G14" s="492">
        <v>1.2</v>
      </c>
      <c r="H14" s="492">
        <v>48.3</v>
      </c>
      <c r="I14" s="538">
        <v>67.8</v>
      </c>
      <c r="J14" s="489">
        <f t="shared" si="0"/>
        <v>84.75</v>
      </c>
      <c r="K14" s="508">
        <f t="shared" si="1"/>
        <v>50.849999999999994</v>
      </c>
      <c r="L14" s="510">
        <f t="shared" si="2"/>
        <v>33.900000000000006</v>
      </c>
      <c r="N14" s="760"/>
      <c r="O14" s="484">
        <v>12</v>
      </c>
      <c r="P14" s="485">
        <v>171620</v>
      </c>
      <c r="Q14" s="486">
        <v>14.4</v>
      </c>
      <c r="R14" s="486">
        <v>6.12</v>
      </c>
      <c r="S14" s="488">
        <f t="shared" si="3"/>
        <v>70.014240000000001</v>
      </c>
      <c r="T14" s="488">
        <f t="shared" si="4"/>
        <v>87.517799999999994</v>
      </c>
      <c r="U14" s="505">
        <f t="shared" si="5"/>
        <v>52.510680000000001</v>
      </c>
      <c r="V14" s="506">
        <f t="shared" si="6"/>
        <v>35.007119999999993</v>
      </c>
    </row>
    <row r="15" spans="1:24" ht="19.2" customHeight="1">
      <c r="A15" s="761"/>
      <c r="B15" s="482">
        <v>13</v>
      </c>
      <c r="C15" s="496">
        <v>60.4</v>
      </c>
      <c r="D15" s="497">
        <v>1.4</v>
      </c>
      <c r="E15" s="500">
        <v>61.8</v>
      </c>
      <c r="F15" s="492">
        <v>48.6</v>
      </c>
      <c r="G15" s="492">
        <v>1.2</v>
      </c>
      <c r="H15" s="492">
        <v>49.8</v>
      </c>
      <c r="I15" s="538">
        <v>68.3</v>
      </c>
      <c r="J15" s="489">
        <f t="shared" si="0"/>
        <v>85.375</v>
      </c>
      <c r="K15" s="508">
        <f t="shared" si="1"/>
        <v>51.224999999999994</v>
      </c>
      <c r="L15" s="510">
        <f t="shared" si="2"/>
        <v>34.150000000000006</v>
      </c>
      <c r="N15" s="760"/>
      <c r="O15" s="484">
        <v>13</v>
      </c>
      <c r="P15" s="485">
        <v>19959</v>
      </c>
      <c r="Q15" s="486">
        <v>15.9</v>
      </c>
      <c r="R15" s="486">
        <v>3.71</v>
      </c>
      <c r="S15" s="488">
        <f t="shared" si="3"/>
        <v>66.909319999999994</v>
      </c>
      <c r="T15" s="488">
        <f t="shared" si="4"/>
        <v>83.636649999999989</v>
      </c>
      <c r="U15" s="505">
        <f t="shared" si="5"/>
        <v>50.181989999999999</v>
      </c>
      <c r="V15" s="506">
        <f t="shared" si="6"/>
        <v>33.45465999999999</v>
      </c>
    </row>
    <row r="16" spans="1:24" ht="19.2" customHeight="1">
      <c r="A16" s="761"/>
      <c r="B16" s="482">
        <v>14</v>
      </c>
      <c r="C16" s="496">
        <v>56.6</v>
      </c>
      <c r="D16" s="497">
        <v>1.6</v>
      </c>
      <c r="E16" s="500">
        <v>58.2</v>
      </c>
      <c r="F16" s="492">
        <v>48.8</v>
      </c>
      <c r="G16" s="492">
        <v>1.2</v>
      </c>
      <c r="H16" s="492">
        <v>50</v>
      </c>
      <c r="I16" s="538">
        <v>69</v>
      </c>
      <c r="J16" s="489">
        <f t="shared" si="0"/>
        <v>86.25</v>
      </c>
      <c r="K16" s="508">
        <f t="shared" si="1"/>
        <v>51.75</v>
      </c>
      <c r="L16" s="510">
        <f t="shared" si="2"/>
        <v>34.5</v>
      </c>
      <c r="N16" s="760"/>
      <c r="O16" s="484">
        <v>14</v>
      </c>
      <c r="P16" s="485">
        <v>18934</v>
      </c>
      <c r="Q16" s="486">
        <v>9.8000000000000007</v>
      </c>
      <c r="R16" s="486">
        <v>4.4000000000000004</v>
      </c>
      <c r="S16" s="488">
        <f t="shared" si="3"/>
        <v>48.450400000000002</v>
      </c>
      <c r="T16" s="488">
        <f t="shared" si="4"/>
        <v>60.563000000000002</v>
      </c>
      <c r="U16" s="505">
        <f t="shared" si="5"/>
        <v>36.337800000000001</v>
      </c>
      <c r="V16" s="506">
        <f t="shared" si="6"/>
        <v>24.225200000000001</v>
      </c>
    </row>
    <row r="17" spans="1:22" ht="19.2" customHeight="1">
      <c r="A17" s="761"/>
      <c r="B17" s="482">
        <v>15</v>
      </c>
      <c r="C17" s="496">
        <v>55</v>
      </c>
      <c r="D17" s="497">
        <v>1</v>
      </c>
      <c r="E17" s="500">
        <v>56</v>
      </c>
      <c r="F17" s="492">
        <v>52.5</v>
      </c>
      <c r="G17" s="492">
        <v>1</v>
      </c>
      <c r="H17" s="492">
        <v>53.5</v>
      </c>
      <c r="I17" s="538">
        <v>67.7</v>
      </c>
      <c r="J17" s="489">
        <f t="shared" si="0"/>
        <v>84.625</v>
      </c>
      <c r="K17" s="508">
        <f t="shared" si="1"/>
        <v>50.775000000000006</v>
      </c>
      <c r="L17" s="510">
        <f t="shared" si="2"/>
        <v>33.849999999999994</v>
      </c>
      <c r="N17" s="760"/>
      <c r="O17" s="484">
        <v>15</v>
      </c>
      <c r="P17" s="485">
        <v>23127</v>
      </c>
      <c r="Q17" s="486">
        <v>9.6999999999999993</v>
      </c>
      <c r="R17" s="486">
        <v>5.14</v>
      </c>
      <c r="S17" s="488">
        <f t="shared" si="3"/>
        <v>50.634079999999997</v>
      </c>
      <c r="T17" s="488">
        <f t="shared" si="4"/>
        <v>63.292599999999993</v>
      </c>
      <c r="U17" s="505">
        <f t="shared" si="5"/>
        <v>37.975560000000002</v>
      </c>
      <c r="V17" s="506">
        <f t="shared" si="6"/>
        <v>25.317039999999992</v>
      </c>
    </row>
    <row r="18" spans="1:22" ht="19.2" customHeight="1">
      <c r="A18" s="762"/>
      <c r="B18" s="483">
        <v>16</v>
      </c>
      <c r="C18" s="501">
        <v>57.4</v>
      </c>
      <c r="D18" s="502">
        <v>2.2000000000000002</v>
      </c>
      <c r="E18" s="503">
        <v>59.6</v>
      </c>
      <c r="F18" s="493">
        <v>47.4</v>
      </c>
      <c r="G18" s="493">
        <v>1.3</v>
      </c>
      <c r="H18" s="493">
        <v>48.7</v>
      </c>
      <c r="I18" s="539">
        <v>70.599999999999994</v>
      </c>
      <c r="J18" s="511">
        <f t="shared" si="0"/>
        <v>88.25</v>
      </c>
      <c r="K18" s="512">
        <f t="shared" si="1"/>
        <v>52.949999999999996</v>
      </c>
      <c r="L18" s="513">
        <f t="shared" si="2"/>
        <v>35.300000000000004</v>
      </c>
      <c r="N18" s="760"/>
      <c r="O18" s="484">
        <v>16</v>
      </c>
      <c r="P18" s="485">
        <v>39406</v>
      </c>
      <c r="Q18" s="486">
        <v>11.6</v>
      </c>
      <c r="R18" s="486">
        <v>4.42</v>
      </c>
      <c r="S18" s="488">
        <f t="shared" si="3"/>
        <v>54.660239999999995</v>
      </c>
      <c r="T18" s="488">
        <f t="shared" si="4"/>
        <v>68.325299999999999</v>
      </c>
      <c r="U18" s="505">
        <f t="shared" si="5"/>
        <v>40.995179999999998</v>
      </c>
      <c r="V18" s="506">
        <f t="shared" si="6"/>
        <v>27.330120000000001</v>
      </c>
    </row>
    <row r="20" spans="1:22" ht="13.2">
      <c r="N20" s="21" t="s">
        <v>639</v>
      </c>
    </row>
    <row r="21" spans="1:22" ht="13.2">
      <c r="C21" s="498"/>
      <c r="D21" s="498"/>
      <c r="E21" s="498"/>
      <c r="F21" s="498"/>
      <c r="G21" s="498"/>
      <c r="H21" s="498"/>
      <c r="N21" s="21" t="s">
        <v>640</v>
      </c>
    </row>
    <row r="22" spans="1:22" ht="12.75" customHeight="1">
      <c r="C22" s="498"/>
      <c r="D22" s="498"/>
      <c r="E22" s="498"/>
      <c r="F22" s="498"/>
      <c r="G22" s="498"/>
      <c r="H22" s="498"/>
    </row>
    <row r="23" spans="1:22" ht="16.2" customHeight="1">
      <c r="C23" s="498"/>
      <c r="D23" s="498"/>
      <c r="E23" s="498"/>
      <c r="F23" s="498"/>
      <c r="G23" s="498"/>
      <c r="H23" s="498"/>
      <c r="N23" s="758" t="s">
        <v>641</v>
      </c>
      <c r="O23" s="758"/>
      <c r="P23" s="758"/>
      <c r="Q23" s="758"/>
      <c r="R23" s="758"/>
    </row>
    <row r="24" spans="1:22" ht="12.75" customHeight="1">
      <c r="C24" s="498"/>
      <c r="D24" s="498"/>
      <c r="E24" s="498"/>
      <c r="F24" s="498"/>
      <c r="G24" s="498"/>
      <c r="H24" s="498"/>
      <c r="N24" s="758"/>
      <c r="O24" s="758"/>
      <c r="P24" s="758"/>
      <c r="Q24" s="758"/>
      <c r="R24" s="758"/>
    </row>
    <row r="25" spans="1:22" s="48" customFormat="1" ht="12.75" hidden="1" customHeight="1">
      <c r="C25" s="498"/>
      <c r="D25" s="498"/>
      <c r="E25" s="498"/>
      <c r="F25" s="498"/>
      <c r="G25" s="498"/>
      <c r="H25" s="498"/>
      <c r="N25" s="758"/>
      <c r="O25" s="758"/>
      <c r="P25" s="758"/>
      <c r="Q25" s="758"/>
      <c r="R25" s="758"/>
      <c r="S25" s="50"/>
      <c r="T25" s="51"/>
    </row>
    <row r="26" spans="1:22" ht="12.75" hidden="1" customHeight="1">
      <c r="C26" s="498"/>
      <c r="D26" s="498"/>
      <c r="E26" s="498"/>
      <c r="F26" s="498"/>
      <c r="G26" s="498"/>
      <c r="H26" s="498"/>
      <c r="N26" s="758"/>
      <c r="O26" s="758"/>
      <c r="P26" s="758"/>
      <c r="Q26" s="758"/>
      <c r="R26" s="758"/>
    </row>
    <row r="27" spans="1:22" ht="12.75" hidden="1" customHeight="1">
      <c r="C27" s="498"/>
      <c r="D27" s="498"/>
      <c r="E27" s="498"/>
      <c r="F27" s="498"/>
      <c r="G27" s="498"/>
      <c r="H27" s="498"/>
      <c r="N27" s="758"/>
      <c r="O27" s="758"/>
      <c r="P27" s="758"/>
      <c r="Q27" s="758"/>
      <c r="R27" s="758"/>
    </row>
    <row r="28" spans="1:22" ht="12.75" hidden="1" customHeight="1">
      <c r="C28" s="498"/>
      <c r="D28" s="498"/>
      <c r="E28" s="498"/>
      <c r="F28" s="498"/>
      <c r="G28" s="498"/>
      <c r="H28" s="498"/>
      <c r="N28" s="758"/>
      <c r="O28" s="758"/>
      <c r="P28" s="758"/>
      <c r="Q28" s="758"/>
      <c r="R28" s="758"/>
    </row>
    <row r="29" spans="1:22" ht="12.75" hidden="1" customHeight="1">
      <c r="C29" s="498"/>
      <c r="D29" s="498"/>
      <c r="E29" s="498"/>
      <c r="F29" s="498"/>
      <c r="G29" s="498"/>
      <c r="H29" s="498"/>
      <c r="N29" s="758"/>
      <c r="O29" s="758"/>
      <c r="P29" s="758"/>
      <c r="Q29" s="758"/>
      <c r="R29" s="758"/>
    </row>
    <row r="30" spans="1:22" ht="12.75" hidden="1" customHeight="1">
      <c r="C30" s="498"/>
      <c r="D30" s="498"/>
      <c r="E30" s="498"/>
      <c r="F30" s="498"/>
      <c r="G30" s="498"/>
      <c r="H30" s="498"/>
      <c r="N30" s="758"/>
      <c r="O30" s="758"/>
      <c r="P30" s="758"/>
      <c r="Q30" s="758"/>
      <c r="R30" s="758"/>
    </row>
    <row r="31" spans="1:22" ht="18" hidden="1" customHeight="1">
      <c r="C31" s="498"/>
      <c r="D31" s="498"/>
      <c r="E31" s="498"/>
      <c r="F31" s="498"/>
      <c r="G31" s="498"/>
      <c r="H31" s="498"/>
      <c r="N31" s="758"/>
      <c r="O31" s="758"/>
      <c r="P31" s="758"/>
      <c r="Q31" s="758"/>
      <c r="R31" s="758"/>
      <c r="S31" s="211"/>
      <c r="T31" s="211"/>
      <c r="U31" s="211"/>
    </row>
    <row r="32" spans="1:22" ht="45.75" hidden="1" customHeight="1">
      <c r="C32" s="498"/>
      <c r="D32" s="498"/>
      <c r="E32" s="498"/>
      <c r="F32" s="498"/>
      <c r="G32" s="498"/>
      <c r="H32" s="498"/>
      <c r="N32" s="758"/>
      <c r="O32" s="758"/>
      <c r="P32" s="758"/>
      <c r="Q32" s="758"/>
      <c r="R32" s="758"/>
      <c r="S32" s="209" t="s">
        <v>642</v>
      </c>
      <c r="T32" s="209" t="s">
        <v>643</v>
      </c>
      <c r="U32" s="209" t="s">
        <v>644</v>
      </c>
    </row>
    <row r="33" spans="3:22" ht="15" hidden="1" customHeight="1">
      <c r="C33" s="498"/>
      <c r="D33" s="498"/>
      <c r="E33" s="498"/>
      <c r="F33" s="498"/>
      <c r="G33" s="498"/>
      <c r="H33" s="498"/>
      <c r="N33" s="758"/>
      <c r="O33" s="758"/>
      <c r="P33" s="758"/>
      <c r="Q33" s="758"/>
      <c r="R33" s="758"/>
      <c r="S33" s="210">
        <v>18.017336628644099</v>
      </c>
      <c r="T33" s="163">
        <v>15658.044965641</v>
      </c>
      <c r="U33" s="210">
        <v>12.527115356849899</v>
      </c>
      <c r="V33" s="169"/>
    </row>
    <row r="34" spans="3:22" ht="15" hidden="1" customHeight="1">
      <c r="C34" s="498"/>
      <c r="D34" s="498"/>
      <c r="E34" s="498"/>
      <c r="F34" s="498"/>
      <c r="G34" s="498"/>
      <c r="H34" s="498"/>
      <c r="N34" s="758"/>
      <c r="O34" s="758"/>
      <c r="P34" s="758"/>
      <c r="Q34" s="758"/>
      <c r="R34" s="758"/>
      <c r="S34" s="210">
        <v>16.042366878432201</v>
      </c>
      <c r="T34" s="163">
        <v>6463.1840916677702</v>
      </c>
      <c r="U34" s="210">
        <v>14.4617154267284</v>
      </c>
      <c r="V34" s="169"/>
    </row>
    <row r="35" spans="3:22" ht="15" hidden="1" customHeight="1">
      <c r="C35" s="498"/>
      <c r="D35" s="498"/>
      <c r="E35" s="498"/>
      <c r="F35" s="498"/>
      <c r="G35" s="498"/>
      <c r="H35" s="498"/>
      <c r="N35" s="758"/>
      <c r="O35" s="758"/>
      <c r="P35" s="758"/>
      <c r="Q35" s="758"/>
      <c r="R35" s="758"/>
      <c r="S35" s="210">
        <v>21.325566007763602</v>
      </c>
      <c r="T35" s="163">
        <v>234.81340348597701</v>
      </c>
      <c r="U35" s="210">
        <v>15.1690770069123</v>
      </c>
      <c r="V35" s="169"/>
    </row>
    <row r="36" spans="3:22" ht="15" hidden="1" customHeight="1">
      <c r="C36" s="498"/>
      <c r="D36" s="498"/>
      <c r="E36" s="498"/>
      <c r="F36" s="498"/>
      <c r="G36" s="498"/>
      <c r="H36" s="498"/>
      <c r="N36" s="758"/>
      <c r="O36" s="758"/>
      <c r="P36" s="758"/>
      <c r="Q36" s="758"/>
      <c r="R36" s="758"/>
      <c r="S36" s="210">
        <v>19.974765950455598</v>
      </c>
      <c r="T36" s="163">
        <v>5.6630537423088603</v>
      </c>
      <c r="U36" s="210">
        <v>1.4650350100762399</v>
      </c>
      <c r="V36" s="169"/>
    </row>
    <row r="37" spans="3:22" ht="15" hidden="1" customHeight="1">
      <c r="N37" s="758"/>
      <c r="O37" s="758"/>
      <c r="P37" s="758"/>
      <c r="Q37" s="758"/>
      <c r="R37" s="758"/>
      <c r="S37" s="210">
        <v>18.741287991299199</v>
      </c>
      <c r="T37" s="163">
        <v>272.79004713487001</v>
      </c>
      <c r="U37" s="210">
        <v>8.6726637776863402</v>
      </c>
      <c r="V37" s="169"/>
    </row>
    <row r="38" spans="3:22" ht="15" hidden="1" customHeight="1">
      <c r="N38" s="758"/>
      <c r="O38" s="758"/>
      <c r="P38" s="758"/>
      <c r="Q38" s="758"/>
      <c r="R38" s="758"/>
      <c r="S38" s="210">
        <v>14.324853633957</v>
      </c>
      <c r="T38" s="163">
        <v>315.69939438403202</v>
      </c>
      <c r="U38" s="210">
        <v>17.7281215664756</v>
      </c>
      <c r="V38" s="169"/>
    </row>
    <row r="39" spans="3:22" ht="15" hidden="1" customHeight="1">
      <c r="N39" s="758"/>
      <c r="O39" s="758"/>
      <c r="P39" s="758"/>
      <c r="Q39" s="758"/>
      <c r="R39" s="758"/>
      <c r="S39" s="210">
        <v>31.9458188782192</v>
      </c>
      <c r="T39" s="163">
        <v>100.179051243052</v>
      </c>
      <c r="U39" s="210">
        <v>8.5653275728246498</v>
      </c>
      <c r="V39" s="169"/>
    </row>
    <row r="40" spans="3:22" ht="15" hidden="1" customHeight="1">
      <c r="N40" s="758"/>
      <c r="O40" s="758"/>
      <c r="P40" s="758"/>
      <c r="Q40" s="758"/>
      <c r="R40" s="758"/>
      <c r="S40" s="210">
        <v>14.076428662352701</v>
      </c>
      <c r="T40" s="163">
        <v>2883.9083398214402</v>
      </c>
      <c r="U40" s="210">
        <v>10.3114975845941</v>
      </c>
      <c r="V40" s="169"/>
    </row>
    <row r="41" spans="3:22" ht="15" hidden="1" customHeight="1">
      <c r="N41" s="758"/>
      <c r="O41" s="758"/>
      <c r="P41" s="758"/>
      <c r="Q41" s="758"/>
      <c r="R41" s="758"/>
      <c r="S41" s="210">
        <v>21.1421175247776</v>
      </c>
      <c r="T41" s="163">
        <v>331.701368969653</v>
      </c>
      <c r="U41" s="210">
        <v>11.727464046161501</v>
      </c>
      <c r="V41" s="169"/>
    </row>
    <row r="42" spans="3:22" ht="15" hidden="1" customHeight="1">
      <c r="N42" s="758"/>
      <c r="O42" s="758"/>
      <c r="P42" s="758"/>
      <c r="Q42" s="758"/>
      <c r="R42" s="758"/>
      <c r="S42" s="210">
        <v>3.7150723245864201</v>
      </c>
      <c r="T42" s="163">
        <v>21.877672334598699</v>
      </c>
      <c r="U42" s="210">
        <v>5.5821870779030602</v>
      </c>
      <c r="V42" s="169"/>
    </row>
    <row r="43" spans="3:22" ht="15" hidden="1" customHeight="1">
      <c r="N43" s="758"/>
      <c r="O43" s="758"/>
      <c r="P43" s="758"/>
      <c r="Q43" s="758"/>
      <c r="R43" s="758"/>
      <c r="S43" s="210">
        <v>15.8881112796103</v>
      </c>
      <c r="T43" s="163">
        <v>166.822142502053</v>
      </c>
      <c r="U43" s="210">
        <v>7.9944031631822003</v>
      </c>
      <c r="V43" s="169"/>
    </row>
    <row r="44" spans="3:22" ht="15" hidden="1" customHeight="1">
      <c r="N44" s="758"/>
      <c r="O44" s="758"/>
      <c r="P44" s="758"/>
      <c r="Q44" s="758"/>
      <c r="R44" s="758"/>
      <c r="S44" s="210">
        <v>17.5222316103441</v>
      </c>
      <c r="T44" s="163">
        <v>186.759346863286</v>
      </c>
      <c r="U44" s="210">
        <v>9.4480812067874407</v>
      </c>
      <c r="V44" s="169"/>
    </row>
    <row r="45" spans="3:22" ht="15" hidden="1" customHeight="1">
      <c r="N45" s="758"/>
      <c r="O45" s="758"/>
      <c r="P45" s="758"/>
      <c r="Q45" s="758"/>
      <c r="R45" s="758"/>
      <c r="S45" s="210">
        <v>34.134660587785604</v>
      </c>
      <c r="T45" s="163">
        <v>1550.5291024451101</v>
      </c>
      <c r="U45" s="210">
        <v>14.774570144739901</v>
      </c>
      <c r="V45" s="169"/>
    </row>
    <row r="46" spans="3:22" ht="15" hidden="1" customHeight="1">
      <c r="N46" s="758"/>
      <c r="O46" s="758"/>
      <c r="P46" s="758"/>
      <c r="Q46" s="758"/>
      <c r="R46" s="758"/>
      <c r="S46" s="210">
        <v>20.374328212720901</v>
      </c>
      <c r="T46" s="163">
        <v>261.23412146026101</v>
      </c>
      <c r="U46" s="210">
        <v>15.1978036119056</v>
      </c>
      <c r="V46" s="169"/>
    </row>
    <row r="47" spans="3:22" ht="15" hidden="1" customHeight="1">
      <c r="N47" s="758"/>
      <c r="O47" s="758"/>
      <c r="P47" s="758"/>
      <c r="Q47" s="758"/>
      <c r="R47" s="758"/>
      <c r="S47" s="210">
        <v>34.554571127848298</v>
      </c>
      <c r="T47" s="163">
        <v>669.18493452011</v>
      </c>
      <c r="U47" s="210">
        <v>15.1394500316167</v>
      </c>
      <c r="V47" s="169"/>
    </row>
    <row r="48" spans="3:22" ht="15" hidden="1" customHeight="1">
      <c r="N48" s="758"/>
      <c r="O48" s="758"/>
      <c r="P48" s="758"/>
      <c r="Q48" s="758"/>
      <c r="R48" s="758"/>
      <c r="S48" s="210">
        <v>14.7866758548577</v>
      </c>
      <c r="T48" s="163">
        <v>1946.4624130774901</v>
      </c>
      <c r="U48" s="210">
        <v>10.5200367252568</v>
      </c>
      <c r="V48" s="169"/>
    </row>
    <row r="49" spans="14:22" ht="15" hidden="1" customHeight="1">
      <c r="N49" s="758"/>
      <c r="O49" s="758"/>
      <c r="P49" s="758"/>
      <c r="Q49" s="758"/>
      <c r="R49" s="758"/>
      <c r="S49" s="210">
        <v>15.9763266452173</v>
      </c>
      <c r="T49" s="163">
        <v>247.236481988977</v>
      </c>
      <c r="U49" s="210">
        <v>13.1261105927091</v>
      </c>
      <c r="V49" s="169"/>
    </row>
    <row r="50" spans="14:22" ht="45.75" hidden="1" customHeight="1">
      <c r="N50" s="758"/>
      <c r="O50" s="758"/>
      <c r="P50" s="758"/>
      <c r="Q50" s="758"/>
      <c r="R50" s="758"/>
      <c r="S50" s="209" t="s">
        <v>642</v>
      </c>
      <c r="T50" s="209" t="s">
        <v>643</v>
      </c>
      <c r="U50" s="209" t="s">
        <v>644</v>
      </c>
    </row>
    <row r="51" spans="14:22" ht="15" hidden="1" customHeight="1">
      <c r="N51" s="758"/>
      <c r="O51" s="758"/>
      <c r="P51" s="758"/>
      <c r="Q51" s="758"/>
      <c r="R51" s="758"/>
      <c r="S51" s="210">
        <v>18.4126518663243</v>
      </c>
      <c r="T51" s="163">
        <v>6497.9292972235899</v>
      </c>
      <c r="U51" s="210">
        <v>8.9107862761175909</v>
      </c>
      <c r="V51" s="169"/>
    </row>
    <row r="52" spans="14:22" ht="15" hidden="1" customHeight="1">
      <c r="N52" s="758"/>
      <c r="O52" s="758"/>
      <c r="P52" s="758"/>
      <c r="Q52" s="758"/>
      <c r="R52" s="758"/>
      <c r="S52" s="210">
        <v>22.852915968004599</v>
      </c>
      <c r="T52" s="163">
        <v>1095.5807228471799</v>
      </c>
      <c r="U52" s="210">
        <v>9.1607126710965296</v>
      </c>
      <c r="V52" s="169"/>
    </row>
    <row r="53" spans="14:22" ht="15" hidden="1" customHeight="1">
      <c r="N53" s="758"/>
      <c r="O53" s="758"/>
      <c r="P53" s="758"/>
      <c r="Q53" s="758"/>
      <c r="R53" s="758"/>
      <c r="S53" s="210">
        <v>19.118001246539901</v>
      </c>
      <c r="T53" s="163">
        <v>251.63593746535599</v>
      </c>
      <c r="U53" s="210">
        <v>7.4853782247682501</v>
      </c>
      <c r="V53" s="169"/>
    </row>
    <row r="54" spans="14:22" ht="15" hidden="1" customHeight="1">
      <c r="N54" s="758"/>
      <c r="O54" s="758"/>
      <c r="P54" s="758"/>
      <c r="Q54" s="758"/>
      <c r="R54" s="758"/>
      <c r="S54" s="210">
        <v>28.286510997213099</v>
      </c>
      <c r="T54" s="163">
        <v>115.192666759101</v>
      </c>
      <c r="U54" s="210">
        <v>12.247810612315099</v>
      </c>
      <c r="V54" s="169"/>
    </row>
    <row r="55" spans="14:22" ht="15" hidden="1" customHeight="1">
      <c r="N55" s="758"/>
      <c r="O55" s="758"/>
      <c r="P55" s="758"/>
      <c r="Q55" s="758"/>
      <c r="R55" s="758"/>
      <c r="S55" s="210">
        <v>12.1512379866186</v>
      </c>
      <c r="T55" s="163">
        <v>463.14745305472798</v>
      </c>
      <c r="U55" s="210">
        <v>10.2380592179762</v>
      </c>
      <c r="V55" s="169"/>
    </row>
    <row r="56" spans="14:22" ht="15" hidden="1" customHeight="1">
      <c r="N56" s="758"/>
      <c r="O56" s="758"/>
      <c r="P56" s="758"/>
      <c r="Q56" s="758"/>
      <c r="R56" s="758"/>
      <c r="S56" s="210">
        <v>15.1928344532295</v>
      </c>
      <c r="T56" s="163">
        <v>479.86681779299698</v>
      </c>
      <c r="U56" s="210">
        <v>11.1200992810291</v>
      </c>
      <c r="V56" s="169"/>
    </row>
    <row r="57" spans="14:22" ht="15" hidden="1" customHeight="1">
      <c r="N57" s="758"/>
      <c r="O57" s="758"/>
      <c r="P57" s="758"/>
      <c r="Q57" s="758"/>
      <c r="R57" s="758"/>
      <c r="S57" s="210">
        <v>36.414803753733899</v>
      </c>
      <c r="T57" s="163">
        <v>235.22961677979501</v>
      </c>
      <c r="U57" s="210">
        <v>6.7295320962489598</v>
      </c>
      <c r="V57" s="169"/>
    </row>
    <row r="58" spans="14:22" ht="15" hidden="1" customHeight="1">
      <c r="N58" s="758"/>
      <c r="O58" s="758"/>
      <c r="P58" s="758"/>
      <c r="Q58" s="758"/>
      <c r="R58" s="758"/>
      <c r="S58" s="210">
        <v>10.462719486898299</v>
      </c>
      <c r="T58" s="163">
        <v>1257.7501797699299</v>
      </c>
      <c r="U58" s="210">
        <v>7.4809050283844698</v>
      </c>
      <c r="V58" s="169"/>
    </row>
    <row r="59" spans="14:22" ht="15" hidden="1" customHeight="1">
      <c r="N59" s="758"/>
      <c r="O59" s="758"/>
      <c r="P59" s="758"/>
      <c r="Q59" s="758"/>
      <c r="R59" s="758"/>
      <c r="S59" s="210">
        <v>9.9914596699029392</v>
      </c>
      <c r="T59" s="163">
        <v>172.02688006663601</v>
      </c>
      <c r="U59" s="210">
        <v>7.0997851810854096</v>
      </c>
      <c r="V59" s="169"/>
    </row>
    <row r="60" spans="14:22" ht="15" hidden="1" customHeight="1">
      <c r="N60" s="758"/>
      <c r="O60" s="758"/>
      <c r="P60" s="758"/>
      <c r="Q60" s="758"/>
      <c r="R60" s="758"/>
      <c r="S60" s="210">
        <v>13.0509885814238</v>
      </c>
      <c r="T60" s="163">
        <v>96.789779351807098</v>
      </c>
      <c r="U60" s="210">
        <v>8.2779572521261802</v>
      </c>
      <c r="V60" s="169"/>
    </row>
    <row r="61" spans="14:22" ht="15" hidden="1" customHeight="1">
      <c r="N61" s="758"/>
      <c r="O61" s="758"/>
      <c r="P61" s="758"/>
      <c r="Q61" s="758"/>
      <c r="R61" s="758"/>
      <c r="S61" s="210">
        <v>15.531345720731199</v>
      </c>
      <c r="T61" s="163">
        <v>252.17031235608499</v>
      </c>
      <c r="U61" s="210">
        <v>7.4907855057867003</v>
      </c>
      <c r="V61" s="169"/>
    </row>
    <row r="62" spans="14:22" ht="15" hidden="1" customHeight="1">
      <c r="N62" s="758"/>
      <c r="O62" s="758"/>
      <c r="P62" s="758"/>
      <c r="Q62" s="758"/>
      <c r="R62" s="758"/>
      <c r="S62" s="210">
        <v>6.7585920908378796</v>
      </c>
      <c r="T62" s="163">
        <v>317.47878780562502</v>
      </c>
      <c r="U62" s="210">
        <v>8.9209026200610602</v>
      </c>
      <c r="V62" s="169"/>
    </row>
    <row r="63" spans="14:22" ht="15" hidden="1" customHeight="1">
      <c r="N63" s="758"/>
      <c r="O63" s="758"/>
      <c r="P63" s="758"/>
      <c r="Q63" s="758"/>
      <c r="R63" s="758"/>
      <c r="S63" s="210">
        <v>24.260094422715099</v>
      </c>
      <c r="T63" s="163">
        <v>714.65535549528397</v>
      </c>
      <c r="U63" s="210">
        <v>10.7564745443751</v>
      </c>
      <c r="V63" s="169"/>
    </row>
    <row r="64" spans="14:22" ht="15" hidden="1" customHeight="1">
      <c r="N64" s="758"/>
      <c r="O64" s="758"/>
      <c r="P64" s="758"/>
      <c r="Q64" s="758"/>
      <c r="R64" s="758"/>
      <c r="S64" s="210">
        <v>19.8576237006504</v>
      </c>
      <c r="T64" s="163">
        <v>214.78588896921599</v>
      </c>
      <c r="U64" s="210">
        <v>10.166137912198</v>
      </c>
      <c r="V64" s="169"/>
    </row>
    <row r="65" spans="3:22" ht="15" hidden="1" customHeight="1">
      <c r="N65" s="758"/>
      <c r="O65" s="758"/>
      <c r="P65" s="758"/>
      <c r="Q65" s="758"/>
      <c r="R65" s="758"/>
      <c r="S65" s="210">
        <v>37.369384613754796</v>
      </c>
      <c r="T65" s="163">
        <v>304.37030708862301</v>
      </c>
      <c r="U65" s="210">
        <v>10.459344174247301</v>
      </c>
      <c r="V65" s="169"/>
    </row>
    <row r="66" spans="3:22" ht="15" hidden="1" customHeight="1">
      <c r="N66" s="758"/>
      <c r="O66" s="758"/>
      <c r="P66" s="758"/>
      <c r="Q66" s="758"/>
      <c r="R66" s="758"/>
      <c r="S66" s="210">
        <v>28.241891521061699</v>
      </c>
      <c r="T66" s="163">
        <v>399.40660446924198</v>
      </c>
      <c r="U66" s="210">
        <v>10.333947960239501</v>
      </c>
      <c r="V66" s="169"/>
    </row>
    <row r="67" spans="3:22" ht="15" hidden="1" customHeight="1">
      <c r="N67" s="758"/>
      <c r="O67" s="758"/>
      <c r="P67" s="758"/>
      <c r="Q67" s="758"/>
      <c r="R67" s="758"/>
      <c r="S67" s="210">
        <v>12.252374101207501</v>
      </c>
      <c r="T67" s="163">
        <v>127.841987151992</v>
      </c>
      <c r="U67" s="210">
        <v>8.7341255873627297</v>
      </c>
      <c r="V67" s="169"/>
    </row>
    <row r="68" spans="3:22" ht="12.75" hidden="1" customHeight="1">
      <c r="N68" s="758"/>
      <c r="O68" s="758"/>
      <c r="P68" s="758"/>
      <c r="Q68" s="758"/>
      <c r="R68" s="758"/>
    </row>
    <row r="69" spans="3:22" ht="12.75" customHeight="1">
      <c r="N69" s="758"/>
      <c r="O69" s="758"/>
      <c r="P69" s="758"/>
      <c r="Q69" s="758"/>
      <c r="R69" s="758"/>
    </row>
    <row r="70" spans="3:22" ht="12.75" customHeight="1">
      <c r="N70" s="758"/>
      <c r="O70" s="758"/>
      <c r="P70" s="758"/>
      <c r="Q70" s="758"/>
      <c r="R70" s="758"/>
    </row>
    <row r="71" spans="3:22" ht="12.75" customHeight="1">
      <c r="C71" s="498"/>
      <c r="D71" s="498"/>
      <c r="E71" s="498"/>
    </row>
    <row r="72" spans="3:22" ht="12.75" customHeight="1">
      <c r="C72" s="498"/>
      <c r="D72" s="498"/>
      <c r="E72" s="498"/>
    </row>
    <row r="73" spans="3:22" ht="12.75" customHeight="1">
      <c r="C73" s="498"/>
      <c r="D73" s="498"/>
      <c r="E73" s="498"/>
    </row>
    <row r="74" spans="3:22" ht="12.75" customHeight="1">
      <c r="C74" s="498"/>
      <c r="D74" s="498"/>
      <c r="E74" s="498"/>
    </row>
    <row r="75" spans="3:22" ht="12.75" customHeight="1">
      <c r="C75" s="498"/>
      <c r="D75" s="498"/>
      <c r="E75" s="498"/>
    </row>
    <row r="76" spans="3:22" ht="12.75" customHeight="1">
      <c r="C76" s="498"/>
      <c r="D76" s="498"/>
      <c r="E76" s="498"/>
    </row>
    <row r="77" spans="3:22" ht="12.75" customHeight="1">
      <c r="C77" s="498"/>
      <c r="D77" s="498"/>
      <c r="E77" s="498"/>
    </row>
    <row r="78" spans="3:22" ht="12.75" customHeight="1">
      <c r="C78" s="498"/>
      <c r="D78" s="498"/>
      <c r="E78" s="498"/>
    </row>
    <row r="79" spans="3:22" ht="12.75" customHeight="1">
      <c r="C79" s="498"/>
      <c r="D79" s="498"/>
      <c r="E79" s="498"/>
    </row>
    <row r="80" spans="3:22" ht="12.75" customHeight="1">
      <c r="C80" s="498"/>
      <c r="D80" s="498"/>
      <c r="E80" s="498"/>
    </row>
    <row r="81" spans="3:5" ht="12.75" customHeight="1">
      <c r="C81" s="498"/>
      <c r="D81" s="498"/>
      <c r="E81" s="498"/>
    </row>
    <row r="82" spans="3:5" ht="12.75" customHeight="1">
      <c r="C82" s="498"/>
      <c r="D82" s="498"/>
      <c r="E82" s="498"/>
    </row>
    <row r="83" spans="3:5" ht="12.75" customHeight="1">
      <c r="C83" s="498"/>
      <c r="D83" s="498"/>
      <c r="E83" s="498"/>
    </row>
    <row r="84" spans="3:5" ht="12.75" customHeight="1">
      <c r="C84" s="498"/>
      <c r="D84" s="498"/>
      <c r="E84" s="498"/>
    </row>
    <row r="85" spans="3:5" ht="12.75" customHeight="1">
      <c r="C85" s="498"/>
      <c r="D85" s="498"/>
      <c r="E85" s="498"/>
    </row>
    <row r="86" spans="3:5" ht="12.75" customHeight="1">
      <c r="C86" s="498"/>
      <c r="D86" s="498"/>
      <c r="E86" s="498"/>
    </row>
  </sheetData>
  <mergeCells count="6">
    <mergeCell ref="N23:R70"/>
    <mergeCell ref="N3:N18"/>
    <mergeCell ref="A3:A18"/>
    <mergeCell ref="N1:V1"/>
    <mergeCell ref="I1:L1"/>
    <mergeCell ref="A1:H1"/>
  </mergeCell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6"/>
  <dimension ref="A1:J1"/>
  <sheetViews>
    <sheetView workbookViewId="0">
      <selection sqref="A1:J1"/>
    </sheetView>
  </sheetViews>
  <sheetFormatPr defaultRowHeight="14.4"/>
  <sheetData>
    <row r="1" spans="1:10" ht="15.6" customHeight="1">
      <c r="A1" s="637" t="s">
        <v>645</v>
      </c>
      <c r="B1" s="637"/>
      <c r="C1" s="637"/>
      <c r="D1" s="637"/>
      <c r="E1" s="637"/>
      <c r="F1" s="637"/>
      <c r="G1" s="637"/>
      <c r="H1" s="637"/>
      <c r="I1" s="637"/>
      <c r="J1" s="637"/>
    </row>
  </sheetData>
  <mergeCells count="1">
    <mergeCell ref="A1:J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BC34"/>
  <sheetViews>
    <sheetView zoomScaleNormal="70" workbookViewId="0">
      <selection sqref="A1:H1"/>
    </sheetView>
  </sheetViews>
  <sheetFormatPr defaultColWidth="8.88671875" defaultRowHeight="13.2"/>
  <cols>
    <col min="1" max="1" width="21" style="21" customWidth="1"/>
    <col min="2" max="2" width="14.33203125" style="21" customWidth="1"/>
    <col min="3" max="3" width="14.5546875" style="21" customWidth="1"/>
    <col min="4" max="8" width="8.88671875" style="21"/>
    <col min="9" max="9" width="13.88671875" style="21" customWidth="1"/>
    <col min="10" max="10" width="14.44140625" style="21" customWidth="1"/>
    <col min="11" max="16384" width="8.88671875" style="21"/>
  </cols>
  <sheetData>
    <row r="1" spans="1:55" ht="15.6">
      <c r="A1" s="550" t="s">
        <v>646</v>
      </c>
      <c r="B1" s="550"/>
      <c r="C1" s="550"/>
      <c r="D1" s="550"/>
      <c r="E1" s="550"/>
      <c r="F1" s="550"/>
      <c r="G1" s="550"/>
      <c r="H1" s="550"/>
    </row>
    <row r="2" spans="1:55">
      <c r="B2" s="526"/>
      <c r="C2" s="423"/>
      <c r="D2" s="132"/>
      <c r="E2" s="132"/>
    </row>
    <row r="3" spans="1:55">
      <c r="A3" s="96" t="s">
        <v>647</v>
      </c>
      <c r="B3" s="129"/>
      <c r="C3" s="515"/>
      <c r="D3" s="133"/>
      <c r="E3" s="133"/>
    </row>
    <row r="11" spans="1:55" s="48" customFormat="1" hidden="1">
      <c r="A11" s="48" t="s">
        <v>360</v>
      </c>
      <c r="E11" s="49"/>
      <c r="F11" s="50"/>
      <c r="G11" s="51"/>
    </row>
    <row r="12" spans="1:55" hidden="1"/>
    <row r="13" spans="1:55" hidden="1"/>
    <row r="14" spans="1:55" s="135" customFormat="1" ht="13.8" hidden="1" thickBot="1">
      <c r="A14" s="134" t="s">
        <v>648</v>
      </c>
      <c r="K14" s="135" t="s">
        <v>649</v>
      </c>
    </row>
    <row r="15" spans="1:55" ht="13.8" hidden="1" thickBot="1">
      <c r="A15" s="22"/>
      <c r="B15" s="22"/>
      <c r="C15" s="22"/>
      <c r="D15" s="769" t="s">
        <v>650</v>
      </c>
      <c r="E15" s="770"/>
      <c r="F15" s="771"/>
      <c r="I15" s="131"/>
      <c r="J15" s="136"/>
      <c r="K15" s="766" t="s">
        <v>651</v>
      </c>
      <c r="L15" s="767"/>
      <c r="M15" s="767"/>
      <c r="N15" s="767"/>
      <c r="O15" s="767"/>
      <c r="P15" s="767"/>
      <c r="Q15" s="767"/>
      <c r="R15" s="767"/>
      <c r="S15" s="768"/>
      <c r="T15" s="767" t="s">
        <v>652</v>
      </c>
      <c r="U15" s="767"/>
      <c r="V15" s="767"/>
      <c r="W15" s="767"/>
      <c r="X15" s="767"/>
      <c r="Y15" s="767"/>
      <c r="Z15" s="767"/>
      <c r="AA15" s="767"/>
      <c r="AB15" s="768"/>
      <c r="AC15" s="766" t="s">
        <v>653</v>
      </c>
      <c r="AD15" s="767"/>
      <c r="AE15" s="767"/>
      <c r="AF15" s="767"/>
      <c r="AG15" s="767"/>
      <c r="AH15" s="767"/>
      <c r="AI15" s="767"/>
      <c r="AJ15" s="767"/>
      <c r="AK15" s="768"/>
      <c r="AL15" s="766" t="s">
        <v>654</v>
      </c>
      <c r="AM15" s="767"/>
      <c r="AN15" s="767"/>
      <c r="AO15" s="767"/>
      <c r="AP15" s="767"/>
      <c r="AQ15" s="767"/>
      <c r="AR15" s="767"/>
      <c r="AS15" s="767"/>
      <c r="AT15" s="768"/>
      <c r="AU15" s="766" t="s">
        <v>655</v>
      </c>
      <c r="AV15" s="767"/>
      <c r="AW15" s="767"/>
      <c r="AX15" s="767"/>
      <c r="AY15" s="767"/>
      <c r="AZ15" s="767"/>
      <c r="BA15" s="767"/>
      <c r="BB15" s="767"/>
      <c r="BC15" s="768"/>
    </row>
    <row r="16" spans="1:55" ht="39.6" hidden="1">
      <c r="A16" s="79" t="s">
        <v>550</v>
      </c>
      <c r="B16" s="79" t="s">
        <v>551</v>
      </c>
      <c r="C16" s="80" t="s">
        <v>71</v>
      </c>
      <c r="D16" s="137" t="s">
        <v>656</v>
      </c>
      <c r="E16" s="137" t="s">
        <v>118</v>
      </c>
      <c r="F16" s="137" t="s">
        <v>409</v>
      </c>
      <c r="I16" s="138" t="s">
        <v>551</v>
      </c>
      <c r="J16" s="139" t="s">
        <v>71</v>
      </c>
      <c r="K16" s="140" t="s">
        <v>657</v>
      </c>
      <c r="L16" s="141" t="s">
        <v>658</v>
      </c>
      <c r="M16" s="141" t="s">
        <v>659</v>
      </c>
      <c r="N16" s="141" t="s">
        <v>660</v>
      </c>
      <c r="O16" s="141" t="s">
        <v>661</v>
      </c>
      <c r="P16" s="141" t="s">
        <v>662</v>
      </c>
      <c r="Q16" s="141" t="s">
        <v>663</v>
      </c>
      <c r="R16" s="141" t="s">
        <v>664</v>
      </c>
      <c r="S16" s="142" t="s">
        <v>665</v>
      </c>
      <c r="T16" s="143" t="s">
        <v>657</v>
      </c>
      <c r="U16" s="141" t="s">
        <v>658</v>
      </c>
      <c r="V16" s="141" t="s">
        <v>659</v>
      </c>
      <c r="W16" s="141" t="s">
        <v>660</v>
      </c>
      <c r="X16" s="141" t="s">
        <v>661</v>
      </c>
      <c r="Y16" s="141" t="s">
        <v>662</v>
      </c>
      <c r="Z16" s="141" t="s">
        <v>663</v>
      </c>
      <c r="AA16" s="141" t="s">
        <v>664</v>
      </c>
      <c r="AB16" s="141" t="s">
        <v>666</v>
      </c>
      <c r="AC16" s="141" t="s">
        <v>657</v>
      </c>
      <c r="AD16" s="141" t="s">
        <v>658</v>
      </c>
      <c r="AE16" s="141" t="s">
        <v>659</v>
      </c>
      <c r="AF16" s="141" t="s">
        <v>660</v>
      </c>
      <c r="AG16" s="141" t="s">
        <v>661</v>
      </c>
      <c r="AH16" s="141" t="s">
        <v>662</v>
      </c>
      <c r="AI16" s="141" t="s">
        <v>663</v>
      </c>
      <c r="AJ16" s="141" t="s">
        <v>664</v>
      </c>
      <c r="AK16" s="141" t="s">
        <v>667</v>
      </c>
      <c r="AL16" s="141" t="s">
        <v>657</v>
      </c>
      <c r="AM16" s="141" t="s">
        <v>658</v>
      </c>
      <c r="AN16" s="141" t="s">
        <v>659</v>
      </c>
      <c r="AO16" s="141" t="s">
        <v>660</v>
      </c>
      <c r="AP16" s="141" t="s">
        <v>661</v>
      </c>
      <c r="AQ16" s="141" t="s">
        <v>662</v>
      </c>
      <c r="AR16" s="141" t="s">
        <v>663</v>
      </c>
      <c r="AS16" s="141" t="s">
        <v>664</v>
      </c>
      <c r="AT16" s="141" t="s">
        <v>668</v>
      </c>
      <c r="AU16" s="141" t="s">
        <v>657</v>
      </c>
      <c r="AV16" s="141" t="s">
        <v>658</v>
      </c>
      <c r="AW16" s="141" t="s">
        <v>659</v>
      </c>
      <c r="AX16" s="141" t="s">
        <v>660</v>
      </c>
      <c r="AY16" s="141" t="s">
        <v>661</v>
      </c>
      <c r="AZ16" s="141" t="s">
        <v>662</v>
      </c>
      <c r="BA16" s="141" t="s">
        <v>663</v>
      </c>
      <c r="BB16" s="141" t="s">
        <v>664</v>
      </c>
      <c r="BC16" s="141" t="s">
        <v>409</v>
      </c>
    </row>
    <row r="17" spans="1:55" hidden="1">
      <c r="A17" s="81" t="s">
        <v>552</v>
      </c>
      <c r="B17" s="82" t="s">
        <v>332</v>
      </c>
      <c r="C17" s="83" t="s">
        <v>333</v>
      </c>
      <c r="D17" s="85">
        <v>0.91629083545529211</v>
      </c>
      <c r="E17" s="84">
        <v>8.3709164544707934E-2</v>
      </c>
      <c r="F17" s="86">
        <v>1</v>
      </c>
      <c r="I17" s="82" t="s">
        <v>332</v>
      </c>
      <c r="J17" s="83" t="s">
        <v>333</v>
      </c>
      <c r="K17" s="144">
        <v>234.63109419938075</v>
      </c>
      <c r="L17" s="145">
        <v>257.26071009531398</v>
      </c>
      <c r="M17" s="145">
        <v>0</v>
      </c>
      <c r="N17" s="145">
        <v>514.26458157647869</v>
      </c>
      <c r="O17" s="145">
        <v>0</v>
      </c>
      <c r="P17" s="145">
        <v>22.221663997801063</v>
      </c>
      <c r="Q17" s="145">
        <v>197.98307335443729</v>
      </c>
      <c r="R17" s="145">
        <v>0</v>
      </c>
      <c r="S17" s="146">
        <v>1226.3611232234116</v>
      </c>
      <c r="T17" s="144">
        <v>108.94502133589977</v>
      </c>
      <c r="U17" s="145">
        <v>831.31991634954227</v>
      </c>
      <c r="V17" s="145">
        <v>0</v>
      </c>
      <c r="W17" s="145">
        <v>1332.4399257375558</v>
      </c>
      <c r="X17" s="145">
        <v>101.16411121740421</v>
      </c>
      <c r="Y17" s="145">
        <v>78.502372667385458</v>
      </c>
      <c r="Z17" s="145">
        <v>360.40603758226268</v>
      </c>
      <c r="AA17" s="145">
        <v>0</v>
      </c>
      <c r="AB17" s="146">
        <v>2812.7773848900501</v>
      </c>
      <c r="AC17" s="144">
        <v>21.375883128638311</v>
      </c>
      <c r="AD17" s="145">
        <v>0</v>
      </c>
      <c r="AE17" s="145">
        <v>0</v>
      </c>
      <c r="AF17" s="145">
        <v>15.713800739862089</v>
      </c>
      <c r="AG17" s="145">
        <v>0</v>
      </c>
      <c r="AH17" s="145">
        <v>0</v>
      </c>
      <c r="AI17" s="145">
        <v>0</v>
      </c>
      <c r="AJ17" s="145">
        <v>0</v>
      </c>
      <c r="AK17" s="146">
        <v>37.089683868500401</v>
      </c>
      <c r="AL17" s="144">
        <v>56.949890324869315</v>
      </c>
      <c r="AM17" s="145">
        <v>42.147584318104094</v>
      </c>
      <c r="AN17" s="145">
        <v>0</v>
      </c>
      <c r="AO17" s="145">
        <v>212.11012713552492</v>
      </c>
      <c r="AP17" s="145">
        <v>0</v>
      </c>
      <c r="AQ17" s="145">
        <v>25.7419607619861</v>
      </c>
      <c r="AR17" s="145">
        <v>0</v>
      </c>
      <c r="AS17" s="145">
        <v>0</v>
      </c>
      <c r="AT17" s="146">
        <v>336.94956254048441</v>
      </c>
      <c r="AU17" s="144">
        <v>421.90188898878813</v>
      </c>
      <c r="AV17" s="145">
        <v>1130.7282107629603</v>
      </c>
      <c r="AW17" s="145">
        <v>0</v>
      </c>
      <c r="AX17" s="145">
        <v>2074.5284351894215</v>
      </c>
      <c r="AY17" s="145">
        <v>101.16411121740421</v>
      </c>
      <c r="AZ17" s="145">
        <v>126.46599742717262</v>
      </c>
      <c r="BA17" s="145">
        <v>558.38911093670004</v>
      </c>
      <c r="BB17" s="145">
        <v>0</v>
      </c>
      <c r="BC17" s="146">
        <v>4413.1777545224468</v>
      </c>
    </row>
    <row r="18" spans="1:55" hidden="1">
      <c r="A18" s="81" t="s">
        <v>552</v>
      </c>
      <c r="B18" s="82" t="s">
        <v>669</v>
      </c>
      <c r="C18" s="83" t="s">
        <v>333</v>
      </c>
      <c r="D18" s="85">
        <v>0.88474891999606764</v>
      </c>
      <c r="E18" s="84">
        <v>0.11525108000393226</v>
      </c>
      <c r="F18" s="86">
        <v>1</v>
      </c>
      <c r="I18" s="82" t="s">
        <v>669</v>
      </c>
      <c r="J18" s="83" t="s">
        <v>333</v>
      </c>
      <c r="K18" s="144">
        <v>0</v>
      </c>
      <c r="L18" s="145">
        <v>0</v>
      </c>
      <c r="M18" s="145">
        <v>0</v>
      </c>
      <c r="N18" s="145">
        <v>92.114773643401861</v>
      </c>
      <c r="O18" s="145">
        <v>0</v>
      </c>
      <c r="P18" s="145">
        <v>0</v>
      </c>
      <c r="Q18" s="145">
        <v>5.6273316566652944</v>
      </c>
      <c r="R18" s="145">
        <v>0</v>
      </c>
      <c r="S18" s="146">
        <v>97.742105300067152</v>
      </c>
      <c r="T18" s="144">
        <v>0</v>
      </c>
      <c r="U18" s="145">
        <v>290.15374486882479</v>
      </c>
      <c r="V18" s="145">
        <v>0</v>
      </c>
      <c r="W18" s="145">
        <v>73.027736781594768</v>
      </c>
      <c r="X18" s="145">
        <v>95.664638163310002</v>
      </c>
      <c r="Y18" s="145">
        <v>65.739866280452532</v>
      </c>
      <c r="Z18" s="145">
        <v>24.342578927198254</v>
      </c>
      <c r="AA18" s="145">
        <v>0</v>
      </c>
      <c r="AB18" s="146">
        <v>548.92856502138034</v>
      </c>
      <c r="AC18" s="144">
        <v>0</v>
      </c>
      <c r="AD18" s="145">
        <v>0</v>
      </c>
      <c r="AE18" s="145">
        <v>0</v>
      </c>
      <c r="AF18" s="145">
        <v>0</v>
      </c>
      <c r="AG18" s="145">
        <v>0</v>
      </c>
      <c r="AH18" s="145">
        <v>0</v>
      </c>
      <c r="AI18" s="145">
        <v>0</v>
      </c>
      <c r="AJ18" s="145">
        <v>0</v>
      </c>
      <c r="AK18" s="146">
        <v>0</v>
      </c>
      <c r="AL18" s="144">
        <v>0</v>
      </c>
      <c r="AM18" s="145">
        <v>0</v>
      </c>
      <c r="AN18" s="145">
        <v>0</v>
      </c>
      <c r="AO18" s="145">
        <v>27.974784997679031</v>
      </c>
      <c r="AP18" s="145">
        <v>0</v>
      </c>
      <c r="AQ18" s="145">
        <v>24.342578927198254</v>
      </c>
      <c r="AR18" s="145">
        <v>0</v>
      </c>
      <c r="AS18" s="145">
        <v>0</v>
      </c>
      <c r="AT18" s="146">
        <v>52.317363924877284</v>
      </c>
      <c r="AU18" s="144">
        <v>0</v>
      </c>
      <c r="AV18" s="145">
        <v>290.15374486882479</v>
      </c>
      <c r="AW18" s="145">
        <v>0</v>
      </c>
      <c r="AX18" s="145">
        <v>193.11729542267565</v>
      </c>
      <c r="AY18" s="145">
        <v>95.664638163310002</v>
      </c>
      <c r="AZ18" s="145">
        <v>90.082445207650778</v>
      </c>
      <c r="BA18" s="145">
        <v>29.969910583863548</v>
      </c>
      <c r="BB18" s="145">
        <v>0</v>
      </c>
      <c r="BC18" s="146">
        <v>698.98803424632479</v>
      </c>
    </row>
    <row r="19" spans="1:55" hidden="1">
      <c r="A19" s="81" t="s">
        <v>552</v>
      </c>
      <c r="B19" s="82" t="s">
        <v>670</v>
      </c>
      <c r="C19" s="83" t="s">
        <v>333</v>
      </c>
      <c r="D19" s="85">
        <v>0.87664054902524069</v>
      </c>
      <c r="E19" s="84">
        <v>0.12335945097475935</v>
      </c>
      <c r="F19" s="86">
        <v>1</v>
      </c>
      <c r="I19" s="82" t="s">
        <v>670</v>
      </c>
      <c r="J19" s="83" t="s">
        <v>333</v>
      </c>
      <c r="K19" s="144">
        <v>0</v>
      </c>
      <c r="L19" s="145">
        <v>0</v>
      </c>
      <c r="M19" s="145">
        <v>0</v>
      </c>
      <c r="N19" s="145">
        <v>0</v>
      </c>
      <c r="O19" s="145">
        <v>0</v>
      </c>
      <c r="P19" s="145">
        <v>21.013652175205049</v>
      </c>
      <c r="Q19" s="145">
        <v>0</v>
      </c>
      <c r="R19" s="145">
        <v>0</v>
      </c>
      <c r="S19" s="146">
        <v>21.013652175205049</v>
      </c>
      <c r="T19" s="144">
        <v>0</v>
      </c>
      <c r="U19" s="145">
        <v>189.12286957684543</v>
      </c>
      <c r="V19" s="145">
        <v>0</v>
      </c>
      <c r="W19" s="145">
        <v>21.156124021741039</v>
      </c>
      <c r="X19" s="145">
        <v>0</v>
      </c>
      <c r="Y19" s="145">
        <v>0</v>
      </c>
      <c r="Z19" s="145">
        <v>0</v>
      </c>
      <c r="AA19" s="145">
        <v>0</v>
      </c>
      <c r="AB19" s="146">
        <v>210.27899359858648</v>
      </c>
      <c r="AC19" s="144">
        <v>0</v>
      </c>
      <c r="AD19" s="145">
        <v>0</v>
      </c>
      <c r="AE19" s="145">
        <v>0</v>
      </c>
      <c r="AF19" s="145">
        <v>0</v>
      </c>
      <c r="AG19" s="145">
        <v>0</v>
      </c>
      <c r="AH19" s="145">
        <v>0</v>
      </c>
      <c r="AI19" s="145">
        <v>0</v>
      </c>
      <c r="AJ19" s="145">
        <v>0</v>
      </c>
      <c r="AK19" s="146">
        <v>0</v>
      </c>
      <c r="AL19" s="144">
        <v>0</v>
      </c>
      <c r="AM19" s="145">
        <v>0</v>
      </c>
      <c r="AN19" s="145">
        <v>0</v>
      </c>
      <c r="AO19" s="145">
        <v>0</v>
      </c>
      <c r="AP19" s="145">
        <v>0</v>
      </c>
      <c r="AQ19" s="145">
        <v>0</v>
      </c>
      <c r="AR19" s="145">
        <v>0</v>
      </c>
      <c r="AS19" s="145">
        <v>0</v>
      </c>
      <c r="AT19" s="146">
        <v>0</v>
      </c>
      <c r="AU19" s="144">
        <v>0</v>
      </c>
      <c r="AV19" s="145">
        <v>189.12286957684543</v>
      </c>
      <c r="AW19" s="145">
        <v>0</v>
      </c>
      <c r="AX19" s="145">
        <v>21.156124021741039</v>
      </c>
      <c r="AY19" s="145">
        <v>0</v>
      </c>
      <c r="AZ19" s="145">
        <v>21.013652175205049</v>
      </c>
      <c r="BA19" s="145">
        <v>0</v>
      </c>
      <c r="BB19" s="145">
        <v>0</v>
      </c>
      <c r="BC19" s="146">
        <v>231.29264577379152</v>
      </c>
    </row>
    <row r="20" spans="1:55" hidden="1">
      <c r="A20" s="81" t="s">
        <v>552</v>
      </c>
      <c r="B20" s="82" t="s">
        <v>671</v>
      </c>
      <c r="C20" s="83" t="s">
        <v>333</v>
      </c>
      <c r="D20" s="85">
        <v>0.93389783863693032</v>
      </c>
      <c r="E20" s="84">
        <v>6.6102161363069678E-2</v>
      </c>
      <c r="F20" s="86">
        <v>1</v>
      </c>
      <c r="I20" s="82" t="s">
        <v>671</v>
      </c>
      <c r="J20" s="83" t="s">
        <v>333</v>
      </c>
      <c r="K20" s="144">
        <v>0</v>
      </c>
      <c r="L20" s="145">
        <v>78.750981979029874</v>
      </c>
      <c r="M20" s="145">
        <v>0</v>
      </c>
      <c r="N20" s="145">
        <v>0</v>
      </c>
      <c r="O20" s="145">
        <v>0</v>
      </c>
      <c r="P20" s="145">
        <v>0</v>
      </c>
      <c r="Q20" s="145">
        <v>0</v>
      </c>
      <c r="R20" s="145">
        <v>0</v>
      </c>
      <c r="S20" s="146">
        <v>78.750981979029874</v>
      </c>
      <c r="T20" s="144">
        <v>0</v>
      </c>
      <c r="U20" s="145">
        <v>0</v>
      </c>
      <c r="V20" s="145">
        <v>0</v>
      </c>
      <c r="W20" s="145">
        <v>0</v>
      </c>
      <c r="X20" s="145">
        <v>0</v>
      </c>
      <c r="Y20" s="145">
        <v>0</v>
      </c>
      <c r="Z20" s="145">
        <v>0</v>
      </c>
      <c r="AA20" s="145">
        <v>0</v>
      </c>
      <c r="AB20" s="146">
        <v>0</v>
      </c>
      <c r="AC20" s="144">
        <v>0</v>
      </c>
      <c r="AD20" s="145">
        <v>0</v>
      </c>
      <c r="AE20" s="145">
        <v>0</v>
      </c>
      <c r="AF20" s="145">
        <v>0</v>
      </c>
      <c r="AG20" s="145">
        <v>0</v>
      </c>
      <c r="AH20" s="145">
        <v>0</v>
      </c>
      <c r="AI20" s="145">
        <v>0</v>
      </c>
      <c r="AJ20" s="145">
        <v>0</v>
      </c>
      <c r="AK20" s="146">
        <v>0</v>
      </c>
      <c r="AL20" s="144">
        <v>0</v>
      </c>
      <c r="AM20" s="145">
        <v>12.871851042494857</v>
      </c>
      <c r="AN20" s="145">
        <v>0</v>
      </c>
      <c r="AO20" s="145">
        <v>0</v>
      </c>
      <c r="AP20" s="145">
        <v>0</v>
      </c>
      <c r="AQ20" s="145">
        <v>0</v>
      </c>
      <c r="AR20" s="145">
        <v>0</v>
      </c>
      <c r="AS20" s="145">
        <v>0</v>
      </c>
      <c r="AT20" s="146">
        <v>12.871851042494857</v>
      </c>
      <c r="AU20" s="144">
        <v>0</v>
      </c>
      <c r="AV20" s="145">
        <v>91.622833021524727</v>
      </c>
      <c r="AW20" s="145">
        <v>0</v>
      </c>
      <c r="AX20" s="145">
        <v>0</v>
      </c>
      <c r="AY20" s="145">
        <v>0</v>
      </c>
      <c r="AZ20" s="145">
        <v>0</v>
      </c>
      <c r="BA20" s="145">
        <v>0</v>
      </c>
      <c r="BB20" s="145">
        <v>0</v>
      </c>
      <c r="BC20" s="146">
        <v>91.622833021524727</v>
      </c>
    </row>
    <row r="21" spans="1:55" hidden="1">
      <c r="A21" s="81" t="s">
        <v>552</v>
      </c>
      <c r="B21" s="82" t="s">
        <v>672</v>
      </c>
      <c r="C21" s="83" t="s">
        <v>333</v>
      </c>
      <c r="D21" s="85">
        <v>0.82696528750038811</v>
      </c>
      <c r="E21" s="84">
        <v>0.1730347124996118</v>
      </c>
      <c r="F21" s="86">
        <v>1</v>
      </c>
      <c r="I21" s="82" t="s">
        <v>672</v>
      </c>
      <c r="J21" s="83" t="s">
        <v>333</v>
      </c>
      <c r="K21" s="144">
        <v>0</v>
      </c>
      <c r="L21" s="145">
        <v>0</v>
      </c>
      <c r="M21" s="145">
        <v>0</v>
      </c>
      <c r="N21" s="145">
        <v>0</v>
      </c>
      <c r="O21" s="145">
        <v>0</v>
      </c>
      <c r="P21" s="145">
        <v>0</v>
      </c>
      <c r="Q21" s="145">
        <v>0</v>
      </c>
      <c r="R21" s="145">
        <v>0</v>
      </c>
      <c r="S21" s="146">
        <v>0</v>
      </c>
      <c r="T21" s="144">
        <v>0</v>
      </c>
      <c r="U21" s="145">
        <v>0</v>
      </c>
      <c r="V21" s="145">
        <v>0</v>
      </c>
      <c r="W21" s="145">
        <v>44.110009786486408</v>
      </c>
      <c r="X21" s="145">
        <v>0</v>
      </c>
      <c r="Y21" s="145">
        <v>0</v>
      </c>
      <c r="Z21" s="145">
        <v>0</v>
      </c>
      <c r="AA21" s="145">
        <v>0</v>
      </c>
      <c r="AB21" s="146">
        <v>44.110009786486408</v>
      </c>
      <c r="AC21" s="144">
        <v>0</v>
      </c>
      <c r="AD21" s="145">
        <v>0</v>
      </c>
      <c r="AE21" s="145">
        <v>0</v>
      </c>
      <c r="AF21" s="145">
        <v>0</v>
      </c>
      <c r="AG21" s="145">
        <v>0</v>
      </c>
      <c r="AH21" s="145">
        <v>0</v>
      </c>
      <c r="AI21" s="145">
        <v>0</v>
      </c>
      <c r="AJ21" s="145">
        <v>0</v>
      </c>
      <c r="AK21" s="146">
        <v>0</v>
      </c>
      <c r="AL21" s="144">
        <v>0</v>
      </c>
      <c r="AM21" s="145">
        <v>26.98451061311329</v>
      </c>
      <c r="AN21" s="145">
        <v>0</v>
      </c>
      <c r="AO21" s="145">
        <v>0</v>
      </c>
      <c r="AP21" s="145">
        <v>0</v>
      </c>
      <c r="AQ21" s="145">
        <v>0</v>
      </c>
      <c r="AR21" s="145">
        <v>0</v>
      </c>
      <c r="AS21" s="145">
        <v>0</v>
      </c>
      <c r="AT21" s="146">
        <v>26.98451061311329</v>
      </c>
      <c r="AU21" s="144">
        <v>0</v>
      </c>
      <c r="AV21" s="145">
        <v>26.98451061311329</v>
      </c>
      <c r="AW21" s="145">
        <v>0</v>
      </c>
      <c r="AX21" s="145">
        <v>44.110009786486408</v>
      </c>
      <c r="AY21" s="145">
        <v>0</v>
      </c>
      <c r="AZ21" s="145">
        <v>0</v>
      </c>
      <c r="BA21" s="145">
        <v>0</v>
      </c>
      <c r="BB21" s="145">
        <v>0</v>
      </c>
      <c r="BC21" s="146">
        <v>71.094520399599702</v>
      </c>
    </row>
    <row r="22" spans="1:55" hidden="1">
      <c r="A22" s="81" t="s">
        <v>552</v>
      </c>
      <c r="B22" s="82" t="s">
        <v>673</v>
      </c>
      <c r="C22" s="83" t="s">
        <v>333</v>
      </c>
      <c r="D22" s="85">
        <v>0.9639940765832945</v>
      </c>
      <c r="E22" s="84">
        <v>3.6005923416705561E-2</v>
      </c>
      <c r="F22" s="86">
        <v>1</v>
      </c>
      <c r="I22" s="82" t="s">
        <v>673</v>
      </c>
      <c r="J22" s="83" t="s">
        <v>333</v>
      </c>
      <c r="K22" s="144">
        <v>0</v>
      </c>
      <c r="L22" s="145">
        <v>0</v>
      </c>
      <c r="M22" s="145">
        <v>0</v>
      </c>
      <c r="N22" s="145">
        <v>0</v>
      </c>
      <c r="O22" s="145">
        <v>0</v>
      </c>
      <c r="P22" s="145">
        <v>0</v>
      </c>
      <c r="Q22" s="145">
        <v>0</v>
      </c>
      <c r="R22" s="145">
        <v>0</v>
      </c>
      <c r="S22" s="146">
        <v>0</v>
      </c>
      <c r="T22" s="144">
        <v>0</v>
      </c>
      <c r="U22" s="145">
        <v>0</v>
      </c>
      <c r="V22" s="145">
        <v>0</v>
      </c>
      <c r="W22" s="145">
        <v>19.634672986614149</v>
      </c>
      <c r="X22" s="145">
        <v>0</v>
      </c>
      <c r="Y22" s="145">
        <v>0</v>
      </c>
      <c r="Z22" s="145">
        <v>0</v>
      </c>
      <c r="AA22" s="145">
        <v>0</v>
      </c>
      <c r="AB22" s="146">
        <v>19.634672986614149</v>
      </c>
      <c r="AC22" s="144">
        <v>0</v>
      </c>
      <c r="AD22" s="145">
        <v>0</v>
      </c>
      <c r="AE22" s="145">
        <v>0</v>
      </c>
      <c r="AF22" s="145">
        <v>0</v>
      </c>
      <c r="AG22" s="145">
        <v>0</v>
      </c>
      <c r="AH22" s="145">
        <v>0</v>
      </c>
      <c r="AI22" s="145">
        <v>0</v>
      </c>
      <c r="AJ22" s="145">
        <v>0</v>
      </c>
      <c r="AK22" s="146">
        <v>0</v>
      </c>
      <c r="AL22" s="144">
        <v>0</v>
      </c>
      <c r="AM22" s="145">
        <v>0</v>
      </c>
      <c r="AN22" s="145">
        <v>0</v>
      </c>
      <c r="AO22" s="145">
        <v>0</v>
      </c>
      <c r="AP22" s="145">
        <v>0</v>
      </c>
      <c r="AQ22" s="145">
        <v>0</v>
      </c>
      <c r="AR22" s="145">
        <v>0</v>
      </c>
      <c r="AS22" s="145">
        <v>0</v>
      </c>
      <c r="AT22" s="146">
        <v>0</v>
      </c>
      <c r="AU22" s="144">
        <v>0</v>
      </c>
      <c r="AV22" s="145">
        <v>0</v>
      </c>
      <c r="AW22" s="145">
        <v>0</v>
      </c>
      <c r="AX22" s="145">
        <v>19.634672986614149</v>
      </c>
      <c r="AY22" s="145">
        <v>0</v>
      </c>
      <c r="AZ22" s="145">
        <v>0</v>
      </c>
      <c r="BA22" s="145">
        <v>0</v>
      </c>
      <c r="BB22" s="145">
        <v>0</v>
      </c>
      <c r="BC22" s="146">
        <v>19.634672986614149</v>
      </c>
    </row>
    <row r="23" spans="1:55" hidden="1">
      <c r="A23" s="81" t="s">
        <v>552</v>
      </c>
      <c r="B23" s="82" t="s">
        <v>674</v>
      </c>
      <c r="C23" s="83" t="s">
        <v>333</v>
      </c>
      <c r="D23" s="85">
        <v>0.93408299941780015</v>
      </c>
      <c r="E23" s="84">
        <v>6.5917000582199917E-2</v>
      </c>
      <c r="F23" s="86">
        <v>1</v>
      </c>
      <c r="I23" s="82" t="s">
        <v>674</v>
      </c>
      <c r="J23" s="83" t="s">
        <v>333</v>
      </c>
      <c r="K23" s="144">
        <v>0</v>
      </c>
      <c r="L23" s="145">
        <v>0</v>
      </c>
      <c r="M23" s="145">
        <v>0</v>
      </c>
      <c r="N23" s="145">
        <v>0</v>
      </c>
      <c r="O23" s="145">
        <v>0</v>
      </c>
      <c r="P23" s="145">
        <v>0</v>
      </c>
      <c r="Q23" s="145">
        <v>0</v>
      </c>
      <c r="R23" s="145">
        <v>0</v>
      </c>
      <c r="S23" s="146">
        <v>0</v>
      </c>
      <c r="T23" s="144">
        <v>0</v>
      </c>
      <c r="U23" s="145">
        <v>0</v>
      </c>
      <c r="V23" s="145">
        <v>0</v>
      </c>
      <c r="W23" s="145">
        <v>0</v>
      </c>
      <c r="X23" s="145">
        <v>0</v>
      </c>
      <c r="Y23" s="145">
        <v>0</v>
      </c>
      <c r="Z23" s="145">
        <v>0</v>
      </c>
      <c r="AA23" s="145">
        <v>0</v>
      </c>
      <c r="AB23" s="146">
        <v>0</v>
      </c>
      <c r="AC23" s="144">
        <v>0</v>
      </c>
      <c r="AD23" s="145">
        <v>0</v>
      </c>
      <c r="AE23" s="145">
        <v>0</v>
      </c>
      <c r="AF23" s="145">
        <v>0</v>
      </c>
      <c r="AG23" s="145">
        <v>0</v>
      </c>
      <c r="AH23" s="145">
        <v>0</v>
      </c>
      <c r="AI23" s="145">
        <v>0</v>
      </c>
      <c r="AJ23" s="145">
        <v>0</v>
      </c>
      <c r="AK23" s="146">
        <v>0</v>
      </c>
      <c r="AL23" s="144">
        <v>0</v>
      </c>
      <c r="AM23" s="145">
        <v>0</v>
      </c>
      <c r="AN23" s="145">
        <v>0</v>
      </c>
      <c r="AO23" s="145">
        <v>50.284769574735037</v>
      </c>
      <c r="AP23" s="145">
        <v>0</v>
      </c>
      <c r="AQ23" s="145">
        <v>0</v>
      </c>
      <c r="AR23" s="145">
        <v>0</v>
      </c>
      <c r="AS23" s="145">
        <v>0</v>
      </c>
      <c r="AT23" s="146">
        <v>50.284769574735037</v>
      </c>
      <c r="AU23" s="144">
        <v>0</v>
      </c>
      <c r="AV23" s="145">
        <v>0</v>
      </c>
      <c r="AW23" s="145">
        <v>0</v>
      </c>
      <c r="AX23" s="145">
        <v>50.284769574735037</v>
      </c>
      <c r="AY23" s="145">
        <v>0</v>
      </c>
      <c r="AZ23" s="145">
        <v>0</v>
      </c>
      <c r="BA23" s="145">
        <v>0</v>
      </c>
      <c r="BB23" s="145">
        <v>0</v>
      </c>
      <c r="BC23" s="146">
        <v>50.284769574735037</v>
      </c>
    </row>
    <row r="24" spans="1:55" hidden="1">
      <c r="A24" s="81" t="s">
        <v>552</v>
      </c>
      <c r="B24" s="82" t="s">
        <v>675</v>
      </c>
      <c r="C24" s="83" t="s">
        <v>333</v>
      </c>
      <c r="D24" s="85">
        <v>0.91769059534017872</v>
      </c>
      <c r="E24" s="84">
        <v>8.23094046598212E-2</v>
      </c>
      <c r="F24" s="86">
        <v>1</v>
      </c>
      <c r="I24" s="82" t="s">
        <v>675</v>
      </c>
      <c r="J24" s="83" t="s">
        <v>333</v>
      </c>
      <c r="K24" s="144">
        <v>0</v>
      </c>
      <c r="L24" s="145">
        <v>0</v>
      </c>
      <c r="M24" s="145">
        <v>0</v>
      </c>
      <c r="N24" s="145">
        <v>199.11719821988763</v>
      </c>
      <c r="O24" s="145">
        <v>0</v>
      </c>
      <c r="P24" s="145">
        <v>0</v>
      </c>
      <c r="Q24" s="145">
        <v>0</v>
      </c>
      <c r="R24" s="145">
        <v>0</v>
      </c>
      <c r="S24" s="146">
        <v>199.11719821988763</v>
      </c>
      <c r="T24" s="144">
        <v>0</v>
      </c>
      <c r="U24" s="145">
        <v>229.22224785316547</v>
      </c>
      <c r="V24" s="145">
        <v>0</v>
      </c>
      <c r="W24" s="145">
        <v>397.49954616357195</v>
      </c>
      <c r="X24" s="145">
        <v>0</v>
      </c>
      <c r="Y24" s="145">
        <v>0</v>
      </c>
      <c r="Z24" s="145">
        <v>0</v>
      </c>
      <c r="AA24" s="145">
        <v>0</v>
      </c>
      <c r="AB24" s="146">
        <v>626.72179401673748</v>
      </c>
      <c r="AC24" s="144">
        <v>0</v>
      </c>
      <c r="AD24" s="145">
        <v>0</v>
      </c>
      <c r="AE24" s="145">
        <v>0</v>
      </c>
      <c r="AF24" s="145">
        <v>0</v>
      </c>
      <c r="AG24" s="145">
        <v>0</v>
      </c>
      <c r="AH24" s="145">
        <v>0</v>
      </c>
      <c r="AI24" s="145">
        <v>0</v>
      </c>
      <c r="AJ24" s="145">
        <v>0</v>
      </c>
      <c r="AK24" s="146">
        <v>0</v>
      </c>
      <c r="AL24" s="144">
        <v>0</v>
      </c>
      <c r="AM24" s="145">
        <v>0</v>
      </c>
      <c r="AN24" s="145">
        <v>0</v>
      </c>
      <c r="AO24" s="145">
        <v>0</v>
      </c>
      <c r="AP24" s="145">
        <v>0</v>
      </c>
      <c r="AQ24" s="145">
        <v>0</v>
      </c>
      <c r="AR24" s="145">
        <v>0</v>
      </c>
      <c r="AS24" s="145">
        <v>0</v>
      </c>
      <c r="AT24" s="146">
        <v>0</v>
      </c>
      <c r="AU24" s="144">
        <v>0</v>
      </c>
      <c r="AV24" s="145">
        <v>229.22224785316547</v>
      </c>
      <c r="AW24" s="145">
        <v>0</v>
      </c>
      <c r="AX24" s="145">
        <v>596.6167443834596</v>
      </c>
      <c r="AY24" s="145">
        <v>0</v>
      </c>
      <c r="AZ24" s="145">
        <v>0</v>
      </c>
      <c r="BA24" s="145">
        <v>0</v>
      </c>
      <c r="BB24" s="145">
        <v>0</v>
      </c>
      <c r="BC24" s="146">
        <v>825.83899223662513</v>
      </c>
    </row>
    <row r="25" spans="1:55" hidden="1">
      <c r="A25" s="81" t="s">
        <v>552</v>
      </c>
      <c r="B25" s="82" t="s">
        <v>676</v>
      </c>
      <c r="C25" s="83" t="s">
        <v>333</v>
      </c>
      <c r="D25" s="85">
        <v>0.86719579734784979</v>
      </c>
      <c r="E25" s="84">
        <v>0.13280420265215021</v>
      </c>
      <c r="F25" s="86">
        <v>1</v>
      </c>
      <c r="I25" s="82" t="s">
        <v>676</v>
      </c>
      <c r="J25" s="83" t="s">
        <v>333</v>
      </c>
      <c r="K25" s="144">
        <v>0</v>
      </c>
      <c r="L25" s="145">
        <v>0</v>
      </c>
      <c r="M25" s="145">
        <v>0</v>
      </c>
      <c r="N25" s="145">
        <v>0</v>
      </c>
      <c r="O25" s="145">
        <v>0</v>
      </c>
      <c r="P25" s="145">
        <v>0</v>
      </c>
      <c r="Q25" s="145">
        <v>0</v>
      </c>
      <c r="R25" s="145">
        <v>0</v>
      </c>
      <c r="S25" s="146">
        <v>0</v>
      </c>
      <c r="T25" s="144">
        <v>0</v>
      </c>
      <c r="U25" s="145">
        <v>77.628925891035308</v>
      </c>
      <c r="V25" s="145">
        <v>0</v>
      </c>
      <c r="W25" s="145">
        <v>0</v>
      </c>
      <c r="X25" s="145">
        <v>0</v>
      </c>
      <c r="Y25" s="145">
        <v>0</v>
      </c>
      <c r="Z25" s="145">
        <v>0</v>
      </c>
      <c r="AA25" s="145">
        <v>0</v>
      </c>
      <c r="AB25" s="146">
        <v>77.628925891035308</v>
      </c>
      <c r="AC25" s="144">
        <v>0</v>
      </c>
      <c r="AD25" s="145">
        <v>0</v>
      </c>
      <c r="AE25" s="145">
        <v>0</v>
      </c>
      <c r="AF25" s="145">
        <v>14.859568713243839</v>
      </c>
      <c r="AG25" s="145">
        <v>0</v>
      </c>
      <c r="AH25" s="145">
        <v>0</v>
      </c>
      <c r="AI25" s="145">
        <v>0</v>
      </c>
      <c r="AJ25" s="145">
        <v>0</v>
      </c>
      <c r="AK25" s="146">
        <v>14.859568713243839</v>
      </c>
      <c r="AL25" s="144">
        <v>0</v>
      </c>
      <c r="AM25" s="145">
        <v>0</v>
      </c>
      <c r="AN25" s="145">
        <v>0</v>
      </c>
      <c r="AO25" s="145">
        <v>0</v>
      </c>
      <c r="AP25" s="145">
        <v>0</v>
      </c>
      <c r="AQ25" s="145">
        <v>0</v>
      </c>
      <c r="AR25" s="145">
        <v>0</v>
      </c>
      <c r="AS25" s="145">
        <v>0</v>
      </c>
      <c r="AT25" s="146">
        <v>0</v>
      </c>
      <c r="AU25" s="144">
        <v>0</v>
      </c>
      <c r="AV25" s="145">
        <v>77.628925891035308</v>
      </c>
      <c r="AW25" s="145">
        <v>0</v>
      </c>
      <c r="AX25" s="145">
        <v>14.859568713243839</v>
      </c>
      <c r="AY25" s="145">
        <v>0</v>
      </c>
      <c r="AZ25" s="145">
        <v>0</v>
      </c>
      <c r="BA25" s="145">
        <v>0</v>
      </c>
      <c r="BB25" s="145">
        <v>0</v>
      </c>
      <c r="BC25" s="146">
        <v>92.48849460427914</v>
      </c>
    </row>
    <row r="26" spans="1:55" hidden="1">
      <c r="A26" s="81" t="s">
        <v>552</v>
      </c>
      <c r="B26" s="82" t="s">
        <v>677</v>
      </c>
      <c r="C26" s="83" t="s">
        <v>333</v>
      </c>
      <c r="D26" s="85">
        <v>0.90936489436209378</v>
      </c>
      <c r="E26" s="84">
        <v>9.063510563790618E-2</v>
      </c>
      <c r="F26" s="86">
        <v>1</v>
      </c>
      <c r="I26" s="82" t="s">
        <v>677</v>
      </c>
      <c r="J26" s="83" t="s">
        <v>333</v>
      </c>
      <c r="K26" s="144">
        <v>0</v>
      </c>
      <c r="L26" s="145">
        <v>0</v>
      </c>
      <c r="M26" s="145">
        <v>0</v>
      </c>
      <c r="N26" s="145">
        <v>0</v>
      </c>
      <c r="O26" s="145">
        <v>0</v>
      </c>
      <c r="P26" s="145">
        <v>0</v>
      </c>
      <c r="Q26" s="145">
        <v>0</v>
      </c>
      <c r="R26" s="145">
        <v>0</v>
      </c>
      <c r="S26" s="146">
        <v>0</v>
      </c>
      <c r="T26" s="144">
        <v>0</v>
      </c>
      <c r="U26" s="145">
        <v>0</v>
      </c>
      <c r="V26" s="145">
        <v>0</v>
      </c>
      <c r="W26" s="145">
        <v>0</v>
      </c>
      <c r="X26" s="145">
        <v>0</v>
      </c>
      <c r="Y26" s="145">
        <v>0</v>
      </c>
      <c r="Z26" s="145">
        <v>0</v>
      </c>
      <c r="AA26" s="145">
        <v>0</v>
      </c>
      <c r="AB26" s="146">
        <v>0</v>
      </c>
      <c r="AC26" s="144">
        <v>0</v>
      </c>
      <c r="AD26" s="145">
        <v>0</v>
      </c>
      <c r="AE26" s="145">
        <v>0</v>
      </c>
      <c r="AF26" s="145">
        <v>0</v>
      </c>
      <c r="AG26" s="145">
        <v>0</v>
      </c>
      <c r="AH26" s="145">
        <v>0</v>
      </c>
      <c r="AI26" s="145">
        <v>0</v>
      </c>
      <c r="AJ26" s="145">
        <v>0</v>
      </c>
      <c r="AK26" s="146">
        <v>0</v>
      </c>
      <c r="AL26" s="144">
        <v>0</v>
      </c>
      <c r="AM26" s="145">
        <v>0</v>
      </c>
      <c r="AN26" s="145">
        <v>0</v>
      </c>
      <c r="AO26" s="145">
        <v>0</v>
      </c>
      <c r="AP26" s="145">
        <v>0</v>
      </c>
      <c r="AQ26" s="145">
        <v>0</v>
      </c>
      <c r="AR26" s="145">
        <v>0</v>
      </c>
      <c r="AS26" s="145">
        <v>0</v>
      </c>
      <c r="AT26" s="146">
        <v>0</v>
      </c>
      <c r="AU26" s="144">
        <v>0</v>
      </c>
      <c r="AV26" s="145">
        <v>0</v>
      </c>
      <c r="AW26" s="145">
        <v>0</v>
      </c>
      <c r="AX26" s="145">
        <v>0</v>
      </c>
      <c r="AY26" s="145">
        <v>0</v>
      </c>
      <c r="AZ26" s="145">
        <v>0</v>
      </c>
      <c r="BA26" s="145">
        <v>0</v>
      </c>
      <c r="BB26" s="145">
        <v>0</v>
      </c>
      <c r="BC26" s="146">
        <v>0</v>
      </c>
    </row>
    <row r="27" spans="1:55" hidden="1">
      <c r="A27" s="81" t="s">
        <v>552</v>
      </c>
      <c r="B27" s="82" t="s">
        <v>678</v>
      </c>
      <c r="C27" s="83" t="s">
        <v>333</v>
      </c>
      <c r="D27" s="85">
        <v>0.95601441298306766</v>
      </c>
      <c r="E27" s="84">
        <v>4.3985587016932386E-2</v>
      </c>
      <c r="F27" s="86">
        <v>1</v>
      </c>
      <c r="I27" s="82" t="s">
        <v>678</v>
      </c>
      <c r="J27" s="83" t="s">
        <v>333</v>
      </c>
      <c r="K27" s="144">
        <v>0</v>
      </c>
      <c r="L27" s="145">
        <v>0</v>
      </c>
      <c r="M27" s="145">
        <v>0</v>
      </c>
      <c r="N27" s="145">
        <v>27.526762610065123</v>
      </c>
      <c r="O27" s="145">
        <v>0</v>
      </c>
      <c r="P27" s="145">
        <v>0</v>
      </c>
      <c r="Q27" s="145">
        <v>0</v>
      </c>
      <c r="R27" s="145">
        <v>0</v>
      </c>
      <c r="S27" s="146">
        <v>27.526762610065123</v>
      </c>
      <c r="T27" s="144">
        <v>0</v>
      </c>
      <c r="U27" s="145">
        <v>0</v>
      </c>
      <c r="V27" s="145">
        <v>0</v>
      </c>
      <c r="W27" s="145">
        <v>0</v>
      </c>
      <c r="X27" s="145">
        <v>0</v>
      </c>
      <c r="Y27" s="145">
        <v>0</v>
      </c>
      <c r="Z27" s="145">
        <v>0</v>
      </c>
      <c r="AA27" s="145">
        <v>0</v>
      </c>
      <c r="AB27" s="146">
        <v>0</v>
      </c>
      <c r="AC27" s="144">
        <v>0</v>
      </c>
      <c r="AD27" s="145">
        <v>0</v>
      </c>
      <c r="AE27" s="145">
        <v>0</v>
      </c>
      <c r="AF27" s="145">
        <v>0</v>
      </c>
      <c r="AG27" s="145">
        <v>0</v>
      </c>
      <c r="AH27" s="145">
        <v>0</v>
      </c>
      <c r="AI27" s="145">
        <v>0</v>
      </c>
      <c r="AJ27" s="145">
        <v>0</v>
      </c>
      <c r="AK27" s="146">
        <v>0</v>
      </c>
      <c r="AL27" s="144">
        <v>0</v>
      </c>
      <c r="AM27" s="145">
        <v>0</v>
      </c>
      <c r="AN27" s="145">
        <v>0</v>
      </c>
      <c r="AO27" s="145">
        <v>50.160792280915594</v>
      </c>
      <c r="AP27" s="145">
        <v>0</v>
      </c>
      <c r="AQ27" s="145">
        <v>0</v>
      </c>
      <c r="AR27" s="145">
        <v>0</v>
      </c>
      <c r="AS27" s="145">
        <v>0</v>
      </c>
      <c r="AT27" s="146">
        <v>50.160792280915594</v>
      </c>
      <c r="AU27" s="144">
        <v>0</v>
      </c>
      <c r="AV27" s="145">
        <v>0</v>
      </c>
      <c r="AW27" s="145">
        <v>0</v>
      </c>
      <c r="AX27" s="145">
        <v>77.687554890980721</v>
      </c>
      <c r="AY27" s="145">
        <v>0</v>
      </c>
      <c r="AZ27" s="145">
        <v>0</v>
      </c>
      <c r="BA27" s="145">
        <v>0</v>
      </c>
      <c r="BB27" s="145">
        <v>0</v>
      </c>
      <c r="BC27" s="146">
        <v>77.687554890980721</v>
      </c>
    </row>
    <row r="28" spans="1:55" hidden="1">
      <c r="A28" s="81" t="s">
        <v>552</v>
      </c>
      <c r="B28" s="82" t="s">
        <v>679</v>
      </c>
      <c r="C28" s="83" t="s">
        <v>333</v>
      </c>
      <c r="D28" s="85">
        <v>0.87588518856182296</v>
      </c>
      <c r="E28" s="84">
        <v>0.124114811438177</v>
      </c>
      <c r="F28" s="86">
        <v>1</v>
      </c>
      <c r="I28" s="82" t="s">
        <v>679</v>
      </c>
      <c r="J28" s="83" t="s">
        <v>333</v>
      </c>
      <c r="K28" s="144">
        <v>0</v>
      </c>
      <c r="L28" s="145">
        <v>0</v>
      </c>
      <c r="M28" s="145">
        <v>0</v>
      </c>
      <c r="N28" s="145">
        <v>0</v>
      </c>
      <c r="O28" s="145">
        <v>0</v>
      </c>
      <c r="P28" s="145">
        <v>0</v>
      </c>
      <c r="Q28" s="145">
        <v>0</v>
      </c>
      <c r="R28" s="145">
        <v>0</v>
      </c>
      <c r="S28" s="146">
        <v>0</v>
      </c>
      <c r="T28" s="144">
        <v>0</v>
      </c>
      <c r="U28" s="145">
        <v>0</v>
      </c>
      <c r="V28" s="145">
        <v>0</v>
      </c>
      <c r="W28" s="145">
        <v>89.176218358381661</v>
      </c>
      <c r="X28" s="145">
        <v>0</v>
      </c>
      <c r="Y28" s="145">
        <v>0</v>
      </c>
      <c r="Z28" s="145">
        <v>0</v>
      </c>
      <c r="AA28" s="145">
        <v>0</v>
      </c>
      <c r="AB28" s="146">
        <v>89.176218358381661</v>
      </c>
      <c r="AC28" s="144">
        <v>0</v>
      </c>
      <c r="AD28" s="145">
        <v>0</v>
      </c>
      <c r="AE28" s="145">
        <v>0</v>
      </c>
      <c r="AF28" s="145">
        <v>0</v>
      </c>
      <c r="AG28" s="145">
        <v>0</v>
      </c>
      <c r="AH28" s="145">
        <v>0</v>
      </c>
      <c r="AI28" s="145">
        <v>0</v>
      </c>
      <c r="AJ28" s="145">
        <v>0</v>
      </c>
      <c r="AK28" s="146">
        <v>0</v>
      </c>
      <c r="AL28" s="144">
        <v>0</v>
      </c>
      <c r="AM28" s="145">
        <v>0</v>
      </c>
      <c r="AN28" s="145">
        <v>0</v>
      </c>
      <c r="AO28" s="145">
        <v>0</v>
      </c>
      <c r="AP28" s="145">
        <v>0</v>
      </c>
      <c r="AQ28" s="145">
        <v>0</v>
      </c>
      <c r="AR28" s="145">
        <v>0</v>
      </c>
      <c r="AS28" s="145">
        <v>0</v>
      </c>
      <c r="AT28" s="146">
        <v>0</v>
      </c>
      <c r="AU28" s="144">
        <v>0</v>
      </c>
      <c r="AV28" s="145">
        <v>0</v>
      </c>
      <c r="AW28" s="145">
        <v>0</v>
      </c>
      <c r="AX28" s="145">
        <v>89.176218358381661</v>
      </c>
      <c r="AY28" s="145">
        <v>0</v>
      </c>
      <c r="AZ28" s="145">
        <v>0</v>
      </c>
      <c r="BA28" s="145">
        <v>0</v>
      </c>
      <c r="BB28" s="145">
        <v>0</v>
      </c>
      <c r="BC28" s="146">
        <v>89.176218358381661</v>
      </c>
    </row>
    <row r="29" spans="1:55" hidden="1">
      <c r="A29" s="81" t="s">
        <v>552</v>
      </c>
      <c r="B29" s="82" t="s">
        <v>680</v>
      </c>
      <c r="C29" s="83" t="s">
        <v>333</v>
      </c>
      <c r="D29" s="85">
        <v>0.84944115724381652</v>
      </c>
      <c r="E29" s="84">
        <v>0.15055884275618342</v>
      </c>
      <c r="F29" s="86">
        <v>1</v>
      </c>
      <c r="I29" s="82" t="s">
        <v>680</v>
      </c>
      <c r="J29" s="83" t="s">
        <v>333</v>
      </c>
      <c r="K29" s="144">
        <v>148.2735501254345</v>
      </c>
      <c r="L29" s="145">
        <v>164.52454773936284</v>
      </c>
      <c r="M29" s="145">
        <v>0</v>
      </c>
      <c r="N29" s="145">
        <v>144.74774163312946</v>
      </c>
      <c r="O29" s="145">
        <v>0</v>
      </c>
      <c r="P29" s="145">
        <v>0</v>
      </c>
      <c r="Q29" s="145">
        <v>181.59300613891733</v>
      </c>
      <c r="R29" s="145">
        <v>0</v>
      </c>
      <c r="S29" s="146">
        <v>639.13884563684417</v>
      </c>
      <c r="T29" s="144">
        <v>6.1824646651855133</v>
      </c>
      <c r="U29" s="145">
        <v>0</v>
      </c>
      <c r="V29" s="145">
        <v>0</v>
      </c>
      <c r="W29" s="145">
        <v>246.20211949089779</v>
      </c>
      <c r="X29" s="145">
        <v>0</v>
      </c>
      <c r="Y29" s="145">
        <v>8.4949684431757166</v>
      </c>
      <c r="Z29" s="145">
        <v>316.47110254809434</v>
      </c>
      <c r="AA29" s="145">
        <v>0</v>
      </c>
      <c r="AB29" s="146">
        <v>577.35065514735334</v>
      </c>
      <c r="AC29" s="144">
        <v>0</v>
      </c>
      <c r="AD29" s="145">
        <v>0</v>
      </c>
      <c r="AE29" s="145">
        <v>0</v>
      </c>
      <c r="AF29" s="145">
        <v>0</v>
      </c>
      <c r="AG29" s="145">
        <v>0</v>
      </c>
      <c r="AH29" s="145">
        <v>0</v>
      </c>
      <c r="AI29" s="145">
        <v>0</v>
      </c>
      <c r="AJ29" s="145">
        <v>0</v>
      </c>
      <c r="AK29" s="146">
        <v>0</v>
      </c>
      <c r="AL29" s="144">
        <v>0</v>
      </c>
      <c r="AM29" s="145">
        <v>0</v>
      </c>
      <c r="AN29" s="145">
        <v>0</v>
      </c>
      <c r="AO29" s="145">
        <v>49.357364321808859</v>
      </c>
      <c r="AP29" s="145">
        <v>0</v>
      </c>
      <c r="AQ29" s="145">
        <v>0</v>
      </c>
      <c r="AR29" s="145">
        <v>0</v>
      </c>
      <c r="AS29" s="145">
        <v>0</v>
      </c>
      <c r="AT29" s="146">
        <v>49.357364321808859</v>
      </c>
      <c r="AU29" s="144">
        <v>154.45601479062</v>
      </c>
      <c r="AV29" s="145">
        <v>164.52454773936284</v>
      </c>
      <c r="AW29" s="145">
        <v>0</v>
      </c>
      <c r="AX29" s="145">
        <v>440.30722544583614</v>
      </c>
      <c r="AY29" s="145">
        <v>0</v>
      </c>
      <c r="AZ29" s="145">
        <v>8.4949684431757166</v>
      </c>
      <c r="BA29" s="145">
        <v>498.06410868701164</v>
      </c>
      <c r="BB29" s="145">
        <v>0</v>
      </c>
      <c r="BC29" s="146">
        <v>1265.8468651060061</v>
      </c>
    </row>
    <row r="30" spans="1:55" hidden="1">
      <c r="A30" s="81" t="s">
        <v>552</v>
      </c>
      <c r="B30" s="82" t="s">
        <v>681</v>
      </c>
      <c r="C30" s="83" t="s">
        <v>333</v>
      </c>
      <c r="D30" s="85">
        <v>0.94563669068213607</v>
      </c>
      <c r="E30" s="84">
        <v>5.436330931786388E-2</v>
      </c>
      <c r="F30" s="86">
        <v>1</v>
      </c>
      <c r="I30" s="82" t="s">
        <v>681</v>
      </c>
      <c r="J30" s="83" t="s">
        <v>333</v>
      </c>
      <c r="K30" s="144">
        <v>73.602552558930171</v>
      </c>
      <c r="L30" s="145">
        <v>0</v>
      </c>
      <c r="M30" s="145">
        <v>0</v>
      </c>
      <c r="N30" s="145">
        <v>0</v>
      </c>
      <c r="O30" s="145">
        <v>0</v>
      </c>
      <c r="P30" s="145">
        <v>0</v>
      </c>
      <c r="Q30" s="145">
        <v>0</v>
      </c>
      <c r="R30" s="145">
        <v>0</v>
      </c>
      <c r="S30" s="146">
        <v>73.602552558930171</v>
      </c>
      <c r="T30" s="144">
        <v>0</v>
      </c>
      <c r="U30" s="145">
        <v>0</v>
      </c>
      <c r="V30" s="145">
        <v>0</v>
      </c>
      <c r="W30" s="145">
        <v>369.19953535640911</v>
      </c>
      <c r="X30" s="145">
        <v>0</v>
      </c>
      <c r="Y30" s="145">
        <v>0</v>
      </c>
      <c r="Z30" s="145">
        <v>0</v>
      </c>
      <c r="AA30" s="145">
        <v>0</v>
      </c>
      <c r="AB30" s="146">
        <v>369.19953535640911</v>
      </c>
      <c r="AC30" s="144">
        <v>0</v>
      </c>
      <c r="AD30" s="145">
        <v>0</v>
      </c>
      <c r="AE30" s="145">
        <v>0</v>
      </c>
      <c r="AF30" s="145">
        <v>0</v>
      </c>
      <c r="AG30" s="145">
        <v>0</v>
      </c>
      <c r="AH30" s="145">
        <v>0</v>
      </c>
      <c r="AI30" s="145">
        <v>0</v>
      </c>
      <c r="AJ30" s="145">
        <v>0</v>
      </c>
      <c r="AK30" s="146">
        <v>0</v>
      </c>
      <c r="AL30" s="144">
        <v>53.853986219092349</v>
      </c>
      <c r="AM30" s="145">
        <v>0</v>
      </c>
      <c r="AN30" s="145">
        <v>0</v>
      </c>
      <c r="AO30" s="145">
        <v>0</v>
      </c>
      <c r="AP30" s="145">
        <v>0</v>
      </c>
      <c r="AQ30" s="145">
        <v>0</v>
      </c>
      <c r="AR30" s="145">
        <v>0</v>
      </c>
      <c r="AS30" s="145">
        <v>0</v>
      </c>
      <c r="AT30" s="146">
        <v>53.853986219092349</v>
      </c>
      <c r="AU30" s="144">
        <v>127.45653877802252</v>
      </c>
      <c r="AV30" s="145">
        <v>0</v>
      </c>
      <c r="AW30" s="145">
        <v>0</v>
      </c>
      <c r="AX30" s="145">
        <v>369.19953535640911</v>
      </c>
      <c r="AY30" s="145">
        <v>0</v>
      </c>
      <c r="AZ30" s="145">
        <v>0</v>
      </c>
      <c r="BA30" s="145">
        <v>0</v>
      </c>
      <c r="BB30" s="145">
        <v>0</v>
      </c>
      <c r="BC30" s="146">
        <v>496.65607413443161</v>
      </c>
    </row>
    <row r="31" spans="1:55" hidden="1">
      <c r="A31" s="81" t="s">
        <v>552</v>
      </c>
      <c r="B31" s="82" t="s">
        <v>682</v>
      </c>
      <c r="C31" s="83" t="s">
        <v>333</v>
      </c>
      <c r="D31" s="85">
        <v>0.96480768386842664</v>
      </c>
      <c r="E31" s="84">
        <v>3.5192316131573469E-2</v>
      </c>
      <c r="F31" s="86">
        <v>1</v>
      </c>
      <c r="I31" s="82" t="s">
        <v>682</v>
      </c>
      <c r="J31" s="83" t="s">
        <v>333</v>
      </c>
      <c r="K31" s="144">
        <v>0</v>
      </c>
      <c r="L31" s="145">
        <v>0</v>
      </c>
      <c r="M31" s="145">
        <v>0</v>
      </c>
      <c r="N31" s="145">
        <v>22.8017069505925</v>
      </c>
      <c r="O31" s="145">
        <v>0</v>
      </c>
      <c r="P31" s="145">
        <v>0</v>
      </c>
      <c r="Q31" s="145">
        <v>0</v>
      </c>
      <c r="R31" s="145">
        <v>0</v>
      </c>
      <c r="S31" s="146">
        <v>22.8017069505925</v>
      </c>
      <c r="T31" s="144">
        <v>36.198549900463831</v>
      </c>
      <c r="U31" s="145">
        <v>0</v>
      </c>
      <c r="V31" s="145">
        <v>0</v>
      </c>
      <c r="W31" s="145">
        <v>0</v>
      </c>
      <c r="X31" s="145">
        <v>0</v>
      </c>
      <c r="Y31" s="145">
        <v>0</v>
      </c>
      <c r="Z31" s="145">
        <v>0</v>
      </c>
      <c r="AA31" s="145">
        <v>0</v>
      </c>
      <c r="AB31" s="146">
        <v>36.198549900463831</v>
      </c>
      <c r="AC31" s="144">
        <v>0</v>
      </c>
      <c r="AD31" s="145">
        <v>0</v>
      </c>
      <c r="AE31" s="145">
        <v>0</v>
      </c>
      <c r="AF31" s="145">
        <v>0</v>
      </c>
      <c r="AG31" s="145">
        <v>0</v>
      </c>
      <c r="AH31" s="145">
        <v>0</v>
      </c>
      <c r="AI31" s="145">
        <v>0</v>
      </c>
      <c r="AJ31" s="145">
        <v>0</v>
      </c>
      <c r="AK31" s="146">
        <v>0</v>
      </c>
      <c r="AL31" s="144">
        <v>0</v>
      </c>
      <c r="AM31" s="145">
        <v>0</v>
      </c>
      <c r="AN31" s="145">
        <v>0</v>
      </c>
      <c r="AO31" s="145">
        <v>22.8017069505925</v>
      </c>
      <c r="AP31" s="145">
        <v>0</v>
      </c>
      <c r="AQ31" s="145">
        <v>0</v>
      </c>
      <c r="AR31" s="145">
        <v>0</v>
      </c>
      <c r="AS31" s="145">
        <v>0</v>
      </c>
      <c r="AT31" s="146">
        <v>22.8017069505925</v>
      </c>
      <c r="AU31" s="144">
        <v>36.198549900463831</v>
      </c>
      <c r="AV31" s="145">
        <v>0</v>
      </c>
      <c r="AW31" s="145">
        <v>0</v>
      </c>
      <c r="AX31" s="145">
        <v>45.603413901185</v>
      </c>
      <c r="AY31" s="145">
        <v>0</v>
      </c>
      <c r="AZ31" s="145">
        <v>0</v>
      </c>
      <c r="BA31" s="145">
        <v>0</v>
      </c>
      <c r="BB31" s="145">
        <v>0</v>
      </c>
      <c r="BC31" s="146">
        <v>81.801963801648839</v>
      </c>
    </row>
    <row r="32" spans="1:55" hidden="1">
      <c r="A32" s="81" t="s">
        <v>552</v>
      </c>
      <c r="B32" s="82" t="s">
        <v>683</v>
      </c>
      <c r="C32" s="83" t="s">
        <v>333</v>
      </c>
      <c r="D32" s="85">
        <v>0.99338694798732041</v>
      </c>
      <c r="E32" s="84">
        <v>6.6130520126795201E-3</v>
      </c>
      <c r="F32" s="86">
        <v>1</v>
      </c>
      <c r="I32" s="82" t="s">
        <v>683</v>
      </c>
      <c r="J32" s="83" t="s">
        <v>333</v>
      </c>
      <c r="K32" s="144">
        <v>0</v>
      </c>
      <c r="L32" s="145">
        <v>0</v>
      </c>
      <c r="M32" s="145">
        <v>0</v>
      </c>
      <c r="N32" s="145">
        <v>0</v>
      </c>
      <c r="O32" s="145">
        <v>0</v>
      </c>
      <c r="P32" s="145">
        <v>0</v>
      </c>
      <c r="Q32" s="145">
        <v>0</v>
      </c>
      <c r="R32" s="145">
        <v>0</v>
      </c>
      <c r="S32" s="146">
        <v>0</v>
      </c>
      <c r="T32" s="144">
        <v>60.64154867711369</v>
      </c>
      <c r="U32" s="145">
        <v>0</v>
      </c>
      <c r="V32" s="145">
        <v>0</v>
      </c>
      <c r="W32" s="145">
        <v>0</v>
      </c>
      <c r="X32" s="145">
        <v>0</v>
      </c>
      <c r="Y32" s="145">
        <v>0</v>
      </c>
      <c r="Z32" s="145">
        <v>0</v>
      </c>
      <c r="AA32" s="145">
        <v>0</v>
      </c>
      <c r="AB32" s="146">
        <v>60.64154867711369</v>
      </c>
      <c r="AC32" s="144">
        <v>20.213849559037897</v>
      </c>
      <c r="AD32" s="145">
        <v>0</v>
      </c>
      <c r="AE32" s="145">
        <v>0</v>
      </c>
      <c r="AF32" s="145">
        <v>0</v>
      </c>
      <c r="AG32" s="145">
        <v>0</v>
      </c>
      <c r="AH32" s="145">
        <v>0</v>
      </c>
      <c r="AI32" s="145">
        <v>0</v>
      </c>
      <c r="AJ32" s="145">
        <v>0</v>
      </c>
      <c r="AK32" s="146">
        <v>20.213849559037897</v>
      </c>
      <c r="AL32" s="144">
        <v>0</v>
      </c>
      <c r="AM32" s="145">
        <v>0</v>
      </c>
      <c r="AN32" s="145">
        <v>0</v>
      </c>
      <c r="AO32" s="145">
        <v>0</v>
      </c>
      <c r="AP32" s="145">
        <v>0</v>
      </c>
      <c r="AQ32" s="145">
        <v>0</v>
      </c>
      <c r="AR32" s="145">
        <v>0</v>
      </c>
      <c r="AS32" s="145">
        <v>0</v>
      </c>
      <c r="AT32" s="146">
        <v>0</v>
      </c>
      <c r="AU32" s="144">
        <v>80.855398236151586</v>
      </c>
      <c r="AV32" s="145">
        <v>0</v>
      </c>
      <c r="AW32" s="145">
        <v>0</v>
      </c>
      <c r="AX32" s="145">
        <v>0</v>
      </c>
      <c r="AY32" s="145">
        <v>0</v>
      </c>
      <c r="AZ32" s="145">
        <v>0</v>
      </c>
      <c r="BA32" s="145">
        <v>0</v>
      </c>
      <c r="BB32" s="145">
        <v>0</v>
      </c>
      <c r="BC32" s="146">
        <v>80.855398236151586</v>
      </c>
    </row>
    <row r="33" spans="1:55" hidden="1">
      <c r="A33" s="81" t="s">
        <v>552</v>
      </c>
      <c r="B33" s="82" t="s">
        <v>684</v>
      </c>
      <c r="C33" s="83" t="s">
        <v>333</v>
      </c>
      <c r="D33" s="85">
        <v>0.98526125005623133</v>
      </c>
      <c r="E33" s="84">
        <v>1.4738749943768739E-2</v>
      </c>
      <c r="F33" s="86">
        <v>1</v>
      </c>
      <c r="I33" s="82" t="s">
        <v>684</v>
      </c>
      <c r="J33" s="83" t="s">
        <v>333</v>
      </c>
      <c r="K33" s="144">
        <v>0</v>
      </c>
      <c r="L33" s="145">
        <v>0</v>
      </c>
      <c r="M33" s="145">
        <v>0</v>
      </c>
      <c r="N33" s="145">
        <v>0</v>
      </c>
      <c r="O33" s="145">
        <v>0</v>
      </c>
      <c r="P33" s="145">
        <v>0</v>
      </c>
      <c r="Q33" s="145">
        <v>0</v>
      </c>
      <c r="R33" s="145">
        <v>0</v>
      </c>
      <c r="S33" s="146">
        <v>0</v>
      </c>
      <c r="T33" s="144">
        <v>0</v>
      </c>
      <c r="U33" s="145">
        <v>0</v>
      </c>
      <c r="V33" s="145">
        <v>0</v>
      </c>
      <c r="W33" s="145">
        <v>0</v>
      </c>
      <c r="X33" s="145">
        <v>0</v>
      </c>
      <c r="Y33" s="145">
        <v>0</v>
      </c>
      <c r="Z33" s="145">
        <v>0</v>
      </c>
      <c r="AA33" s="145">
        <v>0</v>
      </c>
      <c r="AB33" s="146">
        <v>0</v>
      </c>
      <c r="AC33" s="144">
        <v>0</v>
      </c>
      <c r="AD33" s="145">
        <v>0</v>
      </c>
      <c r="AE33" s="145">
        <v>0</v>
      </c>
      <c r="AF33" s="145">
        <v>0</v>
      </c>
      <c r="AG33" s="145">
        <v>0</v>
      </c>
      <c r="AH33" s="145">
        <v>0</v>
      </c>
      <c r="AI33" s="145">
        <v>0</v>
      </c>
      <c r="AJ33" s="145">
        <v>0</v>
      </c>
      <c r="AK33" s="146">
        <v>0</v>
      </c>
      <c r="AL33" s="144">
        <v>0</v>
      </c>
      <c r="AM33" s="145">
        <v>0</v>
      </c>
      <c r="AN33" s="145">
        <v>0</v>
      </c>
      <c r="AO33" s="145">
        <v>0</v>
      </c>
      <c r="AP33" s="145">
        <v>0</v>
      </c>
      <c r="AQ33" s="145">
        <v>0</v>
      </c>
      <c r="AR33" s="145">
        <v>0</v>
      </c>
      <c r="AS33" s="145">
        <v>0</v>
      </c>
      <c r="AT33" s="146">
        <v>0</v>
      </c>
      <c r="AU33" s="144">
        <v>0</v>
      </c>
      <c r="AV33" s="145">
        <v>0</v>
      </c>
      <c r="AW33" s="145">
        <v>0</v>
      </c>
      <c r="AX33" s="145">
        <v>0</v>
      </c>
      <c r="AY33" s="145">
        <v>0</v>
      </c>
      <c r="AZ33" s="145">
        <v>0</v>
      </c>
      <c r="BA33" s="145">
        <v>0</v>
      </c>
      <c r="BB33" s="145">
        <v>0</v>
      </c>
      <c r="BC33" s="146">
        <v>0</v>
      </c>
    </row>
    <row r="34" spans="1:55" hidden="1"/>
  </sheetData>
  <mergeCells count="7">
    <mergeCell ref="A1:H1"/>
    <mergeCell ref="AU15:BC15"/>
    <mergeCell ref="D15:F15"/>
    <mergeCell ref="K15:S15"/>
    <mergeCell ref="T15:AB15"/>
    <mergeCell ref="AC15:AK15"/>
    <mergeCell ref="AL15:AT1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17F0F-C069-47B3-9BE3-91B273E1D38D}">
  <sheetPr codeName="Sheet24"/>
  <dimension ref="A1:G83"/>
  <sheetViews>
    <sheetView workbookViewId="0">
      <selection activeCell="A86" sqref="A86"/>
    </sheetView>
  </sheetViews>
  <sheetFormatPr defaultRowHeight="14.4"/>
  <cols>
    <col min="1" max="1" width="58.6640625" customWidth="1"/>
    <col min="2" max="2" width="30.88671875" customWidth="1"/>
    <col min="3" max="3" width="30.33203125" customWidth="1"/>
  </cols>
  <sheetData>
    <row r="1" spans="1:7">
      <c r="A1" t="s">
        <v>685</v>
      </c>
      <c r="B1" t="s">
        <v>686</v>
      </c>
      <c r="C1" t="s">
        <v>686</v>
      </c>
      <c r="D1" s="772" t="s">
        <v>687</v>
      </c>
      <c r="E1" s="772"/>
      <c r="F1" s="772"/>
      <c r="G1" s="772"/>
    </row>
    <row r="2" spans="1:7">
      <c r="A2" s="514" t="s">
        <v>688</v>
      </c>
      <c r="D2">
        <v>2013</v>
      </c>
      <c r="E2">
        <v>2016</v>
      </c>
      <c r="F2">
        <v>2019</v>
      </c>
      <c r="G2">
        <v>2025</v>
      </c>
    </row>
    <row r="3" spans="1:7">
      <c r="A3" s="514" t="s">
        <v>689</v>
      </c>
    </row>
    <row r="4" spans="1:7">
      <c r="A4" t="s">
        <v>690</v>
      </c>
    </row>
    <row r="5" spans="1:7">
      <c r="A5" t="s">
        <v>691</v>
      </c>
    </row>
    <row r="6" spans="1:7">
      <c r="A6" t="s">
        <v>692</v>
      </c>
    </row>
    <row r="7" spans="1:7">
      <c r="A7" t="s">
        <v>693</v>
      </c>
    </row>
    <row r="8" spans="1:7">
      <c r="A8" t="s">
        <v>694</v>
      </c>
    </row>
    <row r="9" spans="1:7">
      <c r="A9" t="s">
        <v>695</v>
      </c>
    </row>
    <row r="10" spans="1:7">
      <c r="A10" t="s">
        <v>696</v>
      </c>
    </row>
    <row r="11" spans="1:7">
      <c r="A11" t="s">
        <v>697</v>
      </c>
    </row>
    <row r="12" spans="1:7">
      <c r="A12" t="s">
        <v>698</v>
      </c>
    </row>
    <row r="13" spans="1:7">
      <c r="A13" t="s">
        <v>699</v>
      </c>
    </row>
    <row r="14" spans="1:7">
      <c r="A14" t="s">
        <v>700</v>
      </c>
    </row>
    <row r="15" spans="1:7">
      <c r="A15" t="s">
        <v>701</v>
      </c>
    </row>
    <row r="16" spans="1:7">
      <c r="A16" t="s">
        <v>702</v>
      </c>
    </row>
    <row r="17" spans="1:1">
      <c r="A17" t="s">
        <v>124</v>
      </c>
    </row>
    <row r="18" spans="1:1">
      <c r="A18" t="s">
        <v>703</v>
      </c>
    </row>
    <row r="19" spans="1:1">
      <c r="A19" t="s">
        <v>145</v>
      </c>
    </row>
    <row r="20" spans="1:1">
      <c r="A20" t="s">
        <v>704</v>
      </c>
    </row>
    <row r="21" spans="1:1">
      <c r="A21" t="s">
        <v>705</v>
      </c>
    </row>
    <row r="22" spans="1:1">
      <c r="A22" t="s">
        <v>706</v>
      </c>
    </row>
    <row r="23" spans="1:1">
      <c r="A23" t="s">
        <v>133</v>
      </c>
    </row>
    <row r="24" spans="1:1">
      <c r="A24" t="s">
        <v>707</v>
      </c>
    </row>
    <row r="25" spans="1:1">
      <c r="A25" t="s">
        <v>708</v>
      </c>
    </row>
    <row r="26" spans="1:1">
      <c r="A26" t="s">
        <v>709</v>
      </c>
    </row>
    <row r="27" spans="1:1">
      <c r="A27" t="s">
        <v>710</v>
      </c>
    </row>
    <row r="28" spans="1:1">
      <c r="A28" t="s">
        <v>711</v>
      </c>
    </row>
    <row r="29" spans="1:1">
      <c r="A29" t="s">
        <v>712</v>
      </c>
    </row>
    <row r="30" spans="1:1">
      <c r="A30" t="s">
        <v>713</v>
      </c>
    </row>
    <row r="31" spans="1:1">
      <c r="A31" t="s">
        <v>714</v>
      </c>
    </row>
    <row r="32" spans="1:1">
      <c r="A32" t="s">
        <v>715</v>
      </c>
    </row>
    <row r="33" spans="1:1">
      <c r="A33" t="s">
        <v>716</v>
      </c>
    </row>
    <row r="34" spans="1:1">
      <c r="A34" t="s">
        <v>717</v>
      </c>
    </row>
    <row r="35" spans="1:1">
      <c r="A35" t="s">
        <v>718</v>
      </c>
    </row>
    <row r="36" spans="1:1">
      <c r="A36" t="s">
        <v>719</v>
      </c>
    </row>
    <row r="37" spans="1:1">
      <c r="A37" t="s">
        <v>720</v>
      </c>
    </row>
    <row r="38" spans="1:1">
      <c r="A38" t="s">
        <v>721</v>
      </c>
    </row>
    <row r="39" spans="1:1">
      <c r="A39" t="s">
        <v>722</v>
      </c>
    </row>
    <row r="40" spans="1:1">
      <c r="A40" t="s">
        <v>723</v>
      </c>
    </row>
    <row r="41" spans="1:1">
      <c r="A41" t="s">
        <v>724</v>
      </c>
    </row>
    <row r="42" spans="1:1">
      <c r="A42" t="s">
        <v>127</v>
      </c>
    </row>
    <row r="43" spans="1:1">
      <c r="A43" t="s">
        <v>725</v>
      </c>
    </row>
    <row r="44" spans="1:1">
      <c r="A44" t="s">
        <v>140</v>
      </c>
    </row>
    <row r="45" spans="1:1">
      <c r="A45" t="s">
        <v>726</v>
      </c>
    </row>
    <row r="46" spans="1:1">
      <c r="A46" t="s">
        <v>727</v>
      </c>
    </row>
    <row r="47" spans="1:1">
      <c r="A47" t="s">
        <v>728</v>
      </c>
    </row>
    <row r="48" spans="1:1">
      <c r="A48" t="s">
        <v>729</v>
      </c>
    </row>
    <row r="49" spans="1:1">
      <c r="A49" t="s">
        <v>730</v>
      </c>
    </row>
    <row r="50" spans="1:1">
      <c r="A50" t="s">
        <v>116</v>
      </c>
    </row>
    <row r="51" spans="1:1">
      <c r="A51" t="s">
        <v>731</v>
      </c>
    </row>
    <row r="52" spans="1:1">
      <c r="A52" t="s">
        <v>732</v>
      </c>
    </row>
    <row r="53" spans="1:1">
      <c r="A53" t="s">
        <v>733</v>
      </c>
    </row>
    <row r="54" spans="1:1">
      <c r="A54" t="s">
        <v>734</v>
      </c>
    </row>
    <row r="55" spans="1:1">
      <c r="A55" t="s">
        <v>735</v>
      </c>
    </row>
    <row r="56" spans="1:1">
      <c r="A56" t="s">
        <v>736</v>
      </c>
    </row>
    <row r="57" spans="1:1">
      <c r="A57" t="s">
        <v>737</v>
      </c>
    </row>
    <row r="58" spans="1:1">
      <c r="A58" t="s">
        <v>738</v>
      </c>
    </row>
    <row r="59" spans="1:1">
      <c r="A59" t="s">
        <v>138</v>
      </c>
    </row>
    <row r="60" spans="1:1">
      <c r="A60" t="s">
        <v>143</v>
      </c>
    </row>
    <row r="61" spans="1:1">
      <c r="A61" t="s">
        <v>739</v>
      </c>
    </row>
    <row r="62" spans="1:1">
      <c r="A62" t="s">
        <v>740</v>
      </c>
    </row>
    <row r="63" spans="1:1">
      <c r="A63" t="s">
        <v>741</v>
      </c>
    </row>
    <row r="64" spans="1:1">
      <c r="A64" t="s">
        <v>130</v>
      </c>
    </row>
    <row r="65" spans="1:1">
      <c r="A65" t="s">
        <v>742</v>
      </c>
    </row>
    <row r="66" spans="1:1">
      <c r="A66" t="s">
        <v>743</v>
      </c>
    </row>
    <row r="67" spans="1:1">
      <c r="A67" t="s">
        <v>744</v>
      </c>
    </row>
    <row r="68" spans="1:1">
      <c r="A68" t="s">
        <v>745</v>
      </c>
    </row>
    <row r="69" spans="1:1">
      <c r="A69" t="s">
        <v>746</v>
      </c>
    </row>
    <row r="70" spans="1:1">
      <c r="A70" t="s">
        <v>747</v>
      </c>
    </row>
    <row r="71" spans="1:1">
      <c r="A71" t="s">
        <v>748</v>
      </c>
    </row>
    <row r="72" spans="1:1">
      <c r="A72" t="s">
        <v>749</v>
      </c>
    </row>
    <row r="73" spans="1:1">
      <c r="A73" t="s">
        <v>750</v>
      </c>
    </row>
    <row r="74" spans="1:1">
      <c r="A74" t="s">
        <v>751</v>
      </c>
    </row>
    <row r="75" spans="1:1">
      <c r="A75" t="s">
        <v>752</v>
      </c>
    </row>
    <row r="76" spans="1:1">
      <c r="A76" t="s">
        <v>753</v>
      </c>
    </row>
    <row r="77" spans="1:1">
      <c r="A77" t="s">
        <v>754</v>
      </c>
    </row>
    <row r="78" spans="1:1">
      <c r="A78" t="s">
        <v>755</v>
      </c>
    </row>
    <row r="79" spans="1:1">
      <c r="A79" t="s">
        <v>522</v>
      </c>
    </row>
    <row r="80" spans="1:1">
      <c r="A80" t="s">
        <v>152</v>
      </c>
    </row>
    <row r="81" spans="1:1">
      <c r="A81" t="s">
        <v>135</v>
      </c>
    </row>
    <row r="82" spans="1:1">
      <c r="A82" t="s">
        <v>756</v>
      </c>
    </row>
    <row r="83" spans="1:1">
      <c r="A83" t="s">
        <v>757</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F2EB33A-C44F-48CA-AEAC-E6F758ED543F}">
  <ds:schemaRefs>
    <ds:schemaRef ds:uri="http://schemas.microsoft.com/sharepoint/v3/contenttype/forms"/>
  </ds:schemaRefs>
</ds:datastoreItem>
</file>

<file path=customXml/itemProps2.xml><?xml version="1.0" encoding="utf-8"?>
<ds:datastoreItem xmlns:ds="http://schemas.openxmlformats.org/officeDocument/2006/customXml" ds:itemID="{2AD06FCB-CAC2-4962-91DB-E13F5677AA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47e91-274c-46a0-ba98-7b939b571e5b"/>
    <ds:schemaRef ds:uri="ea1b199f-450f-4d51-8ad4-88f218385c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50E500-BC42-4E3A-A847-DD7ABD1E93A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Comments</vt: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Weights</vt:lpstr>
      <vt:lpstr>Energy Usage</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cp:lastModifiedBy>
  <cp:revision/>
  <dcterms:created xsi:type="dcterms:W3CDTF">2024-06-21T17:19:36Z</dcterms:created>
  <dcterms:modified xsi:type="dcterms:W3CDTF">2025-12-24T09:38:03Z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ies>
</file>