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0.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src\NOR-Codes-Stds\CalBEM-Prototypes\Specifications\Nonresidential\v2.0\"/>
    </mc:Choice>
  </mc:AlternateContent>
  <xr:revisionPtr revIDLastSave="0" documentId="13_ncr:1_{A617F0FF-7200-47B9-AD88-4707F9849A09}" xr6:coauthVersionLast="47" xr6:coauthVersionMax="47" xr10:uidLastSave="{00000000-0000-0000-0000-000000000000}"/>
  <bookViews>
    <workbookView xWindow="-108" yWindow="-108" windowWidth="23256" windowHeight="13896" tabRatio="890" firstSheet="1" activeTab="1" xr2:uid="{EAC23EE3-0CA0-4FF8-990D-9B21A59FA3E0}"/>
  </bookViews>
  <sheets>
    <sheet name="Notes" sheetId="23" r:id="rId1"/>
    <sheet name="Prototype" sheetId="2" r:id="rId2"/>
    <sheet name="Zones" sheetId="13" r:id="rId3"/>
    <sheet name="Envelope" sheetId="1" r:id="rId4"/>
    <sheet name="HVAC System" sheetId="14" r:id="rId5"/>
    <sheet name="Thermostat" sheetId="30" r:id="rId6"/>
    <sheet name="Ventilation" sheetId="18" r:id="rId7"/>
    <sheet name="Water Heater" sheetId="33" r:id="rId8"/>
    <sheet name="Interior Lights" sheetId="25" r:id="rId9"/>
    <sheet name="Ext Lighting" sheetId="9" r:id="rId10"/>
    <sheet name="Equipment" sheetId="29" r:id="rId11"/>
    <sheet name="Schedules" sheetId="28" r:id="rId12"/>
    <sheet name="Energy Usage" sheetId="20" state="hidden" r:id="rId13"/>
    <sheet name="Weights" sheetId="21" state="hidden" r:id="rId14"/>
    <sheet name="PV" sheetId="27" state="hidden" r:id="rId15"/>
    <sheet name="EV Charger" sheetId="22" state="hidden" r:id="rId16"/>
    <sheet name="Data" sheetId="31" state="hidden" r:id="rId17"/>
  </sheets>
  <definedNames>
    <definedName name="_xlnm._FilterDatabase" localSheetId="16" hidden="1">Data!$J$1:$L$1</definedName>
    <definedName name="_xlnm._FilterDatabase" localSheetId="3" hidden="1">'HVAC System'!#REF!</definedName>
    <definedName name="_xlnm._FilterDatabase" localSheetId="2" hidden="1">Zones!$A$2:$AA$2</definedName>
    <definedName name="nonparticipating_forecastzone_scale_factor" localSheetId="7">#REF!</definedName>
    <definedName name="nonparticipating_forecastzone_scale_factor">'Energy Usage'!#REF!</definedName>
    <definedName name="Space_Function">Data!$A$2:$A$76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9" l="1"/>
  <c r="I22" i="29"/>
  <c r="H22" i="29"/>
  <c r="I21" i="29"/>
  <c r="H21" i="29"/>
  <c r="E42" i="33"/>
  <c r="AA49" i="1" l="1"/>
  <c r="C36" i="33" l="1"/>
  <c r="A36" i="33"/>
  <c r="C35" i="33"/>
  <c r="A35" i="33"/>
  <c r="C34" i="33"/>
  <c r="A34" i="33"/>
  <c r="C33" i="33"/>
  <c r="A33" i="33"/>
  <c r="C32" i="33"/>
  <c r="A32" i="33"/>
  <c r="C31" i="33"/>
  <c r="A31" i="33"/>
  <c r="C30" i="33"/>
  <c r="A30" i="33"/>
  <c r="C29" i="33"/>
  <c r="A29" i="33"/>
  <c r="C28" i="33"/>
  <c r="A28" i="33"/>
  <c r="C27" i="33"/>
  <c r="A27" i="33"/>
  <c r="A26" i="33"/>
  <c r="A25" i="33"/>
  <c r="C24" i="33"/>
  <c r="A24" i="33"/>
  <c r="C23" i="33"/>
  <c r="A23" i="33"/>
  <c r="C22" i="33"/>
  <c r="A22" i="33"/>
  <c r="C21" i="33"/>
  <c r="A21" i="33"/>
  <c r="C20" i="33"/>
  <c r="A20" i="33"/>
  <c r="C19" i="33"/>
  <c r="A19" i="33"/>
  <c r="C18" i="33"/>
  <c r="A18" i="33"/>
  <c r="C17" i="33"/>
  <c r="A17" i="33"/>
  <c r="C16" i="33"/>
  <c r="A16" i="33"/>
  <c r="C15" i="33"/>
  <c r="A15" i="33"/>
  <c r="C14" i="33"/>
  <c r="A14" i="33"/>
  <c r="C13" i="33"/>
  <c r="A13" i="33"/>
  <c r="C12" i="33"/>
  <c r="A12" i="33"/>
  <c r="C11" i="33"/>
  <c r="A11" i="33"/>
  <c r="E10" i="33"/>
  <c r="C10" i="33"/>
  <c r="A10" i="33"/>
  <c r="A1" i="33"/>
  <c r="I68" i="33"/>
  <c r="K21" i="13" l="1"/>
  <c r="D28" i="33" s="1"/>
  <c r="F28" i="33" s="1"/>
  <c r="G28" i="33" s="1"/>
  <c r="K20" i="13"/>
  <c r="D27" i="33" s="1"/>
  <c r="F27" i="33" s="1"/>
  <c r="G27" i="33" s="1"/>
  <c r="K19" i="13"/>
  <c r="K18" i="13"/>
  <c r="K17" i="13"/>
  <c r="D24" i="33" s="1"/>
  <c r="F24" i="33" s="1"/>
  <c r="G24" i="33" s="1"/>
  <c r="K27" i="13"/>
  <c r="D34" i="33" s="1"/>
  <c r="F34" i="33" s="1"/>
  <c r="G34" i="33" s="1"/>
  <c r="K26" i="13"/>
  <c r="D33" i="33" s="1"/>
  <c r="F33" i="33" s="1"/>
  <c r="G33" i="33" s="1"/>
  <c r="K25" i="13"/>
  <c r="D32" i="33" s="1"/>
  <c r="F32" i="33" s="1"/>
  <c r="G32" i="33" s="1"/>
  <c r="K24" i="13"/>
  <c r="D31" i="33" s="1"/>
  <c r="F31" i="33" s="1"/>
  <c r="G31" i="33" s="1"/>
  <c r="K23" i="13"/>
  <c r="D30" i="33" s="1"/>
  <c r="F30" i="33" s="1"/>
  <c r="G30" i="33" s="1"/>
  <c r="K22" i="13"/>
  <c r="D29" i="33" s="1"/>
  <c r="F29" i="33" s="1"/>
  <c r="G29" i="33" s="1"/>
  <c r="J19" i="13"/>
  <c r="C26" i="33" s="1"/>
  <c r="J18" i="13"/>
  <c r="C25" i="33" s="1"/>
  <c r="D25" i="33" l="1"/>
  <c r="F25" i="33" s="1"/>
  <c r="G25" i="33" s="1"/>
  <c r="D26" i="33"/>
  <c r="F26" i="33" s="1"/>
  <c r="G26" i="33" s="1"/>
  <c r="I3" i="18" l="1"/>
  <c r="E36" i="18"/>
  <c r="C5" i="18"/>
  <c r="H5" i="18" s="1"/>
  <c r="C6" i="18"/>
  <c r="I6" i="18" s="1"/>
  <c r="A7" i="18"/>
  <c r="A5" i="18"/>
  <c r="A6" i="18"/>
  <c r="K5" i="13"/>
  <c r="D12" i="33" s="1"/>
  <c r="F12" i="33" s="1"/>
  <c r="G12" i="33" s="1"/>
  <c r="K6" i="13"/>
  <c r="I7" i="13"/>
  <c r="I8" i="13"/>
  <c r="I5" i="13"/>
  <c r="I6" i="13"/>
  <c r="I4" i="13"/>
  <c r="I3" i="13"/>
  <c r="B6" i="18" l="1"/>
  <c r="G6" i="18" s="1"/>
  <c r="D13" i="33"/>
  <c r="F13" i="33" s="1"/>
  <c r="G13" i="33" s="1"/>
  <c r="B5" i="18"/>
  <c r="G5" i="18" s="1"/>
  <c r="J5" i="18" s="1"/>
  <c r="H6" i="18"/>
  <c r="J6" i="18" l="1"/>
  <c r="D16" i="18" l="1"/>
  <c r="D25" i="18" l="1"/>
  <c r="D24" i="18"/>
  <c r="D23" i="18"/>
  <c r="D17" i="18"/>
  <c r="D18" i="18"/>
  <c r="D19" i="18"/>
  <c r="D20" i="18"/>
  <c r="D21" i="18"/>
  <c r="AD219" i="28" l="1"/>
  <c r="C49" i="29" s="1"/>
  <c r="I7" i="21"/>
  <c r="J11" i="9"/>
  <c r="J3" i="20"/>
  <c r="G22" i="29" l="1"/>
  <c r="J22" i="29" s="1"/>
  <c r="G21" i="29"/>
  <c r="J21" i="29" s="1"/>
  <c r="K18" i="20"/>
  <c r="J18" i="20"/>
  <c r="K17" i="20"/>
  <c r="J17" i="20"/>
  <c r="M17" i="20" s="1"/>
  <c r="K16" i="20"/>
  <c r="J16" i="20"/>
  <c r="M16" i="20" s="1"/>
  <c r="K15" i="20"/>
  <c r="J15" i="20"/>
  <c r="M15" i="20" s="1"/>
  <c r="K14" i="20"/>
  <c r="J14" i="20"/>
  <c r="M14" i="20" s="1"/>
  <c r="K13" i="20"/>
  <c r="J13" i="20"/>
  <c r="M13" i="20" s="1"/>
  <c r="K12" i="20"/>
  <c r="J12" i="20"/>
  <c r="K11" i="20"/>
  <c r="J11" i="20"/>
  <c r="M11" i="20" s="1"/>
  <c r="K10" i="20"/>
  <c r="J10" i="20"/>
  <c r="K9" i="20"/>
  <c r="J9" i="20"/>
  <c r="K8" i="20"/>
  <c r="J8" i="20"/>
  <c r="M8" i="20" s="1"/>
  <c r="K7" i="20"/>
  <c r="J7" i="20"/>
  <c r="K6" i="20"/>
  <c r="J6" i="20"/>
  <c r="K5" i="20"/>
  <c r="J5" i="20"/>
  <c r="M5" i="20" s="1"/>
  <c r="K4" i="20"/>
  <c r="J4" i="20"/>
  <c r="M4" i="20" s="1"/>
  <c r="K3" i="20"/>
  <c r="L18" i="20" l="1"/>
  <c r="M18" i="20"/>
  <c r="L9" i="20"/>
  <c r="M9" i="20"/>
  <c r="L12" i="20"/>
  <c r="M12" i="20"/>
  <c r="L6" i="20"/>
  <c r="M6" i="20"/>
  <c r="L7" i="20"/>
  <c r="M7" i="20"/>
  <c r="L10" i="20"/>
  <c r="M10" i="20"/>
  <c r="L3" i="20"/>
  <c r="M3" i="20"/>
  <c r="L16" i="20"/>
  <c r="L13" i="20"/>
  <c r="L17" i="20"/>
  <c r="L15" i="20"/>
  <c r="L11" i="20"/>
  <c r="L14" i="20"/>
  <c r="L8" i="20"/>
  <c r="L4" i="20"/>
  <c r="L5" i="20"/>
  <c r="E35" i="18"/>
  <c r="H22" i="28"/>
  <c r="F212" i="28"/>
  <c r="AC192" i="28"/>
  <c r="AC191" i="28"/>
  <c r="AC190" i="28"/>
  <c r="G190" i="28"/>
  <c r="H190" i="28"/>
  <c r="I190" i="28"/>
  <c r="J190" i="28"/>
  <c r="K190" i="28"/>
  <c r="L190" i="28"/>
  <c r="M190" i="28"/>
  <c r="N190" i="28"/>
  <c r="O190" i="28"/>
  <c r="P190" i="28"/>
  <c r="Q190" i="28"/>
  <c r="R190" i="28"/>
  <c r="S190" i="28"/>
  <c r="T190" i="28"/>
  <c r="U190" i="28"/>
  <c r="V190" i="28"/>
  <c r="W190" i="28"/>
  <c r="X190" i="28"/>
  <c r="Y190" i="28"/>
  <c r="Z190" i="28"/>
  <c r="AA190" i="28"/>
  <c r="AB190" i="28"/>
  <c r="G191" i="28"/>
  <c r="H191" i="28"/>
  <c r="I191" i="28"/>
  <c r="J191" i="28"/>
  <c r="K191" i="28"/>
  <c r="L191" i="28"/>
  <c r="M191" i="28"/>
  <c r="N191" i="28"/>
  <c r="O191" i="28"/>
  <c r="P191" i="28"/>
  <c r="Q191" i="28"/>
  <c r="R191" i="28"/>
  <c r="S191" i="28"/>
  <c r="T191" i="28"/>
  <c r="U191" i="28"/>
  <c r="V191" i="28"/>
  <c r="W191" i="28"/>
  <c r="X191" i="28"/>
  <c r="Y191" i="28"/>
  <c r="Z191" i="28"/>
  <c r="AA191" i="28"/>
  <c r="AB191" i="28"/>
  <c r="G192" i="28"/>
  <c r="H192" i="28"/>
  <c r="I192" i="28"/>
  <c r="J192" i="28"/>
  <c r="K192" i="28"/>
  <c r="L192" i="28"/>
  <c r="M192" i="28"/>
  <c r="N192" i="28"/>
  <c r="O192" i="28"/>
  <c r="P192" i="28"/>
  <c r="Q192" i="28"/>
  <c r="R192" i="28"/>
  <c r="S192" i="28"/>
  <c r="T192" i="28"/>
  <c r="U192" i="28"/>
  <c r="V192" i="28"/>
  <c r="W192" i="28"/>
  <c r="X192" i="28"/>
  <c r="Y192" i="28"/>
  <c r="Z192" i="28"/>
  <c r="AA192" i="28"/>
  <c r="AB192" i="28"/>
  <c r="F192" i="28"/>
  <c r="F191" i="28"/>
  <c r="F190" i="28"/>
  <c r="AC189" i="28"/>
  <c r="AC188" i="28"/>
  <c r="AC187" i="28"/>
  <c r="G187" i="28"/>
  <c r="H187" i="28"/>
  <c r="I187" i="28"/>
  <c r="J187" i="28"/>
  <c r="K187" i="28"/>
  <c r="L187" i="28"/>
  <c r="M187" i="28"/>
  <c r="N187" i="28"/>
  <c r="O187" i="28"/>
  <c r="P187" i="28"/>
  <c r="Q187" i="28"/>
  <c r="R187" i="28"/>
  <c r="S187" i="28"/>
  <c r="T187" i="28"/>
  <c r="U187" i="28"/>
  <c r="V187" i="28"/>
  <c r="W187" i="28"/>
  <c r="X187" i="28"/>
  <c r="Y187" i="28"/>
  <c r="Z187" i="28"/>
  <c r="AA187" i="28"/>
  <c r="AB187" i="28"/>
  <c r="G188" i="28"/>
  <c r="H188" i="28"/>
  <c r="I188" i="28"/>
  <c r="J188" i="28"/>
  <c r="K188" i="28"/>
  <c r="L188" i="28"/>
  <c r="M188" i="28"/>
  <c r="N188" i="28"/>
  <c r="O188" i="28"/>
  <c r="P188" i="28"/>
  <c r="Q188" i="28"/>
  <c r="R188" i="28"/>
  <c r="S188" i="28"/>
  <c r="T188" i="28"/>
  <c r="U188" i="28"/>
  <c r="V188" i="28"/>
  <c r="W188" i="28"/>
  <c r="X188" i="28"/>
  <c r="Y188" i="28"/>
  <c r="Z188" i="28"/>
  <c r="AA188" i="28"/>
  <c r="AB188" i="28"/>
  <c r="G189" i="28"/>
  <c r="H189" i="28"/>
  <c r="I189" i="28"/>
  <c r="J189" i="28"/>
  <c r="K189" i="28"/>
  <c r="L189" i="28"/>
  <c r="M189" i="28"/>
  <c r="N189" i="28"/>
  <c r="O189" i="28"/>
  <c r="P189" i="28"/>
  <c r="Q189" i="28"/>
  <c r="R189" i="28"/>
  <c r="S189" i="28"/>
  <c r="T189" i="28"/>
  <c r="U189" i="28"/>
  <c r="V189" i="28"/>
  <c r="W189" i="28"/>
  <c r="X189" i="28"/>
  <c r="Y189" i="28"/>
  <c r="Z189" i="28"/>
  <c r="AA189" i="28"/>
  <c r="AB189" i="28"/>
  <c r="F189" i="28"/>
  <c r="F188" i="28"/>
  <c r="F187" i="28"/>
  <c r="B4" i="25" l="1"/>
  <c r="B11" i="25"/>
  <c r="E8" i="25"/>
  <c r="A1" i="25"/>
  <c r="E4" i="25"/>
  <c r="E16" i="25"/>
  <c r="C16" i="29" l="1"/>
  <c r="P17" i="14"/>
  <c r="A1" i="13" l="1"/>
  <c r="B7" i="28" l="1"/>
  <c r="A7" i="28"/>
  <c r="AC286" i="28"/>
  <c r="G284" i="28"/>
  <c r="G25" i="28" l="1"/>
  <c r="H25" i="28"/>
  <c r="I25" i="28"/>
  <c r="J25" i="28"/>
  <c r="K25" i="28"/>
  <c r="L25" i="28"/>
  <c r="M25" i="28"/>
  <c r="N25" i="28"/>
  <c r="O25" i="28"/>
  <c r="P25" i="28"/>
  <c r="Q25" i="28"/>
  <c r="R25" i="28"/>
  <c r="S25" i="28"/>
  <c r="T25" i="28"/>
  <c r="U25" i="28"/>
  <c r="V25" i="28"/>
  <c r="W25" i="28"/>
  <c r="X25" i="28"/>
  <c r="Y25" i="28"/>
  <c r="Z25" i="28"/>
  <c r="AA25" i="28"/>
  <c r="AB25" i="28"/>
  <c r="AC25" i="28"/>
  <c r="G26" i="28"/>
  <c r="H26" i="28"/>
  <c r="I26" i="28"/>
  <c r="J26" i="28"/>
  <c r="K26" i="28"/>
  <c r="L26" i="28"/>
  <c r="M26" i="28"/>
  <c r="N26" i="28"/>
  <c r="O26" i="28"/>
  <c r="P26" i="28"/>
  <c r="Q26" i="28"/>
  <c r="R26" i="28"/>
  <c r="S26" i="28"/>
  <c r="T26" i="28"/>
  <c r="U26" i="28"/>
  <c r="V26" i="28"/>
  <c r="W26" i="28"/>
  <c r="X26" i="28"/>
  <c r="Y26" i="28"/>
  <c r="Z26" i="28"/>
  <c r="AA26" i="28"/>
  <c r="AB26" i="28"/>
  <c r="AC26" i="28"/>
  <c r="G27" i="28"/>
  <c r="H27" i="28"/>
  <c r="I27" i="28"/>
  <c r="J27" i="28"/>
  <c r="K27" i="28"/>
  <c r="L27" i="28"/>
  <c r="M27" i="28"/>
  <c r="N27" i="28"/>
  <c r="O27" i="28"/>
  <c r="P27" i="28"/>
  <c r="Q27" i="28"/>
  <c r="R27" i="28"/>
  <c r="S27" i="28"/>
  <c r="T27" i="28"/>
  <c r="U27" i="28"/>
  <c r="V27" i="28"/>
  <c r="W27" i="28"/>
  <c r="X27" i="28"/>
  <c r="Y27" i="28"/>
  <c r="Z27" i="28"/>
  <c r="AA27" i="28"/>
  <c r="AB27" i="28"/>
  <c r="AC27" i="28"/>
  <c r="F26" i="28"/>
  <c r="F27" i="28"/>
  <c r="F25" i="28"/>
  <c r="G22" i="28"/>
  <c r="I22" i="28"/>
  <c r="J22" i="28"/>
  <c r="K22" i="28"/>
  <c r="L22" i="28"/>
  <c r="M22" i="28"/>
  <c r="N22" i="28"/>
  <c r="O22" i="28"/>
  <c r="P22" i="28"/>
  <c r="Q22" i="28"/>
  <c r="R22" i="28"/>
  <c r="S22" i="28"/>
  <c r="T22" i="28"/>
  <c r="U22" i="28"/>
  <c r="V22" i="28"/>
  <c r="W22" i="28"/>
  <c r="X22" i="28"/>
  <c r="Y22" i="28"/>
  <c r="Z22" i="28"/>
  <c r="AA22" i="28"/>
  <c r="AB22" i="28"/>
  <c r="AC22" i="28"/>
  <c r="G23" i="28"/>
  <c r="H23" i="28"/>
  <c r="I23" i="28"/>
  <c r="J23" i="28"/>
  <c r="K23" i="28"/>
  <c r="L23" i="28"/>
  <c r="M23" i="28"/>
  <c r="N23" i="28"/>
  <c r="O23" i="28"/>
  <c r="P23" i="28"/>
  <c r="Q23" i="28"/>
  <c r="R23" i="28"/>
  <c r="S23" i="28"/>
  <c r="T23" i="28"/>
  <c r="U23" i="28"/>
  <c r="V23" i="28"/>
  <c r="W23" i="28"/>
  <c r="X23" i="28"/>
  <c r="Y23" i="28"/>
  <c r="Z23" i="28"/>
  <c r="AA23" i="28"/>
  <c r="AB23" i="28"/>
  <c r="AC23" i="28"/>
  <c r="G24" i="28"/>
  <c r="H24" i="28"/>
  <c r="I24" i="28"/>
  <c r="J24" i="28"/>
  <c r="K24" i="28"/>
  <c r="L24" i="28"/>
  <c r="M24" i="28"/>
  <c r="N24" i="28"/>
  <c r="O24" i="28"/>
  <c r="P24" i="28"/>
  <c r="Q24" i="28"/>
  <c r="R24" i="28"/>
  <c r="S24" i="28"/>
  <c r="T24" i="28"/>
  <c r="U24" i="28"/>
  <c r="V24" i="28"/>
  <c r="W24" i="28"/>
  <c r="X24" i="28"/>
  <c r="Y24" i="28"/>
  <c r="Z24" i="28"/>
  <c r="AA24" i="28"/>
  <c r="AB24" i="28"/>
  <c r="AC24" i="28"/>
  <c r="F23" i="28"/>
  <c r="F24" i="28"/>
  <c r="F22" i="28"/>
  <c r="G19" i="28"/>
  <c r="H19" i="28"/>
  <c r="I19" i="28"/>
  <c r="J19" i="28"/>
  <c r="K19" i="28"/>
  <c r="L19" i="28"/>
  <c r="M19" i="28"/>
  <c r="N19" i="28"/>
  <c r="O19" i="28"/>
  <c r="P19" i="28"/>
  <c r="Q19" i="28"/>
  <c r="R19" i="28"/>
  <c r="S19" i="28"/>
  <c r="T19" i="28"/>
  <c r="U19" i="28"/>
  <c r="V19" i="28"/>
  <c r="W19" i="28"/>
  <c r="X19" i="28"/>
  <c r="Y19" i="28"/>
  <c r="Z19" i="28"/>
  <c r="AA19" i="28"/>
  <c r="AB19" i="28"/>
  <c r="AC19" i="28"/>
  <c r="G20" i="28"/>
  <c r="H20" i="28"/>
  <c r="I20" i="28"/>
  <c r="J20" i="28"/>
  <c r="K20" i="28"/>
  <c r="L20" i="28"/>
  <c r="M20" i="28"/>
  <c r="N20" i="28"/>
  <c r="O20" i="28"/>
  <c r="P20" i="28"/>
  <c r="Q20" i="28"/>
  <c r="R20" i="28"/>
  <c r="S20" i="28"/>
  <c r="T20" i="28"/>
  <c r="U20" i="28"/>
  <c r="V20" i="28"/>
  <c r="W20" i="28"/>
  <c r="X20" i="28"/>
  <c r="Y20" i="28"/>
  <c r="Z20" i="28"/>
  <c r="AA20" i="28"/>
  <c r="AB20" i="28"/>
  <c r="AC20" i="28"/>
  <c r="G21" i="28"/>
  <c r="H21" i="28"/>
  <c r="I21" i="28"/>
  <c r="J21" i="28"/>
  <c r="K21" i="28"/>
  <c r="L21" i="28"/>
  <c r="M21" i="28"/>
  <c r="N21" i="28"/>
  <c r="O21" i="28"/>
  <c r="P21" i="28"/>
  <c r="Q21" i="28"/>
  <c r="R21" i="28"/>
  <c r="S21" i="28"/>
  <c r="T21" i="28"/>
  <c r="U21" i="28"/>
  <c r="V21" i="28"/>
  <c r="W21" i="28"/>
  <c r="X21" i="28"/>
  <c r="Y21" i="28"/>
  <c r="Z21" i="28"/>
  <c r="AA21" i="28"/>
  <c r="AB21" i="28"/>
  <c r="AC21" i="28"/>
  <c r="F20" i="28"/>
  <c r="F21" i="28"/>
  <c r="F19" i="28"/>
  <c r="B25" i="28"/>
  <c r="AC18" i="28"/>
  <c r="AB18" i="28"/>
  <c r="AA18" i="28"/>
  <c r="Z18" i="28"/>
  <c r="Y18" i="28"/>
  <c r="X18" i="28"/>
  <c r="W18" i="28"/>
  <c r="V18" i="28"/>
  <c r="U18" i="28"/>
  <c r="T18" i="28"/>
  <c r="S18" i="28"/>
  <c r="R18" i="28"/>
  <c r="Q18" i="28"/>
  <c r="P18" i="28"/>
  <c r="O18" i="28"/>
  <c r="N18" i="28"/>
  <c r="M18" i="28"/>
  <c r="L18" i="28"/>
  <c r="K18" i="28"/>
  <c r="J18" i="28"/>
  <c r="I18" i="28"/>
  <c r="H18" i="28"/>
  <c r="G18" i="28"/>
  <c r="F18" i="28"/>
  <c r="B16" i="28"/>
  <c r="A16" i="28"/>
  <c r="B13" i="28"/>
  <c r="A13" i="28"/>
  <c r="A25" i="28" s="1"/>
  <c r="B10" i="28"/>
  <c r="B22" i="28" s="1"/>
  <c r="A10" i="28"/>
  <c r="A22" i="28" s="1"/>
  <c r="B19" i="28"/>
  <c r="A19" i="28"/>
  <c r="A4" i="18" l="1"/>
  <c r="C4" i="18"/>
  <c r="H4" i="18" s="1"/>
  <c r="C7" i="18"/>
  <c r="A8" i="18"/>
  <c r="C8" i="18"/>
  <c r="H8" i="18" s="1"/>
  <c r="K3" i="13"/>
  <c r="D10" i="33" s="1"/>
  <c r="F10" i="33" s="1"/>
  <c r="K4" i="13"/>
  <c r="D11" i="33" s="1"/>
  <c r="F11" i="33" s="1"/>
  <c r="G11" i="33" s="1"/>
  <c r="K7" i="13"/>
  <c r="D14" i="33" s="1"/>
  <c r="F14" i="33" s="1"/>
  <c r="G14" i="33" s="1"/>
  <c r="K8" i="13"/>
  <c r="D15" i="33" s="1"/>
  <c r="F15" i="33" s="1"/>
  <c r="G15" i="33" s="1"/>
  <c r="B300" i="28"/>
  <c r="B297" i="28"/>
  <c r="B294" i="28"/>
  <c r="B291" i="28"/>
  <c r="G10" i="33" l="1"/>
  <c r="B4" i="18"/>
  <c r="G4" i="18" s="1"/>
  <c r="J4" i="18" s="1"/>
  <c r="B7" i="18"/>
  <c r="G7" i="18" s="1"/>
  <c r="B8" i="18"/>
  <c r="G8" i="18" s="1"/>
  <c r="J8" i="18" s="1"/>
  <c r="H7" i="18"/>
  <c r="I7" i="18"/>
  <c r="P19" i="14"/>
  <c r="P18" i="14"/>
  <c r="J7" i="18" l="1"/>
  <c r="H284" i="28"/>
  <c r="I284" i="28"/>
  <c r="J284" i="28"/>
  <c r="K284" i="28"/>
  <c r="L284" i="28"/>
  <c r="M284" i="28"/>
  <c r="N284" i="28"/>
  <c r="O284" i="28"/>
  <c r="P284" i="28"/>
  <c r="Q284" i="28"/>
  <c r="R284" i="28"/>
  <c r="S284" i="28"/>
  <c r="T284" i="28"/>
  <c r="U284" i="28"/>
  <c r="V284" i="28"/>
  <c r="W284" i="28"/>
  <c r="X284" i="28"/>
  <c r="Y284" i="28"/>
  <c r="Z284" i="28"/>
  <c r="AA284" i="28"/>
  <c r="AB284" i="28"/>
  <c r="AC284" i="28"/>
  <c r="G285" i="28"/>
  <c r="H285" i="28"/>
  <c r="I285" i="28"/>
  <c r="J285" i="28"/>
  <c r="K285" i="28"/>
  <c r="L285" i="28"/>
  <c r="M285" i="28"/>
  <c r="N285" i="28"/>
  <c r="O285" i="28"/>
  <c r="P285" i="28"/>
  <c r="Q285" i="28"/>
  <c r="R285" i="28"/>
  <c r="S285" i="28"/>
  <c r="T285" i="28"/>
  <c r="U285" i="28"/>
  <c r="V285" i="28"/>
  <c r="W285" i="28"/>
  <c r="X285" i="28"/>
  <c r="Y285" i="28"/>
  <c r="Z285" i="28"/>
  <c r="AA285" i="28"/>
  <c r="AB285" i="28"/>
  <c r="AC285" i="28"/>
  <c r="G286" i="28"/>
  <c r="H286" i="28"/>
  <c r="I286" i="28"/>
  <c r="J286" i="28"/>
  <c r="K286" i="28"/>
  <c r="L286" i="28"/>
  <c r="M286" i="28"/>
  <c r="N286" i="28"/>
  <c r="O286" i="28"/>
  <c r="P286" i="28"/>
  <c r="Q286" i="28"/>
  <c r="R286" i="28"/>
  <c r="S286" i="28"/>
  <c r="T286" i="28"/>
  <c r="U286" i="28"/>
  <c r="V286" i="28"/>
  <c r="W286" i="28"/>
  <c r="X286" i="28"/>
  <c r="Y286" i="28"/>
  <c r="Z286" i="28"/>
  <c r="AA286" i="28"/>
  <c r="AB286" i="28"/>
  <c r="F285" i="28"/>
  <c r="F286" i="28"/>
  <c r="F284" i="28"/>
  <c r="AC302" i="28"/>
  <c r="G302" i="28"/>
  <c r="H302" i="28"/>
  <c r="I302" i="28"/>
  <c r="J302" i="28"/>
  <c r="K302" i="28"/>
  <c r="L302" i="28"/>
  <c r="M302" i="28"/>
  <c r="N302" i="28"/>
  <c r="O302" i="28"/>
  <c r="P302" i="28"/>
  <c r="Q302" i="28"/>
  <c r="R302" i="28"/>
  <c r="S302" i="28"/>
  <c r="T302" i="28"/>
  <c r="U302" i="28"/>
  <c r="V302" i="28"/>
  <c r="W302" i="28"/>
  <c r="X302" i="28"/>
  <c r="Y302" i="28"/>
  <c r="Z302" i="28"/>
  <c r="AA302" i="28"/>
  <c r="AB302" i="28"/>
  <c r="F302" i="28"/>
  <c r="A300" i="28"/>
  <c r="A297" i="28"/>
  <c r="A294" i="28"/>
  <c r="A291" i="28"/>
  <c r="A330" i="28"/>
  <c r="A327" i="28"/>
  <c r="A324" i="28"/>
  <c r="A321" i="28"/>
  <c r="A315" i="28"/>
  <c r="C321" i="28"/>
  <c r="E321" i="28"/>
  <c r="F321" i="28"/>
  <c r="F383" i="28" s="1"/>
  <c r="G321" i="28"/>
  <c r="G383" i="28" s="1"/>
  <c r="H321" i="28"/>
  <c r="H383" i="28" s="1"/>
  <c r="I321" i="28"/>
  <c r="I383" i="28" s="1"/>
  <c r="J321" i="28"/>
  <c r="J383" i="28" s="1"/>
  <c r="K321" i="28"/>
  <c r="K383" i="28" s="1"/>
  <c r="L321" i="28"/>
  <c r="L383" i="28" s="1"/>
  <c r="M321" i="28"/>
  <c r="M383" i="28" s="1"/>
  <c r="N321" i="28"/>
  <c r="N383" i="28" s="1"/>
  <c r="O321" i="28"/>
  <c r="O383" i="28" s="1"/>
  <c r="P321" i="28"/>
  <c r="P383" i="28" s="1"/>
  <c r="Q321" i="28"/>
  <c r="Q383" i="28" s="1"/>
  <c r="R321" i="28"/>
  <c r="R383" i="28" s="1"/>
  <c r="S321" i="28"/>
  <c r="S383" i="28" s="1"/>
  <c r="T321" i="28"/>
  <c r="T383" i="28" s="1"/>
  <c r="U321" i="28"/>
  <c r="U383" i="28" s="1"/>
  <c r="V321" i="28"/>
  <c r="V383" i="28" s="1"/>
  <c r="W321" i="28"/>
  <c r="W383" i="28" s="1"/>
  <c r="X321" i="28"/>
  <c r="X383" i="28" s="1"/>
  <c r="Y321" i="28"/>
  <c r="Y383" i="28" s="1"/>
  <c r="Z321" i="28"/>
  <c r="Z383" i="28" s="1"/>
  <c r="AA321" i="28"/>
  <c r="AA383" i="28" s="1"/>
  <c r="AB321" i="28"/>
  <c r="AB383" i="28" s="1"/>
  <c r="AC321" i="28"/>
  <c r="AC383" i="28" s="1"/>
  <c r="B322" i="28"/>
  <c r="C322" i="28"/>
  <c r="D322" i="28"/>
  <c r="E322" i="28"/>
  <c r="F322" i="28"/>
  <c r="F384" i="28" s="1"/>
  <c r="G322" i="28"/>
  <c r="G384" i="28" s="1"/>
  <c r="H322" i="28"/>
  <c r="H384" i="28" s="1"/>
  <c r="I322" i="28"/>
  <c r="I384" i="28" s="1"/>
  <c r="J322" i="28"/>
  <c r="J384" i="28" s="1"/>
  <c r="K322" i="28"/>
  <c r="K384" i="28" s="1"/>
  <c r="L322" i="28"/>
  <c r="L384" i="28" s="1"/>
  <c r="M322" i="28"/>
  <c r="M384" i="28" s="1"/>
  <c r="N322" i="28"/>
  <c r="N384" i="28" s="1"/>
  <c r="O322" i="28"/>
  <c r="O384" i="28" s="1"/>
  <c r="P322" i="28"/>
  <c r="P384" i="28" s="1"/>
  <c r="Q322" i="28"/>
  <c r="Q384" i="28" s="1"/>
  <c r="R322" i="28"/>
  <c r="R384" i="28" s="1"/>
  <c r="S322" i="28"/>
  <c r="S384" i="28" s="1"/>
  <c r="T322" i="28"/>
  <c r="T384" i="28" s="1"/>
  <c r="U322" i="28"/>
  <c r="U384" i="28" s="1"/>
  <c r="V322" i="28"/>
  <c r="V384" i="28" s="1"/>
  <c r="W322" i="28"/>
  <c r="W384" i="28" s="1"/>
  <c r="X322" i="28"/>
  <c r="X384" i="28" s="1"/>
  <c r="Y322" i="28"/>
  <c r="Y384" i="28" s="1"/>
  <c r="Z322" i="28"/>
  <c r="Z384" i="28" s="1"/>
  <c r="AA322" i="28"/>
  <c r="AA384" i="28" s="1"/>
  <c r="AB322" i="28"/>
  <c r="AB384" i="28" s="1"/>
  <c r="AC322" i="28"/>
  <c r="AC384" i="28" s="1"/>
  <c r="B323" i="28"/>
  <c r="C323" i="28"/>
  <c r="D323" i="28"/>
  <c r="E323" i="28"/>
  <c r="F323" i="28"/>
  <c r="F385" i="28" s="1"/>
  <c r="G323" i="28"/>
  <c r="G385" i="28" s="1"/>
  <c r="H323" i="28"/>
  <c r="H385" i="28" s="1"/>
  <c r="I323" i="28"/>
  <c r="I385" i="28" s="1"/>
  <c r="J323" i="28"/>
  <c r="J385" i="28" s="1"/>
  <c r="K323" i="28"/>
  <c r="K385" i="28" s="1"/>
  <c r="L323" i="28"/>
  <c r="L385" i="28" s="1"/>
  <c r="M323" i="28"/>
  <c r="M385" i="28" s="1"/>
  <c r="N323" i="28"/>
  <c r="N385" i="28" s="1"/>
  <c r="O323" i="28"/>
  <c r="O385" i="28" s="1"/>
  <c r="P323" i="28"/>
  <c r="P385" i="28" s="1"/>
  <c r="Q323" i="28"/>
  <c r="Q385" i="28" s="1"/>
  <c r="R323" i="28"/>
  <c r="R385" i="28" s="1"/>
  <c r="S323" i="28"/>
  <c r="S385" i="28" s="1"/>
  <c r="T323" i="28"/>
  <c r="T385" i="28" s="1"/>
  <c r="U323" i="28"/>
  <c r="U385" i="28" s="1"/>
  <c r="V323" i="28"/>
  <c r="V385" i="28" s="1"/>
  <c r="W323" i="28"/>
  <c r="W385" i="28" s="1"/>
  <c r="X323" i="28"/>
  <c r="X385" i="28" s="1"/>
  <c r="Y323" i="28"/>
  <c r="Y385" i="28" s="1"/>
  <c r="Z323" i="28"/>
  <c r="Z385" i="28" s="1"/>
  <c r="AA323" i="28"/>
  <c r="AA385" i="28" s="1"/>
  <c r="AB323" i="28"/>
  <c r="AB385" i="28" s="1"/>
  <c r="AC323" i="28"/>
  <c r="AC385" i="28" s="1"/>
  <c r="C324" i="28"/>
  <c r="E324" i="28"/>
  <c r="F324" i="28"/>
  <c r="F386" i="28" s="1"/>
  <c r="G324" i="28"/>
  <c r="G386" i="28" s="1"/>
  <c r="H324" i="28"/>
  <c r="H386" i="28" s="1"/>
  <c r="I324" i="28"/>
  <c r="I386" i="28" s="1"/>
  <c r="J324" i="28"/>
  <c r="J386" i="28" s="1"/>
  <c r="K324" i="28"/>
  <c r="K386" i="28" s="1"/>
  <c r="L324" i="28"/>
  <c r="L386" i="28" s="1"/>
  <c r="M324" i="28"/>
  <c r="M386" i="28" s="1"/>
  <c r="N324" i="28"/>
  <c r="N386" i="28" s="1"/>
  <c r="O324" i="28"/>
  <c r="O386" i="28" s="1"/>
  <c r="P324" i="28"/>
  <c r="P386" i="28" s="1"/>
  <c r="Q324" i="28"/>
  <c r="Q386" i="28" s="1"/>
  <c r="R324" i="28"/>
  <c r="R386" i="28" s="1"/>
  <c r="S324" i="28"/>
  <c r="S386" i="28" s="1"/>
  <c r="T324" i="28"/>
  <c r="T386" i="28" s="1"/>
  <c r="U324" i="28"/>
  <c r="U386" i="28" s="1"/>
  <c r="V324" i="28"/>
  <c r="V386" i="28" s="1"/>
  <c r="W324" i="28"/>
  <c r="W386" i="28" s="1"/>
  <c r="X324" i="28"/>
  <c r="X386" i="28" s="1"/>
  <c r="Y324" i="28"/>
  <c r="Y386" i="28" s="1"/>
  <c r="Z324" i="28"/>
  <c r="Z386" i="28" s="1"/>
  <c r="AA324" i="28"/>
  <c r="AA386" i="28" s="1"/>
  <c r="AB324" i="28"/>
  <c r="AB386" i="28" s="1"/>
  <c r="AC324" i="28"/>
  <c r="AC386" i="28" s="1"/>
  <c r="B325" i="28"/>
  <c r="C325" i="28"/>
  <c r="D325" i="28"/>
  <c r="E325" i="28"/>
  <c r="F325" i="28"/>
  <c r="F387" i="28" s="1"/>
  <c r="G325" i="28"/>
  <c r="G387" i="28" s="1"/>
  <c r="H325" i="28"/>
  <c r="H387" i="28" s="1"/>
  <c r="I325" i="28"/>
  <c r="I387" i="28" s="1"/>
  <c r="J325" i="28"/>
  <c r="J387" i="28" s="1"/>
  <c r="K325" i="28"/>
  <c r="K387" i="28" s="1"/>
  <c r="L325" i="28"/>
  <c r="L387" i="28" s="1"/>
  <c r="M325" i="28"/>
  <c r="M387" i="28" s="1"/>
  <c r="N325" i="28"/>
  <c r="N387" i="28" s="1"/>
  <c r="O325" i="28"/>
  <c r="O387" i="28" s="1"/>
  <c r="P325" i="28"/>
  <c r="P387" i="28" s="1"/>
  <c r="Q325" i="28"/>
  <c r="Q387" i="28" s="1"/>
  <c r="R325" i="28"/>
  <c r="R387" i="28" s="1"/>
  <c r="S325" i="28"/>
  <c r="S387" i="28" s="1"/>
  <c r="T325" i="28"/>
  <c r="T387" i="28" s="1"/>
  <c r="U325" i="28"/>
  <c r="U387" i="28" s="1"/>
  <c r="V325" i="28"/>
  <c r="V387" i="28" s="1"/>
  <c r="W325" i="28"/>
  <c r="W387" i="28" s="1"/>
  <c r="X325" i="28"/>
  <c r="X387" i="28" s="1"/>
  <c r="Y325" i="28"/>
  <c r="Y387" i="28" s="1"/>
  <c r="Z325" i="28"/>
  <c r="Z387" i="28" s="1"/>
  <c r="AA325" i="28"/>
  <c r="AA387" i="28" s="1"/>
  <c r="AB325" i="28"/>
  <c r="AB387" i="28" s="1"/>
  <c r="AC325" i="28"/>
  <c r="AC387" i="28" s="1"/>
  <c r="B326" i="28"/>
  <c r="C326" i="28"/>
  <c r="D326" i="28"/>
  <c r="E326" i="28"/>
  <c r="F326" i="28"/>
  <c r="F388" i="28" s="1"/>
  <c r="G326" i="28"/>
  <c r="G388" i="28" s="1"/>
  <c r="H326" i="28"/>
  <c r="H388" i="28" s="1"/>
  <c r="I326" i="28"/>
  <c r="I388" i="28" s="1"/>
  <c r="J326" i="28"/>
  <c r="J388" i="28" s="1"/>
  <c r="K326" i="28"/>
  <c r="K388" i="28" s="1"/>
  <c r="L326" i="28"/>
  <c r="L388" i="28" s="1"/>
  <c r="M326" i="28"/>
  <c r="M388" i="28" s="1"/>
  <c r="N326" i="28"/>
  <c r="N388" i="28" s="1"/>
  <c r="O326" i="28"/>
  <c r="O388" i="28" s="1"/>
  <c r="P326" i="28"/>
  <c r="P388" i="28" s="1"/>
  <c r="Q326" i="28"/>
  <c r="Q388" i="28" s="1"/>
  <c r="R326" i="28"/>
  <c r="R388" i="28" s="1"/>
  <c r="S326" i="28"/>
  <c r="S388" i="28" s="1"/>
  <c r="T326" i="28"/>
  <c r="T388" i="28" s="1"/>
  <c r="U326" i="28"/>
  <c r="U388" i="28" s="1"/>
  <c r="V326" i="28"/>
  <c r="V388" i="28" s="1"/>
  <c r="W326" i="28"/>
  <c r="W388" i="28" s="1"/>
  <c r="X326" i="28"/>
  <c r="X388" i="28" s="1"/>
  <c r="Y326" i="28"/>
  <c r="Y388" i="28" s="1"/>
  <c r="Z326" i="28"/>
  <c r="Z388" i="28" s="1"/>
  <c r="AA326" i="28"/>
  <c r="AA388" i="28" s="1"/>
  <c r="AB326" i="28"/>
  <c r="AB388" i="28" s="1"/>
  <c r="AC326" i="28"/>
  <c r="AC388" i="28" s="1"/>
  <c r="C327" i="28"/>
  <c r="E327" i="28"/>
  <c r="F327" i="28"/>
  <c r="F389" i="28" s="1"/>
  <c r="G327" i="28"/>
  <c r="G389" i="28" s="1"/>
  <c r="H327" i="28"/>
  <c r="H389" i="28" s="1"/>
  <c r="I327" i="28"/>
  <c r="I389" i="28" s="1"/>
  <c r="J327" i="28"/>
  <c r="J389" i="28" s="1"/>
  <c r="K327" i="28"/>
  <c r="K389" i="28" s="1"/>
  <c r="L327" i="28"/>
  <c r="L389" i="28" s="1"/>
  <c r="M327" i="28"/>
  <c r="M389" i="28" s="1"/>
  <c r="N327" i="28"/>
  <c r="N389" i="28" s="1"/>
  <c r="O327" i="28"/>
  <c r="O389" i="28" s="1"/>
  <c r="P327" i="28"/>
  <c r="P389" i="28" s="1"/>
  <c r="Q327" i="28"/>
  <c r="Q389" i="28" s="1"/>
  <c r="R327" i="28"/>
  <c r="R389" i="28" s="1"/>
  <c r="S327" i="28"/>
  <c r="S389" i="28" s="1"/>
  <c r="T327" i="28"/>
  <c r="T389" i="28" s="1"/>
  <c r="U327" i="28"/>
  <c r="U389" i="28" s="1"/>
  <c r="V327" i="28"/>
  <c r="V389" i="28" s="1"/>
  <c r="W327" i="28"/>
  <c r="W389" i="28" s="1"/>
  <c r="X327" i="28"/>
  <c r="X389" i="28" s="1"/>
  <c r="Y327" i="28"/>
  <c r="Y389" i="28" s="1"/>
  <c r="Z327" i="28"/>
  <c r="Z389" i="28" s="1"/>
  <c r="AA327" i="28"/>
  <c r="AA389" i="28" s="1"/>
  <c r="AB327" i="28"/>
  <c r="AB389" i="28" s="1"/>
  <c r="AC327" i="28"/>
  <c r="AC389" i="28" s="1"/>
  <c r="B328" i="28"/>
  <c r="C328" i="28"/>
  <c r="D328" i="28"/>
  <c r="E328" i="28"/>
  <c r="F328" i="28"/>
  <c r="F390" i="28" s="1"/>
  <c r="G328" i="28"/>
  <c r="G390" i="28" s="1"/>
  <c r="H328" i="28"/>
  <c r="H390" i="28" s="1"/>
  <c r="I328" i="28"/>
  <c r="I390" i="28" s="1"/>
  <c r="J328" i="28"/>
  <c r="J390" i="28" s="1"/>
  <c r="K328" i="28"/>
  <c r="K390" i="28" s="1"/>
  <c r="L328" i="28"/>
  <c r="L390" i="28" s="1"/>
  <c r="M328" i="28"/>
  <c r="M390" i="28" s="1"/>
  <c r="N328" i="28"/>
  <c r="N390" i="28" s="1"/>
  <c r="O328" i="28"/>
  <c r="O390" i="28" s="1"/>
  <c r="P328" i="28"/>
  <c r="P390" i="28" s="1"/>
  <c r="Q328" i="28"/>
  <c r="Q390" i="28" s="1"/>
  <c r="R328" i="28"/>
  <c r="R390" i="28" s="1"/>
  <c r="S328" i="28"/>
  <c r="S390" i="28" s="1"/>
  <c r="T328" i="28"/>
  <c r="T390" i="28" s="1"/>
  <c r="U328" i="28"/>
  <c r="U390" i="28" s="1"/>
  <c r="V328" i="28"/>
  <c r="V390" i="28" s="1"/>
  <c r="W328" i="28"/>
  <c r="W390" i="28" s="1"/>
  <c r="X328" i="28"/>
  <c r="X390" i="28" s="1"/>
  <c r="Y328" i="28"/>
  <c r="Y390" i="28" s="1"/>
  <c r="Z328" i="28"/>
  <c r="Z390" i="28" s="1"/>
  <c r="AA328" i="28"/>
  <c r="AA390" i="28" s="1"/>
  <c r="AB328" i="28"/>
  <c r="AB390" i="28" s="1"/>
  <c r="AC328" i="28"/>
  <c r="AC390" i="28" s="1"/>
  <c r="B329" i="28"/>
  <c r="C329" i="28"/>
  <c r="D329" i="28"/>
  <c r="E329" i="28"/>
  <c r="F329" i="28"/>
  <c r="F391" i="28" s="1"/>
  <c r="G329" i="28"/>
  <c r="G391" i="28" s="1"/>
  <c r="H329" i="28"/>
  <c r="H391" i="28" s="1"/>
  <c r="I329" i="28"/>
  <c r="I391" i="28" s="1"/>
  <c r="J329" i="28"/>
  <c r="J391" i="28" s="1"/>
  <c r="K329" i="28"/>
  <c r="K391" i="28" s="1"/>
  <c r="L329" i="28"/>
  <c r="L391" i="28" s="1"/>
  <c r="M329" i="28"/>
  <c r="M391" i="28" s="1"/>
  <c r="N329" i="28"/>
  <c r="N391" i="28" s="1"/>
  <c r="O329" i="28"/>
  <c r="O391" i="28" s="1"/>
  <c r="P329" i="28"/>
  <c r="P391" i="28" s="1"/>
  <c r="Q329" i="28"/>
  <c r="Q391" i="28" s="1"/>
  <c r="R329" i="28"/>
  <c r="R391" i="28" s="1"/>
  <c r="S329" i="28"/>
  <c r="S391" i="28" s="1"/>
  <c r="T329" i="28"/>
  <c r="T391" i="28" s="1"/>
  <c r="U329" i="28"/>
  <c r="U391" i="28" s="1"/>
  <c r="V329" i="28"/>
  <c r="V391" i="28" s="1"/>
  <c r="W329" i="28"/>
  <c r="W391" i="28" s="1"/>
  <c r="X329" i="28"/>
  <c r="X391" i="28" s="1"/>
  <c r="Y329" i="28"/>
  <c r="Y391" i="28" s="1"/>
  <c r="Z329" i="28"/>
  <c r="Z391" i="28" s="1"/>
  <c r="AA329" i="28"/>
  <c r="AA391" i="28" s="1"/>
  <c r="AB329" i="28"/>
  <c r="AB391" i="28" s="1"/>
  <c r="AC329" i="28"/>
  <c r="AC391" i="28" s="1"/>
  <c r="C330" i="28"/>
  <c r="E330" i="28"/>
  <c r="F330" i="28"/>
  <c r="F392" i="28" s="1"/>
  <c r="G330" i="28"/>
  <c r="G392" i="28" s="1"/>
  <c r="H330" i="28"/>
  <c r="H392" i="28" s="1"/>
  <c r="I330" i="28"/>
  <c r="I392" i="28" s="1"/>
  <c r="J330" i="28"/>
  <c r="J392" i="28" s="1"/>
  <c r="K330" i="28"/>
  <c r="K392" i="28" s="1"/>
  <c r="L330" i="28"/>
  <c r="L392" i="28" s="1"/>
  <c r="M330" i="28"/>
  <c r="M392" i="28" s="1"/>
  <c r="N330" i="28"/>
  <c r="N392" i="28" s="1"/>
  <c r="O330" i="28"/>
  <c r="O392" i="28" s="1"/>
  <c r="P330" i="28"/>
  <c r="P392" i="28" s="1"/>
  <c r="Q330" i="28"/>
  <c r="Q392" i="28" s="1"/>
  <c r="R330" i="28"/>
  <c r="R392" i="28" s="1"/>
  <c r="S330" i="28"/>
  <c r="S392" i="28" s="1"/>
  <c r="T330" i="28"/>
  <c r="T392" i="28" s="1"/>
  <c r="U330" i="28"/>
  <c r="U392" i="28" s="1"/>
  <c r="V330" i="28"/>
  <c r="V392" i="28" s="1"/>
  <c r="W330" i="28"/>
  <c r="W392" i="28" s="1"/>
  <c r="X330" i="28"/>
  <c r="X392" i="28" s="1"/>
  <c r="Y330" i="28"/>
  <c r="Y392" i="28" s="1"/>
  <c r="Z330" i="28"/>
  <c r="Z392" i="28" s="1"/>
  <c r="AA330" i="28"/>
  <c r="AA392" i="28" s="1"/>
  <c r="AB330" i="28"/>
  <c r="AB392" i="28" s="1"/>
  <c r="AC330" i="28"/>
  <c r="AC392" i="28" s="1"/>
  <c r="B331" i="28"/>
  <c r="C331" i="28"/>
  <c r="D331" i="28"/>
  <c r="E331" i="28"/>
  <c r="F331" i="28"/>
  <c r="F393" i="28" s="1"/>
  <c r="G331" i="28"/>
  <c r="G393" i="28" s="1"/>
  <c r="H331" i="28"/>
  <c r="H393" i="28" s="1"/>
  <c r="I331" i="28"/>
  <c r="I393" i="28" s="1"/>
  <c r="J331" i="28"/>
  <c r="J393" i="28" s="1"/>
  <c r="K331" i="28"/>
  <c r="K393" i="28" s="1"/>
  <c r="L331" i="28"/>
  <c r="L393" i="28" s="1"/>
  <c r="M331" i="28"/>
  <c r="M393" i="28" s="1"/>
  <c r="N331" i="28"/>
  <c r="N393" i="28" s="1"/>
  <c r="O331" i="28"/>
  <c r="O393" i="28" s="1"/>
  <c r="P331" i="28"/>
  <c r="P393" i="28" s="1"/>
  <c r="Q331" i="28"/>
  <c r="Q393" i="28" s="1"/>
  <c r="R331" i="28"/>
  <c r="R393" i="28" s="1"/>
  <c r="S331" i="28"/>
  <c r="S393" i="28" s="1"/>
  <c r="T331" i="28"/>
  <c r="T393" i="28" s="1"/>
  <c r="U331" i="28"/>
  <c r="U393" i="28" s="1"/>
  <c r="V331" i="28"/>
  <c r="V393" i="28" s="1"/>
  <c r="W331" i="28"/>
  <c r="W393" i="28" s="1"/>
  <c r="X331" i="28"/>
  <c r="X393" i="28" s="1"/>
  <c r="Y331" i="28"/>
  <c r="Y393" i="28" s="1"/>
  <c r="Z331" i="28"/>
  <c r="Z393" i="28" s="1"/>
  <c r="AA331" i="28"/>
  <c r="AA393" i="28" s="1"/>
  <c r="AB331" i="28"/>
  <c r="AB393" i="28" s="1"/>
  <c r="AC331" i="28"/>
  <c r="AC393" i="28" s="1"/>
  <c r="B332" i="28"/>
  <c r="C332" i="28"/>
  <c r="D332" i="28"/>
  <c r="E332" i="28"/>
  <c r="F332" i="28"/>
  <c r="G332" i="28"/>
  <c r="H332" i="28"/>
  <c r="I332" i="28"/>
  <c r="J332" i="28"/>
  <c r="K332" i="28"/>
  <c r="L332" i="28"/>
  <c r="M332" i="28"/>
  <c r="N332" i="28"/>
  <c r="O332" i="28"/>
  <c r="P332" i="28"/>
  <c r="Q332" i="28"/>
  <c r="R332" i="28"/>
  <c r="S332" i="28"/>
  <c r="T332" i="28"/>
  <c r="U332" i="28"/>
  <c r="V332" i="28"/>
  <c r="W332" i="28"/>
  <c r="X332" i="28"/>
  <c r="Y332" i="28"/>
  <c r="Z332" i="28"/>
  <c r="AA332" i="28"/>
  <c r="AB332" i="28"/>
  <c r="AC332" i="28"/>
  <c r="B318" i="28"/>
  <c r="C318" i="28"/>
  <c r="D318" i="28"/>
  <c r="E318" i="28"/>
  <c r="F318" i="28"/>
  <c r="F380" i="28" s="1"/>
  <c r="G318" i="28"/>
  <c r="G380" i="28" s="1"/>
  <c r="H318" i="28"/>
  <c r="H380" i="28" s="1"/>
  <c r="I318" i="28"/>
  <c r="I380" i="28" s="1"/>
  <c r="J318" i="28"/>
  <c r="J380" i="28" s="1"/>
  <c r="K318" i="28"/>
  <c r="K380" i="28" s="1"/>
  <c r="L318" i="28"/>
  <c r="L380" i="28" s="1"/>
  <c r="M318" i="28"/>
  <c r="M380" i="28" s="1"/>
  <c r="N318" i="28"/>
  <c r="N380" i="28" s="1"/>
  <c r="O318" i="28"/>
  <c r="O380" i="28" s="1"/>
  <c r="P318" i="28"/>
  <c r="P380" i="28" s="1"/>
  <c r="Q318" i="28"/>
  <c r="Q380" i="28" s="1"/>
  <c r="R318" i="28"/>
  <c r="R380" i="28" s="1"/>
  <c r="S318" i="28"/>
  <c r="S380" i="28" s="1"/>
  <c r="T318" i="28"/>
  <c r="T380" i="28" s="1"/>
  <c r="U318" i="28"/>
  <c r="U380" i="28" s="1"/>
  <c r="V318" i="28"/>
  <c r="V380" i="28" s="1"/>
  <c r="W318" i="28"/>
  <c r="W380" i="28" s="1"/>
  <c r="X318" i="28"/>
  <c r="X380" i="28" s="1"/>
  <c r="Y318" i="28"/>
  <c r="Y380" i="28" s="1"/>
  <c r="Z318" i="28"/>
  <c r="Z380" i="28" s="1"/>
  <c r="AA318" i="28"/>
  <c r="AA380" i="28" s="1"/>
  <c r="AB318" i="28"/>
  <c r="AB380" i="28" s="1"/>
  <c r="AC318" i="28"/>
  <c r="AC380" i="28" s="1"/>
  <c r="B319" i="28"/>
  <c r="C319" i="28"/>
  <c r="D319" i="28"/>
  <c r="E319" i="28"/>
  <c r="F319" i="28"/>
  <c r="F381" i="28" s="1"/>
  <c r="G319" i="28"/>
  <c r="G381" i="28" s="1"/>
  <c r="H319" i="28"/>
  <c r="H381" i="28" s="1"/>
  <c r="I319" i="28"/>
  <c r="I381" i="28" s="1"/>
  <c r="J319" i="28"/>
  <c r="J381" i="28" s="1"/>
  <c r="K319" i="28"/>
  <c r="K381" i="28" s="1"/>
  <c r="L319" i="28"/>
  <c r="L381" i="28" s="1"/>
  <c r="M319" i="28"/>
  <c r="M381" i="28" s="1"/>
  <c r="N319" i="28"/>
  <c r="N381" i="28" s="1"/>
  <c r="O319" i="28"/>
  <c r="O381" i="28" s="1"/>
  <c r="P319" i="28"/>
  <c r="P381" i="28" s="1"/>
  <c r="Q319" i="28"/>
  <c r="Q381" i="28" s="1"/>
  <c r="R319" i="28"/>
  <c r="R381" i="28" s="1"/>
  <c r="S319" i="28"/>
  <c r="S381" i="28" s="1"/>
  <c r="T319" i="28"/>
  <c r="T381" i="28" s="1"/>
  <c r="U319" i="28"/>
  <c r="U381" i="28" s="1"/>
  <c r="V319" i="28"/>
  <c r="V381" i="28" s="1"/>
  <c r="W319" i="28"/>
  <c r="W381" i="28" s="1"/>
  <c r="X319" i="28"/>
  <c r="X381" i="28" s="1"/>
  <c r="Y319" i="28"/>
  <c r="Y381" i="28" s="1"/>
  <c r="Z319" i="28"/>
  <c r="Z381" i="28" s="1"/>
  <c r="AA319" i="28"/>
  <c r="AA381" i="28" s="1"/>
  <c r="AB319" i="28"/>
  <c r="AB381" i="28" s="1"/>
  <c r="AC319" i="28"/>
  <c r="AC381" i="28" s="1"/>
  <c r="B320" i="28"/>
  <c r="C320" i="28"/>
  <c r="D320" i="28"/>
  <c r="E320" i="28"/>
  <c r="F320" i="28"/>
  <c r="F382" i="28" s="1"/>
  <c r="G320" i="28"/>
  <c r="G382" i="28" s="1"/>
  <c r="H320" i="28"/>
  <c r="H382" i="28" s="1"/>
  <c r="I320" i="28"/>
  <c r="I382" i="28" s="1"/>
  <c r="J320" i="28"/>
  <c r="J382" i="28" s="1"/>
  <c r="K320" i="28"/>
  <c r="K382" i="28" s="1"/>
  <c r="L320" i="28"/>
  <c r="L382" i="28" s="1"/>
  <c r="M320" i="28"/>
  <c r="M382" i="28" s="1"/>
  <c r="N320" i="28"/>
  <c r="N382" i="28" s="1"/>
  <c r="O320" i="28"/>
  <c r="O382" i="28" s="1"/>
  <c r="P320" i="28"/>
  <c r="P382" i="28" s="1"/>
  <c r="Q320" i="28"/>
  <c r="Q382" i="28" s="1"/>
  <c r="R320" i="28"/>
  <c r="R382" i="28" s="1"/>
  <c r="S320" i="28"/>
  <c r="S382" i="28" s="1"/>
  <c r="T320" i="28"/>
  <c r="T382" i="28" s="1"/>
  <c r="U320" i="28"/>
  <c r="U382" i="28" s="1"/>
  <c r="V320" i="28"/>
  <c r="V382" i="28" s="1"/>
  <c r="W320" i="28"/>
  <c r="W382" i="28" s="1"/>
  <c r="X320" i="28"/>
  <c r="X382" i="28" s="1"/>
  <c r="Y320" i="28"/>
  <c r="Y382" i="28" s="1"/>
  <c r="Z320" i="28"/>
  <c r="Z382" i="28" s="1"/>
  <c r="AA320" i="28"/>
  <c r="AA382" i="28" s="1"/>
  <c r="AB320" i="28"/>
  <c r="AB382" i="28" s="1"/>
  <c r="AC320" i="28"/>
  <c r="AC382" i="28" s="1"/>
  <c r="B315" i="28"/>
  <c r="B312" i="28"/>
  <c r="B309" i="28"/>
  <c r="B306" i="28"/>
  <c r="A306" i="28"/>
  <c r="A309" i="28" s="1"/>
  <c r="A312" i="28"/>
  <c r="A153" i="28"/>
  <c r="A150" i="28"/>
  <c r="A147" i="28"/>
  <c r="A144" i="28"/>
  <c r="A141" i="28"/>
  <c r="A138" i="28"/>
  <c r="A135" i="28"/>
  <c r="A215" i="28"/>
  <c r="A212" i="28"/>
  <c r="A209" i="28"/>
  <c r="A206" i="28"/>
  <c r="A203" i="28"/>
  <c r="A197" i="28"/>
  <c r="A200" i="28" s="1"/>
  <c r="H212" i="28"/>
  <c r="I212" i="28"/>
  <c r="J212" i="28"/>
  <c r="K212" i="28"/>
  <c r="L212" i="28"/>
  <c r="M212" i="28"/>
  <c r="N212" i="28"/>
  <c r="O212" i="28"/>
  <c r="P212" i="28"/>
  <c r="Q212" i="28"/>
  <c r="R212" i="28"/>
  <c r="S212" i="28"/>
  <c r="T212" i="28"/>
  <c r="U212" i="28"/>
  <c r="V212" i="28"/>
  <c r="W212" i="28"/>
  <c r="X212" i="28"/>
  <c r="Y212" i="28"/>
  <c r="Z212" i="28"/>
  <c r="AA212" i="28"/>
  <c r="AB212" i="28"/>
  <c r="AC212" i="28"/>
  <c r="H213" i="28"/>
  <c r="I213" i="28"/>
  <c r="J213" i="28"/>
  <c r="K213" i="28"/>
  <c r="L213" i="28"/>
  <c r="M213" i="28"/>
  <c r="N213" i="28"/>
  <c r="O213" i="28"/>
  <c r="P213" i="28"/>
  <c r="Q213" i="28"/>
  <c r="R213" i="28"/>
  <c r="S213" i="28"/>
  <c r="T213" i="28"/>
  <c r="U213" i="28"/>
  <c r="V213" i="28"/>
  <c r="W213" i="28"/>
  <c r="X213" i="28"/>
  <c r="Y213" i="28"/>
  <c r="Z213" i="28"/>
  <c r="AA213" i="28"/>
  <c r="AB213" i="28"/>
  <c r="AC213" i="28"/>
  <c r="H214" i="28"/>
  <c r="I214" i="28"/>
  <c r="J214" i="28"/>
  <c r="K214" i="28"/>
  <c r="L214" i="28"/>
  <c r="M214" i="28"/>
  <c r="N214" i="28"/>
  <c r="O214" i="28"/>
  <c r="P214" i="28"/>
  <c r="Q214" i="28"/>
  <c r="R214" i="28"/>
  <c r="S214" i="28"/>
  <c r="T214" i="28"/>
  <c r="U214" i="28"/>
  <c r="V214" i="28"/>
  <c r="W214" i="28"/>
  <c r="X214" i="28"/>
  <c r="Y214" i="28"/>
  <c r="Z214" i="28"/>
  <c r="AA214" i="28"/>
  <c r="AB214" i="28"/>
  <c r="AC214" i="28"/>
  <c r="H215" i="28"/>
  <c r="I215" i="28"/>
  <c r="J215" i="28"/>
  <c r="K215" i="28"/>
  <c r="L215" i="28"/>
  <c r="M215" i="28"/>
  <c r="N215" i="28"/>
  <c r="O215" i="28"/>
  <c r="P215" i="28"/>
  <c r="Q215" i="28"/>
  <c r="R215" i="28"/>
  <c r="S215" i="28"/>
  <c r="T215" i="28"/>
  <c r="U215" i="28"/>
  <c r="V215" i="28"/>
  <c r="W215" i="28"/>
  <c r="X215" i="28"/>
  <c r="Y215" i="28"/>
  <c r="Z215" i="28"/>
  <c r="AA215" i="28"/>
  <c r="AB215" i="28"/>
  <c r="AC215" i="28"/>
  <c r="H216" i="28"/>
  <c r="I216" i="28"/>
  <c r="J216" i="28"/>
  <c r="K216" i="28"/>
  <c r="L216" i="28"/>
  <c r="M216" i="28"/>
  <c r="N216" i="28"/>
  <c r="O216" i="28"/>
  <c r="P216" i="28"/>
  <c r="Q216" i="28"/>
  <c r="R216" i="28"/>
  <c r="S216" i="28"/>
  <c r="T216" i="28"/>
  <c r="U216" i="28"/>
  <c r="V216" i="28"/>
  <c r="W216" i="28"/>
  <c r="X216" i="28"/>
  <c r="Y216" i="28"/>
  <c r="Z216" i="28"/>
  <c r="AA216" i="28"/>
  <c r="AB216" i="28"/>
  <c r="AC216" i="28"/>
  <c r="H217" i="28"/>
  <c r="I217" i="28"/>
  <c r="J217" i="28"/>
  <c r="K217" i="28"/>
  <c r="L217" i="28"/>
  <c r="M217" i="28"/>
  <c r="N217" i="28"/>
  <c r="O217" i="28"/>
  <c r="P217" i="28"/>
  <c r="Q217" i="28"/>
  <c r="R217" i="28"/>
  <c r="S217" i="28"/>
  <c r="T217" i="28"/>
  <c r="U217" i="28"/>
  <c r="V217" i="28"/>
  <c r="W217" i="28"/>
  <c r="X217" i="28"/>
  <c r="Y217" i="28"/>
  <c r="Z217" i="28"/>
  <c r="AA217" i="28"/>
  <c r="AB217" i="28"/>
  <c r="AC217" i="28"/>
  <c r="F213" i="28"/>
  <c r="F214" i="28"/>
  <c r="F215" i="28"/>
  <c r="F216" i="28"/>
  <c r="F217" i="28"/>
  <c r="G212" i="28"/>
  <c r="G213" i="28"/>
  <c r="G214" i="28"/>
  <c r="G215" i="28"/>
  <c r="G216" i="28"/>
  <c r="G217" i="28"/>
  <c r="B190" i="28"/>
  <c r="A190" i="28"/>
  <c r="B187" i="28"/>
  <c r="A187" i="28"/>
  <c r="AC155" i="28"/>
  <c r="AB155" i="28"/>
  <c r="AA155" i="28"/>
  <c r="Z155" i="28"/>
  <c r="Y155" i="28"/>
  <c r="X155" i="28"/>
  <c r="W155" i="28"/>
  <c r="V155" i="28"/>
  <c r="U155" i="28"/>
  <c r="T155" i="28"/>
  <c r="S155" i="28"/>
  <c r="R155" i="28"/>
  <c r="Q155" i="28"/>
  <c r="P155" i="28"/>
  <c r="O155" i="28"/>
  <c r="N155" i="28"/>
  <c r="M155" i="28"/>
  <c r="L155" i="28"/>
  <c r="K155" i="28"/>
  <c r="J155" i="28"/>
  <c r="I155" i="28"/>
  <c r="H155" i="28"/>
  <c r="G155" i="28"/>
  <c r="F155" i="28"/>
  <c r="AC154" i="28"/>
  <c r="AB154" i="28"/>
  <c r="AA154" i="28"/>
  <c r="Z154" i="28"/>
  <c r="Y154" i="28"/>
  <c r="X154" i="28"/>
  <c r="W154" i="28"/>
  <c r="V154" i="28"/>
  <c r="U154" i="28"/>
  <c r="T154" i="28"/>
  <c r="S154" i="28"/>
  <c r="R154" i="28"/>
  <c r="Q154" i="28"/>
  <c r="P154" i="28"/>
  <c r="O154" i="28"/>
  <c r="N154" i="28"/>
  <c r="M154" i="28"/>
  <c r="L154" i="28"/>
  <c r="K154" i="28"/>
  <c r="J154" i="28"/>
  <c r="I154" i="28"/>
  <c r="H154" i="28"/>
  <c r="G154" i="28"/>
  <c r="F154" i="28"/>
  <c r="AC153" i="28"/>
  <c r="AB153" i="28"/>
  <c r="AA153" i="28"/>
  <c r="Z153" i="28"/>
  <c r="Y153" i="28"/>
  <c r="X153" i="28"/>
  <c r="W153" i="28"/>
  <c r="V153" i="28"/>
  <c r="U153" i="28"/>
  <c r="T153" i="28"/>
  <c r="S153" i="28"/>
  <c r="R153" i="28"/>
  <c r="Q153" i="28"/>
  <c r="P153" i="28"/>
  <c r="O153" i="28"/>
  <c r="N153" i="28"/>
  <c r="M153" i="28"/>
  <c r="L153" i="28"/>
  <c r="K153" i="28"/>
  <c r="J153" i="28"/>
  <c r="I153" i="28"/>
  <c r="H153" i="28"/>
  <c r="G153" i="28"/>
  <c r="F153" i="28"/>
  <c r="B153" i="28"/>
  <c r="AC152" i="28"/>
  <c r="AB152" i="28"/>
  <c r="AA152" i="28"/>
  <c r="Z152" i="28"/>
  <c r="Y152" i="28"/>
  <c r="X152" i="28"/>
  <c r="W152" i="28"/>
  <c r="V152" i="28"/>
  <c r="U152" i="28"/>
  <c r="T152" i="28"/>
  <c r="S152" i="28"/>
  <c r="R152" i="28"/>
  <c r="Q152" i="28"/>
  <c r="P152" i="28"/>
  <c r="O152" i="28"/>
  <c r="N152" i="28"/>
  <c r="M152" i="28"/>
  <c r="L152" i="28"/>
  <c r="K152" i="28"/>
  <c r="J152" i="28"/>
  <c r="I152" i="28"/>
  <c r="H152" i="28"/>
  <c r="G152" i="28"/>
  <c r="F152" i="28"/>
  <c r="AC151" i="28"/>
  <c r="AB151" i="28"/>
  <c r="AA151" i="28"/>
  <c r="Z151" i="28"/>
  <c r="Y151" i="28"/>
  <c r="X151" i="28"/>
  <c r="W151" i="28"/>
  <c r="V151" i="28"/>
  <c r="U151" i="28"/>
  <c r="T151" i="28"/>
  <c r="S151" i="28"/>
  <c r="R151" i="28"/>
  <c r="Q151" i="28"/>
  <c r="P151" i="28"/>
  <c r="O151" i="28"/>
  <c r="N151" i="28"/>
  <c r="M151" i="28"/>
  <c r="L151" i="28"/>
  <c r="K151" i="28"/>
  <c r="J151" i="28"/>
  <c r="I151" i="28"/>
  <c r="H151" i="28"/>
  <c r="G151" i="28"/>
  <c r="F151" i="28"/>
  <c r="AC150" i="28"/>
  <c r="AB150" i="28"/>
  <c r="AA150" i="28"/>
  <c r="Z150" i="28"/>
  <c r="Y150" i="28"/>
  <c r="X150" i="28"/>
  <c r="W150" i="28"/>
  <c r="V150" i="28"/>
  <c r="U150" i="28"/>
  <c r="T150" i="28"/>
  <c r="S150" i="28"/>
  <c r="R150" i="28"/>
  <c r="Q150" i="28"/>
  <c r="P150" i="28"/>
  <c r="O150" i="28"/>
  <c r="N150" i="28"/>
  <c r="M150" i="28"/>
  <c r="L150" i="28"/>
  <c r="K150" i="28"/>
  <c r="J150" i="28"/>
  <c r="I150" i="28"/>
  <c r="H150" i="28"/>
  <c r="G150" i="28"/>
  <c r="F150" i="28"/>
  <c r="B150" i="28"/>
  <c r="AA394" i="28" l="1"/>
  <c r="N394" i="28"/>
  <c r="O394" i="28"/>
  <c r="V394" i="28"/>
  <c r="U394" i="28"/>
  <c r="AC394" i="28"/>
  <c r="G394" i="28"/>
  <c r="AB394" i="28"/>
  <c r="T394" i="28"/>
  <c r="P394" i="28"/>
  <c r="L394" i="28"/>
  <c r="I394" i="28"/>
  <c r="W394" i="28"/>
  <c r="M394" i="28"/>
  <c r="K394" i="28"/>
  <c r="J394" i="28"/>
  <c r="F394" i="28"/>
  <c r="H394" i="28"/>
  <c r="S394" i="28"/>
  <c r="Z394" i="28"/>
  <c r="R394" i="28"/>
  <c r="Y394" i="28"/>
  <c r="Q394" i="28"/>
  <c r="X394" i="28"/>
  <c r="F395" i="28"/>
  <c r="Y85" i="31"/>
  <c r="W86" i="31"/>
  <c r="W87" i="31"/>
  <c r="W88" i="31"/>
  <c r="S86" i="31"/>
  <c r="X86" i="31" s="1"/>
  <c r="S87" i="31"/>
  <c r="X87" i="31" s="1"/>
  <c r="S88" i="31"/>
  <c r="X88" i="31" s="1"/>
  <c r="S85" i="31"/>
  <c r="W85" i="31"/>
  <c r="L84" i="31"/>
  <c r="J84" i="31"/>
  <c r="K84" i="31"/>
  <c r="I84" i="31"/>
  <c r="G84" i="31"/>
  <c r="E3" i="29" s="1"/>
  <c r="H84" i="31"/>
  <c r="D3" i="29" s="1"/>
  <c r="F84" i="31"/>
  <c r="X85" i="31" l="1"/>
  <c r="D84" i="31" s="1"/>
  <c r="AG86" i="31"/>
  <c r="AG87" i="31"/>
  <c r="AG88" i="31"/>
  <c r="AG85" i="31"/>
  <c r="E84" i="31"/>
  <c r="C84" i="31"/>
  <c r="O83" i="31" l="1"/>
  <c r="AB162" i="28" l="1"/>
  <c r="AA162" i="28"/>
  <c r="Z162" i="28"/>
  <c r="Y162" i="28"/>
  <c r="X162" i="28"/>
  <c r="W162" i="28"/>
  <c r="V162" i="28"/>
  <c r="U162" i="28"/>
  <c r="T162" i="28"/>
  <c r="S162" i="28"/>
  <c r="R162" i="28"/>
  <c r="Q162" i="28"/>
  <c r="P162" i="28"/>
  <c r="O162" i="28"/>
  <c r="N162" i="28"/>
  <c r="M162" i="28"/>
  <c r="AB161" i="28"/>
  <c r="AA161" i="28"/>
  <c r="Z161" i="28"/>
  <c r="Y161" i="28"/>
  <c r="X161" i="28"/>
  <c r="W161" i="28"/>
  <c r="V161" i="28"/>
  <c r="U161" i="28"/>
  <c r="T161" i="28"/>
  <c r="S161" i="28"/>
  <c r="R161" i="28"/>
  <c r="Q161" i="28"/>
  <c r="P161" i="28"/>
  <c r="O161" i="28"/>
  <c r="N161" i="28"/>
  <c r="M161" i="28"/>
  <c r="K161" i="28"/>
  <c r="F161" i="28"/>
  <c r="AB160" i="28"/>
  <c r="AA160" i="28"/>
  <c r="Z160" i="28"/>
  <c r="Y160" i="28"/>
  <c r="X160" i="28"/>
  <c r="W160" i="28"/>
  <c r="V160" i="28"/>
  <c r="U160" i="28"/>
  <c r="T160" i="28"/>
  <c r="S160" i="28"/>
  <c r="R160" i="28"/>
  <c r="Q160" i="28"/>
  <c r="P160" i="28"/>
  <c r="O160" i="28"/>
  <c r="N160" i="28"/>
  <c r="M160" i="28"/>
  <c r="AB137" i="28" l="1"/>
  <c r="AA137" i="28"/>
  <c r="Z137" i="28"/>
  <c r="Y137" i="28"/>
  <c r="X137" i="28"/>
  <c r="W137" i="28"/>
  <c r="V137" i="28"/>
  <c r="U137" i="28"/>
  <c r="T137" i="28"/>
  <c r="S137" i="28"/>
  <c r="R137" i="28"/>
  <c r="Q137" i="28"/>
  <c r="P137" i="28"/>
  <c r="O137" i="28"/>
  <c r="N137" i="28"/>
  <c r="M137" i="28"/>
  <c r="AB136" i="28"/>
  <c r="AA136" i="28"/>
  <c r="Z136" i="28"/>
  <c r="Y136" i="28"/>
  <c r="X136" i="28"/>
  <c r="W136" i="28"/>
  <c r="V136" i="28"/>
  <c r="U136" i="28"/>
  <c r="T136" i="28"/>
  <c r="S136" i="28"/>
  <c r="R136" i="28"/>
  <c r="Q136" i="28"/>
  <c r="P136" i="28"/>
  <c r="O136" i="28"/>
  <c r="N136" i="28"/>
  <c r="M136" i="28"/>
  <c r="K136" i="28"/>
  <c r="F136" i="28"/>
  <c r="AB135" i="28"/>
  <c r="AA135" i="28"/>
  <c r="Z135" i="28"/>
  <c r="Y135" i="28"/>
  <c r="X135" i="28"/>
  <c r="W135" i="28"/>
  <c r="V135" i="28"/>
  <c r="U135" i="28"/>
  <c r="T135" i="28"/>
  <c r="S135" i="28"/>
  <c r="R135" i="28"/>
  <c r="Q135" i="28"/>
  <c r="P135" i="28"/>
  <c r="O135" i="28"/>
  <c r="N135" i="28"/>
  <c r="M135" i="28"/>
  <c r="G395" i="28" l="1"/>
  <c r="H395" i="28"/>
  <c r="I395" i="28"/>
  <c r="J395" i="28"/>
  <c r="K395" i="28"/>
  <c r="L395" i="28"/>
  <c r="M395" i="28"/>
  <c r="N395" i="28"/>
  <c r="O395" i="28"/>
  <c r="P395" i="28"/>
  <c r="Q395" i="28"/>
  <c r="R395" i="28"/>
  <c r="S395" i="28"/>
  <c r="T395" i="28"/>
  <c r="U395" i="28"/>
  <c r="V395" i="28"/>
  <c r="W395" i="28"/>
  <c r="X395" i="28"/>
  <c r="Y395" i="28"/>
  <c r="Z395" i="28"/>
  <c r="AA395" i="28"/>
  <c r="AB395" i="28"/>
  <c r="AC395" i="28"/>
  <c r="G396" i="28"/>
  <c r="H396" i="28"/>
  <c r="I396" i="28"/>
  <c r="J396" i="28"/>
  <c r="K396" i="28"/>
  <c r="L396" i="28"/>
  <c r="M396" i="28"/>
  <c r="N396" i="28"/>
  <c r="O396" i="28"/>
  <c r="P396" i="28"/>
  <c r="Q396" i="28"/>
  <c r="R396" i="28"/>
  <c r="S396" i="28"/>
  <c r="T396" i="28"/>
  <c r="U396" i="28"/>
  <c r="V396" i="28"/>
  <c r="W396" i="28"/>
  <c r="X396" i="28"/>
  <c r="Y396" i="28"/>
  <c r="Z396" i="28"/>
  <c r="AA396" i="28"/>
  <c r="AB396" i="28"/>
  <c r="AC396" i="28"/>
  <c r="G397" i="28"/>
  <c r="H397" i="28"/>
  <c r="I397" i="28"/>
  <c r="J397" i="28"/>
  <c r="K397" i="28"/>
  <c r="L397" i="28"/>
  <c r="M397" i="28"/>
  <c r="N397" i="28"/>
  <c r="O397" i="28"/>
  <c r="P397" i="28"/>
  <c r="Q397" i="28"/>
  <c r="R397" i="28"/>
  <c r="S397" i="28"/>
  <c r="T397" i="28"/>
  <c r="U397" i="28"/>
  <c r="V397" i="28"/>
  <c r="W397" i="28"/>
  <c r="X397" i="28"/>
  <c r="Y397" i="28"/>
  <c r="Z397" i="28"/>
  <c r="AA397" i="28"/>
  <c r="AB397" i="28"/>
  <c r="AC397" i="28"/>
  <c r="G398" i="28"/>
  <c r="H398" i="28"/>
  <c r="I398" i="28"/>
  <c r="J398" i="28"/>
  <c r="K398" i="28"/>
  <c r="L398" i="28"/>
  <c r="M398" i="28"/>
  <c r="N398" i="28"/>
  <c r="O398" i="28"/>
  <c r="P398" i="28"/>
  <c r="Q398" i="28"/>
  <c r="R398" i="28"/>
  <c r="S398" i="28"/>
  <c r="T398" i="28"/>
  <c r="U398" i="28"/>
  <c r="V398" i="28"/>
  <c r="W398" i="28"/>
  <c r="X398" i="28"/>
  <c r="Y398" i="28"/>
  <c r="Z398" i="28"/>
  <c r="AA398" i="28"/>
  <c r="AB398" i="28"/>
  <c r="AC398" i="28"/>
  <c r="G399" i="28"/>
  <c r="H399" i="28"/>
  <c r="I399" i="28"/>
  <c r="J399" i="28"/>
  <c r="K399" i="28"/>
  <c r="L399" i="28"/>
  <c r="M399" i="28"/>
  <c r="N399" i="28"/>
  <c r="O399" i="28"/>
  <c r="P399" i="28"/>
  <c r="Q399" i="28"/>
  <c r="R399" i="28"/>
  <c r="S399" i="28"/>
  <c r="T399" i="28"/>
  <c r="U399" i="28"/>
  <c r="V399" i="28"/>
  <c r="W399" i="28"/>
  <c r="X399" i="28"/>
  <c r="Y399" i="28"/>
  <c r="Z399" i="28"/>
  <c r="AA399" i="28"/>
  <c r="AB399" i="28"/>
  <c r="AC399" i="28"/>
  <c r="G400" i="28"/>
  <c r="H400" i="28"/>
  <c r="I400" i="28"/>
  <c r="J400" i="28"/>
  <c r="K400" i="28"/>
  <c r="L400" i="28"/>
  <c r="M400" i="28"/>
  <c r="N400" i="28"/>
  <c r="O400" i="28"/>
  <c r="P400" i="28"/>
  <c r="Q400" i="28"/>
  <c r="R400" i="28"/>
  <c r="S400" i="28"/>
  <c r="T400" i="28"/>
  <c r="U400" i="28"/>
  <c r="V400" i="28"/>
  <c r="W400" i="28"/>
  <c r="X400" i="28"/>
  <c r="Y400" i="28"/>
  <c r="Z400" i="28"/>
  <c r="AA400" i="28"/>
  <c r="AB400" i="28"/>
  <c r="AC400" i="28"/>
  <c r="F399" i="28"/>
  <c r="F400" i="28"/>
  <c r="F398" i="28"/>
  <c r="F396" i="28"/>
  <c r="F397" i="28"/>
  <c r="A53" i="28"/>
  <c r="A50" i="28"/>
  <c r="A44" i="28"/>
  <c r="A41" i="28"/>
  <c r="A38" i="28"/>
  <c r="A35" i="28"/>
  <c r="A9" i="18" l="1"/>
  <c r="A10" i="18"/>
  <c r="A11" i="18"/>
  <c r="A12" i="18"/>
  <c r="A13" i="18"/>
  <c r="A14" i="18"/>
  <c r="A15" i="18"/>
  <c r="A16" i="18"/>
  <c r="A17" i="18"/>
  <c r="A18" i="18"/>
  <c r="A19" i="18"/>
  <c r="A20" i="18"/>
  <c r="A21" i="18"/>
  <c r="A22" i="18"/>
  <c r="A23" i="18"/>
  <c r="A24" i="18"/>
  <c r="A25" i="18"/>
  <c r="A26" i="18"/>
  <c r="A27" i="18"/>
  <c r="A28" i="18"/>
  <c r="A29" i="18"/>
  <c r="A3" i="18"/>
  <c r="E25" i="13"/>
  <c r="E24" i="13"/>
  <c r="E23" i="13"/>
  <c r="E21" i="13"/>
  <c r="E20" i="13"/>
  <c r="E19" i="13"/>
  <c r="E17" i="13"/>
  <c r="E14" i="13" l="1"/>
  <c r="A60" i="28"/>
  <c r="A63" i="28" s="1"/>
  <c r="B57" i="28"/>
  <c r="B60" i="28" s="1"/>
  <c r="B63" i="28" s="1"/>
  <c r="E29" i="13"/>
  <c r="E18" i="13"/>
  <c r="B82" i="28"/>
  <c r="B85" i="28" s="1"/>
  <c r="B88" i="28" s="1"/>
  <c r="B91" i="28" s="1"/>
  <c r="B94" i="28" s="1"/>
  <c r="B97" i="28" s="1"/>
  <c r="B100" i="28" s="1"/>
  <c r="B103" i="28" s="1"/>
  <c r="B107" i="28"/>
  <c r="B113" i="28" s="1"/>
  <c r="G128" i="28"/>
  <c r="H128" i="28"/>
  <c r="I128" i="28"/>
  <c r="J128" i="28"/>
  <c r="K128" i="28"/>
  <c r="L128" i="28"/>
  <c r="M128" i="28"/>
  <c r="N128" i="28"/>
  <c r="O128" i="28"/>
  <c r="P128" i="28"/>
  <c r="Q128" i="28"/>
  <c r="R128" i="28"/>
  <c r="S128" i="28"/>
  <c r="T128" i="28"/>
  <c r="U128" i="28"/>
  <c r="V128" i="28"/>
  <c r="W128" i="28"/>
  <c r="X128" i="28"/>
  <c r="Y128" i="28"/>
  <c r="Z128" i="28"/>
  <c r="AA128" i="28"/>
  <c r="AB128" i="28"/>
  <c r="AC128" i="28"/>
  <c r="G129" i="28"/>
  <c r="H129" i="28"/>
  <c r="I129" i="28"/>
  <c r="J129" i="28"/>
  <c r="K129" i="28"/>
  <c r="L129" i="28"/>
  <c r="M129" i="28"/>
  <c r="N129" i="28"/>
  <c r="O129" i="28"/>
  <c r="P129" i="28"/>
  <c r="Q129" i="28"/>
  <c r="R129" i="28"/>
  <c r="S129" i="28"/>
  <c r="T129" i="28"/>
  <c r="U129" i="28"/>
  <c r="V129" i="28"/>
  <c r="W129" i="28"/>
  <c r="X129" i="28"/>
  <c r="Y129" i="28"/>
  <c r="Z129" i="28"/>
  <c r="AA129" i="28"/>
  <c r="AB129" i="28"/>
  <c r="AC129" i="28"/>
  <c r="G130" i="28"/>
  <c r="H130" i="28"/>
  <c r="I130" i="28"/>
  <c r="J130" i="28"/>
  <c r="K130" i="28"/>
  <c r="L130" i="28"/>
  <c r="M130" i="28"/>
  <c r="N130" i="28"/>
  <c r="O130" i="28"/>
  <c r="P130" i="28"/>
  <c r="Q130" i="28"/>
  <c r="R130" i="28"/>
  <c r="S130" i="28"/>
  <c r="T130" i="28"/>
  <c r="U130" i="28"/>
  <c r="V130" i="28"/>
  <c r="W130" i="28"/>
  <c r="X130" i="28"/>
  <c r="Y130" i="28"/>
  <c r="Z130" i="28"/>
  <c r="AA130" i="28"/>
  <c r="AB130" i="28"/>
  <c r="AC130" i="28"/>
  <c r="F129" i="28"/>
  <c r="F130" i="28"/>
  <c r="F128" i="28"/>
  <c r="G125" i="28"/>
  <c r="H125" i="28"/>
  <c r="I125" i="28"/>
  <c r="J125" i="28"/>
  <c r="K125" i="28"/>
  <c r="L125" i="28"/>
  <c r="M125" i="28"/>
  <c r="N125" i="28"/>
  <c r="O125" i="28"/>
  <c r="P125" i="28"/>
  <c r="Q125" i="28"/>
  <c r="R125" i="28"/>
  <c r="S125" i="28"/>
  <c r="T125" i="28"/>
  <c r="U125" i="28"/>
  <c r="V125" i="28"/>
  <c r="W125" i="28"/>
  <c r="X125" i="28"/>
  <c r="Y125" i="28"/>
  <c r="Z125" i="28"/>
  <c r="AA125" i="28"/>
  <c r="AB125" i="28"/>
  <c r="AC125" i="28"/>
  <c r="G126" i="28"/>
  <c r="H126" i="28"/>
  <c r="I126" i="28"/>
  <c r="J126" i="28"/>
  <c r="K126" i="28"/>
  <c r="L126" i="28"/>
  <c r="M126" i="28"/>
  <c r="N126" i="28"/>
  <c r="O126" i="28"/>
  <c r="P126" i="28"/>
  <c r="Q126" i="28"/>
  <c r="R126" i="28"/>
  <c r="S126" i="28"/>
  <c r="T126" i="28"/>
  <c r="U126" i="28"/>
  <c r="V126" i="28"/>
  <c r="W126" i="28"/>
  <c r="X126" i="28"/>
  <c r="Y126" i="28"/>
  <c r="Z126" i="28"/>
  <c r="AA126" i="28"/>
  <c r="AB126" i="28"/>
  <c r="AC126" i="28"/>
  <c r="G127" i="28"/>
  <c r="H127" i="28"/>
  <c r="I127" i="28"/>
  <c r="J127" i="28"/>
  <c r="K127" i="28"/>
  <c r="L127" i="28"/>
  <c r="M127" i="28"/>
  <c r="N127" i="28"/>
  <c r="O127" i="28"/>
  <c r="P127" i="28"/>
  <c r="Q127" i="28"/>
  <c r="R127" i="28"/>
  <c r="S127" i="28"/>
  <c r="T127" i="28"/>
  <c r="U127" i="28"/>
  <c r="V127" i="28"/>
  <c r="W127" i="28"/>
  <c r="X127" i="28"/>
  <c r="Y127" i="28"/>
  <c r="Z127" i="28"/>
  <c r="AA127" i="28"/>
  <c r="AB127" i="28"/>
  <c r="AC127" i="28"/>
  <c r="F126" i="28"/>
  <c r="F127" i="28"/>
  <c r="F125" i="28"/>
  <c r="A113" i="28"/>
  <c r="A119" i="28" s="1"/>
  <c r="A125" i="28" s="1"/>
  <c r="A110" i="28"/>
  <c r="A85" i="28"/>
  <c r="A88" i="28" s="1"/>
  <c r="A91" i="28" s="1"/>
  <c r="A94" i="28" s="1"/>
  <c r="A97" i="28" s="1"/>
  <c r="A100" i="28" s="1"/>
  <c r="A103" i="28" s="1"/>
  <c r="D32" i="28"/>
  <c r="B32" i="28"/>
  <c r="A1" i="28"/>
  <c r="A69" i="28" l="1"/>
  <c r="A72" i="28" s="1"/>
  <c r="A75" i="28" s="1"/>
  <c r="A78" i="28" s="1"/>
  <c r="A66" i="28"/>
  <c r="B69" i="28"/>
  <c r="B72" i="28" s="1"/>
  <c r="B75" i="28" s="1"/>
  <c r="B78" i="28" s="1"/>
  <c r="B66" i="28"/>
  <c r="B35" i="28"/>
  <c r="B321" i="28"/>
  <c r="D35" i="28"/>
  <c r="D321" i="28"/>
  <c r="A116" i="28"/>
  <c r="A122" i="28" s="1"/>
  <c r="A128" i="28" s="1"/>
  <c r="B119" i="28"/>
  <c r="B125" i="28" s="1"/>
  <c r="B116" i="28"/>
  <c r="B122" i="28" s="1"/>
  <c r="B128" i="28" s="1"/>
  <c r="B110" i="28"/>
  <c r="D38" i="28" l="1"/>
  <c r="D324" i="28"/>
  <c r="B38" i="28"/>
  <c r="B324" i="28"/>
  <c r="G103" i="28"/>
  <c r="H103" i="28"/>
  <c r="I103" i="28"/>
  <c r="J103" i="28"/>
  <c r="K103" i="28"/>
  <c r="L103" i="28"/>
  <c r="M103" i="28"/>
  <c r="N103" i="28"/>
  <c r="O103" i="28"/>
  <c r="P103" i="28"/>
  <c r="Q103" i="28"/>
  <c r="R103" i="28"/>
  <c r="S103" i="28"/>
  <c r="T103" i="28"/>
  <c r="U103" i="28"/>
  <c r="V103" i="28"/>
  <c r="W103" i="28"/>
  <c r="X103" i="28"/>
  <c r="Y103" i="28"/>
  <c r="Z103" i="28"/>
  <c r="AA103" i="28"/>
  <c r="AB103" i="28"/>
  <c r="AC103" i="28"/>
  <c r="G104" i="28"/>
  <c r="H104" i="28"/>
  <c r="I104" i="28"/>
  <c r="J104" i="28"/>
  <c r="K104" i="28"/>
  <c r="L104" i="28"/>
  <c r="M104" i="28"/>
  <c r="N104" i="28"/>
  <c r="O104" i="28"/>
  <c r="P104" i="28"/>
  <c r="Q104" i="28"/>
  <c r="R104" i="28"/>
  <c r="S104" i="28"/>
  <c r="T104" i="28"/>
  <c r="U104" i="28"/>
  <c r="V104" i="28"/>
  <c r="W104" i="28"/>
  <c r="X104" i="28"/>
  <c r="Y104" i="28"/>
  <c r="Z104" i="28"/>
  <c r="AA104" i="28"/>
  <c r="AB104" i="28"/>
  <c r="AC104" i="28"/>
  <c r="G105" i="28"/>
  <c r="H105" i="28"/>
  <c r="I105" i="28"/>
  <c r="J105" i="28"/>
  <c r="K105" i="28"/>
  <c r="L105" i="28"/>
  <c r="M105" i="28"/>
  <c r="N105" i="28"/>
  <c r="O105" i="28"/>
  <c r="P105" i="28"/>
  <c r="Q105" i="28"/>
  <c r="R105" i="28"/>
  <c r="S105" i="28"/>
  <c r="T105" i="28"/>
  <c r="U105" i="28"/>
  <c r="V105" i="28"/>
  <c r="W105" i="28"/>
  <c r="X105" i="28"/>
  <c r="Y105" i="28"/>
  <c r="Z105" i="28"/>
  <c r="AA105" i="28"/>
  <c r="AB105" i="28"/>
  <c r="AC105" i="28"/>
  <c r="F104" i="28"/>
  <c r="F105" i="28"/>
  <c r="F103" i="28"/>
  <c r="G100" i="28"/>
  <c r="H100" i="28"/>
  <c r="I100" i="28"/>
  <c r="J100" i="28"/>
  <c r="K100" i="28"/>
  <c r="L100" i="28"/>
  <c r="M100" i="28"/>
  <c r="N100" i="28"/>
  <c r="O100" i="28"/>
  <c r="P100" i="28"/>
  <c r="Q100" i="28"/>
  <c r="R100" i="28"/>
  <c r="S100" i="28"/>
  <c r="T100" i="28"/>
  <c r="U100" i="28"/>
  <c r="V100" i="28"/>
  <c r="W100" i="28"/>
  <c r="X100" i="28"/>
  <c r="Y100" i="28"/>
  <c r="Z100" i="28"/>
  <c r="AA100" i="28"/>
  <c r="AB100" i="28"/>
  <c r="AC100" i="28"/>
  <c r="G101" i="28"/>
  <c r="H101" i="28"/>
  <c r="I101" i="28"/>
  <c r="J101" i="28"/>
  <c r="K101" i="28"/>
  <c r="L101" i="28"/>
  <c r="M101" i="28"/>
  <c r="N101" i="28"/>
  <c r="O101" i="28"/>
  <c r="P101" i="28"/>
  <c r="Q101" i="28"/>
  <c r="R101" i="28"/>
  <c r="S101" i="28"/>
  <c r="T101" i="28"/>
  <c r="U101" i="28"/>
  <c r="V101" i="28"/>
  <c r="W101" i="28"/>
  <c r="X101" i="28"/>
  <c r="Y101" i="28"/>
  <c r="Z101" i="28"/>
  <c r="AA101" i="28"/>
  <c r="AB101" i="28"/>
  <c r="AC101" i="28"/>
  <c r="G102" i="28"/>
  <c r="H102" i="28"/>
  <c r="I102" i="28"/>
  <c r="J102" i="28"/>
  <c r="K102" i="28"/>
  <c r="L102" i="28"/>
  <c r="M102" i="28"/>
  <c r="N102" i="28"/>
  <c r="O102" i="28"/>
  <c r="P102" i="28"/>
  <c r="Q102" i="28"/>
  <c r="R102" i="28"/>
  <c r="S102" i="28"/>
  <c r="T102" i="28"/>
  <c r="U102" i="28"/>
  <c r="V102" i="28"/>
  <c r="W102" i="28"/>
  <c r="X102" i="28"/>
  <c r="Y102" i="28"/>
  <c r="Z102" i="28"/>
  <c r="AA102" i="28"/>
  <c r="AB102" i="28"/>
  <c r="AC102" i="28"/>
  <c r="F101" i="28"/>
  <c r="F102" i="28"/>
  <c r="F100" i="28"/>
  <c r="G78" i="28"/>
  <c r="H78" i="28"/>
  <c r="I78" i="28"/>
  <c r="J78" i="28"/>
  <c r="K78" i="28"/>
  <c r="L78" i="28"/>
  <c r="M78" i="28"/>
  <c r="N78" i="28"/>
  <c r="O78" i="28"/>
  <c r="P78" i="28"/>
  <c r="Q78" i="28"/>
  <c r="R78" i="28"/>
  <c r="S78" i="28"/>
  <c r="T78" i="28"/>
  <c r="U78" i="28"/>
  <c r="V78" i="28"/>
  <c r="W78" i="28"/>
  <c r="X78" i="28"/>
  <c r="Y78" i="28"/>
  <c r="Z78" i="28"/>
  <c r="AA78" i="28"/>
  <c r="AB78" i="28"/>
  <c r="AC78" i="28"/>
  <c r="G79" i="28"/>
  <c r="H79" i="28"/>
  <c r="I79" i="28"/>
  <c r="J79" i="28"/>
  <c r="K79" i="28"/>
  <c r="L79" i="28"/>
  <c r="M79" i="28"/>
  <c r="N79" i="28"/>
  <c r="O79" i="28"/>
  <c r="P79" i="28"/>
  <c r="Q79" i="28"/>
  <c r="R79" i="28"/>
  <c r="S79" i="28"/>
  <c r="T79" i="28"/>
  <c r="U79" i="28"/>
  <c r="V79" i="28"/>
  <c r="W79" i="28"/>
  <c r="X79" i="28"/>
  <c r="Y79" i="28"/>
  <c r="Z79" i="28"/>
  <c r="AA79" i="28"/>
  <c r="AB79" i="28"/>
  <c r="AC79" i="28"/>
  <c r="G80" i="28"/>
  <c r="H80" i="28"/>
  <c r="I80" i="28"/>
  <c r="J80" i="28"/>
  <c r="K80" i="28"/>
  <c r="L80" i="28"/>
  <c r="M80" i="28"/>
  <c r="N80" i="28"/>
  <c r="O80" i="28"/>
  <c r="P80" i="28"/>
  <c r="Q80" i="28"/>
  <c r="R80" i="28"/>
  <c r="S80" i="28"/>
  <c r="T80" i="28"/>
  <c r="U80" i="28"/>
  <c r="V80" i="28"/>
  <c r="W80" i="28"/>
  <c r="X80" i="28"/>
  <c r="Y80" i="28"/>
  <c r="Z80" i="28"/>
  <c r="AA80" i="28"/>
  <c r="AB80" i="28"/>
  <c r="AC80" i="28"/>
  <c r="F79" i="28"/>
  <c r="F80" i="28"/>
  <c r="G75" i="28"/>
  <c r="H75" i="28"/>
  <c r="I75" i="28"/>
  <c r="J75" i="28"/>
  <c r="K75" i="28"/>
  <c r="L75" i="28"/>
  <c r="M75" i="28"/>
  <c r="N75" i="28"/>
  <c r="O75" i="28"/>
  <c r="P75" i="28"/>
  <c r="Q75" i="28"/>
  <c r="R75" i="28"/>
  <c r="S75" i="28"/>
  <c r="T75" i="28"/>
  <c r="U75" i="28"/>
  <c r="V75" i="28"/>
  <c r="W75" i="28"/>
  <c r="X75" i="28"/>
  <c r="Y75" i="28"/>
  <c r="Z75" i="28"/>
  <c r="AA75" i="28"/>
  <c r="AB75" i="28"/>
  <c r="AC75" i="28"/>
  <c r="G76" i="28"/>
  <c r="H76" i="28"/>
  <c r="I76" i="28"/>
  <c r="J76" i="28"/>
  <c r="K76" i="28"/>
  <c r="L76" i="28"/>
  <c r="M76" i="28"/>
  <c r="N76" i="28"/>
  <c r="O76" i="28"/>
  <c r="P76" i="28"/>
  <c r="Q76" i="28"/>
  <c r="R76" i="28"/>
  <c r="S76" i="28"/>
  <c r="T76" i="28"/>
  <c r="U76" i="28"/>
  <c r="V76" i="28"/>
  <c r="W76" i="28"/>
  <c r="X76" i="28"/>
  <c r="Y76" i="28"/>
  <c r="Z76" i="28"/>
  <c r="AA76" i="28"/>
  <c r="AB76" i="28"/>
  <c r="AC76" i="28"/>
  <c r="G77" i="28"/>
  <c r="H77" i="28"/>
  <c r="I77" i="28"/>
  <c r="J77" i="28"/>
  <c r="K77" i="28"/>
  <c r="L77" i="28"/>
  <c r="M77" i="28"/>
  <c r="N77" i="28"/>
  <c r="O77" i="28"/>
  <c r="P77" i="28"/>
  <c r="Q77" i="28"/>
  <c r="R77" i="28"/>
  <c r="S77" i="28"/>
  <c r="T77" i="28"/>
  <c r="U77" i="28"/>
  <c r="V77" i="28"/>
  <c r="W77" i="28"/>
  <c r="X77" i="28"/>
  <c r="Y77" i="28"/>
  <c r="Z77" i="28"/>
  <c r="AA77" i="28"/>
  <c r="AB77" i="28"/>
  <c r="AC77" i="28"/>
  <c r="F76" i="28"/>
  <c r="F77" i="28"/>
  <c r="F78" i="28"/>
  <c r="F75" i="28"/>
  <c r="G53" i="28"/>
  <c r="H53" i="28"/>
  <c r="I53" i="28"/>
  <c r="J53" i="28"/>
  <c r="K53" i="28"/>
  <c r="L53" i="28"/>
  <c r="M53" i="28"/>
  <c r="N53" i="28"/>
  <c r="O53" i="28"/>
  <c r="P53" i="28"/>
  <c r="Q53" i="28"/>
  <c r="R53" i="28"/>
  <c r="S53" i="28"/>
  <c r="T53" i="28"/>
  <c r="U53" i="28"/>
  <c r="V53" i="28"/>
  <c r="W53" i="28"/>
  <c r="X53" i="28"/>
  <c r="Y53" i="28"/>
  <c r="Z53" i="28"/>
  <c r="AA53" i="28"/>
  <c r="AB53" i="28"/>
  <c r="AC53" i="28"/>
  <c r="G54" i="28"/>
  <c r="H54" i="28"/>
  <c r="I54" i="28"/>
  <c r="J54" i="28"/>
  <c r="K54" i="28"/>
  <c r="L54" i="28"/>
  <c r="M54" i="28"/>
  <c r="N54" i="28"/>
  <c r="O54" i="28"/>
  <c r="P54" i="28"/>
  <c r="Q54" i="28"/>
  <c r="R54" i="28"/>
  <c r="S54" i="28"/>
  <c r="T54" i="28"/>
  <c r="U54" i="28"/>
  <c r="V54" i="28"/>
  <c r="W54" i="28"/>
  <c r="X54" i="28"/>
  <c r="Y54" i="28"/>
  <c r="Z54" i="28"/>
  <c r="AA54" i="28"/>
  <c r="AB54" i="28"/>
  <c r="AC54" i="28"/>
  <c r="G55" i="28"/>
  <c r="H55" i="28"/>
  <c r="I55" i="28"/>
  <c r="J55" i="28"/>
  <c r="K55" i="28"/>
  <c r="L55" i="28"/>
  <c r="M55" i="28"/>
  <c r="N55" i="28"/>
  <c r="O55" i="28"/>
  <c r="P55" i="28"/>
  <c r="Q55" i="28"/>
  <c r="R55" i="28"/>
  <c r="S55" i="28"/>
  <c r="T55" i="28"/>
  <c r="U55" i="28"/>
  <c r="V55" i="28"/>
  <c r="W55" i="28"/>
  <c r="X55" i="28"/>
  <c r="Y55" i="28"/>
  <c r="Z55" i="28"/>
  <c r="AA55" i="28"/>
  <c r="AB55" i="28"/>
  <c r="AC55" i="28"/>
  <c r="F54" i="28"/>
  <c r="F55" i="28"/>
  <c r="G50" i="28"/>
  <c r="H50" i="28"/>
  <c r="I50" i="28"/>
  <c r="J50" i="28"/>
  <c r="K50" i="28"/>
  <c r="L50" i="28"/>
  <c r="M50" i="28"/>
  <c r="N50" i="28"/>
  <c r="O50" i="28"/>
  <c r="P50" i="28"/>
  <c r="Q50" i="28"/>
  <c r="R50" i="28"/>
  <c r="S50" i="28"/>
  <c r="T50" i="28"/>
  <c r="U50" i="28"/>
  <c r="V50" i="28"/>
  <c r="W50" i="28"/>
  <c r="X50" i="28"/>
  <c r="Y50" i="28"/>
  <c r="Z50" i="28"/>
  <c r="AA50" i="28"/>
  <c r="AB50" i="28"/>
  <c r="AC50" i="28"/>
  <c r="G51" i="28"/>
  <c r="H51" i="28"/>
  <c r="I51" i="28"/>
  <c r="J51" i="28"/>
  <c r="K51" i="28"/>
  <c r="L51" i="28"/>
  <c r="M51" i="28"/>
  <c r="N51" i="28"/>
  <c r="O51" i="28"/>
  <c r="P51" i="28"/>
  <c r="Q51" i="28"/>
  <c r="R51" i="28"/>
  <c r="S51" i="28"/>
  <c r="T51" i="28"/>
  <c r="U51" i="28"/>
  <c r="V51" i="28"/>
  <c r="W51" i="28"/>
  <c r="X51" i="28"/>
  <c r="Y51" i="28"/>
  <c r="Z51" i="28"/>
  <c r="AA51" i="28"/>
  <c r="AB51" i="28"/>
  <c r="AC51" i="28"/>
  <c r="G52" i="28"/>
  <c r="H52" i="28"/>
  <c r="I52" i="28"/>
  <c r="J52" i="28"/>
  <c r="K52" i="28"/>
  <c r="L52" i="28"/>
  <c r="M52" i="28"/>
  <c r="N52" i="28"/>
  <c r="O52" i="28"/>
  <c r="P52" i="28"/>
  <c r="Q52" i="28"/>
  <c r="R52" i="28"/>
  <c r="S52" i="28"/>
  <c r="T52" i="28"/>
  <c r="U52" i="28"/>
  <c r="V52" i="28"/>
  <c r="W52" i="28"/>
  <c r="X52" i="28"/>
  <c r="Y52" i="28"/>
  <c r="Z52" i="28"/>
  <c r="AA52" i="28"/>
  <c r="AB52" i="28"/>
  <c r="AC52" i="28"/>
  <c r="F51" i="28"/>
  <c r="F52" i="28"/>
  <c r="F53" i="28"/>
  <c r="F50" i="28"/>
  <c r="B41" i="28" l="1"/>
  <c r="B330" i="28" s="1"/>
  <c r="B327" i="28"/>
  <c r="D41" i="28"/>
  <c r="D327" i="28"/>
  <c r="D44" i="28" l="1"/>
  <c r="D47" i="28" s="1"/>
  <c r="D50" i="28" s="1"/>
  <c r="D53" i="28" s="1"/>
  <c r="D330" i="28"/>
  <c r="B44" i="28"/>
  <c r="B47" i="28" s="1"/>
  <c r="B50" i="28" s="1"/>
  <c r="B53" i="28" s="1"/>
  <c r="M4" i="1"/>
  <c r="H30" i="13"/>
  <c r="D42" i="13"/>
  <c r="D44" i="13" l="1"/>
  <c r="D43" i="13"/>
  <c r="G6" i="13"/>
  <c r="G5" i="13"/>
  <c r="G4" i="13"/>
  <c r="G8" i="13"/>
  <c r="G7" i="13"/>
  <c r="G12" i="13"/>
  <c r="G21" i="13"/>
  <c r="G19" i="13"/>
  <c r="G16" i="13"/>
  <c r="G20" i="13"/>
  <c r="G18" i="13"/>
  <c r="G17" i="13"/>
  <c r="C42" i="2" l="1"/>
  <c r="B42" i="2"/>
  <c r="G9" i="13" l="1"/>
  <c r="G10" i="13"/>
  <c r="G11" i="13"/>
  <c r="G13" i="13"/>
  <c r="G14" i="13"/>
  <c r="G15" i="13"/>
  <c r="G22" i="13"/>
  <c r="G23" i="13"/>
  <c r="G24" i="13"/>
  <c r="G25" i="13"/>
  <c r="G26" i="13"/>
  <c r="G27" i="13"/>
  <c r="G28" i="13"/>
  <c r="G29" i="13"/>
  <c r="G3" i="13"/>
  <c r="A1" i="27"/>
  <c r="B23" i="9"/>
  <c r="C15" i="9" l="1"/>
  <c r="J15" i="9" s="1"/>
  <c r="G30" i="13"/>
  <c r="I4" i="1" l="1"/>
  <c r="A1" i="14" l="1"/>
  <c r="I13" i="1" l="1"/>
  <c r="C13" i="9" l="1"/>
  <c r="J13" i="9" s="1"/>
  <c r="G11" i="9"/>
  <c r="A1" i="22"/>
  <c r="A1" i="29"/>
  <c r="A1" i="1"/>
  <c r="A1" i="18"/>
  <c r="A1" i="9"/>
  <c r="G15" i="9"/>
  <c r="G13" i="9" l="1"/>
  <c r="C18" i="18" l="1"/>
  <c r="H18" i="18" s="1"/>
  <c r="C19" i="18"/>
  <c r="H19" i="18" s="1"/>
  <c r="G89" i="28" l="1"/>
  <c r="H89" i="28"/>
  <c r="I89" i="28"/>
  <c r="J89" i="28"/>
  <c r="K89" i="28"/>
  <c r="L89" i="28"/>
  <c r="M89" i="28"/>
  <c r="N89" i="28"/>
  <c r="O89" i="28"/>
  <c r="P89" i="28"/>
  <c r="Q89" i="28"/>
  <c r="R89" i="28"/>
  <c r="S89" i="28"/>
  <c r="T89" i="28"/>
  <c r="U89" i="28"/>
  <c r="V89" i="28"/>
  <c r="W89" i="28"/>
  <c r="X89" i="28"/>
  <c r="Y89" i="28"/>
  <c r="Z89" i="28"/>
  <c r="AA89" i="28"/>
  <c r="AB89" i="28"/>
  <c r="AC89" i="28"/>
  <c r="G90" i="28"/>
  <c r="H90" i="28"/>
  <c r="I90" i="28"/>
  <c r="J90" i="28"/>
  <c r="K90" i="28"/>
  <c r="L90" i="28"/>
  <c r="M90" i="28"/>
  <c r="N90" i="28"/>
  <c r="O90" i="28"/>
  <c r="P90" i="28"/>
  <c r="Q90" i="28"/>
  <c r="R90" i="28"/>
  <c r="S90" i="28"/>
  <c r="T90" i="28"/>
  <c r="U90" i="28"/>
  <c r="V90" i="28"/>
  <c r="W90" i="28"/>
  <c r="X90" i="28"/>
  <c r="Y90" i="28"/>
  <c r="Z90" i="28"/>
  <c r="AA90" i="28"/>
  <c r="AB90" i="28"/>
  <c r="AC90" i="28"/>
  <c r="F90" i="28"/>
  <c r="F89" i="28"/>
  <c r="J13" i="1" l="1"/>
  <c r="K13" i="1"/>
  <c r="L13" i="1"/>
  <c r="M13" i="1"/>
  <c r="N13" i="1"/>
  <c r="O13" i="1"/>
  <c r="P13" i="1"/>
  <c r="Q13" i="1"/>
  <c r="R13" i="1"/>
  <c r="S13" i="1"/>
  <c r="T13" i="1"/>
  <c r="U13" i="1"/>
  <c r="V13" i="1"/>
  <c r="W13" i="1"/>
  <c r="X13" i="1"/>
  <c r="X4" i="1"/>
  <c r="W4" i="1"/>
  <c r="V4" i="1"/>
  <c r="U4" i="1"/>
  <c r="T4" i="1"/>
  <c r="S4" i="1"/>
  <c r="R4" i="1"/>
  <c r="Q4" i="1"/>
  <c r="P4" i="1"/>
  <c r="O4" i="1"/>
  <c r="N4" i="1"/>
  <c r="L4" i="1"/>
  <c r="K4" i="1"/>
  <c r="J4" i="1"/>
  <c r="D41" i="13" l="1"/>
  <c r="C20" i="18" l="1"/>
  <c r="H20" i="18" s="1"/>
  <c r="A1" i="30" l="1"/>
  <c r="C9" i="18" l="1"/>
  <c r="H9" i="18" s="1"/>
  <c r="C10" i="18"/>
  <c r="H10" i="18" s="1"/>
  <c r="C11" i="18"/>
  <c r="H11" i="18" s="1"/>
  <c r="C12" i="18"/>
  <c r="H12" i="18" s="1"/>
  <c r="C13" i="18"/>
  <c r="C14" i="18"/>
  <c r="H14" i="18" s="1"/>
  <c r="C15" i="18"/>
  <c r="H15" i="18" s="1"/>
  <c r="C16" i="18"/>
  <c r="H16" i="18" s="1"/>
  <c r="C17" i="18"/>
  <c r="H17" i="18" s="1"/>
  <c r="C21" i="18"/>
  <c r="H21" i="18" s="1"/>
  <c r="C22" i="18"/>
  <c r="H22" i="18" s="1"/>
  <c r="C23" i="18"/>
  <c r="H23" i="18" s="1"/>
  <c r="C24" i="18"/>
  <c r="H24" i="18" s="1"/>
  <c r="C25" i="18"/>
  <c r="H25" i="18" s="1"/>
  <c r="C26" i="18"/>
  <c r="H26" i="18" s="1"/>
  <c r="C27" i="18"/>
  <c r="H27" i="18" s="1"/>
  <c r="C28" i="18"/>
  <c r="I28" i="18" s="1"/>
  <c r="C29" i="18"/>
  <c r="H29" i="18" s="1"/>
  <c r="C3" i="18"/>
  <c r="H3" i="18" s="1"/>
  <c r="I13" i="18" l="1"/>
  <c r="H13" i="18"/>
  <c r="B24" i="9"/>
  <c r="H28" i="18"/>
  <c r="J16" i="9" l="1"/>
  <c r="C14" i="9"/>
  <c r="C12" i="9"/>
  <c r="G16" i="9"/>
  <c r="I18" i="13"/>
  <c r="I19" i="13"/>
  <c r="I20" i="13"/>
  <c r="B24" i="18"/>
  <c r="I25" i="13"/>
  <c r="I23" i="13"/>
  <c r="I26" i="13"/>
  <c r="B27" i="18"/>
  <c r="B18" i="18"/>
  <c r="B19" i="18"/>
  <c r="B20" i="18"/>
  <c r="I21" i="13"/>
  <c r="G12" i="9" l="1"/>
  <c r="G17" i="9" s="1"/>
  <c r="J12" i="9"/>
  <c r="J17" i="9" s="1"/>
  <c r="B3" i="9" s="1"/>
  <c r="G14" i="9"/>
  <c r="G18" i="9" s="1"/>
  <c r="C4" i="9" s="1"/>
  <c r="J14" i="9"/>
  <c r="J18" i="9" s="1"/>
  <c r="C3" i="9" s="1"/>
  <c r="G19" i="18"/>
  <c r="J19" i="18" s="1"/>
  <c r="G27" i="18"/>
  <c r="J27" i="18" s="1"/>
  <c r="G20" i="18"/>
  <c r="J20" i="18" s="1"/>
  <c r="G18" i="18"/>
  <c r="J18" i="18" s="1"/>
  <c r="G24" i="18"/>
  <c r="J24" i="18" s="1"/>
  <c r="B25" i="18"/>
  <c r="I27" i="13"/>
  <c r="B26" i="18"/>
  <c r="B23" i="18"/>
  <c r="B21" i="18"/>
  <c r="I24" i="13"/>
  <c r="G19" i="9" l="1"/>
  <c r="D3" i="9"/>
  <c r="J19" i="9"/>
  <c r="B4" i="9"/>
  <c r="D4" i="9" s="1"/>
  <c r="G26" i="18"/>
  <c r="J26" i="18" s="1"/>
  <c r="G21" i="18"/>
  <c r="J21" i="18" s="1"/>
  <c r="G25" i="18"/>
  <c r="J25" i="18" s="1"/>
  <c r="G23" i="18"/>
  <c r="J23" i="18" s="1"/>
  <c r="I29" i="13"/>
  <c r="K29" i="13"/>
  <c r="D36" i="33" s="1"/>
  <c r="F36" i="33" s="1"/>
  <c r="G36" i="33" s="1"/>
  <c r="B29" i="18" l="1"/>
  <c r="G29" i="18" s="1"/>
  <c r="J29" i="18" s="1"/>
  <c r="K12" i="13"/>
  <c r="D19" i="33" s="1"/>
  <c r="F19" i="33" s="1"/>
  <c r="G19" i="33" s="1"/>
  <c r="I12" i="13"/>
  <c r="K10" i="13"/>
  <c r="D17" i="33" s="1"/>
  <c r="F17" i="33" s="1"/>
  <c r="G17" i="33" s="1"/>
  <c r="I10" i="13"/>
  <c r="I22" i="13"/>
  <c r="B22" i="18"/>
  <c r="B17" i="18"/>
  <c r="G17" i="18" s="1"/>
  <c r="I17" i="13"/>
  <c r="I16" i="13"/>
  <c r="K16" i="13"/>
  <c r="K11" i="13"/>
  <c r="D18" i="33" s="1"/>
  <c r="F18" i="33" s="1"/>
  <c r="G18" i="33" s="1"/>
  <c r="I11" i="13"/>
  <c r="K9" i="13"/>
  <c r="D16" i="33" s="1"/>
  <c r="F16" i="33" s="1"/>
  <c r="I9" i="13"/>
  <c r="K14" i="13"/>
  <c r="D21" i="33" s="1"/>
  <c r="F21" i="33" s="1"/>
  <c r="G21" i="33" s="1"/>
  <c r="I14" i="13"/>
  <c r="K28" i="13"/>
  <c r="I28" i="13"/>
  <c r="I15" i="13"/>
  <c r="K15" i="13"/>
  <c r="K13" i="13"/>
  <c r="D20" i="33" s="1"/>
  <c r="F20" i="33" s="1"/>
  <c r="G20" i="33" s="1"/>
  <c r="I13" i="13"/>
  <c r="AB4" i="21"/>
  <c r="AB5" i="21"/>
  <c r="AB6" i="21"/>
  <c r="AB7" i="21"/>
  <c r="AB8" i="21"/>
  <c r="H5" i="21"/>
  <c r="H6" i="21"/>
  <c r="H7" i="21"/>
  <c r="H8" i="21"/>
  <c r="H9" i="21"/>
  <c r="H10" i="21"/>
  <c r="H11" i="21"/>
  <c r="H12" i="21"/>
  <c r="H13" i="21"/>
  <c r="H14" i="21"/>
  <c r="H15" i="21"/>
  <c r="H16" i="21"/>
  <c r="H17" i="21"/>
  <c r="H18" i="21"/>
  <c r="H19" i="21"/>
  <c r="H4" i="21"/>
  <c r="B15" i="18" l="1"/>
  <c r="G15" i="18" s="1"/>
  <c r="J15" i="18" s="1"/>
  <c r="D22" i="33"/>
  <c r="F22" i="33" s="1"/>
  <c r="G22" i="33" s="1"/>
  <c r="B28" i="18"/>
  <c r="G28" i="18" s="1"/>
  <c r="J28" i="18" s="1"/>
  <c r="D35" i="33"/>
  <c r="F35" i="33" s="1"/>
  <c r="G35" i="33" s="1"/>
  <c r="B16" i="18"/>
  <c r="G16" i="18" s="1"/>
  <c r="J16" i="18" s="1"/>
  <c r="D23" i="33"/>
  <c r="F23" i="33" s="1"/>
  <c r="G23" i="33" s="1"/>
  <c r="G16" i="33"/>
  <c r="I30" i="13"/>
  <c r="B14" i="18"/>
  <c r="G14" i="18" s="1"/>
  <c r="J14" i="18" s="1"/>
  <c r="B11" i="18"/>
  <c r="G11" i="18" s="1"/>
  <c r="J11" i="18" s="1"/>
  <c r="J17" i="18"/>
  <c r="B12" i="18"/>
  <c r="G12" i="18" s="1"/>
  <c r="J12" i="18" s="1"/>
  <c r="B9" i="18"/>
  <c r="G9" i="18" s="1"/>
  <c r="J9" i="18" s="1"/>
  <c r="G22" i="18"/>
  <c r="J22" i="18" s="1"/>
  <c r="B3" i="18"/>
  <c r="G3" i="18" s="1"/>
  <c r="J3" i="18" s="1"/>
  <c r="B10" i="18"/>
  <c r="G10" i="18" s="1"/>
  <c r="J10" i="18" s="1"/>
  <c r="B13" i="18"/>
  <c r="F38" i="33" l="1"/>
  <c r="F37" i="33"/>
  <c r="G13" i="18"/>
  <c r="J13" i="18" s="1"/>
  <c r="J31" i="18"/>
  <c r="K30" i="14" s="1"/>
  <c r="E41" i="33" l="1"/>
  <c r="B40" i="33"/>
  <c r="D52" i="33" s="1"/>
  <c r="E52" i="33" s="1"/>
  <c r="F52" i="33" s="1"/>
  <c r="G54" i="33" l="1"/>
  <c r="D62" i="33"/>
  <c r="E62" i="33" s="1"/>
  <c r="F62" i="33" s="1"/>
  <c r="G52" i="33"/>
  <c r="H52" i="33" s="1"/>
  <c r="J52" i="33" s="1"/>
  <c r="G53" i="33"/>
  <c r="G61" i="33"/>
  <c r="G51" i="33"/>
  <c r="G60" i="33"/>
  <c r="D63" i="33"/>
  <c r="E63" i="33" s="1"/>
  <c r="F63" i="33" s="1"/>
  <c r="D58" i="33"/>
  <c r="E58" i="33" s="1"/>
  <c r="F58" i="33" s="1"/>
  <c r="G49" i="33"/>
  <c r="D49" i="33"/>
  <c r="E49" i="33" s="1"/>
  <c r="F49" i="33" s="1"/>
  <c r="H49" i="33" s="1"/>
  <c r="J49" i="33" s="1"/>
  <c r="D56" i="33"/>
  <c r="E56" i="33" s="1"/>
  <c r="F56" i="33" s="1"/>
  <c r="D50" i="33"/>
  <c r="E50" i="33" s="1"/>
  <c r="F50" i="33" s="1"/>
  <c r="D53" i="33"/>
  <c r="E53" i="33" s="1"/>
  <c r="F53" i="33" s="1"/>
  <c r="H53" i="33" s="1"/>
  <c r="J53" i="33" s="1"/>
  <c r="D55" i="33"/>
  <c r="E55" i="33" s="1"/>
  <c r="F55" i="33" s="1"/>
  <c r="D54" i="33"/>
  <c r="E54" i="33" s="1"/>
  <c r="F54" i="33" s="1"/>
  <c r="H54" i="33" s="1"/>
  <c r="J54" i="33" s="1"/>
  <c r="G57" i="33"/>
  <c r="H57" i="33" s="1"/>
  <c r="J57" i="33" s="1"/>
  <c r="G62" i="33"/>
  <c r="H62" i="33" s="1"/>
  <c r="J62" i="33" s="1"/>
  <c r="G56" i="33"/>
  <c r="D48" i="33"/>
  <c r="E48" i="33" s="1"/>
  <c r="F48" i="33" s="1"/>
  <c r="H48" i="33" s="1"/>
  <c r="J48" i="33" s="1"/>
  <c r="D3" i="33"/>
  <c r="D61" i="33"/>
  <c r="E61" i="33" s="1"/>
  <c r="F61" i="33" s="1"/>
  <c r="G48" i="33" a="1"/>
  <c r="G48" i="33" s="1"/>
  <c r="G58" i="33"/>
  <c r="G63" i="33"/>
  <c r="D59" i="33"/>
  <c r="E59" i="33" s="1"/>
  <c r="F59" i="33" s="1"/>
  <c r="G50" i="33"/>
  <c r="G55" i="33"/>
  <c r="D60" i="33"/>
  <c r="E60" i="33" s="1"/>
  <c r="F60" i="33" s="1"/>
  <c r="D51" i="33"/>
  <c r="E51" i="33" s="1"/>
  <c r="F51" i="33" s="1"/>
  <c r="H51" i="33" s="1"/>
  <c r="J51" i="33" s="1"/>
  <c r="D57" i="33"/>
  <c r="E57" i="33" s="1"/>
  <c r="F57" i="33" s="1"/>
  <c r="G59" i="33"/>
  <c r="H59" i="33" s="1"/>
  <c r="J59" i="33" s="1"/>
  <c r="H63" i="33"/>
  <c r="J63" i="33" s="1"/>
  <c r="H58" i="33"/>
  <c r="J58" i="33" s="1"/>
  <c r="H50" i="33" l="1"/>
  <c r="J50" i="33" s="1"/>
  <c r="H61" i="33"/>
  <c r="J61" i="33" s="1"/>
  <c r="H60" i="33"/>
  <c r="J60" i="33" s="1"/>
  <c r="H55" i="33"/>
  <c r="J55" i="33" s="1"/>
  <c r="H56" i="33"/>
  <c r="J56" i="3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<sst xmlns="http://schemas.openxmlformats.org/spreadsheetml/2006/main" count="2534" uniqueCount="1135">
  <si>
    <t>Data Sources</t>
  </si>
  <si>
    <t>Dataset</t>
  </si>
  <si>
    <t>Dodge 2023</t>
  </si>
  <si>
    <r>
      <t>Commercial End-Use Survey</t>
    </r>
    <r>
      <rPr>
        <sz val="10"/>
        <rFont val="Arial"/>
        <family val="2"/>
      </rPr>
      <t xml:space="preserve"> (CEUS) 2022</t>
    </r>
  </si>
  <si>
    <t>https://www.energy.ca.gov/publications/2023/2022-california-commercial-end-use-survey-ceus-final-report</t>
  </si>
  <si>
    <t xml:space="preserve"> </t>
  </si>
  <si>
    <r>
      <t xml:space="preserve">Commercial Buildings Energy Consumption Survey </t>
    </r>
    <r>
      <rPr>
        <sz val="10"/>
        <rFont val="Arial"/>
        <family val="2"/>
      </rPr>
      <t>(CBECS) 2018</t>
    </r>
  </si>
  <si>
    <t>https://www.eia.gov/consumption/commercial/data/2018/index.php?view=microdata</t>
  </si>
  <si>
    <t>Comstock 2023</t>
  </si>
  <si>
    <t>https://data.openei.org/s3_viewer?bucket=oedi-data-lake&amp;prefix=nrel-pds-building-stock%2Fend-use-load-profiles-for-us-building-stock%2F2023%2Fcomstock_amy2018_release_2%2Fmetadata_and_annual_results%2Fby_state%2Fstate%3DCA%2F</t>
  </si>
  <si>
    <t>Prototype</t>
  </si>
  <si>
    <r>
      <rPr>
        <sz val="10"/>
        <color rgb="FF000000"/>
        <rFont val="Arial"/>
        <family val="2"/>
      </rPr>
      <t xml:space="preserve">Pacific Northwest National Laboratory </t>
    </r>
    <r>
      <rPr>
        <sz val="10"/>
        <color theme="1"/>
        <rFont val="Arial"/>
        <family val="2"/>
      </rPr>
      <t>(PNNL) Large Hotel prototype (ASHRAE 90.1-2022)</t>
    </r>
  </si>
  <si>
    <t>https://www.energycodes.gov/prototype-building-models#Commercial</t>
  </si>
  <si>
    <r>
      <rPr>
        <sz val="10"/>
        <color rgb="FF000000"/>
        <rFont val="Arial"/>
        <family val="2"/>
      </rPr>
      <t>Database for Energy Efficient Resources</t>
    </r>
    <r>
      <rPr>
        <sz val="10"/>
        <color theme="1"/>
        <rFont val="Arial"/>
        <family val="2"/>
      </rPr>
      <t xml:space="preserve"> (DEER)  Hotel prototype (June 2024)</t>
    </r>
  </si>
  <si>
    <t>https://github.com/sound-data/DEER-Prototypes-EnergyPlus</t>
  </si>
  <si>
    <r>
      <rPr>
        <sz val="10"/>
        <color rgb="FF000000"/>
        <rFont val="Arial"/>
        <family val="2"/>
      </rPr>
      <t>Department of Energy</t>
    </r>
    <r>
      <rPr>
        <sz val="10"/>
        <color theme="1"/>
        <rFont val="Arial"/>
        <family val="2"/>
      </rPr>
      <t xml:space="preserve"> (DOE) Large Hotel 2004 Prototype</t>
    </r>
  </si>
  <si>
    <t>https://www.energy.gov/eere/buildings/new-construction-commercial-reference-buildings</t>
  </si>
  <si>
    <r>
      <rPr>
        <sz val="10"/>
        <color rgb="FF000000"/>
        <rFont val="Arial"/>
        <family val="2"/>
      </rPr>
      <t>California Energy Commission</t>
    </r>
    <r>
      <rPr>
        <sz val="10"/>
        <color theme="1"/>
        <rFont val="Arial"/>
        <family val="2"/>
      </rPr>
      <t xml:space="preserve"> (CEC) Small Hotel prototype</t>
    </r>
    <r>
      <rPr>
        <sz val="10"/>
        <rFont val="Arial"/>
        <family val="2"/>
      </rPr>
      <t xml:space="preserve"> (CBECC 2022.3.1)</t>
    </r>
  </si>
  <si>
    <t>https://bees.noresco.com/software2022.html</t>
  </si>
  <si>
    <t>Codes</t>
  </si>
  <si>
    <t>Title 24, part 6, referred to as T24 (1984, 1992,1998, 2001, 2005, 2008, 2013, 2016,2019, 2022, 2025)</t>
  </si>
  <si>
    <t>https://www.energy.ca.gov/publications/2025/2025-building-energy-efficiency-standards-residential-and-nonresidential</t>
  </si>
  <si>
    <t>https://codes.iccsafe.org/codes/united-states/california</t>
  </si>
  <si>
    <t>2010+</t>
  </si>
  <si>
    <r>
      <t>American Society of Heating, Refrigerating and Air-Conditioning Engineers</t>
    </r>
    <r>
      <rPr>
        <sz val="10"/>
        <color rgb="FF000000"/>
        <rFont val="Arial"/>
        <family val="2"/>
      </rPr>
      <t xml:space="preserve"> (ASHRAE) 90.1 (2022)</t>
    </r>
  </si>
  <si>
    <t>https://www.ashrae.org/technical-resources/standards-and-guidelines/read-only-versions-of-ashrae-standards</t>
  </si>
  <si>
    <t>Title 20</t>
  </si>
  <si>
    <t>https://govt.westlaw.com/calregs/Document/I270DCA634B4011EFA8F7F119BAF97AD6?viewType=FullText&amp;originationContext=documenttoc&amp;transitionType=CategoryPageItem&amp;contextData=(sc.Default)</t>
  </si>
  <si>
    <t>Others</t>
  </si>
  <si>
    <r>
      <t>Alternative Calculation Method</t>
    </r>
    <r>
      <rPr>
        <sz val="10"/>
        <color rgb="FF000000"/>
        <rFont val="Arial"/>
        <family val="2"/>
      </rPr>
      <t xml:space="preserve"> (ACM) (2022)</t>
    </r>
  </si>
  <si>
    <t>https://www.energy.ca.gov/publications/2022/2022-nonresidential-and-multifamily-alternative-calculation-method-reference</t>
  </si>
  <si>
    <t>ACM (2025)</t>
  </si>
  <si>
    <t>https://www.energy.ca.gov/publications/2025/2025-nonresidential-and-multifamily-alternative-calculation-method-reference</t>
  </si>
  <si>
    <r>
      <t xml:space="preserve">Nonres ACM 2022, </t>
    </r>
    <r>
      <rPr>
        <sz val="10"/>
        <color rgb="FF000000"/>
        <rFont val="Arial"/>
        <family val="2"/>
      </rPr>
      <t>Appendix 5.4A and Appendix 5.4B</t>
    </r>
  </si>
  <si>
    <r>
      <t xml:space="preserve">2022 Reduced infiltration </t>
    </r>
    <r>
      <rPr>
        <sz val="10"/>
        <color rgb="FF000000"/>
        <rFont val="Arial"/>
        <family val="2"/>
      </rPr>
      <t xml:space="preserve">Codes and Standards Enhancement </t>
    </r>
    <r>
      <rPr>
        <sz val="10"/>
        <color theme="1"/>
        <rFont val="Arial"/>
        <family val="2"/>
      </rPr>
      <t xml:space="preserve">(CASE) report </t>
    </r>
  </si>
  <si>
    <t>https://title24stakeholders.com/wp-content/uploads/2020/10/2022-T24-Final-CASE-Report_Reduce-Infiltration.pdf</t>
  </si>
  <si>
    <t>Honeywell, INNCOM e7 Thermostat User Guide, 2017</t>
  </si>
  <si>
    <t>https://prod-edam.honeywell.com/content/dam/honeywell-edam/hbt/en-us/documents/manuals-and-guides/installation-guides/inncom/hbt-bms-INNCOM-e7-USER-GUIDE.pdf?download=false</t>
  </si>
  <si>
    <t>2019 Outdoor Lighting CASE Report</t>
  </si>
  <si>
    <t>https://title24stakeholders.com/wp-content/uploads/2016/10/T24-2019-CASE-Study-Results-Report-Outdoor-Sources_Final_with-Attachments.pdf</t>
  </si>
  <si>
    <r>
      <rPr>
        <sz val="10"/>
        <color rgb="FF000000"/>
        <rFont val="Arial"/>
        <family val="2"/>
      </rPr>
      <t>2024</t>
    </r>
    <r>
      <rPr>
        <sz val="10"/>
        <color theme="1"/>
        <rFont val="Arial"/>
        <family val="2"/>
      </rPr>
      <t xml:space="preserve"> California Lodging forecast</t>
    </r>
  </si>
  <si>
    <t>https://assets.visitcalifornia.com/media/?mediaId=D0CF4716-DD37-4678-852AB388768DE451&amp;viewType=grid</t>
  </si>
  <si>
    <t>2025 State of the Industry Report</t>
  </si>
  <si>
    <t>https://www.ahla.com/sites/default/files/25_SOTI.pdf</t>
  </si>
  <si>
    <t>PNNL 20405, 2011</t>
  </si>
  <si>
    <t>https://www.pnnl.gov/main/publications/external/technical_reports/PNNL-20405.pdf</t>
  </si>
  <si>
    <t>Air leakage Memo, NORESCO, 2025</t>
  </si>
  <si>
    <t>Infiltration_rate_report_14May2025-Short-Version.docx</t>
  </si>
  <si>
    <t>Yousefi, F., Athalye, R., (2025), "Determining Vintage Bins for Prototype Development: An Analysis of California Commercial Buildings," ASHRAE Annual Conference</t>
  </si>
  <si>
    <t>https://www.thefreelibrary.com/Determining+Vintage+Bins+for+Prototype+Development%3a+An+Analysis+of...-a0879271125</t>
  </si>
  <si>
    <t>Proposed Updates to Equipment Power Densities and Building Schedules for the 2028 Energy Code, referred to as "Plug load and schedules project with CEC, 2025" (Docket Number =25-BSTD-03  &amp; TN=265693)</t>
  </si>
  <si>
    <t>https://efiling.energy.ca.gov/GetDocument.aspx?tn=265693&amp;DocumentContentId=102545</t>
  </si>
  <si>
    <t xml:space="preserve">ENERGY STAR certified commercial water heaters </t>
  </si>
  <si>
    <t>https://www.energystar.gov/productfinder/product/certified-commercial-water-heaters/results?fuel_filter=Gas&amp;markets_filter=United+States</t>
  </si>
  <si>
    <t>Grainger gas tank water heaters (sizes below commercial, e.g. 30–75 kBtu/h)</t>
  </si>
  <si>
    <t>https://www.grainger.com/category/plumbing/water-heaters/gas-tank-water-heaters</t>
  </si>
  <si>
    <t xml:space="preserve">Grainger electric tank water heaters </t>
  </si>
  <si>
    <t>https://www.grainger.com/category/plumbing/water-heaters/electric-tank-water-heaters</t>
  </si>
  <si>
    <t>Construction Rate</t>
  </si>
  <si>
    <t xml:space="preserve">Source:Dodge Construction Data, 2023 ( NEW Hotels above 60,000 sf built after 1967) (STC refers to building types in Dodge terminology). </t>
  </si>
  <si>
    <t>Notes</t>
  </si>
  <si>
    <t>HotelLarge Prototype</t>
  </si>
  <si>
    <t>The HotelLarge prototype was developed to represent California large hotels with floor area above 60,000 ft² , no matter of their number of stories.
According to Dodge (2023), the average large hotel in California is described as a 9‑story building with a total floor area of 150,000 sf and a footprint of 16,600 sf. In comparison, the PNNL large hotel prototype is characterized as a 7‑story building with a total floor area of 122,000 sf and a 17,400 sf footprint, placing its footprint within 5% of the California average. Because the prototype is considered well established and has defined zoning, it is selected as the basis for the model and modified through the addition of two floors. With this modification, alignment with the California building stock assessment is achieved, and the percentage of guest rooms is increased.</t>
  </si>
  <si>
    <t xml:space="preserve"> "NUMPRO=1" refers to Dodge records with only one building per record, while "All extended" includes all the records.</t>
  </si>
  <si>
    <t>1984 is  the representative year for the 1984-1997 vintage bin</t>
  </si>
  <si>
    <t xml:space="preserve">"Most large hotels in this vintage bin were built after 1984 (more than 53% ) and the CA energy code did not  noticeably changed between 1984 to 1992) 
Also "Heat Capacity" for external wall is considered between 10.0 to 14.99 (Btu/F/ft²) 
Package A was selected for the thermal properties, and the prescriptive criteria of high-rise office buildings were also applied to the large hotel.			</t>
  </si>
  <si>
    <t>2001 is  the representative year for the 1998-2007 vintage bin</t>
  </si>
  <si>
    <t>Wall and roof prescriptive criteria from 1998 to 2005  remain unchanged except for CZ2 and 6 in 2001 code  (the percentage of change is less than 10%).</t>
  </si>
  <si>
    <t>Since the construction rate between 1998-2005 is greater than the 2006-2007 period,  the envelope properties of 1998 -2005 were chosen for envelope properties. Since the windows requirement considerably changed in the 2001 code,  the nominated year for this vintage is 2001.</t>
  </si>
  <si>
    <t>2013 is  the representative year for the 2008-2018 vintage bin</t>
  </si>
  <si>
    <t>Wall properties remain unchanged from the 2008 code to the 2016 code but the roof did changed. Although the 2016 code introduced improvement for roof in nearly all CZ and for wall in a few CZ, and  construction activity surged between 2017 and 2018, the extended period from 2008 to 2016 resulted in a higher construction rate during that time . As a result, it was decided to select the code that was effective during 2008-2016.</t>
  </si>
  <si>
    <t>Construction activity from 2014-2018  was higher compared to 2008-2013 period. Therefore, the 2013 code was chosen as the representative code. Additionally, the 2013 code modified the solar reflectance requirement for low-sloped roof products ( by approximately 15%), and enhanced window properties.</t>
  </si>
  <si>
    <t>NORESCO, Updated September 2026</t>
  </si>
  <si>
    <t>HotelLarge</t>
  </si>
  <si>
    <t>Characteristic</t>
  </si>
  <si>
    <t>Value</t>
  </si>
  <si>
    <t>Building Type</t>
  </si>
  <si>
    <t>Large Hotel</t>
  </si>
  <si>
    <t>Building Category</t>
  </si>
  <si>
    <t>Nonresidential</t>
  </si>
  <si>
    <t>Version</t>
  </si>
  <si>
    <t>v2-0</t>
  </si>
  <si>
    <t>Vintages</t>
  </si>
  <si>
    <t>4 Vintages: Pre-1978 , 1978-1997 ,1998-2007 , 2008-2018
New Construction (2019+)</t>
  </si>
  <si>
    <r>
      <rPr>
        <sz val="10"/>
        <color rgb="FF000000"/>
        <rFont val="Arial"/>
        <family val="2"/>
      </rPr>
      <t xml:space="preserve">Based on the vintage bin analysis. 
</t>
    </r>
    <r>
      <rPr>
        <sz val="10"/>
        <color rgb="FF000000"/>
        <rFont val="Arial"/>
        <family val="2"/>
      </rPr>
      <t>A summary of the findings is presented in the following paper, with a link provided in the Notes tab:
Yousefi, F., Athalye, R. (2025). “Determining Vintage Bins for Prototype Development: An Analysis of California Commercial Buildings.” ASHRAE Annual Conference.</t>
    </r>
  </si>
  <si>
    <t>Shape</t>
  </si>
  <si>
    <r>
      <rPr>
        <sz val="10"/>
        <color rgb="FF000000"/>
        <rFont val="Arial"/>
        <family val="2"/>
      </rPr>
      <t xml:space="preserve">PNNL Hotel Large 2022 prototype, modified by adding two additional living floors, based on Dodge 2023 data analysis </t>
    </r>
    <r>
      <rPr>
        <sz val="10"/>
        <color rgb="FF000000"/>
        <rFont val="Arial"/>
        <family val="2"/>
      </rPr>
      <t xml:space="preserve">and update zoning of the basement  and ground floor.
</t>
    </r>
    <r>
      <rPr>
        <sz val="10"/>
        <color rgb="FF000000"/>
        <rFont val="Arial"/>
        <family val="2"/>
      </rPr>
      <t xml:space="preserve"> </t>
    </r>
  </si>
  <si>
    <t>Total Floor Area (ft²)</t>
  </si>
  <si>
    <t>153,921 (284 ft x 75 ft)</t>
  </si>
  <si>
    <t>Total floor area : Dodge 2023 data, 
Footprint :PNNL Hotel Large 2022</t>
  </si>
  <si>
    <t>Aspect Ratio</t>
  </si>
  <si>
    <t xml:space="preserve"> Ground floor:       3.79 (284 ft x 75 ft)
All other floors:    5.07 (284 ft x 56 ft)</t>
  </si>
  <si>
    <t xml:space="preserve">Assumption: PNNL Hotel Large 2022 </t>
  </si>
  <si>
    <t>Number of Floors</t>
  </si>
  <si>
    <t xml:space="preserve">8 above-ground floors plus one basement </t>
  </si>
  <si>
    <t xml:space="preserve">Dodge 2023 data,  </t>
  </si>
  <si>
    <t>Surface to Floor Area Ratio</t>
  </si>
  <si>
    <t>Number of Guestrooms</t>
  </si>
  <si>
    <t>263 (accounting for about  48% of the total floor area)</t>
  </si>
  <si>
    <t>Roof type</t>
  </si>
  <si>
    <t>Flat roof</t>
  </si>
  <si>
    <t>WWR</t>
  </si>
  <si>
    <t>South: 36.7%, East: 24.5%, North: 26.0%, West: 24.5%
Total: 30.2%</t>
  </si>
  <si>
    <t>Shading Geometry</t>
  </si>
  <si>
    <t>-</t>
  </si>
  <si>
    <t>Floor to floor height (ft)</t>
  </si>
  <si>
    <r>
      <rPr>
        <sz val="10"/>
        <color rgb="FF000000"/>
        <rFont val="Arial"/>
        <family val="2"/>
      </rPr>
      <t xml:space="preserve">Basement: </t>
    </r>
    <r>
      <rPr>
        <sz val="10"/>
        <color rgb="FF000000"/>
        <rFont val="Arial"/>
        <family val="2"/>
      </rPr>
      <t xml:space="preserve">13 </t>
    </r>
    <r>
      <rPr>
        <sz val="10"/>
        <color rgb="FF000000"/>
        <rFont val="Arial"/>
        <family val="2"/>
      </rPr>
      <t>ft
Ground floor: 13 ft
2nd - 6th floors: 10 ft</t>
    </r>
  </si>
  <si>
    <r>
      <rPr>
        <sz val="10"/>
        <color rgb="FF000000"/>
        <rFont val="Arial"/>
        <family val="2"/>
      </rPr>
      <t xml:space="preserve">Assumptions: PNNL Hotel Large 2022
</t>
    </r>
    <r>
      <rPr>
        <sz val="10"/>
        <color rgb="FF000000"/>
        <rFont val="Arial"/>
        <family val="2"/>
      </rPr>
      <t>Basement height: assumed based on the average basement height of typical large hotels, considering associated space requirements</t>
    </r>
  </si>
  <si>
    <t>Floor to ceiling height (ft)</t>
  </si>
  <si>
    <r>
      <rPr>
        <sz val="10"/>
        <color rgb="FF000000"/>
        <rFont val="Arial"/>
        <family val="2"/>
      </rPr>
      <t>Basement: 13 ft</t>
    </r>
    <r>
      <rPr>
        <sz val="10"/>
        <color rgb="FF000000"/>
        <rFont val="Arial"/>
        <family val="2"/>
      </rPr>
      <t xml:space="preserve">
</t>
    </r>
    <r>
      <rPr>
        <sz val="10"/>
        <rFont val="Arial"/>
        <family val="2"/>
      </rPr>
      <t>Ground floor: 13 ft</t>
    </r>
    <r>
      <rPr>
        <sz val="10"/>
        <color rgb="FF000000"/>
        <rFont val="Arial"/>
        <family val="2"/>
      </rPr>
      <t xml:space="preserve">
</t>
    </r>
    <r>
      <rPr>
        <sz val="10"/>
        <color rgb="FF000000"/>
        <rFont val="Arial"/>
        <family val="2"/>
      </rPr>
      <t>2nd - 8th floors: 10 ft</t>
    </r>
  </si>
  <si>
    <t>Glazing sill height (ft)</t>
  </si>
  <si>
    <t>6 in.(in ground floor), 3.6 ft. (in upper floors)</t>
  </si>
  <si>
    <t xml:space="preserve">Assumptions:PNNL Hotel Large 2022 </t>
  </si>
  <si>
    <t>Above grade wall area (ft²)</t>
  </si>
  <si>
    <t>Gross wall area  (ft²)</t>
  </si>
  <si>
    <t>Roof area  (ft²)</t>
  </si>
  <si>
    <t>Underground Gross Wall Area  (ft²)</t>
  </si>
  <si>
    <t>Background Data</t>
  </si>
  <si>
    <t xml:space="preserve">Existing Public Prototypes: </t>
  </si>
  <si>
    <t>CPUC</t>
  </si>
  <si>
    <t>PNNL</t>
  </si>
  <si>
    <t xml:space="preserve">Zone </t>
  </si>
  <si>
    <t>Geometry</t>
  </si>
  <si>
    <t>Area share (%)</t>
  </si>
  <si>
    <t>People (ft² per person)</t>
  </si>
  <si>
    <t>Lighting (W/ft²)</t>
  </si>
  <si>
    <t>Plug and Process (W/ft²)</t>
  </si>
  <si>
    <t>Area share</t>
  </si>
  <si>
    <t>Electric Load (W/ft²)</t>
  </si>
  <si>
    <t>Gas Load (W/ft²)</t>
  </si>
  <si>
    <t>Stories</t>
  </si>
  <si>
    <t>4 stories</t>
  </si>
  <si>
    <t>6 Stories + Basement</t>
  </si>
  <si>
    <t>Small Guest room</t>
  </si>
  <si>
    <t>Total floor area (ft²)</t>
  </si>
  <si>
    <t>Large Guest room</t>
  </si>
  <si>
    <t>Planus (ft²)</t>
  </si>
  <si>
    <t>Yes: 68,558</t>
  </si>
  <si>
    <t>No</t>
  </si>
  <si>
    <t>Corridor</t>
  </si>
  <si>
    <t>Multiplier</t>
  </si>
  <si>
    <t>Yes</t>
  </si>
  <si>
    <t>Dining</t>
  </si>
  <si>
    <t>Number of Guest room</t>
  </si>
  <si>
    <t>Kitchen</t>
  </si>
  <si>
    <t>Above Ground WWR</t>
  </si>
  <si>
    <t>Lobby</t>
  </si>
  <si>
    <t>Areas:</t>
  </si>
  <si>
    <t>Laundry</t>
  </si>
  <si>
    <t>Window Opening Area (ft²)</t>
  </si>
  <si>
    <t>Office</t>
  </si>
  <si>
    <t>Skylight Area (ft²)</t>
  </si>
  <si>
    <t>Barcasino</t>
  </si>
  <si>
    <t>Gross Roof Area (ft²)</t>
  </si>
  <si>
    <t>Basement</t>
  </si>
  <si>
    <t>Gross Wall Area (ft²)</t>
  </si>
  <si>
    <t>Retail</t>
  </si>
  <si>
    <t>Above Ground Wall Area (ft²)</t>
  </si>
  <si>
    <t>Mech</t>
  </si>
  <si>
    <t>Loads</t>
  </si>
  <si>
    <t>Storage</t>
  </si>
  <si>
    <t>People (m² per person)</t>
  </si>
  <si>
    <t>Guest room: 37.2</t>
  </si>
  <si>
    <t>Larger Guest room: 16.3
smaller Guest room: 26.0</t>
  </si>
  <si>
    <t>Café</t>
  </si>
  <si>
    <t>Lights (w/m²)</t>
  </si>
  <si>
    <t xml:space="preserve">Guest room: 5.38 </t>
  </si>
  <si>
    <t xml:space="preserve">Guest room: 4.41 </t>
  </si>
  <si>
    <t>Banquet</t>
  </si>
  <si>
    <t>Equipment (w/m²)</t>
  </si>
  <si>
    <t>Guest room: 5.38</t>
  </si>
  <si>
    <t xml:space="preserve">Larger Guest room: 6.75 
smaller Guest room: 10.52 </t>
  </si>
  <si>
    <t>Water heater system</t>
  </si>
  <si>
    <t>Gas</t>
  </si>
  <si>
    <t xml:space="preserve">Gas (main) / Elec </t>
  </si>
  <si>
    <t>Refrigeration</t>
  </si>
  <si>
    <t>Generators</t>
  </si>
  <si>
    <t>Humidification</t>
  </si>
  <si>
    <t xml:space="preserve">Heat Recovery	</t>
  </si>
  <si>
    <t xml:space="preserve">Heat Rejection	</t>
  </si>
  <si>
    <t>HVAC</t>
  </si>
  <si>
    <t>- Guest rooms: SZ VAV No Reheat + DX cooling + Gas heating  
- Kitchen: SZ VAV No Reheat + DX cooling + Gas heating 
- All other zones: MZ VAV Reheat  per floor + DX cooling + water heating coil from boiler</t>
  </si>
  <si>
    <t xml:space="preserve">- Guest rooms: 4PFC + water cooling coil from chiller + water heating coil from Boiler + DOAS with (CAV)
-All other zones: MZ VAV with Reheat + water cooling coil from chiller + water heating coil from boiler </t>
  </si>
  <si>
    <t>Fan simulation</t>
  </si>
  <si>
    <t>"Fan: System Model"</t>
  </si>
  <si>
    <t>"Fan:ConstantVolume" &amp;"Fan:VariableVolume"</t>
  </si>
  <si>
    <t xml:space="preserve">Exhaust fan </t>
  </si>
  <si>
    <t>Laundry, Lobby, Banquet, Dining, Kitchen</t>
  </si>
  <si>
    <t xml:space="preserve"> N</t>
  </si>
  <si>
    <t>Building</t>
  </si>
  <si>
    <t>Space/ Thermal Zone</t>
  </si>
  <si>
    <r>
      <rPr>
        <b/>
        <sz val="10"/>
        <color rgb="FF000000"/>
        <rFont val="Arial"/>
        <family val="2"/>
      </rPr>
      <t xml:space="preserve">Space Type 
</t>
    </r>
    <r>
      <rPr>
        <b/>
        <sz val="10"/>
        <color rgb="FF000000"/>
        <rFont val="Arial"/>
        <family val="2"/>
      </rPr>
      <t>[Primarily from: T24, 2022 Appendix 5.4A] - See Notes column</t>
    </r>
  </si>
  <si>
    <t>HVAC System Name/AHU Name</t>
  </si>
  <si>
    <t>Schedule Category</t>
  </si>
  <si>
    <t>Conditioned (Y/N)</t>
  </si>
  <si>
    <t xml:space="preserve">Area Fraction </t>
  </si>
  <si>
    <t>Area (ft²)</t>
  </si>
  <si>
    <t>Volume 
(ft³)</t>
  </si>
  <si>
    <t>Multipliers</t>
  </si>
  <si>
    <t>Number of People</t>
  </si>
  <si>
    <t xml:space="preserve">People 
(Persons/1,000 ft²)
[T24, 2025,Table 120.1-A] </t>
  </si>
  <si>
    <t>BasementConference</t>
  </si>
  <si>
    <t>Convention, Conference, Multipurpose and Meeting Area</t>
  </si>
  <si>
    <t xml:space="preserve">BasementOffice </t>
  </si>
  <si>
    <t>Office Area (&gt;250 square feet)</t>
  </si>
  <si>
    <t>BasementMechanical</t>
  </si>
  <si>
    <t>Electrical, Mechanical, Telephone Rooms</t>
  </si>
  <si>
    <t>Ancillary</t>
  </si>
  <si>
    <t>BasementLaundry</t>
  </si>
  <si>
    <t xml:space="preserve">Laundry Area </t>
  </si>
  <si>
    <t>Assembly</t>
  </si>
  <si>
    <r>
      <rPr>
        <b/>
        <sz val="10"/>
        <color rgb="FF000000"/>
        <rFont val="Arial"/>
        <family val="2"/>
      </rPr>
      <t xml:space="preserve">Basement: </t>
    </r>
    <r>
      <rPr>
        <sz val="10"/>
        <color rgb="FF000000"/>
        <rFont val="Arial"/>
        <family val="2"/>
      </rPr>
      <t>6 zones including Storage, service, storage, laundry, mechanical rooms, Office, and conference</t>
    </r>
  </si>
  <si>
    <t>BasementService</t>
  </si>
  <si>
    <t xml:space="preserve">Service and back up prep </t>
  </si>
  <si>
    <t>ServiceAndBackUpPrep</t>
  </si>
  <si>
    <t>BasementStorage</t>
  </si>
  <si>
    <t>Storage (General)</t>
  </si>
  <si>
    <t>Retail_1_FloorG</t>
  </si>
  <si>
    <t>Retail Sales Area (Retail Merchandise Sales)</t>
  </si>
  <si>
    <t>Retail_2_FloorG</t>
  </si>
  <si>
    <t>Office_FloorG</t>
  </si>
  <si>
    <t>Storage_FloorG</t>
  </si>
  <si>
    <t>Kitchen_FloorG</t>
  </si>
  <si>
    <t>Kitchen/Food Preparation Area</t>
  </si>
  <si>
    <r>
      <rPr>
        <b/>
        <sz val="10"/>
        <color rgb="FF000000"/>
        <rFont val="Arial"/>
        <family val="2"/>
      </rPr>
      <t>FloorG (Ground floor)</t>
    </r>
    <r>
      <rPr>
        <sz val="10"/>
        <color rgb="FF000000"/>
        <rFont val="Arial"/>
        <family val="2"/>
      </rPr>
      <t xml:space="preserve">: 7 zones including retails, lobby, cafe, Kitchen, storage and Office; </t>
    </r>
  </si>
  <si>
    <t>Cafe_FloorG</t>
  </si>
  <si>
    <t>Dining Area (Cafeteria/Fast Food)</t>
  </si>
  <si>
    <t>Lobby_FloorG</t>
  </si>
  <si>
    <t>Lobby, Main Entry</t>
  </si>
  <si>
    <t>ResidentialCommon</t>
  </si>
  <si>
    <t>For entrance lobbies, 10 persons per 1,000 ft² are assumed based on ASHRAE 62.1 Table 6‑1 (Office Entrance). The Title 24 assumptions for main entry lobbies result in an unrealistically high total occupant count and therefore was not used. Title 24 specifies 33 persons per 1,000 ft² for main entry lobbies and 5 persons per 1,000 ft² for reception areas.</t>
  </si>
  <si>
    <t>GuestRoom_1_FloorM</t>
  </si>
  <si>
    <t>Hotel/Motel Guest Room</t>
  </si>
  <si>
    <t>ResidentialLiving</t>
  </si>
  <si>
    <t>GuestRoom_2_FloorM</t>
  </si>
  <si>
    <t>GuestRoom_3_Multi19_FloorM</t>
  </si>
  <si>
    <t>GuestRoom_4_Multi19_FloorM</t>
  </si>
  <si>
    <t>Full view of FloorM</t>
  </si>
  <si>
    <t>GuestRoom_5_FloorM</t>
  </si>
  <si>
    <r>
      <rPr>
        <b/>
        <sz val="10"/>
        <color rgb="FF000000"/>
        <rFont val="Arial"/>
        <family val="2"/>
      </rPr>
      <t>FloorM (Middle floors)</t>
    </r>
    <r>
      <rPr>
        <sz val="10"/>
        <color rgb="FF000000"/>
        <rFont val="Arial"/>
        <family val="2"/>
      </rPr>
      <t>: 2nd to 7th Floor : 7 zones per floor, including guest rooms and corridor. Each floor has 42 guest rooms;</t>
    </r>
  </si>
  <si>
    <t>GuestRoom_6_FloorM</t>
  </si>
  <si>
    <t>Corridor_FloorM</t>
  </si>
  <si>
    <t>Corridor Area</t>
  </si>
  <si>
    <t>GuestRoom_1_FloorT</t>
  </si>
  <si>
    <t>GuestRoom_2_FloorT</t>
  </si>
  <si>
    <t>GuestRoom_3_Multi9_FloorT</t>
  </si>
  <si>
    <t>Banquet_FloorT</t>
  </si>
  <si>
    <t>Hotel Function Area</t>
  </si>
  <si>
    <t>Occupancy based on "Restaurant Dining Area"</t>
  </si>
  <si>
    <t>Dining_FloorT</t>
  </si>
  <si>
    <t>Dining Area (Bar/Lounge and Fine Dining)</t>
  </si>
  <si>
    <t>Restaurant</t>
  </si>
  <si>
    <t>Kitchen_FloorT</t>
  </si>
  <si>
    <t>Corridor_FloorT</t>
  </si>
  <si>
    <t>Full view of FloorT</t>
  </si>
  <si>
    <t>Total (1 Building)</t>
  </si>
  <si>
    <r>
      <rPr>
        <b/>
        <sz val="10"/>
        <color rgb="FF000000"/>
        <rFont val="Arial"/>
        <family val="2"/>
      </rPr>
      <t>FloorT (Top floor)</t>
    </r>
    <r>
      <rPr>
        <sz val="10"/>
        <color rgb="FF000000"/>
        <rFont val="Arial"/>
        <family val="2"/>
      </rPr>
      <t xml:space="preserve">: 9th Floor:  7 zones including guest rooms, banquet room, dining, kitchen and corridor.
</t>
    </r>
  </si>
  <si>
    <r>
      <rPr>
        <b/>
        <sz val="10"/>
        <color theme="1"/>
        <rFont val="Arial"/>
        <family val="2"/>
      </rPr>
      <t>Ref for layout and zoning:</t>
    </r>
    <r>
      <rPr>
        <sz val="10"/>
        <color theme="1"/>
        <rFont val="Arial"/>
        <family val="2"/>
      </rPr>
      <t xml:space="preserve"> PNNL Large Hotel prototypes (ASHRAE 90.1 2022)</t>
    </r>
  </si>
  <si>
    <t>Occupancy Rate</t>
  </si>
  <si>
    <t>% of occupied guest rooms</t>
  </si>
  <si>
    <t>Source</t>
  </si>
  <si>
    <t xml:space="preserve">California Lodging Forecast (April 2025) </t>
  </si>
  <si>
    <t>2025 State of the industry report</t>
  </si>
  <si>
    <t xml:space="preserve">Guest room (ft²) </t>
  </si>
  <si>
    <t>Guest room  % ( all floors except basement)</t>
  </si>
  <si>
    <t>Guest room  % ( all floors)</t>
  </si>
  <si>
    <t>Element</t>
  </si>
  <si>
    <t xml:space="preserve"> Assembly Type</t>
  </si>
  <si>
    <t>Construction</t>
  </si>
  <si>
    <t>Thermal Properties</t>
  </si>
  <si>
    <t>Vintage</t>
  </si>
  <si>
    <t>Selected T24</t>
  </si>
  <si>
    <t>CZ1</t>
  </si>
  <si>
    <t>CZ2</t>
  </si>
  <si>
    <t>CZ3</t>
  </si>
  <si>
    <t>CZ4</t>
  </si>
  <si>
    <t>CZ5</t>
  </si>
  <si>
    <t>CZ6</t>
  </si>
  <si>
    <t>CZ7</t>
  </si>
  <si>
    <t>CZ8</t>
  </si>
  <si>
    <t>CZ9</t>
  </si>
  <si>
    <t>CZ10</t>
  </si>
  <si>
    <t>CZ11</t>
  </si>
  <si>
    <t>CZ12</t>
  </si>
  <si>
    <t>CZ13</t>
  </si>
  <si>
    <t>CZ14</t>
  </si>
  <si>
    <t>CZ15</t>
  </si>
  <si>
    <t>CZ16</t>
  </si>
  <si>
    <t>External Wall_ Guest Room (FloorM and FloorT)</t>
  </si>
  <si>
    <t>ExtWall_MetalFramed_GuestRooms</t>
  </si>
  <si>
    <r>
      <rPr>
        <sz val="10"/>
        <color rgb="FF000000"/>
        <rFont val="Arial"/>
        <family val="2"/>
      </rPr>
      <t xml:space="preserve">Metal framed wall:
</t>
    </r>
    <r>
      <rPr>
        <sz val="10"/>
        <color rgb="FF000000"/>
        <rFont val="Arial"/>
        <family val="2"/>
      </rPr>
      <t>Stucco + Metal frame + insulation + Gypsum board</t>
    </r>
  </si>
  <si>
    <t>U-factor IP</t>
  </si>
  <si>
    <t>Pre 1978</t>
  </si>
  <si>
    <t>N/A</t>
  </si>
  <si>
    <t>ASHRAE 90.1, 2022, Table A3.3.3.1, 3.5", R-0</t>
  </si>
  <si>
    <t>1978-1997</t>
  </si>
  <si>
    <t>Copied from High-rise office alternative requirements (Table 2-53W): Package A with heat capacity between 10-14.99 (Btu/F-ft²)
*T24, 1986, Table 2-53B presents U-factors less than the next vintage (for wall density of 26-40 lb/ft² &amp; Degree day&lt;3500)!</t>
  </si>
  <si>
    <t>* Heat capacity might be close to 4-9.99 categories for mix of steel frame and concrete (concrete for fist floor) . However, selecting this category will result in U values lower than the next vintage to both REs and Nonres! (for HC below 4 Btu/F-ft², all CZ is 1/7.4)</t>
  </si>
  <si>
    <t>1998-2007</t>
  </si>
  <si>
    <t>Table 1-I</t>
  </si>
  <si>
    <t>2008-2018</t>
  </si>
  <si>
    <t>Table 140.3-C</t>
  </si>
  <si>
    <t>Existing</t>
  </si>
  <si>
    <t>2019+</t>
  </si>
  <si>
    <t>External Wall_ Nonres (FloorG)</t>
  </si>
  <si>
    <r>
      <rPr>
        <sz val="10"/>
        <rFont val="Arial"/>
        <family val="2"/>
      </rPr>
      <t>ExtWall_Mass</t>
    </r>
    <r>
      <rPr>
        <sz val="10"/>
        <color rgb="FF000000"/>
        <rFont val="Arial"/>
        <family val="2"/>
      </rPr>
      <t>Heavy</t>
    </r>
    <r>
      <rPr>
        <sz val="10"/>
        <rFont val="Arial"/>
        <family val="2"/>
      </rPr>
      <t>_NonRes</t>
    </r>
    <r>
      <rPr>
        <sz val="10"/>
        <color rgb="FF000000"/>
        <rFont val="Arial"/>
        <family val="2"/>
      </rPr>
      <t xml:space="preserve">
</t>
    </r>
  </si>
  <si>
    <r>
      <rPr>
        <sz val="10"/>
        <color rgb="FF000000"/>
        <rFont val="Arial"/>
        <family val="2"/>
      </rPr>
      <t xml:space="preserve">Heavy mass wall:
</t>
    </r>
    <r>
      <rPr>
        <sz val="10"/>
        <color rgb="FF000000"/>
        <rFont val="Arial"/>
        <family val="2"/>
      </rPr>
      <t>Stucco + 8 in Concrete + insulation + Gypsum board</t>
    </r>
  </si>
  <si>
    <t>ASHRAE 90.1, 2022, Table A3.1-1, R-0</t>
  </si>
  <si>
    <t xml:space="preserve">Same as 1992. No direct regulation was found in 1986 for concrete walls. Also, T24, 1986, Table 2-53B and Equation 2-53E presents U-factors more than the previous vintage (for wall density of &gt;81 lb/ft² &amp; Degree day&lt;3000). </t>
  </si>
  <si>
    <t>Table 1-H</t>
  </si>
  <si>
    <t>Table 140.3-B</t>
  </si>
  <si>
    <t>Table 140.3-B (Nonres)</t>
  </si>
  <si>
    <t>Roof_Guest Room (FloorT)</t>
  </si>
  <si>
    <t>FlatRoof_WoodFramedAndOther_GuestRooms</t>
  </si>
  <si>
    <r>
      <rPr>
        <sz val="10"/>
        <color rgb="FF000000"/>
        <rFont val="Arial"/>
        <family val="2"/>
      </rPr>
      <t xml:space="preserve">Metal deck roof: 
</t>
    </r>
    <r>
      <rPr>
        <sz val="10"/>
        <color rgb="FF000000"/>
        <rFont val="Arial"/>
        <family val="2"/>
      </rPr>
      <t xml:space="preserve">Roof membrane + insulation + Metal Deck </t>
    </r>
  </si>
  <si>
    <t>Considering 30 years for roof/ insulation replacement. ( Guest room requirement)</t>
  </si>
  <si>
    <t>Table 1-I (the lowest U-factor between Nonres and Guest room was considered)</t>
  </si>
  <si>
    <t>Table 140.3-C (the lowest U-factor between Nonres and Guest room was considered)</t>
  </si>
  <si>
    <t>Roof_Nonres (FloorG)</t>
  </si>
  <si>
    <t>FlatRoof_WoodFramedAndOther_NonRes</t>
  </si>
  <si>
    <t xml:space="preserve">Table 140.3-B </t>
  </si>
  <si>
    <t>Windows_ Guest Room (FloorM and FloorT)</t>
  </si>
  <si>
    <t>FixedWindow_GuestRoom</t>
  </si>
  <si>
    <t xml:space="preserve">CBECS 2018 shows that ~43% of Large Hotels that were built before 2000 are single pane </t>
  </si>
  <si>
    <t>ASHRAE Handbook of Fundamentals for single pane (Table 4-Ch15)&amp; T24, 2013  for double pane (43%-57%)</t>
  </si>
  <si>
    <t>Double pane</t>
  </si>
  <si>
    <t xml:space="preserve"> Table 1-I</t>
  </si>
  <si>
    <t xml:space="preserve">Table 140.3-C  </t>
  </si>
  <si>
    <t>SHGC</t>
  </si>
  <si>
    <t>ASHRAE Handbook of Fundamentals for single pane (Table 10-Ch15) &amp; T24, 2013  for double pane (43%-57%)</t>
  </si>
  <si>
    <t xml:space="preserve"> TABLE 1-I (based on non north with WWR 30-40%)</t>
  </si>
  <si>
    <t xml:space="preserve">Table 140.3-C </t>
  </si>
  <si>
    <t>Windows_ Nonres (FloorG)</t>
  </si>
  <si>
    <t>FixedWindow_NonRes</t>
  </si>
  <si>
    <t>Table1-H</t>
  </si>
  <si>
    <t>Table 1-H (based on non north with WWR 30-40% )</t>
  </si>
  <si>
    <t>Table 140.3-B  (100% fixed, 0% operable)</t>
  </si>
  <si>
    <t>Infiltration</t>
  </si>
  <si>
    <t>Zones</t>
  </si>
  <si>
    <t>I_75 (cfm/ft²)
6-sided Infiltration rate @ 75 pa</t>
  </si>
  <si>
    <t xml:space="preserve"> I-design (cfm/ft²)
(4-sided Infiltration rate at normal pressure) 
(Design flow rate approach and Flow/Exterior Wall Area calculation method) </t>
  </si>
  <si>
    <t>2022 CASE report (Table 38)</t>
  </si>
  <si>
    <r>
      <t>Floor or roof area (ft</t>
    </r>
    <r>
      <rPr>
        <vertAlign val="superscript"/>
        <sz val="10"/>
        <color rgb="FF000000"/>
        <rFont val="Arial"/>
        <family val="2"/>
      </rPr>
      <t>2</t>
    </r>
    <r>
      <rPr>
        <sz val="10"/>
        <color rgb="FF000000"/>
        <rFont val="Arial"/>
        <family val="2"/>
      </rPr>
      <t>)</t>
    </r>
  </si>
  <si>
    <t>Walls area (ft2)</t>
  </si>
  <si>
    <t xml:space="preserve">Building 4 sided area (ft2) </t>
  </si>
  <si>
    <t>1*</t>
  </si>
  <si>
    <t>2022 CASE report (Table 38) &amp;
T24, 2008-2016 (Table 140.3-C)</t>
  </si>
  <si>
    <t xml:space="preserve">Building 6 sided area (ft2) </t>
  </si>
  <si>
    <t>0.6**</t>
  </si>
  <si>
    <t>2022 CASE report (Table 38) &amp;  T24,140.3(a)9Cii &amp; T24, 2025 (Table 140.3-C)</t>
  </si>
  <si>
    <t>* An air barrier was not required for guest rooms under T24, until the 2019 edition. However, to reflect typical construction practices, we assumed that all exterior walls are equipped with an air barrier where it was required for nonresidential walls.</t>
  </si>
  <si>
    <t>*** T24  require 0.4 cfm/ft² for tested condition but it also in section 140.3(a)9Cii says that if the air leakage requirements are not met, a visual inspection and diagnostic evaluation shall be completed , all observed leaks shall be sealed where such sealing can be made without destruction of existing building components, and buildings where the tested leakage rate exceeded 0.6 cfm/ft² of building shell area at 75 Pa have been retested to confirm leakage is below 0.6 cfm/ft² of building shell at 75 Pa.
Although T24,2025 does not require guest rooms in Climate Zone 7 to have an air barrier, we assumed that all CZs are equipped with one. According to Dodge 2023 CAS data CZ 7 accounts for ~ 6% of hotel floor area in CA. Therefore, we have decided to ignore the exemption for CZ7 and treated all CZs as having an air barrier for consistency and ease of simulation.</t>
  </si>
  <si>
    <t>ACM 2025, 5.4.2: For Standard Design, I-design shall be 0.2352 cfm/ft². .Hotel/Motel Buildings in climate zone 7 and for relocatable public school buildings I-design shall be 0.3696 cfm/ft²</t>
  </si>
  <si>
    <t>Spaces</t>
  </si>
  <si>
    <t xml:space="preserve">Heating </t>
  </si>
  <si>
    <t>Cooling</t>
  </si>
  <si>
    <t>Air Distribution</t>
  </si>
  <si>
    <t>Other Systems</t>
  </si>
  <si>
    <t>Note</t>
  </si>
  <si>
    <t xml:space="preserve">Existing  </t>
  </si>
  <si>
    <t>Common spaces</t>
  </si>
  <si>
    <t>Gas Boiler</t>
  </si>
  <si>
    <t>Air-cooled Chiller</t>
  </si>
  <si>
    <t>VAV + Hydronic reheat</t>
  </si>
  <si>
    <t>Economizer (only 2008-2018)
No DOAS - OA through main VAV air handler</t>
  </si>
  <si>
    <t>CEUS 2022
(Other system based on T24 and Engineering judgement)</t>
  </si>
  <si>
    <t xml:space="preserve">Chiller is air cooled if the chiller capacity if below 300 ton as T24, 2025, section 170.2(c)4H (Page  563) banned having more than 300 ton of cooling provide by air cooled chiller. </t>
  </si>
  <si>
    <t>Guest rooms</t>
  </si>
  <si>
    <t>FPFC (single speed fan)</t>
  </si>
  <si>
    <t>Exhaust-Only Ventilation</t>
  </si>
  <si>
    <t>CEUS 2022
(Other system based on Engineering judgement)</t>
  </si>
  <si>
    <t>New Construction</t>
  </si>
  <si>
    <t>Economizer
No DOAS - OA through main VAV air handler</t>
  </si>
  <si>
    <t>ACM 2025, Table 2 and 3 
(Other system based on Engineering judgement)</t>
  </si>
  <si>
    <t>FPFC (multi speed fan)</t>
  </si>
  <si>
    <t>DOAS</t>
  </si>
  <si>
    <t xml:space="preserve"> Engineering judgement with considering CEUS data </t>
  </si>
  <si>
    <r>
      <rPr>
        <b/>
        <sz val="12"/>
        <color rgb="FFFFFFFF"/>
        <rFont val="Arial"/>
        <family val="2"/>
      </rPr>
      <t xml:space="preserve">Efficiency of HVAC System
</t>
    </r>
    <r>
      <rPr>
        <sz val="10"/>
        <color rgb="FFFFFFFF"/>
        <rFont val="Arial"/>
        <family val="2"/>
      </rPr>
      <t xml:space="preserve"> (Efficiency is capacity-dependent. The following table provides a general estimate of system efficiency based on preliminary simulations in one climate zone, or assuming cooling load based on rule of thumb)</t>
    </r>
  </si>
  <si>
    <t>Upgrade/Installed year</t>
  </si>
  <si>
    <t>Air Cooled Chiller</t>
  </si>
  <si>
    <r>
      <t>Thermal Efficiency of 80% E</t>
    </r>
    <r>
      <rPr>
        <vertAlign val="subscript"/>
        <sz val="10"/>
        <color theme="1"/>
        <rFont val="Arial"/>
        <family val="2"/>
      </rPr>
      <t>t</t>
    </r>
  </si>
  <si>
    <t>EER=9.56  (COP=2.8)</t>
  </si>
  <si>
    <t xml:space="preserve">T24, 2008 Table 112-D (for chiller COP of 2.8 , then converted to EER of 9.56) - T24, 2013 Table 110.2-K (for boiler efficiency with capacity between 300,000-2,500,000 Btu/hr). T24 2008 doesn't has requirement for Et
</t>
  </si>
  <si>
    <t xml:space="preserve">EER=9.56 </t>
  </si>
  <si>
    <t>T24, 2013 Table 110.2-D ( for air cooled chiller) 
T24, 2013 Table 110.2-K (for boiler efficiency with capacity between 300,000-2,500,000 Btu/hr)</t>
  </si>
  <si>
    <r>
      <t>CZ: 7, 8, 15: Thermal Efficiency of 80% E</t>
    </r>
    <r>
      <rPr>
        <vertAlign val="subscript"/>
        <sz val="10"/>
        <color theme="1"/>
        <rFont val="Arial"/>
        <family val="2"/>
      </rPr>
      <t xml:space="preserve">t </t>
    </r>
    <r>
      <rPr>
        <sz val="10"/>
        <color theme="1"/>
        <rFont val="Arial"/>
        <family val="2"/>
      </rPr>
      <t>; 
All other CZ: Thermal Efficiency of 90% E</t>
    </r>
    <r>
      <rPr>
        <vertAlign val="subscript"/>
        <sz val="10"/>
        <color theme="1"/>
        <rFont val="Arial"/>
        <family val="2"/>
      </rPr>
      <t xml:space="preserve">t  </t>
    </r>
    <r>
      <rPr>
        <sz val="10"/>
        <color theme="1"/>
        <rFont val="Arial"/>
        <family val="2"/>
      </rPr>
      <t>and return water temp of 120F</t>
    </r>
  </si>
  <si>
    <t xml:space="preserve">EER=9.7 </t>
  </si>
  <si>
    <t>T24, 2025 Table 110.2-D (path B) (for chiller) 
ACM, 2025, section (5.8.1) for number of boiler (2 boilers), and section (5.8.1) and 10CFR § 431.87 (for boiler efficiency in CZ 7, 8, 15) and Title 24, 2025 section 140.4(k)8 (for boiler efficiency in other CZs). 
The boiler capacity is assumed to be over 1 MMBtu based on engineering judgment, considering that the PNNL prototype in San Diego (CZ7, a mild climate) lists a boiler capacity of 0.85 MMBtu. Therefore, it is reasonable to expect a larger capacity—above 1 MMBtu—for CZ12, which has colder winters.</t>
  </si>
  <si>
    <t>According to T24, 2025 140.4(k)8 and ACM 2025, "Gas-fired boilers in climate zones 1 through 6, 9 through 14 and 16 with rated capacity above 1 MMBtu/h and  less than 10 MMBtu/h have a standard design efficiency of 90 percent"
For other climate zones, the efficiency of gas fired boiler is 80% following Federal regulation 10CFR § 431.87
*Note: efficiency of gas fired boiler was 84% in T24, 2022, Table 110.2-J for capacity between 300,000-2,500,000 Btu/hr for all CZs.
The efficiency will be adjusted based on the results of a sizing simulation run, that shows us what the peak heating capacity requirements are.</t>
  </si>
  <si>
    <t>COP (2013)=</t>
  </si>
  <si>
    <t>COP (2025)=</t>
  </si>
  <si>
    <t>Fan power</t>
  </si>
  <si>
    <t>Approach</t>
  </si>
  <si>
    <t>System</t>
  </si>
  <si>
    <t xml:space="preserve">Total Static Pressure (TSP)
(in w.c.)
</t>
  </si>
  <si>
    <t>Fan Efficiency
[ACM 2025]</t>
  </si>
  <si>
    <t xml:space="preserve">Motor Efficiency </t>
  </si>
  <si>
    <t xml:space="preserve"> Fan Power Index 
(W/cfm)</t>
  </si>
  <si>
    <t>Data Source</t>
  </si>
  <si>
    <t>PNNL 90.1-2011, TSP</t>
  </si>
  <si>
    <t>VAV System &gt; 4,648 cfm</t>
  </si>
  <si>
    <t xml:space="preserve">ASHRAE 90.1, 2004, Table 10.8 * </t>
  </si>
  <si>
    <t>Fan power formula: PNNL 20405, 2010, section 5.2.2.5
TSP and fan efficiency: PNNL 20405, 2010, Table 5.11, 90.1-04ac values
Motor efficiency: ASHRAE 90.1, 2004, Table 10.8</t>
  </si>
  <si>
    <t>FPFC (on/off)</t>
  </si>
  <si>
    <t>Brake horsepower (bhp) = (Supply cfm × TSP in w.c.) / (6356 × fan efficiency)</t>
  </si>
  <si>
    <t>Fan power (w/cfm) = (bhp ×  746) / ( supply cfm × motor efficiency )</t>
  </si>
  <si>
    <t>ACM 2025</t>
  </si>
  <si>
    <t>VAV (System 6), &gt;10,000 cfm</t>
  </si>
  <si>
    <t>TSP = fan power × motor efficiency × fan efficiency × 6356 / 746</t>
  </si>
  <si>
    <t>2025 ACM Table 12 **</t>
  </si>
  <si>
    <t>Fan power index: [ACM 2025, Table 13]
Motor efficiency: [ACM 2025, Table 12]</t>
  </si>
  <si>
    <t>According to ACM, fan power for this cfm is 0.947 W/cfm (VAV &gt;10,000 cfm). FPFC 0.35 and DOAS 0.70 rows are unchanged.</t>
  </si>
  <si>
    <t xml:space="preserve">TSP (E+ input) in w.c. = fan power in W/cfm  × motor efficiency  × fan efficiency × 6356  / 746 </t>
  </si>
  <si>
    <t>The full‑load efficiency of the motor serving the fan is taken from ACM 2025 Table 12 based on the cfm of the fan.
Motor horsepower in hp = (Supply cfm from sizing run × fan power in W/cfm) / 746.</t>
  </si>
  <si>
    <t>w/cfm: [T24, 2025, Section 140.4(a)3 D]</t>
  </si>
  <si>
    <t xml:space="preserve">0.35 w/cfm for indoor unit fan </t>
  </si>
  <si>
    <t>DOAS Supply fan</t>
  </si>
  <si>
    <t xml:space="preserve">w/cfm: [T24, 2025, Section 140.4(c) and Table 140.4-A] </t>
  </si>
  <si>
    <t>cfm of DOAS system is already calculated in the Ventilation sheet. Total cfm is more than 10,000 when 10% oversizing factor is applied
- Supply 0.7 w/cfm= 0.325 (base allowance, &gt;6 floors)+0.107 (MERV filter upstream of cooling coil) + 0.054 (central hydronic heating coil) + 0.107 (cooling coil) + 0.107 (100% OA allowance) 
DOAS OA ventilation rate is lower than guestroom's Exhaust fan rate. Therefore only one exhaust fan object  will be model to  each guestroom and DOAS exhaust fan will be excluded</t>
  </si>
  <si>
    <t>Total cfm of DOAS</t>
  </si>
  <si>
    <t>*    According to PNNL 20405 section 5.2.2.5, the full-load efficiency of the motor serving the fan is taken from  ASHRAE 90.1, 2004, Table 10.8, based on motor nameplate and assuming enclosed motors operating at 1,800 rotations per minute (rpm)
      Motor nameplate size (bhp) = brake horsepower (bhp) × 1.1 ( using a 10% oversizing factor)</t>
  </si>
  <si>
    <t>**   The full‑load efficiency of the motor serving the fan is taken from ACM 2025 Table 12 based on the cfm of the fan.
     Brake horsepower  (bhp) = (Supply cfm from sizing run × fan power in W/cfm) / 746.</t>
  </si>
  <si>
    <t>Setpoint</t>
  </si>
  <si>
    <t>Assembly, Office, Basement, Retail, Dining and Café Heating Setpoint (F)</t>
  </si>
  <si>
    <t>T24 2022 - Appendix 5.4B -  “Assembly” tab , "Retail" tab, "Restaurant" Tab
* Basement was considered similar to Office area</t>
  </si>
  <si>
    <t>Assembly, Office, Basement, Retail, Dining and Café Heating Setback (F)</t>
  </si>
  <si>
    <t>Assembly, Office, Basement, Retail, Dining and Café Cooling Setpoint (F)</t>
  </si>
  <si>
    <t>Assembly, Office, Basement, Retail, Dining and Café Cooling Setback (F)</t>
  </si>
  <si>
    <t>ResidentialCommon Heating Setpoint (F)</t>
  </si>
  <si>
    <t>T24 2022 - Appendix 5.4B - 
“ResidentialCommon” tab</t>
  </si>
  <si>
    <t>ResidentialCommon Heating Setback (F)</t>
  </si>
  <si>
    <t>ResidentialCommon Cooling Setpoint (F)</t>
  </si>
  <si>
    <r>
      <t>ResidentialCommon</t>
    </r>
    <r>
      <rPr>
        <b/>
        <sz val="10"/>
        <color theme="1"/>
        <rFont val="Arial"/>
        <family val="2"/>
      </rPr>
      <t xml:space="preserve"> </t>
    </r>
    <r>
      <rPr>
        <sz val="10"/>
        <color theme="1"/>
        <rFont val="Arial"/>
        <family val="2"/>
      </rPr>
      <t>Cooling Setback (F)</t>
    </r>
  </si>
  <si>
    <t>ResidentialLiving Heating Setpoint (F)*</t>
  </si>
  <si>
    <t>ResidentialLiving Heating Setback (F)*</t>
  </si>
  <si>
    <t>ResidentialLiving Cooling Setpoint (F)*</t>
  </si>
  <si>
    <t>Honeywell-INNCOM e7 Thermostat User Guide</t>
  </si>
  <si>
    <t>ResidentialLiving Cooling Setback (F)*</t>
  </si>
  <si>
    <t>&amp; Engineering Judgment</t>
  </si>
  <si>
    <t>Kitchen Heating Setpoint (F)</t>
  </si>
  <si>
    <t>PNNL 09.1, 2022 Restaurant prototype  (Same as Kitchen area in Restaurant scorecards)</t>
  </si>
  <si>
    <t>Kitchen Heating Setback (F)</t>
  </si>
  <si>
    <t>Kitchen Cooling Setpoint (F)</t>
  </si>
  <si>
    <t>Kitchen Cooling Setback (F)</t>
  </si>
  <si>
    <t>Based on engineering judgment  (semi‑conditioned space)</t>
  </si>
  <si>
    <t>* 72°F is the default setting for one of the most prominent thermostat (INNCOM) in California hotels. We have chosen to set the heating setpoint close to this value, allowing only a 2°F variance, with no setback applied. Our understanding is that guests rarely change the setpoint when leaving their rooms, as they expect the room to remain conditioned upon their return.</t>
  </si>
  <si>
    <t>* Another option for the guest rooms would be: set  heating and cooling setpoint at 72 F,  with +-4F variation for C/H setback. ( based on INNCOM)</t>
  </si>
  <si>
    <t>ICCCOM has 4F setback temperature variance.</t>
  </si>
  <si>
    <t xml:space="preserve">PNNL's comfort range in kitchen is 4 F wider than CEC. CEC uses 70-75 F with setbacks of 60 F and 86 F but PNNL uses 66 -79 F (with setback of 60 F and 86 F)							</t>
  </si>
  <si>
    <t>Existing prototypes:</t>
  </si>
  <si>
    <r>
      <rPr>
        <sz val="11"/>
        <color rgb="FF000000"/>
        <rFont val="Calibri"/>
        <family val="2"/>
        <scheme val="minor"/>
      </rPr>
      <t xml:space="preserve">DEER has 60F for 0-6 am! </t>
    </r>
    <r>
      <rPr>
        <sz val="11"/>
        <color rgb="FF000000"/>
        <rFont val="Calibri"/>
        <family val="2"/>
        <scheme val="minor"/>
      </rPr>
      <t>It's the time that guest room is supposed to be occupied.</t>
    </r>
  </si>
  <si>
    <t>PNNL has 70F for both cooling and heating setpoint with +-4 setback.</t>
  </si>
  <si>
    <t>Background Data [To be deleted prior to publication]</t>
  </si>
  <si>
    <t xml:space="preserve">DEER </t>
  </si>
  <si>
    <t xml:space="preserve">PNNL </t>
  </si>
  <si>
    <t xml:space="preserve">Why DEER had 85 for cooling from 0-5? </t>
  </si>
  <si>
    <t>Heating: 60 F 
Cooling: 85 C</t>
  </si>
  <si>
    <t xml:space="preserve">Heating: 70 F 
Cooling: 75 F
Setback: +-10 </t>
  </si>
  <si>
    <t>Heating: 70 F
Cooling: 70 F
Setback:+-4</t>
  </si>
  <si>
    <t>Heating: 60 F
Cooling: 80 F</t>
  </si>
  <si>
    <t>Heating: 70 F 
Cooling: 75 F</t>
  </si>
  <si>
    <t>All guest room</t>
  </si>
  <si>
    <t>Corridors</t>
  </si>
  <si>
    <t>Lobby, Office, Laundry, Dining, barcasino</t>
  </si>
  <si>
    <t>Occupied guest room</t>
  </si>
  <si>
    <t>Vacant guest room</t>
  </si>
  <si>
    <t>Other space</t>
  </si>
  <si>
    <t>Heating setpoint</t>
  </si>
  <si>
    <t>Weekday</t>
  </si>
  <si>
    <t>0 -6 ----&gt; 60
6-22 ---&gt;68
22-24--&gt;60</t>
  </si>
  <si>
    <t>0 -5 ------&gt; 60
5-24 -----&gt;70</t>
  </si>
  <si>
    <t>0-7-----&gt;60
7-23---&gt;70
23-24---&gt;60</t>
  </si>
  <si>
    <t>0:00-7:50 ------&gt; 70
7:50-9:00-------&gt;66
9:00-10:50 -----&gt;70
10:50-16:10----&gt;66
16:10-17:50 ---&gt;70
17:50-19:00----&gt;66
19:00-24:00----&gt;70</t>
  </si>
  <si>
    <t>0-24 ----&gt; 60</t>
  </si>
  <si>
    <t>0-24 ----&gt; 70</t>
  </si>
  <si>
    <t>Saturday</t>
  </si>
  <si>
    <t>0 -5 ------&gt; 60
5-19------&gt;70
19-24 ---&gt;60</t>
  </si>
  <si>
    <t>Sunday</t>
  </si>
  <si>
    <t>Cooling Setpoint</t>
  </si>
  <si>
    <t>0 -5 -----&gt; 85
5-24 ----&gt;75</t>
  </si>
  <si>
    <t>0-7-----&gt;85
7-23---&gt;75
23-24---&gt;85</t>
  </si>
  <si>
    <t>0:00-7:50 ------&gt; 70
7:50-9:00-------&gt;74
9:00-10:50 -----&gt;70
10:50-16:10----&gt;74
16:10-17:50 ---&gt;70
17:50-19:00----&gt;74
19:00-24:00----&gt;70</t>
  </si>
  <si>
    <t>0-24 ----&gt; 80</t>
  </si>
  <si>
    <t>0-24 ----&gt; 75</t>
  </si>
  <si>
    <t>0 -5 -----&gt; 85
5-19-----&gt;75
19-24 ---&gt;85</t>
  </si>
  <si>
    <t>T24, Appendix JA5-4 : Occupant Controlled Smart Thermostat (OCST)</t>
  </si>
  <si>
    <t>T24, 2025, 120.2 (E)-4</t>
  </si>
  <si>
    <r>
      <t xml:space="preserve">T24, 2025, 120.2 (c).: Guest room occupants cannot adjust the setpoint more than </t>
    </r>
    <r>
      <rPr>
        <b/>
        <sz val="11"/>
        <color theme="1"/>
        <rFont val="Calibri"/>
        <family val="2"/>
        <scheme val="minor"/>
      </rPr>
      <t>±5°F</t>
    </r>
    <r>
      <rPr>
        <sz val="11"/>
        <color theme="1"/>
        <rFont val="Calibri"/>
        <family val="2"/>
        <scheme val="minor"/>
      </rPr>
      <t xml:space="preserve"> (±3°C)</t>
    </r>
  </si>
  <si>
    <t>Space/Thermal Zone</t>
  </si>
  <si>
    <t>Floor Area (ft²)</t>
  </si>
  <si>
    <t>cfm/person
(T24, 2025, Equation 120.1-F and Table 120.1-A)
(ASHRAE 62.1, 2022, Table 6-1) only for guest rooms</t>
  </si>
  <si>
    <t>cfm/ft²  
(T24, 2025, Equation 120.1-F and Table 120.1-A)
(ASHRAE 62.1, 2022, Table 6-1) only for guest rooms</t>
  </si>
  <si>
    <t>Required Exhaust Rate
 (T24,  2025, Table 120.1-B – Minimum Exhaust Rates)</t>
  </si>
  <si>
    <t>Total cfm 
Driven by People</t>
  </si>
  <si>
    <t>Total cfm 
Driven by Area</t>
  </si>
  <si>
    <t>Total cfm 
Driven by Exhaust</t>
  </si>
  <si>
    <t>Total cfm</t>
  </si>
  <si>
    <t>2*50/70 per unit</t>
  </si>
  <si>
    <t>1 cfm/ft² for Soiled laundry storage rooms</t>
  </si>
  <si>
    <t>Only 20% of the laundry space is assumed as "Solied laundry storage room"</t>
  </si>
  <si>
    <t>0.7 cfm/sf</t>
  </si>
  <si>
    <t>Same as kitchen</t>
  </si>
  <si>
    <t>0.7 cfm/ft² for kitchen commercial</t>
  </si>
  <si>
    <t>588 cm&lt; hood exhaust cfm . It will be covered under hood cfm</t>
  </si>
  <si>
    <t>20/50 cfm per unit</t>
  </si>
  <si>
    <r>
      <t xml:space="preserve">Ventilation for guest rooms is calculated using the ASHRAE 62.1, as T24's occupancy-only baseline does not capture realistic ventilation design. The total outdoor airflow is calculated as:
Ventilation = (Occupancy per 1,000 ft² × cfm/person) + (Floor area in ft² × cfm/ft²)
To maintain simulation consistency across tabs and of ease of automation, we retained the T24 occupant rate of 3 occupants per 1,000 sq ft rather than adopting ASHRAE's higher rate of 10 occupants per 1,000 sq ft. </t>
    </r>
    <r>
      <rPr>
        <b/>
        <sz val="11"/>
        <color theme="1"/>
        <rFont val="Arial"/>
        <family val="2"/>
      </rPr>
      <t xml:space="preserve">To compensate for this, we scaled ASHRAE’s  per-person airflow requirement (5 cfm/person) by a factor of 10/3. </t>
    </r>
    <r>
      <rPr>
        <sz val="11"/>
        <color theme="1"/>
        <rFont val="Arial"/>
        <family val="2"/>
      </rPr>
      <t xml:space="preserve">
Although the occupant-based portion of the ventilation load remains almost equivalent across both codes, incorporating ASHRAE’s area-based ventilation component represents the key difference in overall outdoor air rates.</t>
    </r>
  </si>
  <si>
    <t>Same explanation as other guestrooms (see the note above).</t>
  </si>
  <si>
    <t>778 cm&lt; hood exhaust cfm . It will be covered under hood cfm</t>
  </si>
  <si>
    <t>Total OA of guest rooms (cfm)</t>
  </si>
  <si>
    <t xml:space="preserve">Type of Hood </t>
  </si>
  <si>
    <t>Max Exhaust Flow Rate (cfm/ft)
[T24, 2025, Table 140.9-C]</t>
  </si>
  <si>
    <t>Hood Length (ft) *</t>
  </si>
  <si>
    <t>Hood Exhaust Rate (cfm)</t>
  </si>
  <si>
    <t>Kitchen FloorT: Type I , wall-mounted canopy, medium duty hood</t>
  </si>
  <si>
    <t>Over fryers, griddles, broilers, or any equipment that produces grease and vapor</t>
  </si>
  <si>
    <t>Kitchen FloorG: Type I , wall-mounted canopy, medium duty hood</t>
  </si>
  <si>
    <r>
      <t xml:space="preserve"> * Assuming a 6 ft long griddle space right next to a 4 ft long fryer space </t>
    </r>
    <r>
      <rPr>
        <sz val="10"/>
        <color rgb="FF000000"/>
        <rFont val="Arial"/>
        <family val="2"/>
      </rPr>
      <t xml:space="preserve">and a 2 ft Charbroiler and 2 ft range </t>
    </r>
    <r>
      <rPr>
        <sz val="10"/>
        <color theme="1"/>
        <rFont val="Arial"/>
        <family val="2"/>
      </rPr>
      <t xml:space="preserve">, that would be 6 + 4 </t>
    </r>
    <r>
      <rPr>
        <sz val="10"/>
        <color rgb="FF000000"/>
        <rFont val="Arial"/>
        <family val="2"/>
      </rPr>
      <t>+ 2 + 2</t>
    </r>
    <r>
      <rPr>
        <sz val="10"/>
        <color theme="1"/>
        <rFont val="Arial"/>
        <family val="2"/>
      </rPr>
      <t xml:space="preserve"> + (0.5 ft x 2) or </t>
    </r>
    <r>
      <rPr>
        <sz val="10"/>
        <color rgb="FF000000"/>
        <rFont val="Arial"/>
        <family val="2"/>
      </rPr>
      <t>15</t>
    </r>
    <r>
      <rPr>
        <sz val="10"/>
        <color theme="1"/>
        <rFont val="Arial"/>
        <family val="2"/>
      </rPr>
      <t xml:space="preserve"> ft long hood required, where the 0.5 ft is the 6 inches extending on either side of the cooking equipment. 1 extra ft has also been added as a buffer.</t>
    </r>
  </si>
  <si>
    <t>** Assuming  a 4 ft griddle, 2 ft of warming/holding equipment, and 3 ft small fryer or oven . With 6‑inch hood overhangs on each end, the total hood length needed is approximately 10 ft. 1 extra ft has also been added as a buffer.</t>
  </si>
  <si>
    <t>Exhaust hood</t>
  </si>
  <si>
    <t>Efficiency of exhaust fan is 50% (according to ACM, 2025,section 5.7.3)</t>
  </si>
  <si>
    <t>A full‑service hotel kitchen serving a 7,000‑ft² restaurant and banquet space typically includes a multi‑appliance cookline: a griddle (3–6 ft), fryers (2–4 ft), Charbroiler (2–3 ft), range (2–3 ft), and a convection oven or holding equipment (2–3 ft). Placed side‑by‑side, these appliances require approximately 14–18 ft of linear hood coverage, including the mandatory 6‑inch overhang on each side. Therefore, a 16‑ft Type I hood represents a realistic and industry‑standard length for a restaurant/banquet cookline in a 1,100‑ft² hotel kitchen.</t>
  </si>
  <si>
    <t>T24, 2025, Table 140.9-C</t>
  </si>
  <si>
    <t>ACM 2025, Section 5.7.3, Exhaust fan efficiency</t>
  </si>
  <si>
    <t>ASHRAE 62.1 2022,</t>
  </si>
  <si>
    <t>Title 24, 2013</t>
  </si>
  <si>
    <t>Title 24, 2008</t>
  </si>
  <si>
    <t>WH Type</t>
  </si>
  <si>
    <t>Efficiency</t>
  </si>
  <si>
    <t>Number of WH</t>
  </si>
  <si>
    <t>Tank Volume (gal)</t>
  </si>
  <si>
    <t>Tank Loss</t>
  </si>
  <si>
    <t>See table below for CZ-specific values: Climate Zone Water Heater Sizing and Loss Coefficients, Storage Volume column (col G)</t>
  </si>
  <si>
    <t xml:space="preserve">See table below: Climate Zone Water Heater Sizing and Loss Coefficients, Standby Loss column (col H) </t>
  </si>
  <si>
    <t>See table below for sources: Climate Zone Water Heater Sizing and Loss Coefficients</t>
  </si>
  <si>
    <t xml:space="preserve">Gas </t>
  </si>
  <si>
    <t>See table below: Climate Zone Water Heater Sizing and Loss Coefficients, Standby Loss column (col H)</t>
  </si>
  <si>
    <t>Peak Hot Water Consumption</t>
  </si>
  <si>
    <t>Space Name</t>
  </si>
  <si>
    <t>Baseline WH Type 
[T24, 2022, Appendix 5.4A , sheet: "2022 SpaceFuncData-Input"]</t>
  </si>
  <si>
    <t>Total Area (ft²)</t>
  </si>
  <si>
    <t>Hot Water Usage Specification
(gal/hr per person)  
[T24, 2022, Appendix 5.4A , sheet: "2022 SpaceFuncData-Input"]</t>
  </si>
  <si>
    <t>Peak Hot Water Usage
(gal/hr)</t>
  </si>
  <si>
    <t>Peak Hot Water Usage
(gal/min)</t>
  </si>
  <si>
    <t>For space types marked with an asterisk (the ‘*’ symbol), the water‑heater type is listed as electric in Appendix 5.4A, sheet ‘2022 SpaceFuncData‑Input.’ However, we modified the value based on CEUS data, which indicates that gas is the primary fuel type.</t>
  </si>
  <si>
    <t>Total</t>
  </si>
  <si>
    <t>Gas storage</t>
  </si>
  <si>
    <t>Minimum peak hot water usage is 75 gal according to ACM 2025</t>
  </si>
  <si>
    <t xml:space="preserve">Total </t>
  </si>
  <si>
    <t>Electric resistance</t>
  </si>
  <si>
    <t>Number of identical water heaters</t>
  </si>
  <si>
    <t>N identical catalog heaters. Loss table (D–J) is per heater.</t>
  </si>
  <si>
    <t>heat capacity of water (BTU/hr-F)</t>
  </si>
  <si>
    <t>Design supply temperature (°F)</t>
  </si>
  <si>
    <t>CEC-400-2022-009-CMF-REV2-AP5.4B</t>
  </si>
  <si>
    <t>WH system factor</t>
  </si>
  <si>
    <t>2025 ACM §5.9.2 Rated Capacity</t>
  </si>
  <si>
    <t>Water mass conversion (lb/gal)</t>
  </si>
  <si>
    <t>Reheat multiplier</t>
  </si>
  <si>
    <t>2025 ACM §5.9.2 Storage Volume</t>
  </si>
  <si>
    <t>Climate Zone Water Heater Sizing and Loss Coefficients (Individual WH)</t>
  </si>
  <si>
    <t>Water Heater Name</t>
  </si>
  <si>
    <t>Climate Zone</t>
  </si>
  <si>
    <t>Minimum Monthly Mains Temp (°F)
[T24 2022 - Appendix 5.4B]</t>
  </si>
  <si>
    <t>Heat Output (Btu/hr)
[ACM, 2025, 5.9.2: Rated capacity section]</t>
  </si>
  <si>
    <t>WH Capacity (Btu/hr)
[ACM, 2025, 5.9.2: Rated capacity section]</t>
  </si>
  <si>
    <t>Required Energy Input (Btu/hr)</t>
  </si>
  <si>
    <t>Storage Volume (gal)</t>
  </si>
  <si>
    <t>Standby Loss
 [Title 20, §1605.1 Table F-4; Appendix B: Water Heating Calculation Method]</t>
  </si>
  <si>
    <t xml:space="preserve">Off/On Cycle Loss Coefficient to Ambient Temp </t>
  </si>
  <si>
    <t>Source/Note</t>
  </si>
  <si>
    <t>WH_HotelLarge</t>
  </si>
  <si>
    <t>CZ01</t>
  </si>
  <si>
    <t>Btu/hr</t>
  </si>
  <si>
    <t>Btu/h·°F</t>
  </si>
  <si>
    <t>Required Energy Input: vendor/available catalog size (Market data table).
Storage Volume: standard/available catalog tank size (Market data table).</t>
  </si>
  <si>
    <t>CZ02</t>
  </si>
  <si>
    <t>CZ03</t>
  </si>
  <si>
    <t>CZ04</t>
  </si>
  <si>
    <t>CZ05</t>
  </si>
  <si>
    <t>CZ06</t>
  </si>
  <si>
    <t>CZ07</t>
  </si>
  <si>
    <t>CZ08</t>
  </si>
  <si>
    <t>CZ09</t>
  </si>
  <si>
    <t xml:space="preserve">Market data </t>
  </si>
  <si>
    <t>Catalog gas input (Btu/h)</t>
  </si>
  <si>
    <t>Input source</t>
  </si>
  <si>
    <t>Elec resistance tank (kW)</t>
  </si>
  <si>
    <t>Elec resistance (Btu/h)</t>
  </si>
  <si>
    <t>Catalog gas tank (gal)</t>
  </si>
  <si>
    <t>Tank source</t>
  </si>
  <si>
    <t>Elec tank (gal)</t>
  </si>
  <si>
    <t>Elec tank source</t>
  </si>
  <si>
    <t>Grainger</t>
  </si>
  <si>
    <t>ENERGY STAR</t>
  </si>
  <si>
    <t>Both</t>
  </si>
  <si>
    <t>2023 ASHRAE Handbook—HVAC Applications, section 51.20</t>
  </si>
  <si>
    <t>12gal per bath</t>
  </si>
  <si>
    <t>Space Type</t>
  </si>
  <si>
    <t xml:space="preserve">New Construction </t>
  </si>
  <si>
    <t>LPD (W/ft²)</t>
  </si>
  <si>
    <t>Additional LPD for Portable Lighting (W/ft²)</t>
  </si>
  <si>
    <t xml:space="preserve">LPD (W/ft²) </t>
  </si>
  <si>
    <r>
      <t xml:space="preserve">T24, 2025, Table 140.6-C
PNNL ASHRAE 90.1 2022 for Guest Room, </t>
    </r>
    <r>
      <rPr>
        <sz val="10"/>
        <color rgb="FF000000"/>
        <rFont val="Arial"/>
        <family val="2"/>
      </rPr>
      <t xml:space="preserve">same as ASHRAE 90.1 2025 </t>
    </r>
    <r>
      <rPr>
        <sz val="10"/>
        <rFont val="Arial"/>
        <family val="2"/>
      </rPr>
      <t xml:space="preserve">
(Area category method) </t>
    </r>
  </si>
  <si>
    <r>
      <t xml:space="preserve">T24, 2019*, Table 140.6-C 
 (Area category method)
</t>
    </r>
    <r>
      <rPr>
        <sz val="10"/>
        <color rgb="FF000000"/>
        <rFont val="Arial"/>
        <family val="2"/>
      </rPr>
      <t xml:space="preserve">Guest rooms: ASHRAE 90.1 2016, Table 9.6.1 (It's been assumed that guest rooms have a longer lighting replacement cycle compared to other space types) </t>
    </r>
    <r>
      <rPr>
        <sz val="10"/>
        <rFont val="Arial"/>
        <family val="2"/>
      </rPr>
      <t xml:space="preserve">
</t>
    </r>
  </si>
  <si>
    <t>Weighted LPD is used as basement is considered to be a mix of multiple spaces.</t>
  </si>
  <si>
    <t>Based on engineering judgement as it's being added to general LPD</t>
  </si>
  <si>
    <t xml:space="preserve">Engineering judgement, same as kitchen lighting </t>
  </si>
  <si>
    <t>Additional Lighting for New construction: General Lighting in the enclosed space of ceiling height &gt; 10’</t>
  </si>
  <si>
    <t xml:space="preserve">LPD of "All other spaces" is considered for storage </t>
  </si>
  <si>
    <t>LPD of "Bar/Lounge and Fine Dining Area"</t>
  </si>
  <si>
    <t xml:space="preserve">Originally existing LPD for guest room was 1.27 (according to CBECC 2019) but it then updated to  0.41, to align the LPF of  New Construction </t>
  </si>
  <si>
    <t>Space type: Hotel Function Area</t>
  </si>
  <si>
    <t>*Hotels are expected to update their lighting systems more frequently than offices. Therefore code edition of 2019 was considered as the reference for LPD of the existing prototypes.</t>
  </si>
  <si>
    <t>ASHRAE 90.1 2016</t>
  </si>
  <si>
    <t>Motion Controlled Luminaires (W)</t>
  </si>
  <si>
    <t>Non-motion Controlled Luminaires (W)</t>
  </si>
  <si>
    <t>Total (W)</t>
  </si>
  <si>
    <t>T24, 2022 &amp; 2025
2019 Outdoor Lighting CASE report 
 PNNL 90.1-2010 TSD</t>
  </si>
  <si>
    <t>Exterior Lighting</t>
  </si>
  <si>
    <t>Items (Assume LZ2)</t>
  </si>
  <si>
    <t>Assumptions
[2019 Outdoor Lighting CASE Report &amp; PNNL 90.1-2010 TSD]</t>
  </si>
  <si>
    <t>Unit</t>
  </si>
  <si>
    <t>Lighting Power Allowance 
[T24, 2025, Table 140.7-A &amp; 140.7-B]</t>
  </si>
  <si>
    <t xml:space="preserve">Exterior Lighting Power (W) New Construction </t>
  </si>
  <si>
    <t>Lighting Power Allowance 
[T24, 2019, Table 140.7-A &amp; 140.7-B]</t>
  </si>
  <si>
    <t>Exterior Lighting Power (W) Existing</t>
  </si>
  <si>
    <t>IWA (Initial Wage Allowance)</t>
  </si>
  <si>
    <t>(W)</t>
  </si>
  <si>
    <t>Parking area</t>
  </si>
  <si>
    <r>
      <rPr>
        <sz val="10"/>
        <color rgb="FF000000"/>
        <rFont val="Arial"/>
        <family val="2"/>
      </rPr>
      <t xml:space="preserve">400 ft² for every parking space  </t>
    </r>
    <r>
      <rPr>
        <sz val="10"/>
        <color rgb="FF000000"/>
        <rFont val="Arial"/>
        <family val="2"/>
      </rPr>
      <t xml:space="preserve">[2019 Lighting CASE report, Appendix H]
</t>
    </r>
    <r>
      <rPr>
        <sz val="10"/>
        <color rgb="FF000000"/>
        <rFont val="Arial"/>
        <family val="2"/>
      </rPr>
      <t xml:space="preserve">1 parking space per 360 ft² of gross building area   </t>
    </r>
    <r>
      <rPr>
        <sz val="10"/>
        <color rgb="FF000000"/>
        <rFont val="Arial"/>
        <family val="2"/>
      </rPr>
      <t>[2019 Lighting CASE report,Table 38]</t>
    </r>
  </si>
  <si>
    <t>(ft²)</t>
  </si>
  <si>
    <t>(W/ft²)</t>
  </si>
  <si>
    <t>Building Entrance</t>
  </si>
  <si>
    <t>2 building entrance (1 per 10,000 ft² footprint)</t>
  </si>
  <si>
    <t>(count)</t>
  </si>
  <si>
    <t>(W/ea)</t>
  </si>
  <si>
    <t>Hardscape Ornamental Light</t>
  </si>
  <si>
    <r>
      <rPr>
        <sz val="10"/>
        <color rgb="FF000000"/>
        <rFont val="Arial"/>
        <family val="2"/>
      </rPr>
      <t xml:space="preserve">0.1 ft² per 1 ft² of gross building area </t>
    </r>
    <r>
      <rPr>
        <sz val="10"/>
        <color rgb="FF000000"/>
        <rFont val="Arial"/>
        <family val="2"/>
      </rPr>
      <t>[2019 Lighting CASE report,Table 36]</t>
    </r>
  </si>
  <si>
    <t>Building façade</t>
  </si>
  <si>
    <t xml:space="preserve">Façade Area = Perimeter × 0.5 × 30 ft (30 ft is the max height that is lit) * 
The 0.5 factor assumes that only half of the perimeter walls are lit.
-Formula ia developed based on the 2019 Outdoor Lighting CASE report </t>
  </si>
  <si>
    <t>Non-sales canopy</t>
  </si>
  <si>
    <t>Size of the canopy is 60 ft* 24 ft according to the geometry</t>
  </si>
  <si>
    <t>Motion controlled Luminaires</t>
  </si>
  <si>
    <t>Non-motion-controlled Luminaires</t>
  </si>
  <si>
    <t>*Developed based on 2019 Outdoor Lighting CASE Report</t>
  </si>
  <si>
    <t>Perimeter (ft)</t>
  </si>
  <si>
    <t>Floors (above ground)</t>
  </si>
  <si>
    <t>Plug load Power Density (W/ft²)</t>
  </si>
  <si>
    <t>ReachIn Refrigerator and ReachInFreezer Power (W) - 24/7</t>
  </si>
  <si>
    <t>Refrigeration Power Density (W/ft²)</t>
  </si>
  <si>
    <t>Gas Power Density (Btu/hr-ft²)</t>
  </si>
  <si>
    <t>T24 2022 - Appendix 5.4A</t>
  </si>
  <si>
    <t>Plug load and schedules project with CEC, 2024</t>
  </si>
  <si>
    <t>Engineering judgement</t>
  </si>
  <si>
    <t>Plug load and schedules project with CEC, 2025</t>
  </si>
  <si>
    <t>ReachIn Refrigerator and ReachInFreezer: [PNNL ASHRAE 90.1 2022 HotelLarge Prototype]
Other inputs: : T24 2022 - Appendix 5.4A</t>
  </si>
  <si>
    <t>Elevator</t>
  </si>
  <si>
    <t>Class</t>
  </si>
  <si>
    <t>Number of
elevators
(ne)</t>
  </si>
  <si>
    <t>Cab Lighting
Power Limit
(W/ft2)</t>
  </si>
  <si>
    <t>Fan Power
Limit (W/CFM)</t>
  </si>
  <si>
    <t>Cab Ventilation Fan &amp; Lighting Shutoff</t>
  </si>
  <si>
    <t>Design
Motor Load (W)</t>
  </si>
  <si>
    <t>Fan Load
(W)</t>
  </si>
  <si>
    <t>Lighting Load
(W)</t>
  </si>
  <si>
    <t>Total
(W)</t>
  </si>
  <si>
    <t>F/G</t>
  </si>
  <si>
    <t>When stopped and unoccupied with doors closed for over 15 minutes, cab interior lighting and ventilation shall be de-energized until required for operation.</t>
  </si>
  <si>
    <t>Design load is calculated according to ISO 25745-2 method using Class F/G. Cab lighting and fan requirements are based on ASHRAE 90.1 2013.</t>
  </si>
  <si>
    <t>E</t>
  </si>
  <si>
    <t>When the elevator cab is stopped and unoccupied with doors closed for over 15 minutes, the cab interior lighting and ventilation fans shall be switched off until elevator cab operation resumes.</t>
  </si>
  <si>
    <t>Design load is calculated according to ISO 25745-2 method using Class E. Cab lighting and fan requirements are based on T24 2025 §120.6 (f).</t>
  </si>
  <si>
    <t>Large Hotel Elevator Calculations</t>
  </si>
  <si>
    <t>Symbol</t>
  </si>
  <si>
    <t>Definition</t>
  </si>
  <si>
    <t>Units</t>
  </si>
  <si>
    <t>Annual energy consumption of the elevator - Existing</t>
  </si>
  <si>
    <t>kWh/year</t>
  </si>
  <si>
    <t>Calculated</t>
  </si>
  <si>
    <t>Annual energy consumption of the elevator - New Construction</t>
  </si>
  <si>
    <t>C1</t>
  </si>
  <si>
    <t>Running-energy coefficient</t>
  </si>
  <si>
    <t>3.65 for Class E; 5.47 for Class F</t>
  </si>
  <si>
    <t>Coefficient</t>
  </si>
  <si>
    <t>ISO 25745-2 Table 7</t>
  </si>
  <si>
    <t>C2</t>
  </si>
  <si>
    <t>Idle/standby coefficient</t>
  </si>
  <si>
    <t>800 for Class E; 1,600 for Class F</t>
  </si>
  <si>
    <t>Q</t>
  </si>
  <si>
    <t>Rated load of elevator</t>
  </si>
  <si>
    <t>kg</t>
  </si>
  <si>
    <t>Assumed for all prototypes</t>
  </si>
  <si>
    <t>Elevator Size</t>
  </si>
  <si>
    <t>Cab floor area</t>
  </si>
  <si>
    <t>ft^2</t>
  </si>
  <si>
    <t>W=6.781 ft, L=4.406 ft; assumed based on representative manufacturer</t>
  </si>
  <si>
    <t>CFM</t>
  </si>
  <si>
    <t>Cab fan airflow</t>
  </si>
  <si>
    <t>cfm</t>
  </si>
  <si>
    <t>Assumed for multifamily and commercial prototypes</t>
  </si>
  <si>
    <t>cat</t>
  </si>
  <si>
    <t>Usage category</t>
  </si>
  <si>
    <t>ISO 25745-2 Table A.1</t>
  </si>
  <si>
    <t>d</t>
  </si>
  <si>
    <t>Operating days per year</t>
  </si>
  <si>
    <t>days/year</t>
  </si>
  <si>
    <t>nf</t>
  </si>
  <si>
    <t>Number of floors</t>
  </si>
  <si>
    <t>floors</t>
  </si>
  <si>
    <t>Prototype assumptions</t>
  </si>
  <si>
    <t>h</t>
  </si>
  <si>
    <t>Floor-to-floor height</t>
  </si>
  <si>
    <t>m</t>
  </si>
  <si>
    <t>v</t>
  </si>
  <si>
    <t>Elevator lift speed</t>
  </si>
  <si>
    <t>m/s</t>
  </si>
  <si>
    <t>nd</t>
  </si>
  <si>
    <t>Number of trips per day</t>
  </si>
  <si>
    <t>trips/day</t>
  </si>
  <si>
    <t>S_pct</t>
  </si>
  <si>
    <t>Percent of average travel distance</t>
  </si>
  <si>
    <t>%</t>
  </si>
  <si>
    <t>ISO 25745-2 Table 2</t>
  </si>
  <si>
    <t>a</t>
  </si>
  <si>
    <t>Acceleration</t>
  </si>
  <si>
    <t>m/s^2</t>
  </si>
  <si>
    <t>Annex B of ISO 25745-2</t>
  </si>
  <si>
    <t>j</t>
  </si>
  <si>
    <t>Jerk</t>
  </si>
  <si>
    <t>m/s^3</t>
  </si>
  <si>
    <t>td</t>
  </si>
  <si>
    <t>Door time</t>
  </si>
  <si>
    <t>seconds</t>
  </si>
  <si>
    <t>S_av</t>
  </si>
  <si>
    <t>Average distance traveled per trip</t>
  </si>
  <si>
    <t>m/trip</t>
  </si>
  <si>
    <t>Calculated (nf * h * S_pct)</t>
  </si>
  <si>
    <t>t_av</t>
  </si>
  <si>
    <t>Average trip time</t>
  </si>
  <si>
    <t>seconds/trip</t>
  </si>
  <si>
    <t>Calculated (S_av/v + v/a + a/j + td)</t>
  </si>
  <si>
    <t>t_nr</t>
  </si>
  <si>
    <t>Time not running per day</t>
  </si>
  <si>
    <t>hours/day</t>
  </si>
  <si>
    <t>Calculated (24 - nd * t_av)</t>
  </si>
  <si>
    <t>Standby Hours</t>
  </si>
  <si>
    <t>Annual standby hours</t>
  </si>
  <si>
    <t>hours/year</t>
  </si>
  <si>
    <t>Calculated (24*(365-d)+t_nr*d)</t>
  </si>
  <si>
    <t>Total light level</t>
  </si>
  <si>
    <t>lm/ft2</t>
  </si>
  <si>
    <t>PNNL Prototypes</t>
  </si>
  <si>
    <t>EFLH</t>
  </si>
  <si>
    <t>Equivalent full load hours</t>
  </si>
  <si>
    <t>hours</t>
  </si>
  <si>
    <t>Calculated using the elevator schedule</t>
  </si>
  <si>
    <t>Zone</t>
  </si>
  <si>
    <t>Schedule</t>
  </si>
  <si>
    <t>Type</t>
  </si>
  <si>
    <t>Hour</t>
  </si>
  <si>
    <t>Service and Back Up prep in Basement</t>
  </si>
  <si>
    <t>Occupancy</t>
  </si>
  <si>
    <t>PNNL 2022 Large Hotel prototype , basement</t>
  </si>
  <si>
    <t>Lights</t>
  </si>
  <si>
    <t>PNNL 2022 Large Hotel prototype , Lights of the Basement zone</t>
  </si>
  <si>
    <t>ElecEquipment</t>
  </si>
  <si>
    <t>HVACAvail</t>
  </si>
  <si>
    <t>PNNL 2022 Large Hotel prototype , Basement</t>
  </si>
  <si>
    <t>ServiceHotWater</t>
  </si>
  <si>
    <t>Engineering judgement
 (Less workers during weekend)
* PNNL doesn't have SHW to basement</t>
  </si>
  <si>
    <t>HtgSetpt</t>
  </si>
  <si>
    <t>ClgSetpt</t>
  </si>
  <si>
    <t>Storage, Mech, Laundry, Banquet</t>
  </si>
  <si>
    <t>T24 2022 - Appendix 5.4B, [Assembly]</t>
  </si>
  <si>
    <t>Mech, Laundry, Banquet</t>
  </si>
  <si>
    <t>GasEquipment</t>
  </si>
  <si>
    <t>ResidentialCommen</t>
  </si>
  <si>
    <t>Corridors and Lobby</t>
  </si>
  <si>
    <t>T24 2022 - Appendix 5.4B, Residentialcommon</t>
  </si>
  <si>
    <t>Guest Rooms</t>
  </si>
  <si>
    <t>T24 2022 - Appendix 5.4B, [ResidentialLiving]</t>
  </si>
  <si>
    <t>Honeywell-INNCOM e7 Thermostat User Guide 
&amp; Engineering Judgement</t>
  </si>
  <si>
    <t>Retails</t>
  </si>
  <si>
    <t>T24 2022 - Appendix 5.4B, [Retail]</t>
  </si>
  <si>
    <t>Dining and Café</t>
  </si>
  <si>
    <t>PNNL,ASHRAE 90.1, 2022 Fast Food Restaurant prototype 
(It has higher occupancy rate during morning compared to T24 2022 - Appendix 5.4B)</t>
  </si>
  <si>
    <r>
      <t xml:space="preserve">T24 2022 - Appendix 5.4B, [Restaurant]
</t>
    </r>
    <r>
      <rPr>
        <sz val="9"/>
        <color rgb="FF00B050"/>
        <rFont val="Arial"/>
        <family val="2"/>
      </rPr>
      <t>Updated based on the equipment schedule from the plug load and schedule project with CEC</t>
    </r>
    <r>
      <rPr>
        <sz val="9"/>
        <color theme="1"/>
        <rFont val="Arial"/>
        <family val="2"/>
      </rPr>
      <t xml:space="preserve">
</t>
    </r>
  </si>
  <si>
    <r>
      <t xml:space="preserve">T24 2022 - Appendix 5.4B , [Restaurant]
</t>
    </r>
    <r>
      <rPr>
        <sz val="9"/>
        <color rgb="FF00B050"/>
        <rFont val="Arial"/>
        <family val="2"/>
      </rPr>
      <t xml:space="preserve">Updated based on the adopted PNNL occupancy 
</t>
    </r>
  </si>
  <si>
    <r>
      <t xml:space="preserve">T24 2022 - Appendix 5.4B, [Restaurant]
</t>
    </r>
    <r>
      <rPr>
        <sz val="9"/>
        <color rgb="FF00B050"/>
        <rFont val="Arial"/>
        <family val="2"/>
      </rPr>
      <t xml:space="preserve">
Updated based on the adopted PNNL occupancy </t>
    </r>
  </si>
  <si>
    <r>
      <t xml:space="preserve">T24 2022 - Appendix 5.4B, [Restaurant]
</t>
    </r>
    <r>
      <rPr>
        <sz val="9"/>
        <color rgb="FF00B050"/>
        <rFont val="Arial"/>
        <family val="2"/>
      </rPr>
      <t xml:space="preserve">Updated based on the adopted PNNL occupancy 
</t>
    </r>
    <r>
      <rPr>
        <sz val="9"/>
        <color theme="1"/>
        <rFont val="Arial"/>
        <family val="2"/>
      </rPr>
      <t xml:space="preserve">
</t>
    </r>
  </si>
  <si>
    <t>T24 2022 - Appendix 5.4B, [Restaurant]</t>
  </si>
  <si>
    <t>occupancy</t>
  </si>
  <si>
    <t>ExhaustHoodEqualOrLessThan5000cfm</t>
  </si>
  <si>
    <t>ExhaustHoodGreaterThan 5000cfm</t>
  </si>
  <si>
    <r>
      <t xml:space="preserve">T24 2022 - Appendix 5.4B,  [Restaurant]
</t>
    </r>
    <r>
      <rPr>
        <sz val="9"/>
        <color rgb="FF00B050"/>
        <rFont val="Arial"/>
        <family val="2"/>
      </rPr>
      <t xml:space="preserve">
Updated based on the adopted PNNL occupancy</t>
    </r>
  </si>
  <si>
    <r>
      <t xml:space="preserve">T24 2022 - Appendix 5.4B,  [Restaurant]
</t>
    </r>
    <r>
      <rPr>
        <sz val="9"/>
        <color rgb="FF00B050"/>
        <rFont val="Arial"/>
        <family val="2"/>
      </rPr>
      <t>Updated based on the equipment schedule from the plug load and schedule project with CEC</t>
    </r>
  </si>
  <si>
    <t>Thermostat Setpoints of PNNL 09.1, 2022 Restaurant prototype and HVAC availability schedule of CEC Restaurant prototype</t>
  </si>
  <si>
    <t>Other</t>
  </si>
  <si>
    <t xml:space="preserve">Office, Conference space </t>
  </si>
  <si>
    <r>
      <t xml:space="preserve">T24 2022 - Appendix 5.4B, [Office]
</t>
    </r>
    <r>
      <rPr>
        <sz val="9"/>
        <color rgb="FF0070C0"/>
        <rFont val="Arial"/>
        <family val="2"/>
      </rPr>
      <t xml:space="preserve">
Updated base on Plug load and schedules project with CEC, 2025</t>
    </r>
  </si>
  <si>
    <t>T24 2022 - Appendix 5.4B, [Office]</t>
  </si>
  <si>
    <t xml:space="preserve">ElecEquipment </t>
  </si>
  <si>
    <t xml:space="preserve">Plug load and schedules project with CEC, 2025 </t>
  </si>
  <si>
    <r>
      <t xml:space="preserve">T24 2022 - Appendix 5.4B, [Office]
</t>
    </r>
    <r>
      <rPr>
        <sz val="9"/>
        <color rgb="FF0070C0"/>
        <rFont val="Arial"/>
        <family val="2"/>
      </rPr>
      <t>Updated base on Plug load and schedules project with CEC, 202</t>
    </r>
  </si>
  <si>
    <t xml:space="preserve">PNNL Large Hotel Prototype (2022)
</t>
  </si>
  <si>
    <t>ExtLightingNonMotionCtrl</t>
  </si>
  <si>
    <t>ExtLightingMotionCtrl</t>
  </si>
  <si>
    <t xml:space="preserve">PNNL Large Hotel Prototype (2022) Modified to 0 for 11 pm to 5 am during weekday and 12 am to 5 am during weekend 
</t>
  </si>
  <si>
    <t>Mech, Storage, Laundry, Lobby, Corridor</t>
  </si>
  <si>
    <t>CommonAreaPeopleActivityLevel</t>
  </si>
  <si>
    <t xml:space="preserve">Based on Activilty level schedules in  CEC Prototypes </t>
  </si>
  <si>
    <t>GuestRoom</t>
  </si>
  <si>
    <t>GuestRoomPeopleActivityLevel</t>
  </si>
  <si>
    <t>FunctionalAreaPeopleActivityLevel</t>
  </si>
  <si>
    <t>Kitchen,  Serive and Back Up Prep</t>
  </si>
  <si>
    <t>KitchenPeopleActivityLevel</t>
  </si>
  <si>
    <t>Dining and Café, Banquet</t>
  </si>
  <si>
    <t>DiningAreaPeopleActivityLevel</t>
  </si>
  <si>
    <t>RetailSalePeopleActivityLevel</t>
  </si>
  <si>
    <t>LargeHotelBasementPeopleActivityLevel</t>
  </si>
  <si>
    <t>Based on Activilty level schedules in  CEC Prototypes and assumed spaces for Basement</t>
  </si>
  <si>
    <t>LargeHotelBasemet</t>
  </si>
  <si>
    <t>Conference and Office in Basement</t>
  </si>
  <si>
    <t>Storage in Basement</t>
  </si>
  <si>
    <t>Previous version of Schedules</t>
  </si>
  <si>
    <t>All Zones at FloorGt/ Dining &amp; Kitchen &amp; Banquet at the FloorT</t>
  </si>
  <si>
    <t>PNNL Large Hotel</t>
  </si>
  <si>
    <t>Assembly Occupancy</t>
  </si>
  <si>
    <t>T24 2022 - Appendix 5.4B</t>
  </si>
  <si>
    <t>Assembly Lighting</t>
  </si>
  <si>
    <t>Assembly Equipment (Plug load)</t>
  </si>
  <si>
    <t>Assembly HVAC availability</t>
  </si>
  <si>
    <t>Assembly Service Hot Water</t>
  </si>
  <si>
    <t>Assembly Infiltration</t>
  </si>
  <si>
    <t>Assembly Gas Equip</t>
  </si>
  <si>
    <t>Guest room Occupancy</t>
  </si>
  <si>
    <t>Guest room Equipment (Plug load)</t>
  </si>
  <si>
    <t>LargeHotelBasement</t>
  </si>
  <si>
    <t>PNNL 2022 Large Hotel prototype</t>
  </si>
  <si>
    <t>T24 2022 - Appendix 5.4B -  [Assembly]</t>
  </si>
  <si>
    <t>CalBEM Energy Consumption - HotelLarge</t>
  </si>
  <si>
    <t>Energy Consumption - Lodging</t>
  </si>
  <si>
    <t>CZ</t>
  </si>
  <si>
    <t>CalBEM Electricity EUI (KBTU/ft²)</t>
  </si>
  <si>
    <t>CalBEM Gas EUI (KBTU/ft²)</t>
  </si>
  <si>
    <t>CalBEM Total  EUI (KBTU/ft²)</t>
  </si>
  <si>
    <t>New Construction  Electricity EUI (KBTU/ft²)</t>
  </si>
  <si>
    <t>New Construction  Gas EUI (KBTU/ft²)</t>
  </si>
  <si>
    <t>New Construction  Total EUI (KBTU/ft²)</t>
  </si>
  <si>
    <t>National Average</t>
  </si>
  <si>
    <t>Acceptable Range (25% Higher)</t>
  </si>
  <si>
    <t>Acceptable Range (25% Lower)</t>
  </si>
  <si>
    <t>National Average Acceptable EUI Range</t>
  </si>
  <si>
    <t>Total Floorspace (Thousand of ft²)</t>
  </si>
  <si>
    <t>Electric Energy Intensity (kWh/ft²)</t>
  </si>
  <si>
    <t>Annual Gas Intensity (kWh/ft²)</t>
  </si>
  <si>
    <t>CEUS 2023 Total EUI (kBtu/ft²)</t>
  </si>
  <si>
    <t xml:space="preserve">CEUS 2022 Acceptable EUI Range </t>
  </si>
  <si>
    <t xml:space="preserve"> HotelLarge</t>
  </si>
  <si>
    <t>Lodging</t>
  </si>
  <si>
    <r>
      <rPr>
        <b/>
        <sz val="10"/>
        <color theme="1"/>
        <rFont val="Arial"/>
        <family val="2"/>
      </rPr>
      <t xml:space="preserve">Ref: </t>
    </r>
    <r>
      <rPr>
        <sz val="10"/>
        <color theme="1"/>
        <rFont val="Arial"/>
        <family val="2"/>
      </rPr>
      <t xml:space="preserve">CEUS 2022 Report </t>
    </r>
  </si>
  <si>
    <t xml:space="preserve">And converted FZ level data to CZ level </t>
  </si>
  <si>
    <t>CEUS has only one category for Lodging buildings</t>
  </si>
  <si>
    <t>% of Floor Area per CZ and Vintage Bin - Lodging</t>
  </si>
  <si>
    <t>Vintage Bin</t>
  </si>
  <si>
    <t>Pre-1978</t>
  </si>
  <si>
    <t>Hotel</t>
  </si>
  <si>
    <t>Not available</t>
  </si>
  <si>
    <t>Statewide</t>
  </si>
  <si>
    <t>Ref: CEUS 2022 dataset</t>
  </si>
  <si>
    <t>TBD</t>
  </si>
  <si>
    <t>Space Function</t>
  </si>
  <si>
    <t xml:space="preserve">Exhaust Required? </t>
  </si>
  <si>
    <t>LPD (W/ft²) 2025</t>
  </si>
  <si>
    <t>LPD (W/ft²) 2019</t>
  </si>
  <si>
    <t>LPD (W/ft²) 2016</t>
  </si>
  <si>
    <t>Exhaust Required?</t>
  </si>
  <si>
    <t>Ventilation in T24</t>
  </si>
  <si>
    <t>Aging Eye/Low-vision (Corridor Area)</t>
  </si>
  <si>
    <t>Aging Eye/Low-vision (Dining)</t>
  </si>
  <si>
    <t>TABLE 120.1-A– Minimum Ventilation Rates</t>
  </si>
  <si>
    <t>TABLE 120.1-A MINIMUM VENTILATION RATES</t>
  </si>
  <si>
    <t>TABLE 121-A MINIMUM VENTILATION RATES</t>
  </si>
  <si>
    <t>Aging Eye/Low-vision (Lobby, Main Entry)</t>
  </si>
  <si>
    <t>Occupancy Category</t>
  </si>
  <si>
    <r>
      <t xml:space="preserve">Minimum Occupant Load Density </t>
    </r>
    <r>
      <rPr>
        <b/>
        <i/>
        <sz val="11"/>
        <color theme="1"/>
        <rFont val="Calibri"/>
        <family val="2"/>
        <scheme val="minor"/>
      </rPr>
      <t>(persons / 1000 ft²)</t>
    </r>
  </si>
  <si>
    <t>Area-Based Minimum Ventilation Ra (cfm/ft²)</t>
  </si>
  <si>
    <t>Air Class</t>
  </si>
  <si>
    <t>Type of Use</t>
  </si>
  <si>
    <t>CFM per Square Foot of Conditioned Floor Area</t>
  </si>
  <si>
    <t>Aging Eye/Low-vision (Lounge/Waiting Area)</t>
  </si>
  <si>
    <t>Educational Facilities</t>
  </si>
  <si>
    <t>Daycare (through age 4)</t>
  </si>
  <si>
    <t>--</t>
  </si>
  <si>
    <t>Auto repair workshops</t>
  </si>
  <si>
    <t>Aging Eye/Low-vision (Multipurpose Room)</t>
  </si>
  <si>
    <t>Daycare sickroom</t>
  </si>
  <si>
    <t>Barber shops</t>
  </si>
  <si>
    <t>Aging Eye/Low-vision (Religious Worship Area)</t>
  </si>
  <si>
    <t>Classrooms (ages 5–8)</t>
  </si>
  <si>
    <t>Bars, cocktail lounges, and casinos</t>
  </si>
  <si>
    <t>Aging Eye/Low-vision (Restroom)</t>
  </si>
  <si>
    <t>Classrooms (age 9–18)</t>
  </si>
  <si>
    <t>Beauty shops</t>
  </si>
  <si>
    <t>Aging Eye/Low-vision (Stairwell)</t>
  </si>
  <si>
    <t>Lecture / postsecondary classroom</t>
  </si>
  <si>
    <t>F</t>
  </si>
  <si>
    <t>Coin-operated dry cleaning</t>
  </si>
  <si>
    <t>Audience Seating Area</t>
  </si>
  <si>
    <t>Lecture hall (fixed seats)</t>
  </si>
  <si>
    <t>Commercial dry cleaning</t>
  </si>
  <si>
    <t>Auditorium Area</t>
  </si>
  <si>
    <t>Art classroom</t>
  </si>
  <si>
    <t>High-rise residential Ventilation Rates (CBC)</t>
  </si>
  <si>
    <t>Ventilation Rates Specified by the CBC</t>
  </si>
  <si>
    <t>—</t>
  </si>
  <si>
    <t>Auto Repair / Maintenance Area</t>
  </si>
  <si>
    <t>Science laboratories</t>
  </si>
  <si>
    <t>Hotel guest rooms (&lt;500 ft²)</t>
  </si>
  <si>
    <t>30 cfm/guest room</t>
  </si>
  <si>
    <t>Barber, Beauty Salon, Spa Area</t>
  </si>
  <si>
    <t>University / college laboratories</t>
  </si>
  <si>
    <t>Hotel guest rooms (≥500 ft²)</t>
  </si>
  <si>
    <t>Civic Meeting Place Area</t>
  </si>
  <si>
    <t>Wood / metal shop</t>
  </si>
  <si>
    <t>Retail stores</t>
  </si>
  <si>
    <t>Classroom, Lecture, Training, Vocational Areas</t>
  </si>
  <si>
    <t>Computer lab</t>
  </si>
  <si>
    <t>All others</t>
  </si>
  <si>
    <t>Concourse and Atria Area</t>
  </si>
  <si>
    <t>Media center</t>
  </si>
  <si>
    <t>A</t>
  </si>
  <si>
    <t>Music / theater / dance</t>
  </si>
  <si>
    <t>Copy Room</t>
  </si>
  <si>
    <t>Multiuse assembly</t>
  </si>
  <si>
    <t>Food and Beverage Service</t>
  </si>
  <si>
    <t>Restaurant dining rooms</t>
  </si>
  <si>
    <t>Cafeteria / fast-food dining</t>
  </si>
  <si>
    <t>Bars, cocktail lounges</t>
  </si>
  <si>
    <t>Dining Area (Family and Leisure)</t>
  </si>
  <si>
    <t>Kitchen (cooking)</t>
  </si>
  <si>
    <t>General</t>
  </si>
  <si>
    <t>Break rooms</t>
  </si>
  <si>
    <t>Exercise/Fitness Center and Gymnasium Areas</t>
  </si>
  <si>
    <t>Coffee stations</t>
  </si>
  <si>
    <t>Financial Transaction Area</t>
  </si>
  <si>
    <t>Conference / meeting</t>
  </si>
  <si>
    <t>Healthcare Facility and Hospitals (Exam/Treatment Room)</t>
  </si>
  <si>
    <t>Healthcare Facility and Hospitals (Imaging Room)</t>
  </si>
  <si>
    <t>Occupiable storage rooms for liquids or gels</t>
  </si>
  <si>
    <t>B</t>
  </si>
  <si>
    <t>Healthcare Facility and Hospitals (Medical Supply Room)</t>
  </si>
  <si>
    <t>Hotel, Motel, Resort, Dormitories</t>
  </si>
  <si>
    <t>Bedroom / living room</t>
  </si>
  <si>
    <t>Healthcare Facility and Hospitals (Nursery)</t>
  </si>
  <si>
    <t>Barracks sleeping areas</t>
  </si>
  <si>
    <t>Healthcare Facility and Hospitals (Nurse's Station)</t>
  </si>
  <si>
    <t>Laundry rooms, central</t>
  </si>
  <si>
    <t>Healthcare Facility and Hospitals (Operating Room)</t>
  </si>
  <si>
    <t>Laundry rooms within dwelling units</t>
  </si>
  <si>
    <t>Healthcare Facility and Hospitals (Patient Room)</t>
  </si>
  <si>
    <t>Lobbies / pre-function</t>
  </si>
  <si>
    <t>Healthcare Facility and Hospitals (Physical Therapy Room)</t>
  </si>
  <si>
    <t>Multipurpose assembly</t>
  </si>
  <si>
    <t>Healthcare Facility and Hospitals (Recovery Room)</t>
  </si>
  <si>
    <t>Office Building</t>
  </si>
  <si>
    <t>Bank vaults / safe deposit</t>
  </si>
  <si>
    <t>Banks or bank lobbies</t>
  </si>
  <si>
    <t>Computer (not printing)</t>
  </si>
  <si>
    <t>Kitchenette or Residential Kitchen</t>
  </si>
  <si>
    <t>Freezer &amp; refrigerated spaces (&lt;50°F)</t>
  </si>
  <si>
    <t>Laboratory, Scientific</t>
  </si>
  <si>
    <t>Breakrooms</t>
  </si>
  <si>
    <t>Main entry lobbies</t>
  </si>
  <si>
    <t>Library (Reading Area)</t>
  </si>
  <si>
    <t>Occupiable storage rooms for dry materials</t>
  </si>
  <si>
    <t>Library (Stacks Area)</t>
  </si>
  <si>
    <t>Office space</t>
  </si>
  <si>
    <t>Reception areas</t>
  </si>
  <si>
    <t>Locker Room</t>
  </si>
  <si>
    <t>Telephone / data entry</t>
  </si>
  <si>
    <t>Lounge, Breakroom, or Waiting Area</t>
  </si>
  <si>
    <t>Miscellaneous Spaces</t>
  </si>
  <si>
    <t>Manufacturing, Commercial &amp; Industrial Work Area (Low Bay)</t>
  </si>
  <si>
    <t>Manufacturing, Commercial &amp; Industrial Work Area (High Bay)</t>
  </si>
  <si>
    <t>Manufacturing, Commercial &amp; Industrial Work Area (Precision)</t>
  </si>
  <si>
    <t>Museum Area (Exhibition/Display)</t>
  </si>
  <si>
    <t>Industrial &amp; Miscellaneous Spaces</t>
  </si>
  <si>
    <t>General manufacturing (excluding heavy industrial &amp; chemical processes)</t>
  </si>
  <si>
    <t>Museum Area (Restoration Room)</t>
  </si>
  <si>
    <t>Pharmacy (prep. area)</t>
  </si>
  <si>
    <t>Photo studios</t>
  </si>
  <si>
    <t>Office Area (&lt;250 square feet)</t>
  </si>
  <si>
    <t>Shipping / receiving</t>
  </si>
  <si>
    <t>Parking Garage Area (Parking Zone and Ramps)</t>
  </si>
  <si>
    <t>Sorting, packing, light assembly</t>
  </si>
  <si>
    <t>Parking Garage Area (Daylight Adaptation Zones)</t>
  </si>
  <si>
    <t>Telephone closets</t>
  </si>
  <si>
    <t>Pharmacy Area</t>
  </si>
  <si>
    <t>Transportation waiting</t>
  </si>
  <si>
    <t>Retail Sales Area (Grocery Sales)</t>
  </si>
  <si>
    <t>Warehouses</t>
  </si>
  <si>
    <t>Retail Sales Area (Fitting Room)</t>
  </si>
  <si>
    <t>Sales (except as below)</t>
  </si>
  <si>
    <t>Religious Worship Area</t>
  </si>
  <si>
    <t>Mall common areas</t>
  </si>
  <si>
    <t>Restrooms</t>
  </si>
  <si>
    <t>Barbershop</t>
  </si>
  <si>
    <t>Stairwell</t>
  </si>
  <si>
    <t>Beauty and nail salons</t>
  </si>
  <si>
    <t>Storage, Commercial/Industrial (Warehouse)</t>
  </si>
  <si>
    <t>Pet shops (animal areas)</t>
  </si>
  <si>
    <t>Storage, Commercial/Industrial (Refrigerated)</t>
  </si>
  <si>
    <t>Supermarket</t>
  </si>
  <si>
    <t>Storage, Commercial/Industrial (Shipping &amp; Handling)</t>
  </si>
  <si>
    <t>Coin-operated laundries</t>
  </si>
  <si>
    <t>Public Assembly Spaces</t>
  </si>
  <si>
    <t>Auditorium seating area</t>
  </si>
  <si>
    <t>Sports Arena - Playing Area (&gt; 5,000 Spectators)</t>
  </si>
  <si>
    <t>Places of religious worship</t>
  </si>
  <si>
    <t>Sports Arena - Playing Area (2,000 - 5,000 Spectators)</t>
  </si>
  <si>
    <t>Courtrooms</t>
  </si>
  <si>
    <t>Sports Arena - Playing Area (&lt; 2,000 Spectators)</t>
  </si>
  <si>
    <t>Legislative chambers</t>
  </si>
  <si>
    <t>Sports Arena - Playing Area (Recreational)</t>
  </si>
  <si>
    <t>Libraries (reading rooms and stack areas)</t>
  </si>
  <si>
    <t>Theater Area (Motion Picture)</t>
  </si>
  <si>
    <t>Lobbies</t>
  </si>
  <si>
    <t>Theater Area (Performance)</t>
  </si>
  <si>
    <t>Museums (children’s)</t>
  </si>
  <si>
    <t>Transportation Function (Baggage Area)</t>
  </si>
  <si>
    <t>Museums / galleries</t>
  </si>
  <si>
    <t>Transportation Function (Ticketing Area)</t>
  </si>
  <si>
    <t>Common corridors</t>
  </si>
  <si>
    <t>Videoconferencing Studio</t>
  </si>
  <si>
    <t>High-Rise Residential Living Spaces</t>
  </si>
  <si>
    <t>General footnotes for Table 120.1-A:</t>
  </si>
  <si>
    <t>1 The minimum occupant density is one half of the maximum occupant load assumed for egress</t>
  </si>
  <si>
    <t>All other</t>
  </si>
  <si>
    <t>purposes in the CBC.</t>
  </si>
  <si>
    <t>Attic</t>
  </si>
  <si>
    <t>Specific Notes:</t>
  </si>
  <si>
    <t>Reception Area</t>
  </si>
  <si>
    <t>A – For high-school and college libraries, the values shown for “Public Assembly Spaces – Libraries” shall</t>
  </si>
  <si>
    <t>be used.</t>
  </si>
  <si>
    <t>Plenum</t>
  </si>
  <si>
    <t>B – Rate may not be sufficient where stored materials include those having potentially harmful</t>
  </si>
  <si>
    <t>IT Room (EPD 12)</t>
  </si>
  <si>
    <t>emissions.</t>
  </si>
  <si>
    <t>Computer Room (EPD 20)</t>
  </si>
  <si>
    <t>C – Rate does not allow for humidity control. “Deck area” refers to the area surrounding the pool that is</t>
  </si>
  <si>
    <t>Server Room (EPD 45)</t>
  </si>
  <si>
    <t>capable of being wetted during pool use or when the pool is occupied. Deck area that is not expected to</t>
  </si>
  <si>
    <t>Basement of Large Hotel</t>
  </si>
  <si>
    <t>Space considered in Basement</t>
  </si>
  <si>
    <t>Share</t>
  </si>
  <si>
    <t xml:space="preserve">People 
(Persons/1,000 ft²) 
Ref: T24, 2025,  Table 120.1-A </t>
  </si>
  <si>
    <t>cfm/person
(T24, 2025, Equation 120.1-F and Table 120.1-A)</t>
  </si>
  <si>
    <t>cfm/ft²  
(T24, 2025, Equation 120.1-F and Table 120.1-A)</t>
  </si>
  <si>
    <t>LPD 2025</t>
  </si>
  <si>
    <t>LPD 2019</t>
  </si>
  <si>
    <t>LPD 2016</t>
  </si>
  <si>
    <t xml:space="preserve">Hot Water [Gal/h per Person] </t>
  </si>
  <si>
    <t>Internal Mass ft2 (2 ft2 mass per 1  ft2 of floor area)</t>
  </si>
  <si>
    <t>be wetted shall be designated as an occupancy category.</t>
  </si>
  <si>
    <t>Conference</t>
  </si>
  <si>
    <t>D – Rate does not include special exhaust for stage effects such as dry ice vapors and smoke.</t>
  </si>
  <si>
    <t xml:space="preserve">Office </t>
  </si>
  <si>
    <t>E – Where combustion equipment is intended to be used on the playing surface or in the space,</t>
  </si>
  <si>
    <t>Service and back up prep</t>
  </si>
  <si>
    <t xml:space="preserve">Kitchen/Food Preparation Area </t>
  </si>
  <si>
    <t>0.7 cfm/ft2</t>
  </si>
  <si>
    <t>additional dilution ventilation, source control, or both shall be provided.</t>
  </si>
  <si>
    <t>F – Ventilation air for this occupancy category shall be permitted to be reduced to zero when the space</t>
  </si>
  <si>
    <t>is in occupied-standby mode.</t>
  </si>
  <si>
    <t>Table 120.1-B – Minimum Exhaust Rates [ASHRAE 62.1: Table 6-2]</t>
  </si>
  <si>
    <t>Exhaust Rate (cfm/unit)</t>
  </si>
  <si>
    <t>Exhaust Rate (cfm/ft²)</t>
  </si>
  <si>
    <t>Animal imaging (MRI/CT/PET)</t>
  </si>
  <si>
    <t>Animal operating rooms</t>
  </si>
  <si>
    <t>Animal postoperative recovery room</t>
  </si>
  <si>
    <t>Animal preparation rooms</t>
  </si>
  <si>
    <t>Animal procedure room</t>
  </si>
  <si>
    <t>Animal surgery scrub</t>
  </si>
  <si>
    <t>Large-animal holding room</t>
  </si>
  <si>
    <t>Animal necropsy</t>
  </si>
  <si>
    <t>Small-animal-cage room (static cages)</t>
  </si>
  <si>
    <t>Small-animal-cage room (ventilated cages)</t>
  </si>
  <si>
    <t>Arenas</t>
  </si>
  <si>
    <t>Art classrooms</t>
  </si>
  <si>
    <t>Auto repair rooms</t>
  </si>
  <si>
    <t>Cells with toilet</t>
  </si>
  <si>
    <t>Copy, printing rooms</t>
  </si>
  <si>
    <t>Darkrooms</t>
  </si>
  <si>
    <t>Educational science laboratories</t>
  </si>
  <si>
    <t>Janitor closets, trash rooms, recycling</t>
  </si>
  <si>
    <t>Kitchenettes</t>
  </si>
  <si>
    <t>Kitchens – commercial</t>
  </si>
  <si>
    <t>Locker rooms for athletic or industrial facilities</t>
  </si>
  <si>
    <t>All other locker rooms</t>
  </si>
  <si>
    <t>Shower rooms 20/50</t>
  </si>
  <si>
    <t>G,H</t>
  </si>
  <si>
    <t>Paint spray booths</t>
  </si>
  <si>
    <t>Parking garages</t>
  </si>
  <si>
    <t>C</t>
  </si>
  <si>
    <t>Refrigerating machinery rooms</t>
  </si>
  <si>
    <t>Soiled laundry storage rooms</t>
  </si>
  <si>
    <t>Storage rooms, chemical</t>
  </si>
  <si>
    <t>Toilets – private 25/50</t>
  </si>
  <si>
    <t>Toilets – public 50/70</t>
  </si>
  <si>
    <t>D</t>
  </si>
  <si>
    <t>Woodwork shop/classrooms</t>
  </si>
  <si>
    <t>Notes:</t>
  </si>
  <si>
    <t>A – Stands where engines are run shall have exhaust systems that directly connect to the engine exhaust and</t>
  </si>
  <si>
    <t>prevent escape of fumes.</t>
  </si>
  <si>
    <t>B – Where combustion equipment is intended to be used on the playing surface, additional dilution</t>
  </si>
  <si>
    <t>ventilation, source control, or both shall be provided.</t>
  </si>
  <si>
    <t>C – Exhaust shall not be required where two or more sides comprise walls that are at least 50% open to the</t>
  </si>
  <si>
    <t>outside.</t>
  </si>
  <si>
    <t>D – Rate is per water closet, urinal, or both. Provide the higher rate where periods of heavy use are expected</t>
  </si>
  <si>
    <t>to occur. The lower rate shall be permitted to be used otherwise.</t>
  </si>
  <si>
    <t>E – Rate is for a toilet room intended to be occupied by one person at a time. For continuous systems</t>
  </si>
  <si>
    <t>operation during hours of use, the lower rate shall be permitted to be used. Otherwise the higher rate</t>
  </si>
  <si>
    <t>shall be used.</t>
  </si>
  <si>
    <t>F – See other applicable standards for exhaust rate.</t>
  </si>
  <si>
    <t>G – For continuous system operation, the lower rate shall be permitted to be used. Otherwise the higher rate</t>
  </si>
  <si>
    <t>Mechanical Room  Heating Setpoint (F)</t>
  </si>
  <si>
    <t>Mechanical Room Heating Setback (F)</t>
  </si>
  <si>
    <t>Mechanical Room Cooling Setpoint (F)</t>
  </si>
  <si>
    <t>Mechanical Room Cooling Setback (F)</t>
  </si>
  <si>
    <t xml:space="preserve"> Total (286 Conditioned zones)</t>
  </si>
  <si>
    <t>Total (14 Space Types)</t>
  </si>
  <si>
    <t>Total (286 Space/Thermal Zones)</t>
  </si>
  <si>
    <t xml:space="preserve"> Total (9 Schedule categories)</t>
  </si>
  <si>
    <t>Mechanical room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</si>
</sst>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
    <numFmt numFmtId="165" formatCode="0.0"/>
    <numFmt numFmtId="166" formatCode="#,##0.0"/>
    <numFmt numFmtId="167" formatCode="0.0000"/>
    <numFmt numFmtId="168" formatCode="0.000"/>
    <numFmt numFmtId="169" formatCode="_(* #,##0_);_(* \(#,##0\);_(* &quot;-&quot;??_);_(@_)"/>
    <numFmt numFmtId="170" formatCode="#,##0;\-0;[Color15]0"/>
    <numFmt numFmtId="171" formatCode="_(* #,##0.0_);_(* \(#,##0.0\);_(* &quot;-&quot;??_);_(@_)"/>
  </numFmts>
  <fonts count="75" x14ac:knownFonts="1">
    <font>
      <sz val="11"/>
      <color theme="1"/>
      <name val="Calibri"/>
      <family val="2"/>
      <scheme val="minor"/>
    </font>
    <font>
      <b/>
      <sz val="14"/>
      <color theme="1"/>
      <name val="Calibri"/>
      <family val="2"/>
      <scheme val="minor"/>
    </font>
    <font>
      <sz val="10"/>
      <name val="Arial"/>
      <family val="2"/>
    </font>
    <font>
      <sz val="11"/>
      <color theme="1"/>
      <name val="Calibri"/>
      <family val="2"/>
      <scheme val="minor"/>
    </font>
    <font>
      <b/>
      <sz val="11"/>
      <color theme="1"/>
      <name val="Calibri"/>
      <family val="2"/>
      <scheme val="minor"/>
    </font>
    <font>
      <sz val="8"/>
      <color indexed="8"/>
      <name val="MS Sans Serif"/>
      <family val="2"/>
    </font>
    <font>
      <sz val="8"/>
      <name val="Calibri"/>
      <family val="2"/>
      <scheme val="minor"/>
    </font>
    <font>
      <sz val="10"/>
      <color theme="1"/>
      <name val="Arial"/>
      <family val="2"/>
    </font>
    <font>
      <b/>
      <sz val="10"/>
      <color theme="1"/>
      <name val="Arial"/>
      <family val="2"/>
    </font>
    <font>
      <u/>
      <sz val="11"/>
      <color theme="10"/>
      <name val="Calibri"/>
      <family val="2"/>
      <scheme val="minor"/>
    </font>
    <font>
      <b/>
      <sz val="12"/>
      <color theme="1"/>
      <name val="Calibri"/>
      <family val="2"/>
      <scheme val="minor"/>
    </font>
    <font>
      <sz val="10"/>
      <color indexed="8"/>
      <name val="Arial"/>
      <family val="2"/>
    </font>
    <font>
      <sz val="11"/>
      <color theme="1"/>
      <name val="Arial"/>
      <family val="2"/>
    </font>
    <font>
      <b/>
      <sz val="12"/>
      <color theme="0"/>
      <name val="Arial"/>
      <family val="2"/>
    </font>
    <font>
      <sz val="11"/>
      <color rgb="FF000000"/>
      <name val="Calibri"/>
      <family val="2"/>
      <scheme val="minor"/>
    </font>
    <font>
      <b/>
      <sz val="14"/>
      <color theme="1"/>
      <name val="Arial"/>
      <family val="2"/>
    </font>
    <font>
      <u/>
      <sz val="10"/>
      <color theme="10"/>
      <name val="Arial"/>
      <family val="2"/>
    </font>
    <font>
      <sz val="10"/>
      <color theme="1"/>
      <name val="Calibri"/>
      <family val="2"/>
      <scheme val="minor"/>
    </font>
    <font>
      <sz val="11"/>
      <color rgb="FF0070C0"/>
      <name val="Arial"/>
      <family val="2"/>
    </font>
    <font>
      <b/>
      <sz val="10"/>
      <name val="Arial"/>
      <family val="2"/>
    </font>
    <font>
      <b/>
      <sz val="10"/>
      <color indexed="8"/>
      <name val="Arial"/>
      <family val="2"/>
    </font>
    <font>
      <sz val="10"/>
      <color theme="4" tint="-0.499984740745262"/>
      <name val="Arial"/>
      <family val="2"/>
    </font>
    <font>
      <sz val="10"/>
      <color rgb="FF000000"/>
      <name val="Arial"/>
      <family val="2"/>
    </font>
    <font>
      <sz val="9"/>
      <color theme="1"/>
      <name val="Arial"/>
      <family val="2"/>
    </font>
    <font>
      <b/>
      <sz val="10"/>
      <color rgb="FF000000"/>
      <name val="Arial"/>
      <family val="2"/>
    </font>
    <font>
      <b/>
      <sz val="9"/>
      <color theme="0"/>
      <name val="Arial"/>
      <family val="2"/>
    </font>
    <font>
      <sz val="11"/>
      <color theme="1"/>
      <name val="Arial"/>
      <family val="2"/>
    </font>
    <font>
      <b/>
      <sz val="12"/>
      <color theme="1"/>
      <name val="Arial"/>
      <family val="2"/>
    </font>
    <font>
      <b/>
      <sz val="14"/>
      <color theme="1"/>
      <name val="Arial"/>
      <family val="2"/>
    </font>
    <font>
      <sz val="11"/>
      <color theme="0"/>
      <name val="Arial"/>
      <family val="2"/>
    </font>
    <font>
      <sz val="11"/>
      <name val="Arial"/>
      <family val="2"/>
    </font>
    <font>
      <sz val="11"/>
      <color theme="0" tint="-0.34998626667073579"/>
      <name val="Arial"/>
      <family val="2"/>
    </font>
    <font>
      <b/>
      <sz val="10"/>
      <color theme="0"/>
      <name val="Arial"/>
      <family val="2"/>
    </font>
    <font>
      <sz val="11"/>
      <color rgb="FF000000"/>
      <name val="Arial"/>
      <family val="2"/>
    </font>
    <font>
      <sz val="10"/>
      <color theme="0" tint="-0.499984740745262"/>
      <name val="Arial"/>
      <family val="2"/>
    </font>
    <font>
      <sz val="11"/>
      <color rgb="FF242424"/>
      <name val="Aptos Narrow"/>
      <family val="2"/>
    </font>
    <font>
      <b/>
      <sz val="11"/>
      <color theme="1"/>
      <name val="Arial"/>
      <family val="2"/>
    </font>
    <font>
      <sz val="10"/>
      <color theme="0" tint="-0.34998626667073579"/>
      <name val="Arial"/>
      <family val="2"/>
    </font>
    <font>
      <sz val="11"/>
      <color theme="0" tint="-0.499984740745262"/>
      <name val="Arial"/>
      <family val="2"/>
    </font>
    <font>
      <sz val="11"/>
      <name val="Calibri"/>
      <family val="2"/>
      <scheme val="minor"/>
    </font>
    <font>
      <b/>
      <sz val="12"/>
      <color rgb="FFFFFFFF"/>
      <name val="Arial"/>
      <family val="2"/>
    </font>
    <font>
      <u/>
      <sz val="11"/>
      <color theme="10"/>
      <name val="Arial"/>
      <family val="2"/>
    </font>
    <font>
      <sz val="10"/>
      <name val="Calibri"/>
      <family val="2"/>
      <scheme val="minor"/>
    </font>
    <font>
      <sz val="11"/>
      <color rgb="FF00B050"/>
      <name val="Calibri"/>
      <family val="2"/>
      <scheme val="minor"/>
    </font>
    <font>
      <sz val="8"/>
      <color theme="1"/>
      <name val="Arial"/>
      <family val="2"/>
    </font>
    <font>
      <sz val="10"/>
      <color rgb="FF0070C0"/>
      <name val="Arial"/>
      <family val="2"/>
    </font>
    <font>
      <sz val="9"/>
      <name val="Arial"/>
      <family val="2"/>
    </font>
    <font>
      <u/>
      <sz val="10"/>
      <color theme="10"/>
      <name val="Calibri"/>
      <family val="2"/>
      <scheme val="minor"/>
    </font>
    <font>
      <sz val="9"/>
      <color rgb="FF0070C0"/>
      <name val="Arial"/>
      <family val="2"/>
    </font>
    <font>
      <b/>
      <sz val="9"/>
      <color theme="1"/>
      <name val="Arial"/>
      <family val="2"/>
    </font>
    <font>
      <sz val="10"/>
      <color theme="4"/>
      <name val="Arial"/>
      <family val="2"/>
    </font>
    <font>
      <vertAlign val="subscript"/>
      <sz val="10"/>
      <color theme="1"/>
      <name val="Arial"/>
      <family val="2"/>
    </font>
    <font>
      <b/>
      <sz val="11"/>
      <color rgb="FF002060"/>
      <name val="Arial"/>
      <family val="2"/>
    </font>
    <font>
      <sz val="14"/>
      <color rgb="FF000000"/>
      <name val="Times New Roman"/>
      <family val="1"/>
    </font>
    <font>
      <sz val="9"/>
      <color rgb="FF7030A0"/>
      <name val="Arial"/>
      <family val="2"/>
    </font>
    <font>
      <sz val="9"/>
      <color rgb="FF000000"/>
      <name val="Arial"/>
      <family val="2"/>
    </font>
    <font>
      <sz val="9"/>
      <color rgb="FF00B050"/>
      <name val="Arial"/>
      <family val="2"/>
    </font>
    <font>
      <sz val="11"/>
      <color rgb="FF002F8E"/>
      <name val="Calibri"/>
      <family val="2"/>
      <scheme val="minor"/>
    </font>
    <font>
      <b/>
      <sz val="16"/>
      <color rgb="FF0000CC"/>
      <name val="Arial"/>
      <family val="2"/>
    </font>
    <font>
      <b/>
      <i/>
      <sz val="11"/>
      <color theme="1"/>
      <name val="Calibri"/>
      <family val="2"/>
      <scheme val="minor"/>
    </font>
    <font>
      <b/>
      <sz val="18"/>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Aptos Narrow"/>
      <family val="2"/>
    </font>
    <font>
      <sz val="11"/>
      <color theme="1"/>
      <name val="Calibri"/>
      <family val="2"/>
    </font>
    <font>
      <b/>
      <sz val="14"/>
      <color rgb="FFFFFFFF"/>
      <name val="Calibri"/>
      <family val="2"/>
    </font>
    <font>
      <b/>
      <sz val="11"/>
      <color rgb="FF000000"/>
      <name val="Arial"/>
      <family val="2"/>
    </font>
    <font>
      <u/>
      <sz val="11"/>
      <color rgb="FF000000"/>
      <name val="Calibri"/>
      <family val="2"/>
      <scheme val="minor"/>
    </font>
    <font>
      <vertAlign val="superscript"/>
      <sz val="10"/>
      <color rgb="FF000000"/>
      <name val="Arial"/>
      <family val="2"/>
    </font>
    <font>
      <sz val="10"/>
      <color theme="1" tint="0.499984740745262"/>
      <name val="Arial"/>
      <family val="2"/>
    </font>
    <font>
      <u/>
      <sz val="10"/>
      <color rgb="FF000000"/>
      <name val="Arial"/>
      <family val="2"/>
    </font>
    <font>
      <b/>
      <sz val="12"/>
      <color rgb="FFFFFFFF"/>
      <name val="Arial"/>
      <family val="2"/>
    </font>
    <font>
      <sz val="10"/>
      <color rgb="FFFFFFFF"/>
      <name val="Arial"/>
      <family val="2"/>
    </font>
    <font>
      <sz val="10"/>
      <color rgb="FFFF0000"/>
      <name val="Arial"/>
      <family val="2"/>
    </font>
  </fonts>
  <fills count="30">
    <fill>
      <patternFill patternType="none"/>
    </fill>
    <fill>
      <patternFill patternType="gray125"/>
    </fill>
    <fill>
      <patternFill patternType="solid">
        <fgColor rgb="FF92D050"/>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1" tint="0.499984740745262"/>
        <bgColor indexed="64"/>
      </patternFill>
    </fill>
    <fill>
      <patternFill patternType="solid">
        <fgColor rgb="FFECF0F8"/>
        <bgColor indexed="64"/>
      </patternFill>
    </fill>
    <fill>
      <patternFill patternType="solid">
        <fgColor rgb="FFFFFBEF"/>
        <bgColor indexed="64"/>
      </patternFill>
    </fill>
    <fill>
      <patternFill patternType="solid">
        <fgColor rgb="FFD9E1F2"/>
        <bgColor rgb="FF000000"/>
      </patternFill>
    </fill>
    <fill>
      <patternFill patternType="solid">
        <fgColor rgb="FF203764"/>
        <bgColor rgb="FF000000"/>
      </patternFill>
    </fill>
    <fill>
      <patternFill patternType="solid">
        <fgColor rgb="FFF3F3F3"/>
        <bgColor indexed="64"/>
      </patternFill>
    </fill>
    <fill>
      <patternFill patternType="solid">
        <fgColor rgb="FFFFC000"/>
        <bgColor indexed="64"/>
      </patternFill>
    </fill>
    <fill>
      <patternFill patternType="solid">
        <fgColor rgb="FFFFF2CC"/>
        <bgColor rgb="FF000000"/>
      </patternFill>
    </fill>
    <fill>
      <patternFill patternType="solid">
        <fgColor rgb="FFD9E1F2"/>
        <bgColor indexed="64"/>
      </patternFill>
    </fill>
    <fill>
      <patternFill patternType="solid">
        <fgColor rgb="FF244062"/>
      </patternFill>
    </fill>
    <fill>
      <patternFill patternType="solid">
        <fgColor rgb="FFD9E1F2"/>
      </patternFill>
    </fill>
    <fill>
      <patternFill patternType="solid">
        <fgColor rgb="FF203864"/>
      </patternFill>
    </fill>
    <fill>
      <patternFill patternType="solid">
        <fgColor rgb="FFEAF1F8"/>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5F8FA"/>
        <bgColor indexed="64"/>
      </patternFill>
    </fill>
    <fill>
      <patternFill patternType="solid">
        <fgColor rgb="FF00B050"/>
        <bgColor indexed="64"/>
      </patternFill>
    </fill>
    <fill>
      <patternFill patternType="solid">
        <fgColor rgb="FFFFFFFF"/>
        <bgColor rgb="FF000000"/>
      </patternFill>
    </fill>
  </fills>
  <borders count="306">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indexed="64"/>
      </left>
      <right style="thin">
        <color indexed="64"/>
      </right>
      <top style="thin">
        <color indexed="64"/>
      </top>
      <bottom style="medium">
        <color indexed="64"/>
      </bottom>
      <diagonal/>
    </border>
    <border>
      <left/>
      <right/>
      <top/>
      <bottom style="thin">
        <color theme="0" tint="-0.499984740745262"/>
      </bottom>
      <diagonal/>
    </border>
    <border>
      <left style="thin">
        <color theme="0" tint="-0.499984740745262"/>
      </left>
      <right style="thin">
        <color theme="0" tint="-0.499984740745262"/>
      </right>
      <top style="thin">
        <color indexed="64"/>
      </top>
      <bottom/>
      <diagonal/>
    </border>
    <border>
      <left/>
      <right/>
      <top style="thin">
        <color theme="0" tint="-0.49998474074526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right style="thin">
        <color theme="1" tint="0.499984740745262"/>
      </right>
      <top/>
      <bottom style="thin">
        <color theme="1" tint="0.499984740745262"/>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theme="1" tint="0.499984740745262"/>
      </right>
      <top style="medium">
        <color indexed="64"/>
      </top>
      <bottom style="thin">
        <color theme="1" tint="0.499984740745262"/>
      </bottom>
      <diagonal/>
    </border>
    <border>
      <left style="thin">
        <color theme="1" tint="0.499984740745262"/>
      </left>
      <right style="thin">
        <color theme="1" tint="0.499984740745262"/>
      </right>
      <top style="medium">
        <color indexed="64"/>
      </top>
      <bottom style="thin">
        <color theme="1" tint="0.499984740745262"/>
      </bottom>
      <diagonal/>
    </border>
    <border>
      <left style="thin">
        <color theme="1" tint="0.499984740745262"/>
      </left>
      <right style="medium">
        <color indexed="64"/>
      </right>
      <top style="medium">
        <color indexed="64"/>
      </top>
      <bottom style="thin">
        <color theme="1" tint="0.499984740745262"/>
      </bottom>
      <diagonal/>
    </border>
    <border>
      <left style="medium">
        <color indexed="64"/>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64"/>
      </right>
      <top style="thin">
        <color theme="1" tint="0.499984740745262"/>
      </top>
      <bottom style="thin">
        <color theme="1" tint="0.499984740745262"/>
      </bottom>
      <diagonal/>
    </border>
    <border>
      <left style="medium">
        <color indexed="64"/>
      </left>
      <right style="thin">
        <color theme="1" tint="0.499984740745262"/>
      </right>
      <top style="thin">
        <color theme="1" tint="0.499984740745262"/>
      </top>
      <bottom/>
      <diagonal/>
    </border>
    <border>
      <left style="thin">
        <color theme="1" tint="0.499984740745262"/>
      </left>
      <right style="medium">
        <color indexed="64"/>
      </right>
      <top style="thin">
        <color theme="1" tint="0.499984740745262"/>
      </top>
      <bottom/>
      <diagonal/>
    </border>
    <border>
      <left style="medium">
        <color indexed="64"/>
      </left>
      <right style="thin">
        <color theme="1" tint="0.499984740745262"/>
      </right>
      <top/>
      <bottom style="thin">
        <color theme="1" tint="0.499984740745262"/>
      </bottom>
      <diagonal/>
    </border>
    <border>
      <left style="thin">
        <color theme="1" tint="0.499984740745262"/>
      </left>
      <right style="medium">
        <color indexed="64"/>
      </right>
      <top/>
      <bottom style="thin">
        <color theme="1" tint="0.499984740745262"/>
      </bottom>
      <diagonal/>
    </border>
    <border>
      <left style="medium">
        <color indexed="64"/>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medium">
        <color indexed="64"/>
      </right>
      <top style="thin">
        <color theme="1" tint="0.499984740745262"/>
      </top>
      <bottom style="medium">
        <color indexed="64"/>
      </bottom>
      <diagonal/>
    </border>
    <border>
      <left/>
      <right style="thin">
        <color theme="1" tint="0.499984740745262"/>
      </right>
      <top style="medium">
        <color indexed="64"/>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medium">
        <color indexed="64"/>
      </bottom>
      <diagonal/>
    </border>
    <border>
      <left style="thin">
        <color theme="1"/>
      </left>
      <right style="thin">
        <color theme="1"/>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medium">
        <color theme="1"/>
      </top>
      <bottom style="thin">
        <color indexed="64"/>
      </bottom>
      <diagonal/>
    </border>
    <border>
      <left style="thin">
        <color indexed="64"/>
      </left>
      <right style="medium">
        <color theme="1"/>
      </right>
      <top style="medium">
        <color theme="1"/>
      </top>
      <bottom style="thin">
        <color indexed="64"/>
      </bottom>
      <diagonal/>
    </border>
    <border>
      <left style="thin">
        <color indexed="64"/>
      </left>
      <right style="medium">
        <color theme="1"/>
      </right>
      <top style="thin">
        <color indexed="64"/>
      </top>
      <bottom style="thin">
        <color indexed="64"/>
      </bottom>
      <diagonal/>
    </border>
    <border>
      <left style="thin">
        <color indexed="64"/>
      </left>
      <right style="thin">
        <color indexed="64"/>
      </right>
      <top style="thin">
        <color indexed="64"/>
      </top>
      <bottom style="medium">
        <color theme="1"/>
      </bottom>
      <diagonal/>
    </border>
    <border>
      <left style="thin">
        <color indexed="64"/>
      </left>
      <right style="medium">
        <color theme="1"/>
      </right>
      <top style="thin">
        <color indexed="64"/>
      </top>
      <bottom style="medium">
        <color theme="1"/>
      </bottom>
      <diagonal/>
    </border>
    <border>
      <left style="thin">
        <color theme="1"/>
      </left>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style="thin">
        <color theme="1"/>
      </bottom>
      <diagonal/>
    </border>
    <border>
      <left style="thin">
        <color theme="1"/>
      </left>
      <right/>
      <top/>
      <bottom/>
      <diagonal/>
    </border>
    <border>
      <left/>
      <right style="thin">
        <color theme="1"/>
      </right>
      <top/>
      <bottom/>
      <diagonal/>
    </border>
    <border>
      <left/>
      <right style="thin">
        <color theme="1"/>
      </right>
      <top/>
      <bottom style="thin">
        <color theme="1"/>
      </bottom>
      <diagonal/>
    </border>
    <border>
      <left style="thin">
        <color theme="1"/>
      </left>
      <right/>
      <top/>
      <bottom style="thin">
        <color theme="1"/>
      </bottom>
      <diagonal/>
    </border>
    <border>
      <left/>
      <right style="thin">
        <color theme="1"/>
      </right>
      <top style="thin">
        <color theme="1"/>
      </top>
      <bottom/>
      <diagonal/>
    </border>
    <border>
      <left/>
      <right/>
      <top style="thin">
        <color theme="1"/>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theme="1"/>
      </bottom>
      <diagonal/>
    </border>
    <border>
      <left/>
      <right style="thin">
        <color indexed="64"/>
      </right>
      <top style="thin">
        <color theme="1"/>
      </top>
      <bottom style="thin">
        <color theme="1"/>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theme="1"/>
      </left>
      <right style="medium">
        <color indexed="64"/>
      </right>
      <top style="medium">
        <color indexed="64"/>
      </top>
      <bottom/>
      <diagonal/>
    </border>
    <border>
      <left style="medium">
        <color theme="1"/>
      </left>
      <right style="medium">
        <color indexed="64"/>
      </right>
      <top/>
      <bottom/>
      <diagonal/>
    </border>
    <border>
      <left style="medium">
        <color theme="1"/>
      </left>
      <right style="medium">
        <color indexed="64"/>
      </right>
      <top/>
      <bottom style="medium">
        <color indexed="64"/>
      </bottom>
      <diagonal/>
    </border>
    <border>
      <left style="thin">
        <color indexed="64"/>
      </left>
      <right style="thin">
        <color indexed="64"/>
      </right>
      <top style="medium">
        <color rgb="FF000000"/>
      </top>
      <bottom style="thin">
        <color rgb="FF000000"/>
      </bottom>
      <diagonal/>
    </border>
    <border>
      <left style="thin">
        <color indexed="64"/>
      </left>
      <right/>
      <top style="medium">
        <color rgb="FF000000"/>
      </top>
      <bottom style="thin">
        <color rgb="FF00000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bottom/>
      <diagonal/>
    </border>
    <border>
      <left style="thin">
        <color theme="1" tint="0.34998626667073579"/>
      </left>
      <right style="thin">
        <color theme="1" tint="0.34998626667073579"/>
      </right>
      <top style="thin">
        <color theme="1" tint="0.34998626667073579"/>
      </top>
      <bottom/>
      <diagonal/>
    </border>
    <border>
      <left style="thin">
        <color theme="1" tint="0.34998626667073579"/>
      </left>
      <right/>
      <top style="thin">
        <color theme="1" tint="0.34998626667073579"/>
      </top>
      <bottom style="thin">
        <color theme="1" tint="0.34998626667073579"/>
      </bottom>
      <diagonal/>
    </border>
    <border>
      <left/>
      <right/>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right style="thin">
        <color theme="1" tint="0.34998626667073579"/>
      </right>
      <top/>
      <bottom/>
      <diagonal/>
    </border>
    <border>
      <left/>
      <right/>
      <top style="thin">
        <color theme="1" tint="0.34998626667073579"/>
      </top>
      <bottom/>
      <diagonal/>
    </border>
    <border>
      <left style="thin">
        <color rgb="FF000000"/>
      </left>
      <right style="thin">
        <color rgb="FF000000"/>
      </right>
      <top style="thin">
        <color rgb="FF000000"/>
      </top>
      <bottom style="thin">
        <color rgb="FF000000"/>
      </bottom>
      <diagonal/>
    </border>
    <border>
      <left style="medium">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thin">
        <color theme="1" tint="0.34998626667073579"/>
      </right>
      <top style="medium">
        <color theme="1" tint="0.34998626667073579"/>
      </top>
      <bottom style="thin">
        <color theme="1" tint="0.34998626667073579"/>
      </bottom>
      <diagonal/>
    </border>
    <border>
      <left style="thin">
        <color theme="1" tint="0.34998626667073579"/>
      </left>
      <right style="medium">
        <color theme="1" tint="0.34998626667073579"/>
      </right>
      <top style="medium">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theme="1" tint="0.34998626667073579"/>
      </right>
      <top style="thin">
        <color theme="1" tint="0.34998626667073579"/>
      </top>
      <bottom style="medium">
        <color theme="1" tint="0.34998626667073579"/>
      </bottom>
      <diagonal/>
    </border>
    <border>
      <left style="medium">
        <color theme="1" tint="0.34998626667073579"/>
      </left>
      <right style="thin">
        <color theme="1" tint="0.34998626667073579"/>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style="thin">
        <color theme="1" tint="0.34998626667073579"/>
      </left>
      <right style="medium">
        <color theme="1" tint="0.34998626667073579"/>
      </right>
      <top/>
      <bottom style="thin">
        <color theme="1" tint="0.34998626667073579"/>
      </bottom>
      <diagonal/>
    </border>
    <border>
      <left/>
      <right style="thin">
        <color theme="1" tint="0.34998626667073579"/>
      </right>
      <top style="medium">
        <color theme="1" tint="0.34998626667073579"/>
      </top>
      <bottom style="thin">
        <color theme="1" tint="0.34998626667073579"/>
      </bottom>
      <diagonal/>
    </border>
    <border>
      <left/>
      <right style="thin">
        <color theme="1" tint="0.34998626667073579"/>
      </right>
      <top style="thin">
        <color theme="1" tint="0.34998626667073579"/>
      </top>
      <bottom style="medium">
        <color theme="1" tint="0.34998626667073579"/>
      </bottom>
      <diagonal/>
    </border>
    <border>
      <left/>
      <right style="thin">
        <color theme="1" tint="0.34998626667073579"/>
      </right>
      <top/>
      <bottom style="thin">
        <color theme="1" tint="0.34998626667073579"/>
      </bottom>
      <diagonal/>
    </border>
    <border>
      <left style="thin">
        <color theme="1" tint="0.34998626667073579"/>
      </left>
      <right style="medium">
        <color theme="1" tint="0.34998626667073579"/>
      </right>
      <top style="thin">
        <color theme="1" tint="0.34998626667073579"/>
      </top>
      <bottom/>
      <diagonal/>
    </border>
    <border>
      <left style="thin">
        <color theme="1" tint="0.34998626667073579"/>
      </left>
      <right/>
      <top style="medium">
        <color theme="1" tint="0.34998626667073579"/>
      </top>
      <bottom/>
      <diagonal/>
    </border>
    <border>
      <left/>
      <right/>
      <top style="medium">
        <color theme="1" tint="0.34998626667073579"/>
      </top>
      <bottom/>
      <diagonal/>
    </border>
    <border>
      <left style="medium">
        <color theme="1" tint="0.34998626667073579"/>
      </left>
      <right style="thin">
        <color theme="1" tint="0.34998626667073579"/>
      </right>
      <top style="thin">
        <color theme="1" tint="0.34998626667073579"/>
      </top>
      <bottom/>
      <diagonal/>
    </border>
    <border>
      <left/>
      <right style="thin">
        <color theme="1" tint="0.34998626667073579"/>
      </right>
      <top style="medium">
        <color theme="1" tint="0.34998626667073579"/>
      </top>
      <bottom/>
      <diagonal/>
    </border>
    <border>
      <left/>
      <right style="thin">
        <color rgb="FF000000"/>
      </right>
      <top/>
      <bottom style="thin">
        <color rgb="FF000000"/>
      </bottom>
      <diagonal/>
    </border>
    <border>
      <left style="thin">
        <color rgb="FF000000"/>
      </left>
      <right style="medium">
        <color indexed="64"/>
      </right>
      <top/>
      <bottom style="thin">
        <color rgb="FF000000"/>
      </bottom>
      <diagonal/>
    </border>
    <border>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thin">
        <color indexed="64"/>
      </left>
      <right/>
      <top style="medium">
        <color theme="1" tint="0.34998626667073579"/>
      </top>
      <bottom/>
      <diagonal/>
    </border>
    <border>
      <left style="thin">
        <color indexed="64"/>
      </left>
      <right/>
      <top/>
      <bottom style="medium">
        <color theme="1" tint="0.34998626667073579"/>
      </bottom>
      <diagonal/>
    </border>
    <border>
      <left/>
      <right style="thin">
        <color rgb="FF000000"/>
      </right>
      <top style="thin">
        <color rgb="FF000000"/>
      </top>
      <bottom/>
      <diagonal/>
    </border>
    <border>
      <left style="thin">
        <color rgb="FF000000"/>
      </left>
      <right style="medium">
        <color indexed="64"/>
      </right>
      <top style="thin">
        <color rgb="FF000000"/>
      </top>
      <bottom/>
      <diagonal/>
    </border>
    <border>
      <left/>
      <right style="thin">
        <color rgb="FF000000"/>
      </right>
      <top style="medium">
        <color theme="1" tint="0.34998626667073579"/>
      </top>
      <bottom style="thin">
        <color rgb="FF000000"/>
      </bottom>
      <diagonal/>
    </border>
    <border>
      <left style="thin">
        <color indexed="64"/>
      </left>
      <right style="thin">
        <color indexed="64"/>
      </right>
      <top style="medium">
        <color theme="1" tint="0.34998626667073579"/>
      </top>
      <bottom style="thin">
        <color indexed="64"/>
      </bottom>
      <diagonal/>
    </border>
    <border>
      <left style="thin">
        <color indexed="64"/>
      </left>
      <right style="medium">
        <color theme="1" tint="0.34998626667073579"/>
      </right>
      <top style="medium">
        <color theme="1" tint="0.34998626667073579"/>
      </top>
      <bottom style="thin">
        <color indexed="64"/>
      </bottom>
      <diagonal/>
    </border>
    <border>
      <left style="thin">
        <color indexed="64"/>
      </left>
      <right style="medium">
        <color theme="1" tint="0.34998626667073579"/>
      </right>
      <top style="thin">
        <color indexed="64"/>
      </top>
      <bottom style="thin">
        <color indexed="64"/>
      </bottom>
      <diagonal/>
    </border>
    <border>
      <left style="thin">
        <color indexed="64"/>
      </left>
      <right style="medium">
        <color theme="1" tint="0.34998626667073579"/>
      </right>
      <top style="thin">
        <color indexed="64"/>
      </top>
      <bottom/>
      <diagonal/>
    </border>
    <border>
      <left style="medium">
        <color theme="1" tint="0.34998626667073579"/>
      </left>
      <right style="thin">
        <color rgb="FF000000"/>
      </right>
      <top style="medium">
        <color theme="1" tint="0.34998626667073579"/>
      </top>
      <bottom style="thin">
        <color rgb="FF000000"/>
      </bottom>
      <diagonal/>
    </border>
    <border>
      <left style="medium">
        <color theme="1" tint="0.34998626667073579"/>
      </left>
      <right style="thin">
        <color rgb="FF000000"/>
      </right>
      <top style="thin">
        <color rgb="FF000000"/>
      </top>
      <bottom style="thin">
        <color rgb="FF000000"/>
      </bottom>
      <diagonal/>
    </border>
    <border>
      <left style="medium">
        <color theme="1" tint="0.34998626667073579"/>
      </left>
      <right style="thin">
        <color rgb="FF000000"/>
      </right>
      <top style="thin">
        <color rgb="FF000000"/>
      </top>
      <bottom style="medium">
        <color theme="1" tint="0.34998626667073579"/>
      </bottom>
      <diagonal/>
    </border>
    <border>
      <left style="thin">
        <color indexed="64"/>
      </left>
      <right style="medium">
        <color theme="1" tint="0.34998626667073579"/>
      </right>
      <top style="medium">
        <color theme="1" tint="0.34998626667073579"/>
      </top>
      <bottom/>
      <diagonal/>
    </border>
    <border>
      <left style="medium">
        <color theme="1" tint="0.34998626667073579"/>
      </left>
      <right style="thin">
        <color rgb="FF000000"/>
      </right>
      <top style="thin">
        <color rgb="FF000000"/>
      </top>
      <bottom/>
      <diagonal/>
    </border>
    <border>
      <left style="thin">
        <color indexed="64"/>
      </left>
      <right style="thin">
        <color indexed="64"/>
      </right>
      <top style="thin">
        <color indexed="64"/>
      </top>
      <bottom style="thin">
        <color rgb="FF000000"/>
      </bottom>
      <diagonal/>
    </border>
    <border>
      <left style="medium">
        <color indexed="64"/>
      </left>
      <right style="thin">
        <color indexed="64"/>
      </right>
      <top style="thin">
        <color indexed="64"/>
      </top>
      <bottom/>
      <diagonal/>
    </border>
    <border>
      <left style="medium">
        <color indexed="64"/>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theme="1" tint="0.34998626667073579"/>
      </bottom>
      <diagonal/>
    </border>
    <border>
      <left style="thin">
        <color theme="1" tint="0.34998626667073579"/>
      </left>
      <right style="medium">
        <color theme="1" tint="0.34998626667073579"/>
      </right>
      <top style="medium">
        <color indexed="64"/>
      </top>
      <bottom style="thin">
        <color theme="1" tint="0.34998626667073579"/>
      </bottom>
      <diagonal/>
    </border>
    <border>
      <left/>
      <right style="thin">
        <color theme="1" tint="0.34998626667073579"/>
      </right>
      <top style="medium">
        <color indexed="64"/>
      </top>
      <bottom style="thin">
        <color theme="1" tint="0.34998626667073579"/>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style="thin">
        <color theme="1" tint="0.34998626667073579"/>
      </right>
      <top/>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thin">
        <color theme="1" tint="0.34998626667073579"/>
      </left>
      <right style="medium">
        <color theme="1" tint="0.34998626667073579"/>
      </right>
      <top style="thin">
        <color theme="1" tint="0.34998626667073579"/>
      </top>
      <bottom style="medium">
        <color indexed="64"/>
      </bottom>
      <diagonal/>
    </border>
    <border>
      <left/>
      <right style="thin">
        <color theme="1" tint="0.34998626667073579"/>
      </right>
      <top style="thin">
        <color theme="1" tint="0.34998626667073579"/>
      </top>
      <bottom style="medium">
        <color indexed="64"/>
      </bottom>
      <diagonal/>
    </border>
    <border>
      <left style="thin">
        <color theme="1" tint="0.34998626667073579"/>
      </left>
      <right style="medium">
        <color indexed="64"/>
      </right>
      <top style="thin">
        <color theme="1" tint="0.34998626667073579"/>
      </top>
      <bottom style="medium">
        <color indexed="64"/>
      </bottom>
      <diagonal/>
    </border>
    <border>
      <left style="thin">
        <color theme="1" tint="0.34998626667073579"/>
      </left>
      <right/>
      <top/>
      <bottom style="thin">
        <color theme="1" tint="0.34998626667073579"/>
      </bottom>
      <diagonal/>
    </border>
    <border>
      <left style="thin">
        <color theme="1" tint="0.34998626667073579"/>
      </left>
      <right/>
      <top style="thin">
        <color theme="1" tint="0.34998626667073579"/>
      </top>
      <bottom style="medium">
        <color theme="1" tint="0.34998626667073579"/>
      </bottom>
      <diagonal/>
    </border>
    <border>
      <left style="medium">
        <color indexed="64"/>
      </left>
      <right style="thin">
        <color theme="1" tint="0.34998626667073579"/>
      </right>
      <top style="medium">
        <color indexed="64"/>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bottom style="thin">
        <color theme="1" tint="0.34998626667073579"/>
      </bottom>
      <diagonal/>
    </border>
    <border>
      <left style="medium">
        <color indexed="64"/>
      </left>
      <right style="thin">
        <color theme="1" tint="0.34998626667073579"/>
      </right>
      <top style="thin">
        <color theme="1" tint="0.34998626667073579"/>
      </top>
      <bottom style="medium">
        <color indexed="64"/>
      </bottom>
      <diagonal/>
    </border>
    <border>
      <left style="thin">
        <color theme="1" tint="0.34998626667073579"/>
      </left>
      <right style="thin">
        <color theme="1" tint="0.34998626667073579"/>
      </right>
      <top/>
      <bottom style="medium">
        <color indexed="64"/>
      </bottom>
      <diagonal/>
    </border>
    <border>
      <left style="thin">
        <color theme="1" tint="0.34998626667073579"/>
      </left>
      <right style="medium">
        <color indexed="64"/>
      </right>
      <top/>
      <bottom style="medium">
        <color indexed="64"/>
      </bottom>
      <diagonal/>
    </border>
    <border>
      <left/>
      <right/>
      <top style="medium">
        <color theme="1" tint="0.34998626667073579"/>
      </top>
      <bottom style="thin">
        <color rgb="FF000000"/>
      </bottom>
      <diagonal/>
    </border>
    <border>
      <left/>
      <right/>
      <top style="thin">
        <color rgb="FF000000"/>
      </top>
      <bottom style="thin">
        <color rgb="FF000000"/>
      </bottom>
      <diagonal/>
    </border>
    <border>
      <left/>
      <right/>
      <top style="thin">
        <color rgb="FF000000"/>
      </top>
      <bottom style="medium">
        <color theme="1" tint="0.34998626667073579"/>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theme="1"/>
      </left>
      <right style="thin">
        <color theme="1" tint="0.499984740745262"/>
      </right>
      <top style="medium">
        <color theme="1"/>
      </top>
      <bottom style="thin">
        <color theme="1" tint="0.499984740745262"/>
      </bottom>
      <diagonal/>
    </border>
    <border>
      <left style="thin">
        <color theme="1" tint="0.499984740745262"/>
      </left>
      <right style="thin">
        <color theme="1" tint="0.499984740745262"/>
      </right>
      <top style="medium">
        <color theme="1"/>
      </top>
      <bottom style="thin">
        <color theme="1" tint="0.499984740745262"/>
      </bottom>
      <diagonal/>
    </border>
    <border>
      <left style="thin">
        <color theme="1" tint="0.499984740745262"/>
      </left>
      <right style="medium">
        <color theme="1"/>
      </right>
      <top style="medium">
        <color theme="1"/>
      </top>
      <bottom style="thin">
        <color theme="1" tint="0.499984740745262"/>
      </bottom>
      <diagonal/>
    </border>
    <border>
      <left style="medium">
        <color theme="1"/>
      </left>
      <right style="thin">
        <color theme="1" tint="0.499984740745262"/>
      </right>
      <top style="thin">
        <color theme="1" tint="0.499984740745262"/>
      </top>
      <bottom style="thin">
        <color theme="1" tint="0.499984740745262"/>
      </bottom>
      <diagonal/>
    </border>
    <border>
      <left style="thin">
        <color theme="1" tint="0.499984740745262"/>
      </left>
      <right style="medium">
        <color theme="1"/>
      </right>
      <top style="thin">
        <color theme="1" tint="0.499984740745262"/>
      </top>
      <bottom style="thin">
        <color theme="1" tint="0.499984740745262"/>
      </bottom>
      <diagonal/>
    </border>
    <border>
      <left style="medium">
        <color theme="1"/>
      </left>
      <right style="thin">
        <color theme="1" tint="0.499984740745262"/>
      </right>
      <top style="thin">
        <color theme="1" tint="0.499984740745262"/>
      </top>
      <bottom style="medium">
        <color theme="1"/>
      </bottom>
      <diagonal/>
    </border>
    <border>
      <left style="thin">
        <color theme="1" tint="0.499984740745262"/>
      </left>
      <right style="thin">
        <color theme="1" tint="0.499984740745262"/>
      </right>
      <top style="thin">
        <color theme="1" tint="0.499984740745262"/>
      </top>
      <bottom style="medium">
        <color theme="1"/>
      </bottom>
      <diagonal/>
    </border>
    <border>
      <left style="thin">
        <color theme="1" tint="0.499984740745262"/>
      </left>
      <right style="medium">
        <color theme="1"/>
      </right>
      <top style="thin">
        <color theme="1" tint="0.499984740745262"/>
      </top>
      <bottom style="medium">
        <color theme="1"/>
      </bottom>
      <diagonal/>
    </border>
    <border>
      <left style="thin">
        <color theme="1" tint="0.499984740745262"/>
      </left>
      <right style="thin">
        <color theme="1" tint="0.499984740745262"/>
      </right>
      <top/>
      <bottom style="medium">
        <color theme="1"/>
      </bottom>
      <diagonal/>
    </border>
    <border>
      <left style="thin">
        <color theme="1" tint="0.499984740745262"/>
      </left>
      <right style="thin">
        <color theme="1" tint="0.499984740745262"/>
      </right>
      <top style="medium">
        <color theme="1"/>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theme="1" tint="0.499984740745262"/>
      </right>
      <top style="medium">
        <color theme="1"/>
      </top>
      <bottom style="thin">
        <color theme="1" tint="0.499984740745262"/>
      </bottom>
      <diagonal/>
    </border>
    <border>
      <left/>
      <right style="thin">
        <color theme="1" tint="0.499984740745262"/>
      </right>
      <top style="thin">
        <color theme="1" tint="0.499984740745262"/>
      </top>
      <bottom style="medium">
        <color theme="1"/>
      </bottom>
      <diagonal/>
    </border>
    <border>
      <left style="thin">
        <color indexed="64"/>
      </left>
      <right style="thin">
        <color indexed="64"/>
      </right>
      <top/>
      <bottom style="thin">
        <color theme="1" tint="0.499984740745262"/>
      </bottom>
      <diagonal/>
    </border>
    <border>
      <left style="thin">
        <color indexed="64"/>
      </left>
      <right style="thin">
        <color indexed="64"/>
      </right>
      <top style="thin">
        <color theme="1" tint="0.499984740745262"/>
      </top>
      <bottom style="thin">
        <color theme="1" tint="0.499984740745262"/>
      </bottom>
      <diagonal/>
    </border>
    <border>
      <left style="thin">
        <color indexed="64"/>
      </left>
      <right style="thin">
        <color indexed="64"/>
      </right>
      <top style="thin">
        <color theme="1" tint="0.499984740745262"/>
      </top>
      <bottom/>
      <diagonal/>
    </border>
    <border>
      <left style="thin">
        <color indexed="64"/>
      </left>
      <right style="medium">
        <color theme="1"/>
      </right>
      <top style="medium">
        <color indexed="64"/>
      </top>
      <bottom/>
      <diagonal/>
    </border>
    <border>
      <left style="thin">
        <color indexed="64"/>
      </left>
      <right style="medium">
        <color theme="1"/>
      </right>
      <top/>
      <bottom/>
      <diagonal/>
    </border>
    <border>
      <left style="thin">
        <color indexed="64"/>
      </left>
      <right style="thin">
        <color indexed="64"/>
      </right>
      <top style="thin">
        <color theme="1" tint="0.499984740745262"/>
      </top>
      <bottom style="medium">
        <color theme="1" tint="0.34998626667073579"/>
      </bottom>
      <diagonal/>
    </border>
    <border>
      <left style="thin">
        <color indexed="64"/>
      </left>
      <right style="medium">
        <color theme="1"/>
      </right>
      <top/>
      <bottom style="medium">
        <color indexed="64"/>
      </bottom>
      <diagonal/>
    </border>
    <border>
      <left style="thin">
        <color indexed="64"/>
      </left>
      <right style="thin">
        <color indexed="64"/>
      </right>
      <top style="thin">
        <color theme="1" tint="0.499984740745262"/>
      </top>
      <bottom style="medium">
        <color indexed="64"/>
      </bottom>
      <diagonal/>
    </border>
    <border>
      <left style="thin">
        <color indexed="64"/>
      </left>
      <right style="thin">
        <color indexed="64"/>
      </right>
      <top style="medium">
        <color indexed="64"/>
      </top>
      <bottom style="thin">
        <color theme="1" tint="0.499984740745262"/>
      </bottom>
      <diagonal/>
    </border>
    <border>
      <left style="thin">
        <color theme="1" tint="0.34998626667073579"/>
      </left>
      <right style="thin">
        <color theme="1" tint="0.34998626667073579"/>
      </right>
      <top/>
      <bottom/>
      <diagonal/>
    </border>
    <border>
      <left style="thin">
        <color theme="1" tint="0.34998626667073579"/>
      </left>
      <right style="thin">
        <color theme="1" tint="0.34998626667073579"/>
      </right>
      <top/>
      <bottom style="medium">
        <color theme="1" tint="0.34998626667073579"/>
      </bottom>
      <diagonal/>
    </border>
    <border>
      <left style="thin">
        <color theme="1" tint="0.34998626667073579"/>
      </left>
      <right style="medium">
        <color indexed="64"/>
      </right>
      <top/>
      <bottom/>
      <diagonal/>
    </border>
    <border>
      <left style="thin">
        <color theme="1" tint="0.34998626667073579"/>
      </left>
      <right style="medium">
        <color indexed="64"/>
      </right>
      <top/>
      <bottom style="medium">
        <color theme="1" tint="0.34998626667073579"/>
      </bottom>
      <diagonal/>
    </border>
    <border>
      <left style="thin">
        <color theme="1" tint="0.34998626667073579"/>
      </left>
      <right style="medium">
        <color indexed="64"/>
      </right>
      <top style="medium">
        <color theme="1" tint="0.34998626667073579"/>
      </top>
      <bottom/>
      <diagonal/>
    </border>
    <border>
      <left style="thin">
        <color rgb="FF595959"/>
      </left>
      <right/>
      <top style="thin">
        <color rgb="FF595959"/>
      </top>
      <bottom style="thin">
        <color rgb="FF595959"/>
      </bottom>
      <diagonal/>
    </border>
    <border>
      <left/>
      <right style="thin">
        <color rgb="FF595959"/>
      </right>
      <top style="thin">
        <color rgb="FF595959"/>
      </top>
      <bottom style="thin">
        <color rgb="FF595959"/>
      </bottom>
      <diagonal/>
    </border>
    <border>
      <left style="thin">
        <color indexed="64"/>
      </left>
      <right/>
      <top style="medium">
        <color indexed="64"/>
      </top>
      <bottom/>
      <diagonal/>
    </border>
    <border>
      <left style="thin">
        <color theme="1" tint="0.34998626667073579"/>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thin">
        <color theme="1" tint="0.34998626667073579"/>
      </left>
      <right style="medium">
        <color indexed="64"/>
      </right>
      <top style="medium">
        <color theme="1" tint="0.34998626667073579"/>
      </top>
      <bottom style="thin">
        <color theme="1" tint="0.34998626667073579"/>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top style="medium">
        <color theme="1" tint="0.34998626667073579"/>
      </top>
      <bottom style="thin">
        <color rgb="FF000000"/>
      </bottom>
      <diagonal/>
    </border>
    <border>
      <left style="medium">
        <color indexed="64"/>
      </left>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thin">
        <color theme="1" tint="0.34998626667073579"/>
      </right>
      <top style="medium">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style="medium">
        <color theme="1" tint="0.34998626667073579"/>
      </bottom>
      <diagonal/>
    </border>
    <border>
      <left style="thin">
        <color theme="1" tint="0.34998626667073579"/>
      </left>
      <right style="medium">
        <color indexed="64"/>
      </right>
      <top style="thin">
        <color theme="1" tint="0.34998626667073579"/>
      </top>
      <bottom style="medium">
        <color theme="1" tint="0.34998626667073579"/>
      </bottom>
      <diagonal/>
    </border>
    <border>
      <left style="thin">
        <color theme="1" tint="0.34998626667073579"/>
      </left>
      <right style="thin">
        <color theme="1" tint="0.34998626667073579"/>
      </right>
      <top style="medium">
        <color indexed="64"/>
      </top>
      <bottom/>
      <diagonal/>
    </border>
    <border>
      <left style="thin">
        <color theme="1" tint="0.34998626667073579"/>
      </left>
      <right style="thin">
        <color theme="1" tint="0.34998626667073579"/>
      </right>
      <top style="medium">
        <color indexed="64"/>
      </top>
      <bottom style="thin">
        <color indexed="64"/>
      </bottom>
      <diagonal/>
    </border>
    <border>
      <left style="thin">
        <color theme="1" tint="0.34998626667073579"/>
      </left>
      <right style="medium">
        <color indexed="64"/>
      </right>
      <top style="medium">
        <color indexed="64"/>
      </top>
      <bottom style="thin">
        <color indexed="64"/>
      </bottom>
      <diagonal/>
    </border>
    <border>
      <left style="thin">
        <color theme="1" tint="0.34998626667073579"/>
      </left>
      <right style="thin">
        <color theme="1" tint="0.34998626667073579"/>
      </right>
      <top style="thin">
        <color indexed="64"/>
      </top>
      <bottom style="thin">
        <color indexed="64"/>
      </bottom>
      <diagonal/>
    </border>
    <border>
      <left style="thin">
        <color theme="1" tint="0.34998626667073579"/>
      </left>
      <right style="medium">
        <color indexed="64"/>
      </right>
      <top style="thin">
        <color indexed="64"/>
      </top>
      <bottom style="thin">
        <color indexed="64"/>
      </bottom>
      <diagonal/>
    </border>
    <border>
      <left style="thin">
        <color theme="1" tint="0.34998626667073579"/>
      </left>
      <right style="thin">
        <color theme="1" tint="0.34998626667073579"/>
      </right>
      <top style="thin">
        <color indexed="64"/>
      </top>
      <bottom style="medium">
        <color indexed="64"/>
      </bottom>
      <diagonal/>
    </border>
    <border>
      <left style="thin">
        <color theme="1" tint="0.34998626667073579"/>
      </left>
      <right style="medium">
        <color indexed="64"/>
      </right>
      <top style="thin">
        <color indexed="64"/>
      </top>
      <bottom style="medium">
        <color indexed="64"/>
      </bottom>
      <diagonal/>
    </border>
    <border>
      <left style="medium">
        <color indexed="64"/>
      </left>
      <right style="thin">
        <color theme="1" tint="0.34998626667073579"/>
      </right>
      <top/>
      <bottom style="thin">
        <color theme="1" tint="0.34998626667073579"/>
      </bottom>
      <diagonal/>
    </border>
    <border>
      <left style="medium">
        <color indexed="64"/>
      </left>
      <right/>
      <top/>
      <bottom style="thin">
        <color indexed="64"/>
      </bottom>
      <diagonal/>
    </border>
    <border>
      <left style="thin">
        <color theme="1" tint="0.34998626667073579"/>
      </left>
      <right/>
      <top style="medium">
        <color theme="1" tint="0.34998626667073579"/>
      </top>
      <bottom style="thin">
        <color theme="1" tint="0.34998626667073579"/>
      </bottom>
      <diagonal/>
    </border>
    <border>
      <left style="thin">
        <color theme="1" tint="0.34998626667073579"/>
      </left>
      <right/>
      <top/>
      <bottom style="medium">
        <color theme="1" tint="0.34998626667073579"/>
      </bottom>
      <diagonal/>
    </border>
    <border>
      <left style="medium">
        <color indexed="64"/>
      </left>
      <right/>
      <top style="medium">
        <color indexed="64"/>
      </top>
      <bottom style="thin">
        <color theme="1" tint="0.34998626667073579"/>
      </bottom>
      <diagonal/>
    </border>
    <border>
      <left style="medium">
        <color indexed="64"/>
      </left>
      <right/>
      <top style="thin">
        <color theme="1" tint="0.34998626667073579"/>
      </top>
      <bottom style="thin">
        <color theme="1" tint="0.34998626667073579"/>
      </bottom>
      <diagonal/>
    </border>
    <border>
      <left style="medium">
        <color indexed="64"/>
      </left>
      <right/>
      <top style="thin">
        <color theme="1" tint="0.34998626667073579"/>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1" tint="0.34998626667073579"/>
      </left>
      <right/>
      <top style="medium">
        <color indexed="64"/>
      </top>
      <bottom style="thin">
        <color theme="1" tint="0.34998626667073579"/>
      </bottom>
      <diagonal/>
    </border>
    <border>
      <left style="thin">
        <color theme="1" tint="0.34998626667073579"/>
      </left>
      <right/>
      <top style="thin">
        <color theme="1" tint="0.34998626667073579"/>
      </top>
      <bottom style="medium">
        <color indexed="64"/>
      </bottom>
      <diagonal/>
    </border>
    <border>
      <left style="thin">
        <color theme="1" tint="0.34998626667073579"/>
      </left>
      <right style="medium">
        <color theme="1" tint="0.34998626667073579"/>
      </right>
      <top style="medium">
        <color indexed="64"/>
      </top>
      <bottom/>
      <diagonal/>
    </border>
    <border>
      <left style="thin">
        <color theme="1" tint="0.34998626667073579"/>
      </left>
      <right style="medium">
        <color theme="1" tint="0.34998626667073579"/>
      </right>
      <top/>
      <bottom/>
      <diagonal/>
    </border>
    <border>
      <left style="thin">
        <color theme="1" tint="0.34998626667073579"/>
      </left>
      <right style="medium">
        <color theme="1" tint="0.34998626667073579"/>
      </right>
      <top/>
      <bottom style="medium">
        <color indexed="64"/>
      </bottom>
      <diagonal/>
    </border>
    <border>
      <left style="thin">
        <color indexed="64"/>
      </left>
      <right style="thin">
        <color indexed="64"/>
      </right>
      <top style="medium">
        <color indexed="64"/>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theme="0" tint="-0.34998626667073579"/>
      </left>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34998626667073579"/>
      </right>
      <top style="medium">
        <color theme="0" tint="-0.34998626667073579"/>
      </top>
      <bottom/>
      <diagonal/>
    </border>
    <border>
      <left style="medium">
        <color theme="0" tint="-0.34998626667073579"/>
      </left>
      <right/>
      <top/>
      <bottom/>
      <diagonal/>
    </border>
    <border>
      <left/>
      <right style="medium">
        <color theme="0" tint="-0.34998626667073579"/>
      </right>
      <top/>
      <bottom/>
      <diagonal/>
    </border>
    <border>
      <left style="thin">
        <color theme="1" tint="0.499984740745262"/>
      </left>
      <right/>
      <top style="thin">
        <color theme="1" tint="0.499984740745262"/>
      </top>
      <bottom style="thin">
        <color theme="1" tint="0.499984740745262"/>
      </bottom>
      <diagonal/>
    </border>
    <border>
      <left style="thin">
        <color rgb="FF808080"/>
      </left>
      <right style="thin">
        <color rgb="FF000000"/>
      </right>
      <top style="thin">
        <color rgb="FF000000"/>
      </top>
      <bottom/>
      <diagonal/>
    </border>
    <border>
      <left style="thin">
        <color rgb="FF808080"/>
      </left>
      <right style="thin">
        <color rgb="FF000000"/>
      </right>
      <top/>
      <bottom/>
      <diagonal/>
    </border>
    <border>
      <left style="thin">
        <color rgb="FF808080"/>
      </left>
      <right style="thin">
        <color rgb="FF000000"/>
      </right>
      <top/>
      <bottom style="thin">
        <color rgb="FF808080"/>
      </bottom>
      <diagonal/>
    </border>
    <border>
      <left style="thin">
        <color rgb="FF808080"/>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style="thin">
        <color rgb="FF808080"/>
      </bottom>
      <diagonal/>
    </border>
    <border>
      <left style="thin">
        <color rgb="FF808080"/>
      </left>
      <right/>
      <top/>
      <bottom style="thin">
        <color rgb="FF80808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style="thin">
        <color indexed="64"/>
      </right>
      <top/>
      <bottom/>
      <diagonal/>
    </border>
    <border>
      <left/>
      <right/>
      <top/>
      <bottom style="thin">
        <color theme="1" tint="0.249977111117893"/>
      </bottom>
      <diagonal/>
    </border>
    <border>
      <left style="thin">
        <color theme="1" tint="0.249977111117893"/>
      </left>
      <right/>
      <top/>
      <bottom style="thin">
        <color theme="1" tint="0.249977111117893"/>
      </bottom>
      <diagonal/>
    </border>
    <border>
      <left style="thin">
        <color theme="1" tint="0.249977111117893"/>
      </left>
      <right/>
      <top/>
      <bottom/>
      <diagonal/>
    </border>
    <border>
      <left/>
      <right style="thin">
        <color theme="1" tint="0.249977111117893"/>
      </right>
      <top/>
      <bottom/>
      <diagonal/>
    </border>
    <border>
      <left/>
      <right style="thin">
        <color theme="1" tint="0.249977111117893"/>
      </right>
      <top/>
      <bottom style="thin">
        <color theme="1" tint="0.249977111117893"/>
      </bottom>
      <diagonal/>
    </border>
    <border>
      <left/>
      <right style="thin">
        <color indexed="64"/>
      </right>
      <top/>
      <bottom style="thin">
        <color theme="1" tint="0.249977111117893"/>
      </bottom>
      <diagonal/>
    </border>
    <border>
      <left style="thin">
        <color indexed="64"/>
      </left>
      <right/>
      <top/>
      <bottom style="thin">
        <color theme="1" tint="0.249977111117893"/>
      </bottom>
      <diagonal/>
    </border>
    <border>
      <left style="thin">
        <color indexed="64"/>
      </left>
      <right/>
      <top style="thin">
        <color theme="1" tint="0.249977111117893"/>
      </top>
      <bottom style="thin">
        <color theme="1" tint="0.249977111117893"/>
      </bottom>
      <diagonal/>
    </border>
    <border>
      <left/>
      <right/>
      <top style="thin">
        <color theme="1" tint="0.249977111117893"/>
      </top>
      <bottom style="thin">
        <color theme="1" tint="0.249977111117893"/>
      </bottom>
      <diagonal/>
    </border>
    <border>
      <left/>
      <right style="thin">
        <color indexed="64"/>
      </right>
      <top style="thin">
        <color theme="1" tint="0.249977111117893"/>
      </top>
      <bottom style="thin">
        <color theme="1" tint="0.249977111117893"/>
      </bottom>
      <diagonal/>
    </border>
    <border>
      <left/>
      <right/>
      <top/>
      <bottom style="medium">
        <color theme="0" tint="-0.34998626667073579"/>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top style="thin">
        <color theme="0" tint="-0.14999847407452621"/>
      </top>
      <bottom/>
      <diagonal/>
    </border>
    <border>
      <left style="thin">
        <color theme="0" tint="-0.14999847407452621"/>
      </left>
      <right/>
      <top style="thin">
        <color theme="0" tint="-0.14999847407452621"/>
      </top>
      <bottom/>
      <diagonal/>
    </border>
    <border>
      <left/>
      <right style="thin">
        <color theme="0" tint="-0.14999847407452621"/>
      </right>
      <top style="thin">
        <color theme="0" tint="-0.14999847407452621"/>
      </top>
      <bottom/>
      <diagonal/>
    </border>
    <border>
      <left style="thin">
        <color theme="0" tint="-0.34998626667073579"/>
      </left>
      <right style="medium">
        <color theme="0" tint="-0.34998626667073579"/>
      </right>
      <top style="thin">
        <color theme="0" tint="-0.34998626667073579"/>
      </top>
      <bottom style="thin">
        <color theme="0" tint="-0.34998626667073579"/>
      </bottom>
      <diagonal/>
    </border>
    <border>
      <left style="thin">
        <color theme="1" tint="0.34998626667073579"/>
      </left>
      <right/>
      <top style="thin">
        <color indexed="64"/>
      </top>
      <bottom style="thin">
        <color rgb="FF595959"/>
      </bottom>
      <diagonal/>
    </border>
    <border>
      <left style="thin">
        <color theme="1" tint="0.34998626667073579"/>
      </left>
      <right/>
      <top style="thin">
        <color indexed="64"/>
      </top>
      <bottom style="thin">
        <color theme="1" tint="0.34998626667073579"/>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808080"/>
      </bottom>
      <diagonal/>
    </border>
    <border>
      <left/>
      <right style="thin">
        <color indexed="64"/>
      </right>
      <top style="thin">
        <color indexed="64"/>
      </top>
      <bottom style="thin">
        <color rgb="FF808080"/>
      </bottom>
      <diagonal/>
    </border>
    <border>
      <left/>
      <right/>
      <top style="thin">
        <color rgb="FF808080"/>
      </top>
      <bottom style="thin">
        <color rgb="FF808080"/>
      </bottom>
      <diagonal/>
    </border>
    <border>
      <left style="medium">
        <color indexed="64"/>
      </left>
      <right style="thin">
        <color rgb="FF595959"/>
      </right>
      <top style="medium">
        <color indexed="64"/>
      </top>
      <bottom/>
      <diagonal/>
    </border>
    <border>
      <left style="medium">
        <color indexed="64"/>
      </left>
      <right style="thin">
        <color rgb="FF595959"/>
      </right>
      <top/>
      <bottom/>
      <diagonal/>
    </border>
    <border>
      <left style="thin">
        <color rgb="FF595959"/>
      </left>
      <right style="thin">
        <color rgb="FF595959"/>
      </right>
      <top style="medium">
        <color indexed="64"/>
      </top>
      <bottom style="thin">
        <color rgb="FF595959"/>
      </bottom>
      <diagonal/>
    </border>
    <border>
      <left style="thin">
        <color rgb="FF595959"/>
      </left>
      <right style="thin">
        <color rgb="FF595959"/>
      </right>
      <top style="medium">
        <color indexed="64"/>
      </top>
      <bottom/>
      <diagonal/>
    </border>
    <border>
      <left style="thin">
        <color rgb="FF595959"/>
      </left>
      <right style="thin">
        <color rgb="FF595959"/>
      </right>
      <top/>
      <bottom/>
      <diagonal/>
    </border>
    <border>
      <left style="thin">
        <color rgb="FF595959"/>
      </left>
      <right style="thin">
        <color rgb="FF595959"/>
      </right>
      <top/>
      <bottom style="thin">
        <color rgb="FF595959"/>
      </bottom>
      <diagonal/>
    </border>
    <border>
      <left style="thin">
        <color rgb="FF595959"/>
      </left>
      <right style="medium">
        <color rgb="FF595959"/>
      </right>
      <top style="medium">
        <color indexed="64"/>
      </top>
      <bottom/>
      <diagonal/>
    </border>
    <border>
      <left style="thin">
        <color rgb="FF595959"/>
      </left>
      <right style="medium">
        <color rgb="FF595959"/>
      </right>
      <top/>
      <bottom/>
      <diagonal/>
    </border>
    <border>
      <left style="thin">
        <color rgb="FF595959"/>
      </left>
      <right style="medium">
        <color rgb="FF595959"/>
      </right>
      <top/>
      <bottom style="thin">
        <color rgb="FF595959"/>
      </bottom>
      <diagonal/>
    </border>
    <border>
      <left/>
      <right style="thin">
        <color rgb="FF595959"/>
      </right>
      <top style="medium">
        <color indexed="64"/>
      </top>
      <bottom style="thin">
        <color rgb="FF595959"/>
      </bottom>
      <diagonal/>
    </border>
    <border>
      <left style="thin">
        <color rgb="FF595959"/>
      </left>
      <right style="medium">
        <color indexed="64"/>
      </right>
      <top style="medium">
        <color indexed="64"/>
      </top>
      <bottom style="thin">
        <color rgb="FF595959"/>
      </bottom>
      <diagonal/>
    </border>
    <border>
      <left style="thin">
        <color rgb="FF595959"/>
      </left>
      <right style="thin">
        <color rgb="FF595959"/>
      </right>
      <top style="thin">
        <color rgb="FF595959"/>
      </top>
      <bottom style="thin">
        <color rgb="FF595959"/>
      </bottom>
      <diagonal/>
    </border>
    <border>
      <left style="thin">
        <color rgb="FF595959"/>
      </left>
      <right style="medium">
        <color indexed="64"/>
      </right>
      <top style="thin">
        <color rgb="FF595959"/>
      </top>
      <bottom style="thin">
        <color rgb="FF595959"/>
      </bottom>
      <diagonal/>
    </border>
    <border>
      <left/>
      <right style="thin">
        <color rgb="FF595959"/>
      </right>
      <top style="thin">
        <color rgb="FF595959"/>
      </top>
      <bottom style="medium">
        <color indexed="64"/>
      </bottom>
      <diagonal/>
    </border>
    <border>
      <left style="thin">
        <color rgb="FF595959"/>
      </left>
      <right style="thin">
        <color rgb="FF595959"/>
      </right>
      <top style="thin">
        <color rgb="FF595959"/>
      </top>
      <bottom style="medium">
        <color indexed="64"/>
      </bottom>
      <diagonal/>
    </border>
    <border>
      <left style="thin">
        <color rgb="FF595959"/>
      </left>
      <right style="medium">
        <color indexed="64"/>
      </right>
      <top style="thin">
        <color rgb="FF595959"/>
      </top>
      <bottom style="medium">
        <color indexed="64"/>
      </bottom>
      <diagonal/>
    </border>
    <border>
      <left/>
      <right style="thin">
        <color rgb="FF595959"/>
      </right>
      <top/>
      <bottom style="thin">
        <color rgb="FF595959"/>
      </bottom>
      <diagonal/>
    </border>
    <border>
      <left style="thin">
        <color rgb="FF595959"/>
      </left>
      <right style="medium">
        <color rgb="FF595959"/>
      </right>
      <top style="thin">
        <color rgb="FF595959"/>
      </top>
      <bottom style="thin">
        <color rgb="FF595959"/>
      </bottom>
      <diagonal/>
    </border>
    <border>
      <left/>
      <right style="thin">
        <color rgb="FF595959"/>
      </right>
      <top style="thin">
        <color rgb="FF595959"/>
      </top>
      <bottom/>
      <diagonal/>
    </border>
    <border>
      <left style="thin">
        <color rgb="FF595959"/>
      </left>
      <right style="thin">
        <color rgb="FF595959"/>
      </right>
      <top style="thin">
        <color rgb="FF595959"/>
      </top>
      <bottom/>
      <diagonal/>
    </border>
    <border>
      <left style="thin">
        <color rgb="FF595959"/>
      </left>
      <right style="medium">
        <color rgb="FF595959"/>
      </right>
      <top style="thin">
        <color rgb="FF595959"/>
      </top>
      <bottom/>
      <diagonal/>
    </border>
    <border>
      <left style="thin">
        <color rgb="FF595959"/>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rgb="FF595959"/>
      </right>
      <top/>
      <bottom style="medium">
        <color indexed="64"/>
      </bottom>
      <diagonal/>
    </border>
    <border>
      <left style="thin">
        <color rgb="FF595959"/>
      </left>
      <right style="thin">
        <color rgb="FF595959"/>
      </right>
      <top/>
      <bottom style="medium">
        <color indexed="64"/>
      </bottom>
      <diagonal/>
    </border>
    <border>
      <left style="thin">
        <color rgb="FF595959"/>
      </left>
      <right style="medium">
        <color rgb="FF595959"/>
      </right>
      <top/>
      <bottom style="medium">
        <color indexed="64"/>
      </bottom>
      <diagonal/>
    </border>
  </borders>
  <cellStyleXfs count="14">
    <xf numFmtId="0" fontId="0" fillId="0" borderId="0"/>
    <xf numFmtId="0" fontId="2" fillId="0" borderId="0"/>
    <xf numFmtId="9" fontId="3" fillId="0" borderId="0" applyFont="0" applyFill="0" applyBorder="0" applyAlignment="0" applyProtection="0"/>
    <xf numFmtId="0" fontId="5" fillId="0" borderId="0" applyNumberFormat="0" applyFill="0" applyBorder="0" applyAlignment="0" applyProtection="0"/>
    <xf numFmtId="0" fontId="7" fillId="0" borderId="0"/>
    <xf numFmtId="0" fontId="9" fillId="0" borderId="0" applyNumberFormat="0" applyFill="0" applyBorder="0" applyAlignment="0" applyProtection="0"/>
    <xf numFmtId="43" fontId="3" fillId="0" borderId="0" applyFont="0" applyFill="0" applyBorder="0" applyAlignment="0" applyProtection="0"/>
    <xf numFmtId="0" fontId="3" fillId="0" borderId="0"/>
    <xf numFmtId="9" fontId="7" fillId="0" borderId="0" applyFont="0" applyFill="0" applyBorder="0" applyAlignment="0" applyProtection="0"/>
    <xf numFmtId="0" fontId="14" fillId="0" borderId="0"/>
    <xf numFmtId="0" fontId="16" fillId="0" borderId="0" applyNumberFormat="0" applyFill="0" applyBorder="0" applyAlignment="0" applyProtection="0"/>
    <xf numFmtId="0" fontId="7" fillId="0" borderId="0"/>
    <xf numFmtId="0" fontId="7" fillId="0" borderId="0"/>
    <xf numFmtId="0" fontId="65" fillId="0" borderId="0"/>
  </cellStyleXfs>
  <cellXfs count="1312">
    <xf numFmtId="0" fontId="0" fillId="0" borderId="0" xfId="0"/>
    <xf numFmtId="0" fontId="0" fillId="0" borderId="0" xfId="0" applyAlignment="1">
      <alignment vertical="center"/>
    </xf>
    <xf numFmtId="0" fontId="0" fillId="0" borderId="2" xfId="0" applyBorder="1"/>
    <xf numFmtId="0" fontId="9" fillId="0" borderId="0" xfId="5"/>
    <xf numFmtId="0" fontId="4" fillId="0" borderId="0" xfId="0" applyFont="1"/>
    <xf numFmtId="0" fontId="0" fillId="0" borderId="2" xfId="0" applyBorder="1" applyAlignment="1">
      <alignment horizontal="center"/>
    </xf>
    <xf numFmtId="0" fontId="0" fillId="0" borderId="0" xfId="0" applyAlignment="1">
      <alignment horizontal="center" vertical="center"/>
    </xf>
    <xf numFmtId="0" fontId="12" fillId="0" borderId="0" xfId="0" applyFont="1"/>
    <xf numFmtId="0" fontId="12" fillId="0" borderId="0" xfId="0" applyFont="1" applyAlignment="1">
      <alignment horizontal="center" vertical="center"/>
    </xf>
    <xf numFmtId="0" fontId="7" fillId="0" borderId="0" xfId="0" applyFont="1"/>
    <xf numFmtId="0" fontId="8" fillId="0" borderId="0" xfId="0" applyFont="1"/>
    <xf numFmtId="0" fontId="7" fillId="0" borderId="0" xfId="0" applyFont="1" applyAlignment="1">
      <alignment horizontal="center" vertical="center"/>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wrapText="1"/>
    </xf>
    <xf numFmtId="0" fontId="15" fillId="0" borderId="0" xfId="0" applyFont="1" applyAlignment="1">
      <alignment vertical="center"/>
    </xf>
    <xf numFmtId="0" fontId="7" fillId="0" borderId="2" xfId="0" applyFont="1" applyBorder="1" applyAlignment="1">
      <alignment vertical="center"/>
    </xf>
    <xf numFmtId="0" fontId="7" fillId="0" borderId="2" xfId="0" applyFont="1" applyBorder="1" applyAlignment="1">
      <alignment vertical="center" wrapText="1"/>
    </xf>
    <xf numFmtId="165" fontId="7" fillId="0" borderId="0" xfId="0" applyNumberFormat="1" applyFont="1" applyAlignment="1">
      <alignment horizontal="center" vertical="center"/>
    </xf>
    <xf numFmtId="0" fontId="2" fillId="0" borderId="0" xfId="0" applyFont="1" applyAlignment="1">
      <alignment vertical="top"/>
    </xf>
    <xf numFmtId="0" fontId="7" fillId="0" borderId="0" xfId="0" applyFont="1" applyAlignment="1">
      <alignment horizontal="center" vertical="top" wrapText="1"/>
    </xf>
    <xf numFmtId="0" fontId="19" fillId="0" borderId="0" xfId="0" applyFont="1" applyAlignment="1">
      <alignment vertical="top"/>
    </xf>
    <xf numFmtId="0" fontId="8" fillId="0" borderId="0" xfId="0" applyFont="1" applyAlignment="1">
      <alignment horizontal="center" vertical="top" wrapText="1"/>
    </xf>
    <xf numFmtId="0" fontId="8" fillId="2" borderId="0" xfId="0" applyFont="1" applyFill="1"/>
    <xf numFmtId="0" fontId="8" fillId="2" borderId="0" xfId="0" applyFont="1" applyFill="1" applyAlignment="1">
      <alignment wrapText="1"/>
    </xf>
    <xf numFmtId="0" fontId="8" fillId="2" borderId="0" xfId="0" applyFont="1" applyFill="1" applyAlignment="1">
      <alignment horizontal="left"/>
    </xf>
    <xf numFmtId="0" fontId="8" fillId="2" borderId="0" xfId="0" applyFont="1" applyFill="1" applyAlignment="1">
      <alignment horizontal="center"/>
    </xf>
    <xf numFmtId="0" fontId="7" fillId="0" borderId="2" xfId="0" applyFont="1" applyBorder="1" applyAlignment="1">
      <alignment horizontal="left" vertical="center"/>
    </xf>
    <xf numFmtId="9" fontId="7" fillId="0" borderId="0" xfId="2" applyFont="1" applyFill="1" applyBorder="1" applyAlignment="1">
      <alignment horizontal="center" vertical="center"/>
    </xf>
    <xf numFmtId="9" fontId="7" fillId="0" borderId="0" xfId="2" applyFont="1" applyFill="1" applyBorder="1"/>
    <xf numFmtId="9" fontId="7" fillId="0" borderId="0" xfId="0" applyNumberFormat="1" applyFont="1"/>
    <xf numFmtId="0" fontId="8" fillId="9" borderId="22" xfId="0" applyFont="1" applyFill="1" applyBorder="1" applyAlignment="1">
      <alignment horizontal="center" vertical="center"/>
    </xf>
    <xf numFmtId="9" fontId="7" fillId="0" borderId="0" xfId="0" applyNumberFormat="1" applyFont="1" applyAlignment="1">
      <alignment vertical="center"/>
    </xf>
    <xf numFmtId="0" fontId="16" fillId="0" borderId="0" xfId="5" applyFont="1" applyAlignment="1">
      <alignment vertical="center"/>
    </xf>
    <xf numFmtId="0" fontId="24" fillId="9" borderId="12" xfId="0" applyFont="1" applyFill="1" applyBorder="1" applyAlignment="1">
      <alignment horizontal="center" vertical="center" wrapText="1"/>
    </xf>
    <xf numFmtId="9" fontId="7" fillId="0" borderId="22" xfId="2" applyFont="1" applyFill="1" applyBorder="1" applyAlignment="1">
      <alignment horizontal="center" vertical="center"/>
    </xf>
    <xf numFmtId="3" fontId="7" fillId="0" borderId="2" xfId="0" applyNumberFormat="1" applyFont="1" applyBorder="1" applyAlignment="1">
      <alignment horizontal="center" vertical="center"/>
    </xf>
    <xf numFmtId="0" fontId="23" fillId="0" borderId="0" xfId="0" applyFont="1" applyAlignment="1">
      <alignment horizontal="center" vertical="center"/>
    </xf>
    <xf numFmtId="0" fontId="25" fillId="6" borderId="0" xfId="0" applyFont="1" applyFill="1" applyAlignment="1">
      <alignment vertical="center" wrapText="1"/>
    </xf>
    <xf numFmtId="0" fontId="23" fillId="6" borderId="0" xfId="0" applyFont="1" applyFill="1" applyAlignment="1">
      <alignment horizontal="center" vertical="center"/>
    </xf>
    <xf numFmtId="165" fontId="23" fillId="6" borderId="0" xfId="0" applyNumberFormat="1" applyFont="1" applyFill="1" applyAlignment="1">
      <alignment horizontal="center" vertical="center"/>
    </xf>
    <xf numFmtId="0" fontId="24" fillId="0" borderId="0" xfId="0" applyFont="1" applyAlignment="1">
      <alignment horizontal="left" vertical="center" wrapText="1"/>
    </xf>
    <xf numFmtId="0" fontId="24" fillId="0" borderId="0" xfId="0" applyFont="1" applyAlignment="1">
      <alignment horizontal="left" vertical="center"/>
    </xf>
    <xf numFmtId="0" fontId="24" fillId="0" borderId="0" xfId="0" applyFont="1" applyAlignment="1">
      <alignment horizontal="center" vertical="center" wrapText="1"/>
    </xf>
    <xf numFmtId="10" fontId="7" fillId="0" borderId="0" xfId="8" applyNumberFormat="1" applyFont="1" applyFill="1" applyBorder="1" applyAlignment="1">
      <alignment horizontal="center"/>
    </xf>
    <xf numFmtId="1" fontId="7" fillId="0" borderId="0" xfId="2" applyNumberFormat="1" applyFont="1" applyFill="1" applyBorder="1"/>
    <xf numFmtId="0" fontId="8" fillId="2" borderId="0" xfId="0" applyFont="1" applyFill="1" applyAlignment="1">
      <alignment horizontal="center" vertical="center"/>
    </xf>
    <xf numFmtId="168" fontId="23" fillId="0" borderId="0" xfId="0" applyNumberFormat="1" applyFont="1" applyAlignment="1">
      <alignment horizontal="center" vertical="center"/>
    </xf>
    <xf numFmtId="0" fontId="13" fillId="0" borderId="0" xfId="0" applyFont="1" applyAlignment="1">
      <alignment vertical="center"/>
    </xf>
    <xf numFmtId="3" fontId="7" fillId="0" borderId="0" xfId="7" applyNumberFormat="1" applyFont="1" applyAlignment="1">
      <alignment horizontal="center" vertical="center"/>
    </xf>
    <xf numFmtId="0" fontId="26" fillId="0" borderId="0" xfId="0" applyFont="1"/>
    <xf numFmtId="9" fontId="27" fillId="0" borderId="0" xfId="2" applyFont="1"/>
    <xf numFmtId="0" fontId="28" fillId="2" borderId="0" xfId="0" applyFont="1" applyFill="1"/>
    <xf numFmtId="0" fontId="29" fillId="0" borderId="0" xfId="0" quotePrefix="1" applyFont="1"/>
    <xf numFmtId="0" fontId="26" fillId="0" borderId="0" xfId="0" applyFont="1" applyAlignment="1">
      <alignment wrapText="1"/>
    </xf>
    <xf numFmtId="0" fontId="26" fillId="0" borderId="0" xfId="0" applyFont="1" applyAlignment="1">
      <alignment horizontal="center"/>
    </xf>
    <xf numFmtId="0" fontId="7" fillId="0" borderId="0" xfId="4" applyAlignment="1">
      <alignment horizontal="center" vertical="center"/>
    </xf>
    <xf numFmtId="9" fontId="7" fillId="0" borderId="0" xfId="0" applyNumberFormat="1" applyFont="1" applyAlignment="1">
      <alignment horizontal="center"/>
    </xf>
    <xf numFmtId="9" fontId="7" fillId="0" borderId="0" xfId="0" applyNumberFormat="1" applyFont="1" applyAlignment="1">
      <alignment horizontal="left"/>
    </xf>
    <xf numFmtId="0" fontId="8" fillId="9" borderId="22" xfId="0" applyFont="1" applyFill="1" applyBorder="1" applyAlignment="1">
      <alignment horizontal="center" vertical="center" wrapText="1"/>
    </xf>
    <xf numFmtId="0" fontId="8" fillId="9" borderId="25" xfId="0" applyFont="1" applyFill="1" applyBorder="1" applyAlignment="1">
      <alignment horizontal="center" vertical="center" wrapText="1"/>
    </xf>
    <xf numFmtId="0" fontId="16" fillId="0" borderId="22" xfId="5" applyFont="1" applyBorder="1" applyAlignment="1">
      <alignment horizontal="center" vertical="center"/>
    </xf>
    <xf numFmtId="0" fontId="17" fillId="0" borderId="0" xfId="0" applyFont="1"/>
    <xf numFmtId="0" fontId="11" fillId="0" borderId="0" xfId="3" applyFont="1" applyFill="1" applyBorder="1" applyAlignment="1">
      <alignment horizontal="center" vertical="top" wrapText="1"/>
    </xf>
    <xf numFmtId="0" fontId="2" fillId="0" borderId="12" xfId="0" applyFont="1" applyBorder="1" applyAlignment="1">
      <alignment horizontal="center" vertical="center"/>
    </xf>
    <xf numFmtId="0" fontId="8" fillId="9" borderId="25" xfId="0" applyFont="1" applyFill="1" applyBorder="1" applyAlignment="1">
      <alignment horizontal="center" vertical="center"/>
    </xf>
    <xf numFmtId="0" fontId="7" fillId="6" borderId="2" xfId="0" applyFont="1" applyFill="1" applyBorder="1" applyAlignment="1">
      <alignment horizontal="center" vertical="center"/>
    </xf>
    <xf numFmtId="3" fontId="7" fillId="0" borderId="0" xfId="2" applyNumberFormat="1" applyFont="1" applyBorder="1" applyAlignment="1">
      <alignment horizontal="center"/>
    </xf>
    <xf numFmtId="2" fontId="23" fillId="0" borderId="1" xfId="0" applyNumberFormat="1" applyFont="1" applyBorder="1" applyAlignment="1">
      <alignment horizontal="center" vertical="center"/>
    </xf>
    <xf numFmtId="2" fontId="23" fillId="0" borderId="2" xfId="0" applyNumberFormat="1" applyFont="1" applyBorder="1" applyAlignment="1">
      <alignment horizontal="center" vertical="center"/>
    </xf>
    <xf numFmtId="2" fontId="23" fillId="0" borderId="30" xfId="0" applyNumberFormat="1" applyFont="1" applyBorder="1" applyAlignment="1">
      <alignment horizontal="center" vertical="center"/>
    </xf>
    <xf numFmtId="2" fontId="23" fillId="0" borderId="5" xfId="0" applyNumberFormat="1" applyFont="1" applyBorder="1" applyAlignment="1">
      <alignment horizontal="center" vertical="center"/>
    </xf>
    <xf numFmtId="2" fontId="23" fillId="0" borderId="7" xfId="0" applyNumberFormat="1" applyFont="1" applyBorder="1" applyAlignment="1">
      <alignment horizontal="center" vertical="center"/>
    </xf>
    <xf numFmtId="2" fontId="23" fillId="0" borderId="9" xfId="0" applyNumberFormat="1" applyFont="1" applyBorder="1" applyAlignment="1">
      <alignment horizontal="center" vertical="center"/>
    </xf>
    <xf numFmtId="0" fontId="33" fillId="0" borderId="0" xfId="0" applyFont="1"/>
    <xf numFmtId="0" fontId="19" fillId="9" borderId="12" xfId="0" applyFont="1" applyFill="1" applyBorder="1" applyAlignment="1">
      <alignment horizontal="center" vertical="center" wrapText="1"/>
    </xf>
    <xf numFmtId="0" fontId="7" fillId="0" borderId="6" xfId="0" applyFont="1" applyBorder="1" applyAlignment="1">
      <alignment horizontal="left" vertical="center"/>
    </xf>
    <xf numFmtId="0" fontId="7" fillId="0" borderId="7" xfId="0" applyFont="1" applyBorder="1" applyAlignment="1">
      <alignment horizontal="center" vertical="center"/>
    </xf>
    <xf numFmtId="2" fontId="23" fillId="0" borderId="34" xfId="0" applyNumberFormat="1" applyFont="1" applyBorder="1" applyAlignment="1">
      <alignment horizontal="center" vertical="center"/>
    </xf>
    <xf numFmtId="2" fontId="23" fillId="0" borderId="35" xfId="0" applyNumberFormat="1" applyFont="1" applyBorder="1" applyAlignment="1">
      <alignment horizontal="center" vertical="center"/>
    </xf>
    <xf numFmtId="2" fontId="23" fillId="0" borderId="36" xfId="0" applyNumberFormat="1" applyFont="1" applyBorder="1" applyAlignment="1">
      <alignment horizontal="center" vertical="center"/>
    </xf>
    <xf numFmtId="2" fontId="23" fillId="0" borderId="42" xfId="0" applyNumberFormat="1" applyFont="1" applyBorder="1" applyAlignment="1">
      <alignment horizontal="center" vertical="center"/>
    </xf>
    <xf numFmtId="2" fontId="23" fillId="0" borderId="43" xfId="0" applyNumberFormat="1" applyFont="1" applyBorder="1" applyAlignment="1">
      <alignment horizontal="center" vertical="center"/>
    </xf>
    <xf numFmtId="2" fontId="23" fillId="0" borderId="45" xfId="0" applyNumberFormat="1" applyFont="1" applyBorder="1" applyAlignment="1">
      <alignment horizontal="center" vertical="center"/>
    </xf>
    <xf numFmtId="2" fontId="23" fillId="0" borderId="47" xfId="0" applyNumberFormat="1" applyFont="1" applyBorder="1" applyAlignment="1">
      <alignment horizontal="center" vertical="center"/>
    </xf>
    <xf numFmtId="2" fontId="23" fillId="0" borderId="49" xfId="0" applyNumberFormat="1" applyFont="1" applyBorder="1" applyAlignment="1">
      <alignment horizontal="center" vertical="center"/>
    </xf>
    <xf numFmtId="2" fontId="23" fillId="0" borderId="51" xfId="0" applyNumberFormat="1" applyFont="1" applyBorder="1" applyAlignment="1">
      <alignment horizontal="center" vertical="center"/>
    </xf>
    <xf numFmtId="2" fontId="23" fillId="0" borderId="52" xfId="0" applyNumberFormat="1" applyFont="1" applyBorder="1" applyAlignment="1">
      <alignment horizontal="center" vertical="center"/>
    </xf>
    <xf numFmtId="0" fontId="23" fillId="0" borderId="53" xfId="0" applyFont="1" applyBorder="1" applyAlignment="1">
      <alignment horizontal="center" vertical="center"/>
    </xf>
    <xf numFmtId="0" fontId="23" fillId="0" borderId="54" xfId="0" applyFont="1" applyBorder="1" applyAlignment="1">
      <alignment horizontal="center" vertical="center"/>
    </xf>
    <xf numFmtId="0" fontId="23" fillId="0" borderId="55" xfId="0" applyFont="1" applyBorder="1" applyAlignment="1">
      <alignment horizontal="center" vertical="center"/>
    </xf>
    <xf numFmtId="0" fontId="23" fillId="0" borderId="56" xfId="0" applyFont="1" applyBorder="1" applyAlignment="1">
      <alignment horizontal="center" vertical="center"/>
    </xf>
    <xf numFmtId="0" fontId="23" fillId="0" borderId="37" xfId="0" applyFont="1" applyBorder="1" applyAlignment="1">
      <alignment horizontal="center" vertical="center"/>
    </xf>
    <xf numFmtId="0" fontId="23" fillId="0" borderId="38" xfId="0" applyFont="1" applyBorder="1" applyAlignment="1">
      <alignment horizontal="center" vertical="center"/>
    </xf>
    <xf numFmtId="0" fontId="23" fillId="0" borderId="11" xfId="0" applyFont="1" applyBorder="1" applyAlignment="1">
      <alignment horizontal="center" vertical="center"/>
    </xf>
    <xf numFmtId="0" fontId="23" fillId="0" borderId="39" xfId="0" applyFont="1" applyBorder="1" applyAlignment="1">
      <alignment horizontal="center" vertical="center"/>
    </xf>
    <xf numFmtId="2" fontId="23" fillId="0" borderId="12" xfId="0" applyNumberFormat="1" applyFont="1" applyBorder="1" applyAlignment="1">
      <alignment horizontal="center" vertical="center"/>
    </xf>
    <xf numFmtId="0" fontId="1" fillId="0" borderId="0" xfId="0" applyFont="1"/>
    <xf numFmtId="0" fontId="10" fillId="0" borderId="0" xfId="0" applyFont="1"/>
    <xf numFmtId="0" fontId="7" fillId="0" borderId="2" xfId="0" applyFont="1" applyBorder="1" applyAlignment="1">
      <alignment horizontal="left" vertical="center" wrapText="1"/>
    </xf>
    <xf numFmtId="0" fontId="12" fillId="0" borderId="0" xfId="0" applyFont="1" applyAlignment="1">
      <alignment horizontal="center"/>
    </xf>
    <xf numFmtId="169" fontId="7" fillId="0" borderId="0" xfId="6" applyNumberFormat="1" applyFont="1" applyAlignment="1">
      <alignment horizontal="center" vertical="top" wrapText="1"/>
    </xf>
    <xf numFmtId="0" fontId="0" fillId="0" borderId="0" xfId="0" applyAlignment="1">
      <alignment horizontal="left" vertical="center"/>
    </xf>
    <xf numFmtId="0" fontId="35" fillId="0" borderId="0" xfId="0" applyFont="1"/>
    <xf numFmtId="43" fontId="7" fillId="0" borderId="0" xfId="0" applyNumberFormat="1" applyFont="1"/>
    <xf numFmtId="169" fontId="7" fillId="0" borderId="0" xfId="6" applyNumberFormat="1" applyFont="1"/>
    <xf numFmtId="0" fontId="12" fillId="0" borderId="0" xfId="0" applyFont="1" applyAlignment="1">
      <alignment vertical="center"/>
    </xf>
    <xf numFmtId="0" fontId="7" fillId="0" borderId="2" xfId="0" applyFont="1" applyBorder="1"/>
    <xf numFmtId="9" fontId="36" fillId="0" borderId="0" xfId="2" applyFont="1" applyBorder="1" applyAlignment="1">
      <alignment horizontal="center"/>
    </xf>
    <xf numFmtId="0" fontId="19" fillId="0" borderId="0" xfId="0" applyFont="1" applyAlignment="1">
      <alignment horizontal="center" vertical="center" wrapText="1"/>
    </xf>
    <xf numFmtId="0" fontId="8" fillId="2" borderId="0" xfId="0" applyFont="1" applyFill="1" applyAlignment="1">
      <alignment vertical="center"/>
    </xf>
    <xf numFmtId="0" fontId="7" fillId="0" borderId="60" xfId="0" applyFont="1" applyBorder="1" applyAlignment="1">
      <alignment horizontal="center" vertical="center"/>
    </xf>
    <xf numFmtId="0" fontId="7" fillId="0" borderId="61" xfId="0" applyFont="1" applyBorder="1" applyAlignment="1">
      <alignment horizontal="center" vertical="center"/>
    </xf>
    <xf numFmtId="0" fontId="7" fillId="0" borderId="62" xfId="0" applyFont="1" applyBorder="1" applyAlignment="1">
      <alignment horizontal="center" vertical="center"/>
    </xf>
    <xf numFmtId="0" fontId="7" fillId="0" borderId="63" xfId="0" applyFont="1" applyBorder="1" applyAlignment="1">
      <alignment horizontal="center" vertical="center"/>
    </xf>
    <xf numFmtId="0" fontId="7" fillId="0" borderId="64" xfId="0" applyFont="1" applyBorder="1" applyAlignment="1">
      <alignment horizontal="center" vertical="center"/>
    </xf>
    <xf numFmtId="3" fontId="7" fillId="0" borderId="0" xfId="0" applyNumberFormat="1" applyFont="1" applyAlignment="1">
      <alignment vertical="center" wrapText="1"/>
    </xf>
    <xf numFmtId="3" fontId="7" fillId="0" borderId="0" xfId="0" applyNumberFormat="1" applyFont="1" applyAlignment="1">
      <alignment vertical="center"/>
    </xf>
    <xf numFmtId="0" fontId="2" fillId="0" borderId="0" xfId="0" applyFont="1" applyAlignment="1">
      <alignment horizontal="left" vertical="top"/>
    </xf>
    <xf numFmtId="169" fontId="12" fillId="0" borderId="0" xfId="6" applyNumberFormat="1" applyFont="1" applyBorder="1" applyAlignment="1">
      <alignment horizontal="center"/>
    </xf>
    <xf numFmtId="9" fontId="7" fillId="0" borderId="2" xfId="2" applyFont="1" applyBorder="1" applyAlignment="1">
      <alignment horizontal="right"/>
    </xf>
    <xf numFmtId="9" fontId="7" fillId="0" borderId="12" xfId="2" applyFont="1" applyBorder="1" applyAlignment="1">
      <alignment horizontal="right"/>
    </xf>
    <xf numFmtId="9" fontId="7" fillId="0" borderId="21" xfId="2" applyFont="1" applyFill="1" applyBorder="1"/>
    <xf numFmtId="9" fontId="7" fillId="0" borderId="11" xfId="2" applyFont="1" applyFill="1" applyBorder="1"/>
    <xf numFmtId="0" fontId="7" fillId="6" borderId="2" xfId="0" applyFont="1" applyFill="1" applyBorder="1" applyAlignment="1">
      <alignment horizontal="center" vertical="center" wrapText="1"/>
    </xf>
    <xf numFmtId="0" fontId="7" fillId="14" borderId="57" xfId="0" applyFont="1" applyFill="1" applyBorder="1" applyAlignment="1">
      <alignment vertical="center" wrapText="1"/>
    </xf>
    <xf numFmtId="0" fontId="7" fillId="0" borderId="4" xfId="0" applyFont="1" applyBorder="1" applyAlignment="1">
      <alignment horizontal="left" vertical="center"/>
    </xf>
    <xf numFmtId="0" fontId="7" fillId="0" borderId="1" xfId="0" applyFont="1" applyBorder="1" applyAlignment="1">
      <alignment horizontal="center" vertical="center"/>
    </xf>
    <xf numFmtId="0" fontId="7" fillId="0" borderId="5" xfId="0" applyFont="1" applyBorder="1" applyAlignment="1">
      <alignment horizontal="center" vertical="center"/>
    </xf>
    <xf numFmtId="0" fontId="7" fillId="0" borderId="2" xfId="0" applyFont="1" applyBorder="1" applyAlignment="1">
      <alignment wrapText="1"/>
    </xf>
    <xf numFmtId="0" fontId="7" fillId="0" borderId="2" xfId="0" applyFont="1" applyBorder="1" applyAlignment="1">
      <alignment horizontal="left"/>
    </xf>
    <xf numFmtId="0" fontId="2" fillId="0" borderId="0" xfId="0" applyFont="1" applyAlignment="1">
      <alignment wrapText="1"/>
    </xf>
    <xf numFmtId="0" fontId="2" fillId="0" borderId="0" xfId="0" applyFont="1" applyAlignment="1">
      <alignment horizontal="center" vertical="center" wrapText="1"/>
    </xf>
    <xf numFmtId="169" fontId="7" fillId="0" borderId="2" xfId="6" applyNumberFormat="1" applyFont="1" applyBorder="1" applyAlignment="1">
      <alignment horizontal="left" vertical="center"/>
    </xf>
    <xf numFmtId="0" fontId="7" fillId="0" borderId="11" xfId="0" applyFont="1" applyBorder="1" applyAlignment="1">
      <alignment horizontal="center" vertical="center"/>
    </xf>
    <xf numFmtId="168" fontId="22" fillId="0" borderId="0" xfId="0" applyNumberFormat="1" applyFont="1" applyAlignment="1">
      <alignment horizontal="center" vertical="center"/>
    </xf>
    <xf numFmtId="0" fontId="0" fillId="0" borderId="2" xfId="0" applyBorder="1" applyAlignment="1">
      <alignment vertical="center" wrapText="1"/>
    </xf>
    <xf numFmtId="0" fontId="11" fillId="0" borderId="0" xfId="3" applyFont="1" applyFill="1" applyBorder="1" applyAlignment="1">
      <alignment horizontal="left" vertical="top" wrapText="1"/>
    </xf>
    <xf numFmtId="3" fontId="11" fillId="0" borderId="0" xfId="3" applyNumberFormat="1" applyFont="1" applyFill="1" applyBorder="1" applyAlignment="1">
      <alignment horizontal="center" vertical="center" wrapText="1"/>
    </xf>
    <xf numFmtId="0" fontId="11" fillId="0" borderId="0" xfId="3" applyFont="1" applyBorder="1" applyAlignment="1">
      <alignment horizontal="center" vertical="top" wrapText="1"/>
    </xf>
    <xf numFmtId="3" fontId="11" fillId="0" borderId="0" xfId="3" applyNumberFormat="1" applyFont="1" applyBorder="1" applyAlignment="1">
      <alignment horizontal="center" vertical="center" wrapText="1"/>
    </xf>
    <xf numFmtId="1" fontId="2" fillId="0" borderId="0" xfId="7" applyNumberFormat="1" applyFont="1" applyAlignment="1">
      <alignment horizontal="center" vertical="center"/>
    </xf>
    <xf numFmtId="0" fontId="12" fillId="0" borderId="0" xfId="0" applyFont="1" applyAlignment="1">
      <alignment wrapText="1"/>
    </xf>
    <xf numFmtId="165" fontId="12" fillId="0" borderId="0" xfId="0" applyNumberFormat="1" applyFont="1" applyAlignment="1">
      <alignment horizontal="center" vertical="center"/>
    </xf>
    <xf numFmtId="0" fontId="15" fillId="2" borderId="0" xfId="0" applyFont="1" applyFill="1"/>
    <xf numFmtId="0" fontId="15" fillId="2" borderId="0" xfId="0" applyFont="1" applyFill="1" applyAlignment="1">
      <alignment wrapText="1"/>
    </xf>
    <xf numFmtId="0" fontId="15" fillId="2" borderId="0" xfId="0" applyFont="1" applyFill="1" applyAlignment="1">
      <alignment horizontal="left"/>
    </xf>
    <xf numFmtId="0" fontId="15" fillId="2" borderId="0" xfId="0" applyFont="1" applyFill="1" applyAlignment="1">
      <alignment horizontal="center"/>
    </xf>
    <xf numFmtId="0" fontId="17" fillId="0" borderId="0" xfId="0" applyFont="1" applyAlignment="1">
      <alignment vertical="center"/>
    </xf>
    <xf numFmtId="0" fontId="8" fillId="9" borderId="2" xfId="0" applyFont="1" applyFill="1" applyBorder="1" applyAlignment="1">
      <alignment horizontal="center" vertical="center" wrapText="1"/>
    </xf>
    <xf numFmtId="0" fontId="41" fillId="0" borderId="0" xfId="5" applyFont="1" applyAlignment="1">
      <alignment vertical="center"/>
    </xf>
    <xf numFmtId="0" fontId="13" fillId="0" borderId="0" xfId="0" applyFont="1" applyAlignment="1">
      <alignment vertical="center" wrapText="1"/>
    </xf>
    <xf numFmtId="9" fontId="7" fillId="0" borderId="2" xfId="0" applyNumberFormat="1" applyFont="1" applyBorder="1" applyAlignment="1">
      <alignment horizontal="center"/>
    </xf>
    <xf numFmtId="0" fontId="10" fillId="0" borderId="0" xfId="0" applyFont="1" applyAlignment="1">
      <alignment vertical="center"/>
    </xf>
    <xf numFmtId="0" fontId="4" fillId="0" borderId="65" xfId="0" applyFont="1" applyBorder="1"/>
    <xf numFmtId="0" fontId="4" fillId="0" borderId="74" xfId="0" applyFont="1" applyBorder="1"/>
    <xf numFmtId="0" fontId="4" fillId="0" borderId="78" xfId="0" applyFont="1" applyBorder="1"/>
    <xf numFmtId="0" fontId="39" fillId="0" borderId="0" xfId="0" applyFont="1" applyAlignment="1">
      <alignment vertical="center" wrapText="1"/>
    </xf>
    <xf numFmtId="0" fontId="0" fillId="0" borderId="0" xfId="0" applyAlignment="1">
      <alignment vertical="center" wrapText="1"/>
    </xf>
    <xf numFmtId="0" fontId="7" fillId="14" borderId="57" xfId="0" applyFont="1" applyFill="1" applyBorder="1" applyAlignment="1">
      <alignment horizontal="right" vertical="center" wrapText="1"/>
    </xf>
    <xf numFmtId="169" fontId="7" fillId="14" borderId="57" xfId="6" applyNumberFormat="1" applyFont="1" applyFill="1" applyBorder="1" applyAlignment="1">
      <alignment horizontal="right" vertical="center" wrapText="1"/>
    </xf>
    <xf numFmtId="9" fontId="7" fillId="14" borderId="57" xfId="2" applyFont="1" applyFill="1" applyBorder="1" applyAlignment="1">
      <alignment horizontal="right" vertical="center" wrapText="1"/>
    </xf>
    <xf numFmtId="168" fontId="12" fillId="0" borderId="0" xfId="0" applyNumberFormat="1" applyFont="1" applyAlignment="1">
      <alignment vertical="center"/>
    </xf>
    <xf numFmtId="2" fontId="12" fillId="0" borderId="0" xfId="0" applyNumberFormat="1" applyFont="1" applyAlignment="1">
      <alignment vertical="center"/>
    </xf>
    <xf numFmtId="170" fontId="39" fillId="0" borderId="0" xfId="0" applyNumberFormat="1" applyFont="1"/>
    <xf numFmtId="169" fontId="7" fillId="0" borderId="2" xfId="6" applyNumberFormat="1" applyFont="1" applyBorder="1" applyAlignment="1">
      <alignment horizontal="right" vertical="center" wrapText="1"/>
    </xf>
    <xf numFmtId="3" fontId="8" fillId="0" borderId="0" xfId="0" applyNumberFormat="1" applyFont="1" applyAlignment="1">
      <alignment vertical="center"/>
    </xf>
    <xf numFmtId="3" fontId="7" fillId="0" borderId="0" xfId="0" applyNumberFormat="1" applyFont="1" applyAlignment="1">
      <alignment horizontal="left"/>
    </xf>
    <xf numFmtId="170" fontId="39" fillId="0" borderId="0" xfId="0" applyNumberFormat="1" applyFont="1" applyAlignment="1">
      <alignment vertical="center"/>
    </xf>
    <xf numFmtId="0" fontId="7" fillId="0" borderId="0" xfId="0" applyFont="1" applyAlignment="1">
      <alignment horizontal="left"/>
    </xf>
    <xf numFmtId="0" fontId="0" fillId="0" borderId="0" xfId="0" applyAlignment="1">
      <alignment horizontal="center" vertical="center" wrapText="1"/>
    </xf>
    <xf numFmtId="9" fontId="7" fillId="0" borderId="2" xfId="6" applyNumberFormat="1" applyFont="1" applyBorder="1" applyAlignment="1">
      <alignment horizontal="left" vertical="center"/>
    </xf>
    <xf numFmtId="0" fontId="7" fillId="0" borderId="2" xfId="0" applyFont="1" applyBorder="1" applyAlignment="1">
      <alignment horizontal="right" vertical="center"/>
    </xf>
    <xf numFmtId="0" fontId="7" fillId="0" borderId="0" xfId="0" applyFont="1" applyAlignment="1">
      <alignment horizontal="right"/>
    </xf>
    <xf numFmtId="2" fontId="7" fillId="12" borderId="0" xfId="0" applyNumberFormat="1" applyFont="1" applyFill="1"/>
    <xf numFmtId="2" fontId="7" fillId="12" borderId="0" xfId="0" applyNumberFormat="1" applyFont="1" applyFill="1" applyAlignment="1">
      <alignment horizontal="right"/>
    </xf>
    <xf numFmtId="0" fontId="7" fillId="0" borderId="3" xfId="0" applyFont="1" applyBorder="1" applyAlignment="1">
      <alignment horizontal="left"/>
    </xf>
    <xf numFmtId="0" fontId="7" fillId="0" borderId="2" xfId="0" quotePrefix="1" applyFont="1" applyBorder="1" applyAlignment="1">
      <alignment wrapText="1"/>
    </xf>
    <xf numFmtId="0" fontId="7" fillId="0" borderId="0" xfId="0" applyFont="1" applyAlignment="1">
      <alignment vertical="center" wrapText="1"/>
    </xf>
    <xf numFmtId="0" fontId="2" fillId="0" borderId="12" xfId="0" applyFont="1" applyBorder="1" applyAlignment="1">
      <alignment horizontal="center" vertical="center" wrapText="1"/>
    </xf>
    <xf numFmtId="0" fontId="0" fillId="0" borderId="0" xfId="0" applyAlignment="1">
      <alignment horizontal="left" vertical="center" wrapText="1"/>
    </xf>
    <xf numFmtId="0" fontId="7" fillId="0" borderId="40" xfId="0" applyFont="1" applyBorder="1" applyAlignment="1">
      <alignment horizontal="center" vertical="center"/>
    </xf>
    <xf numFmtId="0" fontId="37" fillId="0" borderId="22" xfId="0" applyFont="1" applyBorder="1" applyAlignment="1">
      <alignment horizontal="left" vertical="top" wrapText="1"/>
    </xf>
    <xf numFmtId="169" fontId="37" fillId="0" borderId="22" xfId="6" applyNumberFormat="1" applyFont="1" applyBorder="1" applyAlignment="1">
      <alignment horizontal="center" vertical="center" wrapText="1"/>
    </xf>
    <xf numFmtId="0" fontId="2" fillId="0" borderId="0" xfId="1" applyAlignment="1">
      <alignment vertical="center" wrapText="1"/>
    </xf>
    <xf numFmtId="0" fontId="12" fillId="0" borderId="69" xfId="0" applyFont="1" applyBorder="1"/>
    <xf numFmtId="0" fontId="31" fillId="0" borderId="29" xfId="0" applyFont="1" applyBorder="1"/>
    <xf numFmtId="169" fontId="31" fillId="0" borderId="29" xfId="0" applyNumberFormat="1" applyFont="1" applyBorder="1"/>
    <xf numFmtId="0" fontId="7" fillId="0" borderId="17" xfId="0" applyFont="1" applyBorder="1" applyAlignment="1">
      <alignment wrapText="1"/>
    </xf>
    <xf numFmtId="0" fontId="43" fillId="0" borderId="0" xfId="0" applyFont="1"/>
    <xf numFmtId="0" fontId="9" fillId="6" borderId="81" xfId="5" applyFill="1" applyBorder="1" applyAlignment="1">
      <alignment vertical="center" wrapText="1"/>
    </xf>
    <xf numFmtId="0" fontId="3" fillId="6" borderId="82" xfId="5" applyFont="1" applyFill="1" applyBorder="1" applyAlignment="1">
      <alignment vertical="center" wrapText="1"/>
    </xf>
    <xf numFmtId="168" fontId="44" fillId="0" borderId="0" xfId="0" applyNumberFormat="1" applyFont="1" applyAlignment="1">
      <alignment vertical="center"/>
    </xf>
    <xf numFmtId="0" fontId="17" fillId="0" borderId="0" xfId="0" applyFont="1" applyAlignment="1">
      <alignment vertical="center" wrapText="1"/>
    </xf>
    <xf numFmtId="0" fontId="36" fillId="0" borderId="0" xfId="0" applyFont="1"/>
    <xf numFmtId="3" fontId="7" fillId="0" borderId="89" xfId="0" applyNumberFormat="1" applyFont="1" applyBorder="1" applyAlignment="1">
      <alignment horizontal="center" vertical="center"/>
    </xf>
    <xf numFmtId="1" fontId="11" fillId="0" borderId="0" xfId="3" applyNumberFormat="1" applyFont="1" applyFill="1" applyBorder="1" applyAlignment="1">
      <alignment horizontal="center" vertical="top" wrapText="1"/>
    </xf>
    <xf numFmtId="1" fontId="12" fillId="0" borderId="0" xfId="0" applyNumberFormat="1" applyFont="1"/>
    <xf numFmtId="0" fontId="45" fillId="0" borderId="0" xfId="0" applyFont="1"/>
    <xf numFmtId="0" fontId="24" fillId="15" borderId="89" xfId="0" applyFont="1" applyFill="1" applyBorder="1" applyAlignment="1">
      <alignment horizontal="center" vertical="center"/>
    </xf>
    <xf numFmtId="0" fontId="24" fillId="15" borderId="89" xfId="0" applyFont="1" applyFill="1" applyBorder="1" applyAlignment="1">
      <alignment horizontal="center" vertical="center" wrapText="1"/>
    </xf>
    <xf numFmtId="0" fontId="11" fillId="0" borderId="89" xfId="3" applyFont="1" applyBorder="1" applyAlignment="1">
      <alignment horizontal="center" vertical="center" wrapText="1"/>
    </xf>
    <xf numFmtId="165" fontId="7" fillId="0" borderId="89" xfId="0" applyNumberFormat="1" applyFont="1" applyBorder="1" applyAlignment="1">
      <alignment horizontal="center" vertical="center"/>
    </xf>
    <xf numFmtId="165" fontId="2" fillId="0" borderId="89" xfId="0" applyNumberFormat="1" applyFont="1" applyBorder="1" applyAlignment="1">
      <alignment horizontal="center" vertical="center" wrapText="1"/>
    </xf>
    <xf numFmtId="165" fontId="2" fillId="0" borderId="89" xfId="0" applyNumberFormat="1" applyFont="1" applyBorder="1" applyAlignment="1">
      <alignment horizontal="center" vertical="center"/>
    </xf>
    <xf numFmtId="0" fontId="42" fillId="0" borderId="89" xfId="0" applyFont="1" applyBorder="1" applyAlignment="1">
      <alignment horizontal="center" vertical="center"/>
    </xf>
    <xf numFmtId="0" fontId="38" fillId="0" borderId="0" xfId="0" applyFont="1" applyAlignment="1">
      <alignment horizontal="right" vertical="center"/>
    </xf>
    <xf numFmtId="0" fontId="34" fillId="0" borderId="0" xfId="0" applyFont="1" applyAlignment="1">
      <alignment horizontal="center" vertical="center" wrapText="1"/>
    </xf>
    <xf numFmtId="0" fontId="9" fillId="6" borderId="82" xfId="5" applyFill="1" applyBorder="1" applyAlignment="1">
      <alignment horizontal="center" vertical="center" wrapText="1"/>
    </xf>
    <xf numFmtId="0" fontId="32" fillId="0" borderId="0" xfId="0" applyFont="1"/>
    <xf numFmtId="9" fontId="7" fillId="0" borderId="34" xfId="0" applyNumberFormat="1" applyFont="1" applyBorder="1" applyAlignment="1">
      <alignment horizontal="center"/>
    </xf>
    <xf numFmtId="170" fontId="7" fillId="0" borderId="2" xfId="0" applyNumberFormat="1" applyFont="1" applyBorder="1" applyAlignment="1">
      <alignment vertical="center"/>
    </xf>
    <xf numFmtId="0" fontId="7" fillId="0" borderId="11" xfId="0" applyFont="1" applyBorder="1" applyAlignment="1">
      <alignment vertical="center" wrapText="1"/>
    </xf>
    <xf numFmtId="0" fontId="7" fillId="0" borderId="11" xfId="0" applyFont="1" applyBorder="1" applyAlignment="1">
      <alignment horizontal="right" vertical="center"/>
    </xf>
    <xf numFmtId="170" fontId="2" fillId="0" borderId="2" xfId="0" applyNumberFormat="1" applyFont="1" applyBorder="1" applyAlignment="1">
      <alignment vertical="center"/>
    </xf>
    <xf numFmtId="169" fontId="7" fillId="0" borderId="11" xfId="6" applyNumberFormat="1" applyFont="1" applyBorder="1" applyAlignment="1">
      <alignment horizontal="right" vertical="center"/>
    </xf>
    <xf numFmtId="0" fontId="7" fillId="0" borderId="12" xfId="0" applyFont="1" applyBorder="1" applyAlignment="1">
      <alignment vertical="center"/>
    </xf>
    <xf numFmtId="170" fontId="2" fillId="10" borderId="11" xfId="0" applyNumberFormat="1" applyFont="1" applyFill="1" applyBorder="1" applyAlignment="1">
      <alignment vertical="center"/>
    </xf>
    <xf numFmtId="1" fontId="11" fillId="0" borderId="34" xfId="3" applyNumberFormat="1" applyFont="1" applyBorder="1" applyAlignment="1">
      <alignment horizontal="left" vertical="center" wrapText="1"/>
    </xf>
    <xf numFmtId="169" fontId="7" fillId="0" borderId="34" xfId="6" applyNumberFormat="1" applyFont="1" applyBorder="1" applyAlignment="1">
      <alignment horizontal="left" vertical="center" wrapText="1"/>
    </xf>
    <xf numFmtId="169" fontId="7" fillId="0" borderId="34" xfId="6" applyNumberFormat="1" applyFont="1" applyBorder="1" applyAlignment="1">
      <alignment horizontal="left" vertical="center"/>
    </xf>
    <xf numFmtId="0" fontId="7" fillId="0" borderId="34" xfId="0" applyFont="1" applyBorder="1"/>
    <xf numFmtId="43" fontId="7" fillId="0" borderId="34" xfId="0" applyNumberFormat="1" applyFont="1" applyBorder="1"/>
    <xf numFmtId="0" fontId="7" fillId="0" borderId="34" xfId="0" quotePrefix="1" applyFont="1" applyBorder="1"/>
    <xf numFmtId="0" fontId="2" fillId="0" borderId="34" xfId="0" applyFont="1" applyBorder="1"/>
    <xf numFmtId="0" fontId="30" fillId="0" borderId="34" xfId="0" quotePrefix="1" applyFont="1" applyBorder="1" applyAlignment="1">
      <alignment horizontal="left" vertical="top"/>
    </xf>
    <xf numFmtId="0" fontId="7" fillId="0" borderId="34" xfId="4" applyBorder="1" applyAlignment="1">
      <alignment horizontal="center" vertical="center"/>
    </xf>
    <xf numFmtId="0" fontId="9" fillId="0" borderId="0" xfId="5" applyAlignment="1"/>
    <xf numFmtId="0" fontId="2" fillId="0" borderId="2" xfId="0" applyFont="1" applyBorder="1" applyAlignment="1">
      <alignment horizontal="center" vertical="center"/>
    </xf>
    <xf numFmtId="0" fontId="20" fillId="9" borderId="89" xfId="0" applyFont="1" applyFill="1" applyBorder="1" applyAlignment="1">
      <alignment horizontal="center" vertical="center" wrapText="1"/>
    </xf>
    <xf numFmtId="0" fontId="19" fillId="9" borderId="89" xfId="0" applyFont="1" applyFill="1" applyBorder="1" applyAlignment="1">
      <alignment horizontal="left" vertical="center"/>
    </xf>
    <xf numFmtId="0" fontId="19" fillId="9" borderId="89" xfId="0" applyFont="1" applyFill="1" applyBorder="1" applyAlignment="1">
      <alignment horizontal="center" vertical="center"/>
    </xf>
    <xf numFmtId="0" fontId="11" fillId="0" borderId="89" xfId="3" applyFont="1" applyBorder="1" applyAlignment="1">
      <alignment horizontal="left" vertical="center" wrapText="1"/>
    </xf>
    <xf numFmtId="3" fontId="7" fillId="0" borderId="89" xfId="7" applyNumberFormat="1" applyFont="1" applyBorder="1" applyAlignment="1">
      <alignment horizontal="center" vertical="center"/>
    </xf>
    <xf numFmtId="0" fontId="11" fillId="0" borderId="89" xfId="0" applyFont="1" applyBorder="1" applyAlignment="1">
      <alignment horizontal="center" vertical="center" wrapText="1"/>
    </xf>
    <xf numFmtId="0" fontId="11" fillId="0" borderId="89" xfId="3" applyFont="1" applyFill="1" applyBorder="1" applyAlignment="1">
      <alignment horizontal="left" vertical="center" wrapText="1"/>
    </xf>
    <xf numFmtId="3" fontId="7" fillId="0" borderId="89" xfId="7" applyNumberFormat="1" applyFont="1" applyBorder="1" applyAlignment="1">
      <alignment horizontal="left" vertical="center"/>
    </xf>
    <xf numFmtId="0" fontId="11" fillId="14" borderId="89" xfId="3" applyFont="1" applyFill="1" applyBorder="1" applyAlignment="1">
      <alignment horizontal="left" vertical="center" wrapText="1"/>
    </xf>
    <xf numFmtId="3" fontId="7" fillId="14" borderId="89" xfId="7" applyNumberFormat="1" applyFont="1" applyFill="1" applyBorder="1" applyAlignment="1">
      <alignment horizontal="center" vertical="center"/>
    </xf>
    <xf numFmtId="0" fontId="11" fillId="14" borderId="89" xfId="0" applyFont="1" applyFill="1" applyBorder="1" applyAlignment="1">
      <alignment horizontal="center" vertical="center" wrapText="1"/>
    </xf>
    <xf numFmtId="3" fontId="11" fillId="0" borderId="89" xfId="3" applyNumberFormat="1" applyFont="1" applyFill="1" applyBorder="1" applyAlignment="1">
      <alignment horizontal="center" vertical="center" wrapText="1"/>
    </xf>
    <xf numFmtId="3" fontId="11" fillId="0" borderId="89" xfId="3" applyNumberFormat="1" applyFont="1" applyBorder="1" applyAlignment="1">
      <alignment horizontal="center" vertical="center" wrapText="1"/>
    </xf>
    <xf numFmtId="0" fontId="19" fillId="9" borderId="89" xfId="0" applyFont="1" applyFill="1" applyBorder="1" applyAlignment="1">
      <alignment vertical="center"/>
    </xf>
    <xf numFmtId="0" fontId="7" fillId="0" borderId="89" xfId="0" applyFont="1" applyBorder="1" applyAlignment="1">
      <alignment vertical="center"/>
    </xf>
    <xf numFmtId="0" fontId="2" fillId="0" borderId="89" xfId="1" applyBorder="1" applyAlignment="1">
      <alignment vertical="center" wrapText="1"/>
    </xf>
    <xf numFmtId="3" fontId="2" fillId="0" borderId="89" xfId="1" applyNumberFormat="1" applyBorder="1" applyAlignment="1">
      <alignment horizontal="center" vertical="center" wrapText="1"/>
    </xf>
    <xf numFmtId="166" fontId="2" fillId="0" borderId="89" xfId="1" applyNumberFormat="1" applyBorder="1" applyAlignment="1">
      <alignment horizontal="center" vertical="center" wrapText="1"/>
    </xf>
    <xf numFmtId="0" fontId="7" fillId="0" borderId="89" xfId="0" applyFont="1" applyBorder="1" applyAlignment="1">
      <alignment horizontal="left" vertical="center"/>
    </xf>
    <xf numFmtId="0" fontId="2" fillId="0" borderId="89" xfId="1" applyBorder="1" applyAlignment="1">
      <alignment vertical="center"/>
    </xf>
    <xf numFmtId="9" fontId="7" fillId="0" borderId="89" xfId="0" applyNumberFormat="1" applyFont="1" applyBorder="1" applyAlignment="1">
      <alignment horizontal="center" vertical="center" wrapText="1"/>
    </xf>
    <xf numFmtId="0" fontId="2" fillId="0" borderId="89" xfId="1" quotePrefix="1" applyBorder="1" applyAlignment="1">
      <alignment horizontal="center" vertical="center" wrapText="1"/>
    </xf>
    <xf numFmtId="164" fontId="7" fillId="14" borderId="89" xfId="2" applyNumberFormat="1" applyFont="1" applyFill="1" applyBorder="1" applyAlignment="1">
      <alignment horizontal="center" vertical="center"/>
    </xf>
    <xf numFmtId="164" fontId="7" fillId="0" borderId="89" xfId="2" applyNumberFormat="1" applyFont="1" applyBorder="1" applyAlignment="1">
      <alignment horizontal="center" vertical="center"/>
    </xf>
    <xf numFmtId="0" fontId="7" fillId="0" borderId="89" xfId="3" applyFont="1" applyBorder="1" applyAlignment="1">
      <alignment horizontal="left" vertical="center" wrapText="1"/>
    </xf>
    <xf numFmtId="0" fontId="7" fillId="14" borderId="89" xfId="3" applyFont="1" applyFill="1" applyBorder="1" applyAlignment="1">
      <alignment horizontal="left" vertical="center" wrapText="1"/>
    </xf>
    <xf numFmtId="0" fontId="7" fillId="0" borderId="89" xfId="0" applyFont="1" applyBorder="1"/>
    <xf numFmtId="0" fontId="7" fillId="0" borderId="89" xfId="0" applyFont="1" applyBorder="1" applyAlignment="1">
      <alignment wrapText="1"/>
    </xf>
    <xf numFmtId="0" fontId="8" fillId="15" borderId="91" xfId="0" applyFont="1" applyFill="1" applyBorder="1" applyAlignment="1">
      <alignment horizontal="center" vertical="center"/>
    </xf>
    <xf numFmtId="0" fontId="7" fillId="6" borderId="96" xfId="0" applyFont="1" applyFill="1" applyBorder="1"/>
    <xf numFmtId="9" fontId="7" fillId="6" borderId="0" xfId="0" applyNumberFormat="1" applyFont="1" applyFill="1"/>
    <xf numFmtId="0" fontId="12" fillId="0" borderId="89" xfId="0" applyFont="1" applyBorder="1"/>
    <xf numFmtId="0" fontId="12" fillId="0" borderId="89" xfId="0" applyFont="1" applyBorder="1" applyAlignment="1">
      <alignment horizontal="center" vertical="center"/>
    </xf>
    <xf numFmtId="2" fontId="7" fillId="0" borderId="0" xfId="0" applyNumberFormat="1" applyFont="1" applyAlignment="1">
      <alignment horizontal="center" vertical="center" wrapText="1"/>
    </xf>
    <xf numFmtId="2" fontId="7" fillId="0" borderId="89" xfId="0" applyNumberFormat="1" applyFont="1" applyBorder="1" applyAlignment="1">
      <alignment horizontal="center" vertical="center" wrapText="1"/>
    </xf>
    <xf numFmtId="2" fontId="2" fillId="0" borderId="89" xfId="0" applyNumberFormat="1" applyFont="1" applyBorder="1" applyAlignment="1">
      <alignment horizontal="center" vertical="center" wrapText="1"/>
    </xf>
    <xf numFmtId="0" fontId="22" fillId="0" borderId="89" xfId="0" applyFont="1" applyBorder="1"/>
    <xf numFmtId="0" fontId="7" fillId="0" borderId="89" xfId="0" applyFont="1" applyBorder="1" applyAlignment="1">
      <alignment horizontal="center" vertical="top" wrapText="1"/>
    </xf>
    <xf numFmtId="0" fontId="12" fillId="0" borderId="0" xfId="0" applyFont="1" applyAlignment="1">
      <alignment vertical="center" wrapText="1"/>
    </xf>
    <xf numFmtId="0" fontId="26" fillId="0" borderId="0" xfId="0" applyFont="1" applyAlignment="1">
      <alignment vertical="center"/>
    </xf>
    <xf numFmtId="169" fontId="7" fillId="0" borderId="89" xfId="6" applyNumberFormat="1" applyFont="1" applyBorder="1" applyAlignment="1">
      <alignment horizontal="center" vertical="center"/>
    </xf>
    <xf numFmtId="0" fontId="2" fillId="0" borderId="87" xfId="0" applyFont="1" applyBorder="1" applyAlignment="1">
      <alignment horizontal="center" vertical="center"/>
    </xf>
    <xf numFmtId="43" fontId="7" fillId="0" borderId="34" xfId="6" applyFont="1" applyFill="1" applyBorder="1"/>
    <xf numFmtId="43" fontId="7" fillId="0" borderId="34" xfId="6" applyFont="1" applyBorder="1"/>
    <xf numFmtId="3" fontId="7" fillId="0" borderId="89" xfId="7" applyNumberFormat="1" applyFont="1" applyBorder="1" applyAlignment="1">
      <alignment vertical="center"/>
    </xf>
    <xf numFmtId="9" fontId="11" fillId="0" borderId="89" xfId="2" applyFont="1" applyBorder="1" applyAlignment="1">
      <alignment horizontal="center" vertical="center" wrapText="1"/>
    </xf>
    <xf numFmtId="2" fontId="7" fillId="0" borderId="0" xfId="0" applyNumberFormat="1" applyFont="1"/>
    <xf numFmtId="0" fontId="7" fillId="0" borderId="92" xfId="0" applyFont="1" applyBorder="1" applyAlignment="1">
      <alignment horizontal="center" vertical="center" wrapText="1"/>
    </xf>
    <xf numFmtId="0" fontId="2" fillId="0" borderId="88"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3" xfId="0" applyFont="1" applyBorder="1" applyAlignment="1">
      <alignment horizontal="center" vertical="center"/>
    </xf>
    <xf numFmtId="0" fontId="8" fillId="0" borderId="0" xfId="0" applyFont="1" applyAlignment="1">
      <alignment horizontal="center" vertical="center"/>
    </xf>
    <xf numFmtId="0" fontId="8" fillId="9" borderId="18" xfId="0" applyFont="1" applyFill="1" applyBorder="1" applyAlignment="1">
      <alignment horizontal="center"/>
    </xf>
    <xf numFmtId="0" fontId="8" fillId="4" borderId="18" xfId="0" applyFont="1" applyFill="1" applyBorder="1" applyAlignment="1">
      <alignment horizontal="center"/>
    </xf>
    <xf numFmtId="2" fontId="50" fillId="12" borderId="0" xfId="0" applyNumberFormat="1" applyFont="1" applyFill="1" applyAlignment="1">
      <alignment horizontal="right" vertical="center" wrapText="1"/>
    </xf>
    <xf numFmtId="2" fontId="50" fillId="12" borderId="0" xfId="0" applyNumberFormat="1" applyFont="1" applyFill="1"/>
    <xf numFmtId="9" fontId="2" fillId="0" borderId="2" xfId="2" applyFont="1" applyBorder="1"/>
    <xf numFmtId="2" fontId="2" fillId="0" borderId="2" xfId="0" applyNumberFormat="1" applyFont="1" applyBorder="1" applyAlignment="1">
      <alignment horizontal="right" vertical="center" wrapText="1"/>
    </xf>
    <xf numFmtId="9" fontId="2" fillId="0" borderId="2" xfId="2" applyFont="1" applyBorder="1" applyAlignment="1">
      <alignment horizontal="right" vertical="center" wrapText="1"/>
    </xf>
    <xf numFmtId="9" fontId="2" fillId="0" borderId="0" xfId="2" applyFont="1" applyBorder="1"/>
    <xf numFmtId="9" fontId="2" fillId="0" borderId="2" xfId="2" applyFont="1" applyBorder="1" applyAlignment="1">
      <alignment horizontal="right"/>
    </xf>
    <xf numFmtId="0" fontId="53" fillId="0" borderId="0" xfId="0" applyFont="1" applyAlignment="1">
      <alignment horizontal="right" vertical="center" wrapText="1"/>
    </xf>
    <xf numFmtId="9" fontId="12" fillId="0" borderId="0" xfId="2" applyFont="1" applyFill="1" applyBorder="1"/>
    <xf numFmtId="0" fontId="53" fillId="0" borderId="0" xfId="0" applyFont="1" applyAlignment="1">
      <alignment vertical="center" wrapText="1"/>
    </xf>
    <xf numFmtId="1" fontId="7" fillId="0" borderId="0" xfId="2" applyNumberFormat="1" applyFont="1"/>
    <xf numFmtId="1" fontId="2" fillId="0" borderId="2" xfId="0" applyNumberFormat="1" applyFont="1" applyBorder="1" applyAlignment="1">
      <alignment horizontal="right" vertical="center" wrapText="1"/>
    </xf>
    <xf numFmtId="1" fontId="7" fillId="12" borderId="0" xfId="0" applyNumberFormat="1" applyFont="1" applyFill="1"/>
    <xf numFmtId="1" fontId="50" fillId="12" borderId="0" xfId="0" applyNumberFormat="1" applyFont="1" applyFill="1" applyAlignment="1">
      <alignment horizontal="right" vertical="center" wrapText="1"/>
    </xf>
    <xf numFmtId="1" fontId="2" fillId="0" borderId="18" xfId="0" applyNumberFormat="1" applyFont="1" applyBorder="1" applyAlignment="1">
      <alignment horizontal="right" vertical="center" wrapText="1"/>
    </xf>
    <xf numFmtId="2" fontId="2" fillId="0" borderId="18" xfId="0" applyNumberFormat="1" applyFont="1" applyBorder="1" applyAlignment="1">
      <alignment horizontal="right" vertical="center" wrapText="1"/>
    </xf>
    <xf numFmtId="0" fontId="7" fillId="6" borderId="97" xfId="0" applyFont="1" applyFill="1" applyBorder="1" applyAlignment="1">
      <alignment vertical="center"/>
    </xf>
    <xf numFmtId="0" fontId="8" fillId="0" borderId="0" xfId="0" applyFont="1" applyAlignment="1">
      <alignment vertical="center"/>
    </xf>
    <xf numFmtId="0" fontId="23" fillId="0" borderId="110" xfId="0" applyFont="1" applyBorder="1" applyAlignment="1">
      <alignment horizontal="center" vertical="center"/>
    </xf>
    <xf numFmtId="2" fontId="23" fillId="0" borderId="89" xfId="0" applyNumberFormat="1" applyFont="1" applyBorder="1" applyAlignment="1">
      <alignment horizontal="center" vertical="center"/>
    </xf>
    <xf numFmtId="2" fontId="23" fillId="0" borderId="101" xfId="0" applyNumberFormat="1" applyFont="1" applyBorder="1" applyAlignment="1">
      <alignment horizontal="center" vertical="center"/>
    </xf>
    <xf numFmtId="2" fontId="23" fillId="0" borderId="102" xfId="0" applyNumberFormat="1" applyFont="1" applyBorder="1" applyAlignment="1">
      <alignment horizontal="center" vertical="center"/>
    </xf>
    <xf numFmtId="2" fontId="23" fillId="0" borderId="104" xfId="0" applyNumberFormat="1" applyFont="1" applyBorder="1" applyAlignment="1">
      <alignment horizontal="center" vertical="center"/>
    </xf>
    <xf numFmtId="2" fontId="23" fillId="0" borderId="106" xfId="0" applyNumberFormat="1" applyFont="1" applyBorder="1" applyAlignment="1">
      <alignment horizontal="center" vertical="center"/>
    </xf>
    <xf numFmtId="2" fontId="23" fillId="0" borderId="107" xfId="0" applyNumberFormat="1" applyFont="1" applyBorder="1" applyAlignment="1">
      <alignment horizontal="center" vertical="center"/>
    </xf>
    <xf numFmtId="0" fontId="23" fillId="0" borderId="111" xfId="0" applyFont="1" applyBorder="1" applyAlignment="1">
      <alignment horizontal="center" vertical="center"/>
    </xf>
    <xf numFmtId="0" fontId="23" fillId="0" borderId="94" xfId="0" applyFont="1" applyBorder="1" applyAlignment="1">
      <alignment horizontal="center" vertical="center"/>
    </xf>
    <xf numFmtId="0" fontId="23" fillId="0" borderId="112" xfId="0" applyFont="1" applyBorder="1" applyAlignment="1">
      <alignment horizontal="center" vertical="center"/>
    </xf>
    <xf numFmtId="0" fontId="23" fillId="0" borderId="113" xfId="0" applyFont="1" applyBorder="1" applyAlignment="1">
      <alignment horizontal="center" vertical="center"/>
    </xf>
    <xf numFmtId="0" fontId="23" fillId="0" borderId="102" xfId="0" applyFont="1" applyBorder="1" applyAlignment="1">
      <alignment horizontal="center" vertical="center"/>
    </xf>
    <xf numFmtId="0" fontId="23" fillId="0" borderId="104" xfId="0" applyFont="1" applyBorder="1" applyAlignment="1">
      <alignment horizontal="center" vertical="center"/>
    </xf>
    <xf numFmtId="0" fontId="23" fillId="0" borderId="107" xfId="0" applyFont="1" applyBorder="1" applyAlignment="1">
      <alignment horizontal="center" vertical="center"/>
    </xf>
    <xf numFmtId="0" fontId="20" fillId="0" borderId="0" xfId="0" applyFont="1" applyAlignment="1">
      <alignment vertical="center" wrapText="1"/>
    </xf>
    <xf numFmtId="0" fontId="11" fillId="0" borderId="92" xfId="3" applyFont="1" applyBorder="1" applyAlignment="1">
      <alignment horizontal="left" vertical="center" wrapText="1"/>
    </xf>
    <xf numFmtId="0" fontId="11" fillId="0" borderId="92" xfId="3" applyFont="1" applyFill="1" applyBorder="1" applyAlignment="1">
      <alignment horizontal="left" vertical="center" wrapText="1"/>
    </xf>
    <xf numFmtId="3" fontId="7" fillId="0" borderId="92" xfId="7" applyNumberFormat="1" applyFont="1" applyBorder="1" applyAlignment="1">
      <alignment horizontal="left" vertical="center"/>
    </xf>
    <xf numFmtId="0" fontId="11" fillId="14" borderId="92" xfId="3" applyFont="1" applyFill="1" applyBorder="1" applyAlignment="1">
      <alignment horizontal="left" vertical="center" wrapText="1"/>
    </xf>
    <xf numFmtId="3" fontId="7" fillId="0" borderId="94" xfId="7" applyNumberFormat="1" applyFont="1" applyBorder="1" applyAlignment="1">
      <alignment horizontal="center" vertical="center"/>
    </xf>
    <xf numFmtId="3" fontId="7" fillId="14" borderId="94" xfId="7" applyNumberFormat="1" applyFont="1" applyFill="1" applyBorder="1" applyAlignment="1">
      <alignment horizontal="center" vertical="center"/>
    </xf>
    <xf numFmtId="0" fontId="11" fillId="0" borderId="89" xfId="3" applyFont="1" applyFill="1" applyBorder="1" applyAlignment="1">
      <alignment horizontal="center" vertical="center" wrapText="1"/>
    </xf>
    <xf numFmtId="0" fontId="23" fillId="0" borderId="96" xfId="0" applyFont="1" applyBorder="1" applyAlignment="1">
      <alignment horizontal="center" vertical="center"/>
    </xf>
    <xf numFmtId="2" fontId="23" fillId="0" borderId="109" xfId="0" applyNumberFormat="1" applyFont="1" applyBorder="1" applyAlignment="1">
      <alignment horizontal="center" vertical="center"/>
    </xf>
    <xf numFmtId="2" fontId="23" fillId="0" borderId="110" xfId="0" applyNumberFormat="1" applyFont="1" applyBorder="1" applyAlignment="1">
      <alignment horizontal="center" vertical="center"/>
    </xf>
    <xf numFmtId="2" fontId="23" fillId="0" borderId="91" xfId="0" applyNumberFormat="1" applyFont="1" applyBorder="1" applyAlignment="1">
      <alignment horizontal="center" vertical="center"/>
    </xf>
    <xf numFmtId="2" fontId="23" fillId="0" borderId="114" xfId="0" applyNumberFormat="1" applyFont="1" applyBorder="1" applyAlignment="1">
      <alignment horizontal="center" vertical="center"/>
    </xf>
    <xf numFmtId="0" fontId="23" fillId="0" borderId="114" xfId="0" applyFont="1" applyBorder="1" applyAlignment="1">
      <alignment horizontal="center" vertical="center"/>
    </xf>
    <xf numFmtId="2" fontId="55" fillId="0" borderId="89" xfId="0" applyNumberFormat="1" applyFont="1" applyBorder="1" applyAlignment="1">
      <alignment horizontal="center" vertical="center"/>
    </xf>
    <xf numFmtId="0" fontId="23" fillId="0" borderId="119" xfId="0" applyFont="1" applyBorder="1" applyAlignment="1">
      <alignment horizontal="center" vertical="center"/>
    </xf>
    <xf numFmtId="0" fontId="23" fillId="0" borderId="121" xfId="0" applyFont="1" applyBorder="1" applyAlignment="1">
      <alignment horizontal="center" vertical="center"/>
    </xf>
    <xf numFmtId="0" fontId="23" fillId="0" borderId="125" xfId="0" applyFont="1" applyBorder="1" applyAlignment="1">
      <alignment horizontal="center" vertical="center"/>
    </xf>
    <xf numFmtId="0" fontId="23" fillId="0" borderId="127" xfId="0" applyFont="1" applyBorder="1" applyAlignment="1">
      <alignment horizontal="center" vertical="center"/>
    </xf>
    <xf numFmtId="2" fontId="23" fillId="0" borderId="128" xfId="0" applyNumberFormat="1" applyFont="1" applyBorder="1" applyAlignment="1">
      <alignment horizontal="center" vertical="center"/>
    </xf>
    <xf numFmtId="2" fontId="23" fillId="0" borderId="129" xfId="0" applyNumberFormat="1" applyFont="1" applyBorder="1" applyAlignment="1">
      <alignment horizontal="center" vertical="center"/>
    </xf>
    <xf numFmtId="2" fontId="23" fillId="0" borderId="130" xfId="0" applyNumberFormat="1" applyFont="1" applyBorder="1" applyAlignment="1">
      <alignment horizontal="center" vertical="center"/>
    </xf>
    <xf numFmtId="2" fontId="23" fillId="0" borderId="131" xfId="0" applyNumberFormat="1" applyFont="1" applyBorder="1" applyAlignment="1">
      <alignment horizontal="center" vertical="center"/>
    </xf>
    <xf numFmtId="1" fontId="23" fillId="0" borderId="89" xfId="0" applyNumberFormat="1" applyFont="1" applyBorder="1" applyAlignment="1">
      <alignment horizontal="center" vertical="center"/>
    </xf>
    <xf numFmtId="1" fontId="23" fillId="0" borderId="104" xfId="0" applyNumberFormat="1" applyFont="1" applyBorder="1" applyAlignment="1">
      <alignment horizontal="center" vertical="center"/>
    </xf>
    <xf numFmtId="1" fontId="23" fillId="0" borderId="91" xfId="0" applyNumberFormat="1" applyFont="1" applyBorder="1" applyAlignment="1">
      <alignment horizontal="center" vertical="center"/>
    </xf>
    <xf numFmtId="1" fontId="23" fillId="0" borderId="114" xfId="0" applyNumberFormat="1" applyFont="1" applyBorder="1" applyAlignment="1">
      <alignment horizontal="center" vertical="center"/>
    </xf>
    <xf numFmtId="0" fontId="23" fillId="0" borderId="132" xfId="0" applyFont="1" applyBorder="1" applyAlignment="1">
      <alignment horizontal="center" vertical="center"/>
    </xf>
    <xf numFmtId="0" fontId="23" fillId="0" borderId="133" xfId="0" applyFont="1" applyBorder="1" applyAlignment="1">
      <alignment horizontal="center" vertical="center"/>
    </xf>
    <xf numFmtId="0" fontId="23" fillId="0" borderId="134" xfId="0" applyFont="1" applyBorder="1" applyAlignment="1">
      <alignment horizontal="center" vertical="center"/>
    </xf>
    <xf numFmtId="1" fontId="23" fillId="0" borderId="101" xfId="0" applyNumberFormat="1" applyFont="1" applyBorder="1" applyAlignment="1">
      <alignment horizontal="center" vertical="center"/>
    </xf>
    <xf numFmtId="1" fontId="23" fillId="0" borderId="102" xfId="0" applyNumberFormat="1" applyFont="1" applyBorder="1" applyAlignment="1">
      <alignment horizontal="center" vertical="center"/>
    </xf>
    <xf numFmtId="1" fontId="23" fillId="0" borderId="106" xfId="0" applyNumberFormat="1" applyFont="1" applyBorder="1" applyAlignment="1">
      <alignment horizontal="center" vertical="center"/>
    </xf>
    <xf numFmtId="1" fontId="23" fillId="0" borderId="107" xfId="0" applyNumberFormat="1" applyFont="1" applyBorder="1" applyAlignment="1">
      <alignment horizontal="center" vertical="center"/>
    </xf>
    <xf numFmtId="1" fontId="23" fillId="0" borderId="123" xfId="0" applyNumberFormat="1" applyFont="1" applyBorder="1" applyAlignment="1">
      <alignment horizontal="center" vertical="center"/>
    </xf>
    <xf numFmtId="1" fontId="23" fillId="0" borderId="135" xfId="0" applyNumberFormat="1" applyFont="1" applyBorder="1" applyAlignment="1">
      <alignment horizontal="center" vertical="center"/>
    </xf>
    <xf numFmtId="1" fontId="23" fillId="0" borderId="13" xfId="0" applyNumberFormat="1" applyFont="1" applyBorder="1" applyAlignment="1">
      <alignment horizontal="center" vertical="center"/>
    </xf>
    <xf numFmtId="1" fontId="23" fillId="0" borderId="131" xfId="0" applyNumberFormat="1" applyFont="1" applyBorder="1" applyAlignment="1">
      <alignment horizontal="center" vertical="center"/>
    </xf>
    <xf numFmtId="2" fontId="23" fillId="0" borderId="58" xfId="0" applyNumberFormat="1" applyFont="1" applyBorder="1" applyAlignment="1">
      <alignment horizontal="center" vertical="center"/>
    </xf>
    <xf numFmtId="2" fontId="23" fillId="0" borderId="120" xfId="0" applyNumberFormat="1" applyFont="1" applyBorder="1" applyAlignment="1">
      <alignment horizontal="center" vertical="center"/>
    </xf>
    <xf numFmtId="2" fontId="23" fillId="0" borderId="99" xfId="0" applyNumberFormat="1" applyFont="1" applyBorder="1" applyAlignment="1">
      <alignment horizontal="center" vertical="center"/>
    </xf>
    <xf numFmtId="2" fontId="23" fillId="0" borderId="122" xfId="0" applyNumberFormat="1" applyFont="1" applyBorder="1" applyAlignment="1">
      <alignment horizontal="center" vertical="center"/>
    </xf>
    <xf numFmtId="2" fontId="23" fillId="0" borderId="59" xfId="0" applyNumberFormat="1" applyFont="1" applyBorder="1" applyAlignment="1">
      <alignment horizontal="center" vertical="center"/>
    </xf>
    <xf numFmtId="2" fontId="23" fillId="0" borderId="126" xfId="0" applyNumberFormat="1" applyFont="1" applyBorder="1" applyAlignment="1">
      <alignment horizontal="center" vertical="center"/>
    </xf>
    <xf numFmtId="2" fontId="23" fillId="0" borderId="123" xfId="0" applyNumberFormat="1" applyFont="1" applyBorder="1" applyAlignment="1">
      <alignment horizontal="center" vertical="center"/>
    </xf>
    <xf numFmtId="2" fontId="23" fillId="0" borderId="13" xfId="0" applyNumberFormat="1" applyFont="1" applyBorder="1" applyAlignment="1">
      <alignment horizontal="center" vertical="center"/>
    </xf>
    <xf numFmtId="0" fontId="23" fillId="0" borderId="136" xfId="0" applyFont="1" applyBorder="1" applyAlignment="1">
      <alignment horizontal="center" vertical="center"/>
    </xf>
    <xf numFmtId="1" fontId="23" fillId="0" borderId="109" xfId="0" applyNumberFormat="1" applyFont="1" applyBorder="1" applyAlignment="1">
      <alignment horizontal="center" vertical="center"/>
    </xf>
    <xf numFmtId="1" fontId="23" fillId="0" borderId="110" xfId="0" applyNumberFormat="1" applyFont="1" applyBorder="1" applyAlignment="1">
      <alignment horizontal="center" vertical="center"/>
    </xf>
    <xf numFmtId="1" fontId="23" fillId="6" borderId="0" xfId="0" applyNumberFormat="1" applyFont="1" applyFill="1" applyAlignment="1">
      <alignment horizontal="center" vertical="center"/>
    </xf>
    <xf numFmtId="0" fontId="7" fillId="0" borderId="89" xfId="0" applyFont="1" applyBorder="1" applyAlignment="1">
      <alignment vertical="center" wrapText="1"/>
    </xf>
    <xf numFmtId="0" fontId="7" fillId="0" borderId="137" xfId="0" applyFont="1" applyBorder="1" applyAlignment="1">
      <alignment horizontal="center" vertical="center" wrapText="1"/>
    </xf>
    <xf numFmtId="0" fontId="9" fillId="0" borderId="0" xfId="5" applyAlignment="1">
      <alignment vertical="center"/>
    </xf>
    <xf numFmtId="0" fontId="7" fillId="0" borderId="138" xfId="0" applyFont="1" applyBorder="1" applyAlignment="1">
      <alignment horizontal="left" vertical="center"/>
    </xf>
    <xf numFmtId="0" fontId="23" fillId="0" borderId="142" xfId="0" applyFont="1" applyBorder="1" applyAlignment="1">
      <alignment horizontal="center" vertical="center"/>
    </xf>
    <xf numFmtId="2" fontId="23" fillId="0" borderId="140" xfId="0" applyNumberFormat="1" applyFont="1" applyBorder="1" applyAlignment="1">
      <alignment horizontal="center" vertical="center"/>
    </xf>
    <xf numFmtId="2" fontId="23" fillId="0" borderId="143" xfId="0" applyNumberFormat="1" applyFont="1" applyBorder="1" applyAlignment="1">
      <alignment horizontal="center" vertical="center"/>
    </xf>
    <xf numFmtId="2" fontId="23" fillId="0" borderId="145" xfId="0" applyNumberFormat="1" applyFont="1" applyBorder="1" applyAlignment="1">
      <alignment horizontal="center" vertical="center"/>
    </xf>
    <xf numFmtId="0" fontId="23" fillId="0" borderId="149" xfId="0" applyFont="1" applyBorder="1" applyAlignment="1">
      <alignment horizontal="center" vertical="center"/>
    </xf>
    <xf numFmtId="2" fontId="23" fillId="0" borderId="147" xfId="0" applyNumberFormat="1" applyFont="1" applyBorder="1" applyAlignment="1">
      <alignment horizontal="center" vertical="center"/>
    </xf>
    <xf numFmtId="2" fontId="23" fillId="0" borderId="150" xfId="0" applyNumberFormat="1" applyFont="1" applyBorder="1" applyAlignment="1">
      <alignment horizontal="center" vertical="center"/>
    </xf>
    <xf numFmtId="0" fontId="23" fillId="0" borderId="153" xfId="0" applyFont="1" applyBorder="1" applyAlignment="1">
      <alignment horizontal="center" vertical="center"/>
    </xf>
    <xf numFmtId="0" fontId="23" fillId="0" borderId="154" xfId="0" applyFont="1" applyBorder="1" applyAlignment="1">
      <alignment horizontal="center" vertical="center"/>
    </xf>
    <xf numFmtId="0" fontId="23" fillId="0" borderId="156" xfId="0" applyFont="1" applyBorder="1" applyAlignment="1">
      <alignment horizontal="center" vertical="center"/>
    </xf>
    <xf numFmtId="0" fontId="23" fillId="0" borderId="143" xfId="0" applyFont="1" applyBorder="1" applyAlignment="1">
      <alignment horizontal="center" vertical="center"/>
    </xf>
    <xf numFmtId="0" fontId="23" fillId="0" borderId="155" xfId="0" applyFont="1" applyBorder="1" applyAlignment="1">
      <alignment horizontal="center" vertical="center"/>
    </xf>
    <xf numFmtId="0" fontId="23" fillId="0" borderId="158" xfId="0" applyFont="1" applyBorder="1" applyAlignment="1">
      <alignment horizontal="center" vertical="center"/>
    </xf>
    <xf numFmtId="0" fontId="23" fillId="0" borderId="159" xfId="0" applyFont="1" applyBorder="1" applyAlignment="1">
      <alignment horizontal="center" vertical="center"/>
    </xf>
    <xf numFmtId="0" fontId="23" fillId="0" borderId="160" xfId="0" applyFont="1" applyBorder="1" applyAlignment="1">
      <alignment horizontal="center" vertical="center"/>
    </xf>
    <xf numFmtId="0" fontId="23" fillId="0" borderId="161" xfId="0" applyFont="1" applyBorder="1" applyAlignment="1">
      <alignment horizontal="center" vertical="center"/>
    </xf>
    <xf numFmtId="0" fontId="2" fillId="0" borderId="13" xfId="0" applyFont="1" applyBorder="1" applyAlignment="1">
      <alignment horizontal="center" vertical="center"/>
    </xf>
    <xf numFmtId="0" fontId="3" fillId="6" borderId="82" xfId="5" applyFont="1" applyFill="1" applyBorder="1" applyAlignment="1">
      <alignment horizontal="center" vertical="center" wrapText="1"/>
    </xf>
    <xf numFmtId="0" fontId="2" fillId="0" borderId="1" xfId="0" applyFont="1" applyBorder="1" applyAlignment="1">
      <alignment horizontal="center" vertical="center"/>
    </xf>
    <xf numFmtId="0" fontId="2" fillId="0" borderId="30" xfId="0" applyFont="1" applyBorder="1" applyAlignment="1">
      <alignment horizontal="center" vertical="center"/>
    </xf>
    <xf numFmtId="0" fontId="23" fillId="0" borderId="0" xfId="0" applyFont="1" applyAlignment="1">
      <alignment horizontal="left" vertical="center" wrapText="1"/>
    </xf>
    <xf numFmtId="0" fontId="0" fillId="0" borderId="0" xfId="0" applyAlignment="1">
      <alignment horizontal="right"/>
    </xf>
    <xf numFmtId="2" fontId="0" fillId="0" borderId="0" xfId="0" applyNumberFormat="1" applyAlignment="1">
      <alignment horizontal="center" vertical="center"/>
    </xf>
    <xf numFmtId="1" fontId="0" fillId="0" borderId="0" xfId="0" applyNumberFormat="1" applyAlignment="1">
      <alignment horizontal="center"/>
    </xf>
    <xf numFmtId="2" fontId="23" fillId="0" borderId="166" xfId="0" applyNumberFormat="1" applyFont="1" applyBorder="1" applyAlignment="1">
      <alignment horizontal="center" vertical="center"/>
    </xf>
    <xf numFmtId="2" fontId="23" fillId="0" borderId="167" xfId="0" applyNumberFormat="1" applyFont="1" applyBorder="1" applyAlignment="1">
      <alignment horizontal="center" vertical="center"/>
    </xf>
    <xf numFmtId="2" fontId="23" fillId="0" borderId="169" xfId="0" applyNumberFormat="1" applyFont="1" applyBorder="1" applyAlignment="1">
      <alignment horizontal="center" vertical="center"/>
    </xf>
    <xf numFmtId="2" fontId="23" fillId="0" borderId="171" xfId="0" applyNumberFormat="1" applyFont="1" applyBorder="1" applyAlignment="1">
      <alignment horizontal="center" vertical="center"/>
    </xf>
    <xf numFmtId="2" fontId="23" fillId="0" borderId="172" xfId="0" applyNumberFormat="1" applyFont="1" applyBorder="1" applyAlignment="1">
      <alignment horizontal="center" vertical="center"/>
    </xf>
    <xf numFmtId="2" fontId="56" fillId="0" borderId="36" xfId="0" applyNumberFormat="1" applyFont="1" applyBorder="1" applyAlignment="1">
      <alignment horizontal="center" vertical="center"/>
    </xf>
    <xf numFmtId="2" fontId="56" fillId="0" borderId="34" xfId="0" applyNumberFormat="1" applyFont="1" applyBorder="1" applyAlignment="1">
      <alignment horizontal="center" vertical="center"/>
    </xf>
    <xf numFmtId="2" fontId="56" fillId="0" borderId="35" xfId="0" applyNumberFormat="1" applyFont="1" applyBorder="1" applyAlignment="1">
      <alignment horizontal="center" vertical="center"/>
    </xf>
    <xf numFmtId="0" fontId="23" fillId="0" borderId="165" xfId="0" applyFont="1" applyBorder="1" applyAlignment="1">
      <alignment horizontal="center" vertical="center"/>
    </xf>
    <xf numFmtId="2" fontId="48" fillId="0" borderId="166" xfId="0" applyNumberFormat="1" applyFont="1" applyBorder="1" applyAlignment="1">
      <alignment horizontal="center" vertical="center"/>
    </xf>
    <xf numFmtId="0" fontId="23" fillId="0" borderId="168" xfId="0" applyFont="1" applyBorder="1" applyAlignment="1">
      <alignment horizontal="center" vertical="center"/>
    </xf>
    <xf numFmtId="2" fontId="48" fillId="0" borderId="34" xfId="0" applyNumberFormat="1" applyFont="1" applyBorder="1" applyAlignment="1">
      <alignment horizontal="center" vertical="center"/>
    </xf>
    <xf numFmtId="0" fontId="23" fillId="0" borderId="170" xfId="0" applyFont="1" applyBorder="1" applyAlignment="1">
      <alignment horizontal="center" vertical="center"/>
    </xf>
    <xf numFmtId="2" fontId="48" fillId="0" borderId="171" xfId="0" applyNumberFormat="1" applyFont="1" applyBorder="1" applyAlignment="1">
      <alignment horizontal="center" vertical="center"/>
    </xf>
    <xf numFmtId="2" fontId="56" fillId="0" borderId="166" xfId="0" applyNumberFormat="1" applyFont="1" applyBorder="1" applyAlignment="1">
      <alignment horizontal="center" vertical="center"/>
    </xf>
    <xf numFmtId="2" fontId="56" fillId="0" borderId="173" xfId="0" applyNumberFormat="1" applyFont="1" applyBorder="1" applyAlignment="1">
      <alignment horizontal="center" vertical="center"/>
    </xf>
    <xf numFmtId="2" fontId="56" fillId="0" borderId="171" xfId="0" applyNumberFormat="1" applyFont="1" applyBorder="1" applyAlignment="1">
      <alignment horizontal="center" vertical="center"/>
    </xf>
    <xf numFmtId="2" fontId="56" fillId="0" borderId="174" xfId="0" applyNumberFormat="1" applyFont="1" applyBorder="1" applyAlignment="1">
      <alignment horizontal="center" vertical="center"/>
    </xf>
    <xf numFmtId="2" fontId="23" fillId="0" borderId="174" xfId="0" applyNumberFormat="1" applyFont="1" applyBorder="1" applyAlignment="1">
      <alignment horizontal="center" vertical="center"/>
    </xf>
    <xf numFmtId="2" fontId="56" fillId="0" borderId="1" xfId="0" applyNumberFormat="1" applyFont="1" applyBorder="1" applyAlignment="1">
      <alignment horizontal="center" vertical="center"/>
    </xf>
    <xf numFmtId="2" fontId="56" fillId="0" borderId="2" xfId="0" applyNumberFormat="1" applyFont="1" applyBorder="1" applyAlignment="1">
      <alignment horizontal="center" vertical="center"/>
    </xf>
    <xf numFmtId="0" fontId="23" fillId="0" borderId="15" xfId="0" applyFont="1" applyBorder="1" applyAlignment="1">
      <alignment horizontal="center" vertical="center"/>
    </xf>
    <xf numFmtId="2" fontId="56" fillId="0" borderId="12" xfId="0" applyNumberFormat="1" applyFont="1" applyBorder="1" applyAlignment="1">
      <alignment horizontal="center" vertical="center"/>
    </xf>
    <xf numFmtId="2" fontId="23" fillId="0" borderId="40" xfId="0" applyNumberFormat="1" applyFont="1" applyBorder="1" applyAlignment="1">
      <alignment horizontal="center" vertical="center"/>
    </xf>
    <xf numFmtId="2" fontId="46" fillId="0" borderId="42" xfId="0" applyNumberFormat="1" applyFont="1" applyBorder="1" applyAlignment="1">
      <alignment horizontal="center" vertical="center"/>
    </xf>
    <xf numFmtId="2" fontId="56" fillId="0" borderId="42" xfId="0" applyNumberFormat="1" applyFont="1" applyBorder="1" applyAlignment="1">
      <alignment horizontal="center" vertical="center"/>
    </xf>
    <xf numFmtId="2" fontId="46" fillId="0" borderId="43" xfId="0" applyNumberFormat="1" applyFont="1" applyBorder="1" applyAlignment="1">
      <alignment horizontal="center" vertical="center"/>
    </xf>
    <xf numFmtId="2" fontId="46" fillId="0" borderId="34" xfId="0" applyNumberFormat="1" applyFont="1" applyBorder="1" applyAlignment="1">
      <alignment horizontal="center" vertical="center"/>
    </xf>
    <xf numFmtId="2" fontId="46" fillId="0" borderId="45" xfId="0" applyNumberFormat="1" applyFont="1" applyBorder="1" applyAlignment="1">
      <alignment horizontal="center" vertical="center"/>
    </xf>
    <xf numFmtId="2" fontId="46" fillId="0" borderId="51" xfId="0" applyNumberFormat="1" applyFont="1" applyBorder="1" applyAlignment="1">
      <alignment horizontal="center" vertical="center"/>
    </xf>
    <xf numFmtId="2" fontId="56" fillId="0" borderId="51" xfId="0" applyNumberFormat="1" applyFont="1" applyBorder="1" applyAlignment="1">
      <alignment horizontal="center" vertical="center"/>
    </xf>
    <xf numFmtId="2" fontId="46" fillId="0" borderId="52" xfId="0" applyNumberFormat="1" applyFont="1" applyBorder="1" applyAlignment="1">
      <alignment horizontal="center" vertical="center"/>
    </xf>
    <xf numFmtId="0" fontId="23" fillId="0" borderId="21" xfId="0" applyFont="1" applyBorder="1" applyAlignment="1">
      <alignment horizontal="center" vertical="center"/>
    </xf>
    <xf numFmtId="2" fontId="23" fillId="0" borderId="18" xfId="0" applyNumberFormat="1" applyFont="1" applyBorder="1" applyAlignment="1">
      <alignment horizontal="center" vertical="center"/>
    </xf>
    <xf numFmtId="2" fontId="56" fillId="0" borderId="18" xfId="0" applyNumberFormat="1" applyFont="1" applyBorder="1" applyAlignment="1">
      <alignment horizontal="center" vertical="center"/>
    </xf>
    <xf numFmtId="2" fontId="23" fillId="0" borderId="176" xfId="0" applyNumberFormat="1" applyFont="1" applyBorder="1" applyAlignment="1">
      <alignment horizontal="center" vertical="center"/>
    </xf>
    <xf numFmtId="2" fontId="56" fillId="0" borderId="30" xfId="0" applyNumberFormat="1" applyFont="1" applyBorder="1" applyAlignment="1">
      <alignment horizontal="center" vertical="center"/>
    </xf>
    <xf numFmtId="2" fontId="23" fillId="0" borderId="177" xfId="0" applyNumberFormat="1" applyFont="1" applyBorder="1" applyAlignment="1">
      <alignment horizontal="center" vertical="center"/>
    </xf>
    <xf numFmtId="2" fontId="23" fillId="0" borderId="54" xfId="0" applyNumberFormat="1" applyFont="1" applyBorder="1" applyAlignment="1">
      <alignment horizontal="center" vertical="center"/>
    </xf>
    <xf numFmtId="2" fontId="23" fillId="0" borderId="178" xfId="0" applyNumberFormat="1" applyFont="1" applyBorder="1" applyAlignment="1">
      <alignment horizontal="center" vertical="center"/>
    </xf>
    <xf numFmtId="0" fontId="23" fillId="0" borderId="177" xfId="0" applyFont="1" applyBorder="1" applyAlignment="1">
      <alignment horizontal="center" vertical="center"/>
    </xf>
    <xf numFmtId="0" fontId="23" fillId="0" borderId="178" xfId="0" applyFont="1" applyBorder="1" applyAlignment="1">
      <alignment horizontal="center" vertical="center"/>
    </xf>
    <xf numFmtId="0" fontId="7" fillId="7" borderId="2" xfId="0" applyFont="1" applyFill="1" applyBorder="1" applyAlignment="1">
      <alignment horizontal="center" vertical="center"/>
    </xf>
    <xf numFmtId="1" fontId="7" fillId="0" borderId="95" xfId="0" applyNumberFormat="1" applyFont="1" applyBorder="1" applyAlignment="1">
      <alignment horizontal="left" vertical="center"/>
    </xf>
    <xf numFmtId="1" fontId="7" fillId="0" borderId="2" xfId="0" applyNumberFormat="1" applyFont="1" applyBorder="1" applyAlignment="1">
      <alignment horizontal="left" vertical="center"/>
    </xf>
    <xf numFmtId="9" fontId="7" fillId="0" borderId="0" xfId="2" applyFont="1" applyBorder="1" applyAlignment="1">
      <alignment horizontal="center" vertical="center"/>
    </xf>
    <xf numFmtId="0" fontId="23" fillId="0" borderId="0" xfId="0" applyFont="1" applyAlignment="1">
      <alignment horizontal="center" vertical="center" wrapText="1"/>
    </xf>
    <xf numFmtId="1" fontId="46" fillId="0" borderId="101" xfId="0" applyNumberFormat="1" applyFont="1" applyBorder="1" applyAlignment="1">
      <alignment horizontal="center" vertical="center"/>
    </xf>
    <xf numFmtId="1" fontId="46" fillId="0" borderId="102" xfId="0" applyNumberFormat="1" applyFont="1" applyBorder="1" applyAlignment="1">
      <alignment horizontal="center" vertical="center"/>
    </xf>
    <xf numFmtId="1" fontId="46" fillId="0" borderId="89" xfId="0" applyNumberFormat="1" applyFont="1" applyBorder="1" applyAlignment="1">
      <alignment horizontal="center" vertical="center"/>
    </xf>
    <xf numFmtId="1" fontId="46" fillId="0" borderId="104" xfId="0" applyNumberFormat="1" applyFont="1" applyBorder="1" applyAlignment="1">
      <alignment horizontal="center" vertical="center"/>
    </xf>
    <xf numFmtId="1" fontId="46" fillId="0" borderId="106" xfId="0" applyNumberFormat="1" applyFont="1" applyBorder="1" applyAlignment="1">
      <alignment horizontal="center" vertical="center"/>
    </xf>
    <xf numFmtId="1" fontId="46" fillId="0" borderId="107" xfId="0" applyNumberFormat="1" applyFont="1" applyBorder="1" applyAlignment="1">
      <alignment horizontal="center" vertical="center"/>
    </xf>
    <xf numFmtId="0" fontId="57" fillId="0" borderId="0" xfId="0" applyFont="1"/>
    <xf numFmtId="0" fontId="7" fillId="7" borderId="2" xfId="0" applyFont="1" applyFill="1" applyBorder="1" applyAlignment="1">
      <alignment horizontal="center" vertical="center" wrapText="1"/>
    </xf>
    <xf numFmtId="0" fontId="0" fillId="5" borderId="2" xfId="0" applyFill="1" applyBorder="1" applyAlignment="1">
      <alignment horizontal="center"/>
    </xf>
    <xf numFmtId="169" fontId="0" fillId="0" borderId="2" xfId="6" applyNumberFormat="1" applyFont="1" applyBorder="1"/>
    <xf numFmtId="43" fontId="0" fillId="0" borderId="2" xfId="0" applyNumberFormat="1" applyBorder="1" applyAlignment="1">
      <alignment horizontal="center"/>
    </xf>
    <xf numFmtId="165" fontId="0" fillId="0" borderId="0" xfId="0" applyNumberFormat="1" applyAlignment="1">
      <alignment horizontal="center" vertical="center"/>
    </xf>
    <xf numFmtId="171" fontId="0" fillId="0" borderId="0" xfId="6" applyNumberFormat="1" applyFont="1" applyAlignment="1">
      <alignment horizontal="center" vertical="center"/>
    </xf>
    <xf numFmtId="165" fontId="7" fillId="0" borderId="89" xfId="0" applyNumberFormat="1" applyFont="1" applyBorder="1" applyAlignment="1">
      <alignment horizontal="center" vertical="center" wrapText="1"/>
    </xf>
    <xf numFmtId="0" fontId="12" fillId="0" borderId="89" xfId="0" applyFont="1" applyBorder="1" applyAlignment="1">
      <alignment vertical="center" wrapText="1"/>
    </xf>
    <xf numFmtId="1" fontId="23" fillId="0" borderId="203" xfId="0" applyNumberFormat="1" applyFont="1" applyBorder="1" applyAlignment="1">
      <alignment horizontal="center" vertical="center"/>
    </xf>
    <xf numFmtId="1" fontId="23" fillId="0" borderId="195" xfId="0" applyNumberFormat="1" applyFont="1" applyBorder="1" applyAlignment="1">
      <alignment horizontal="center" vertical="center"/>
    </xf>
    <xf numFmtId="1" fontId="23" fillId="0" borderId="162" xfId="0" applyNumberFormat="1" applyFont="1" applyBorder="1" applyAlignment="1">
      <alignment horizontal="center" vertical="center"/>
    </xf>
    <xf numFmtId="1" fontId="23" fillId="0" borderId="204" xfId="0" applyNumberFormat="1" applyFont="1" applyBorder="1" applyAlignment="1">
      <alignment horizontal="center" vertical="center"/>
    </xf>
    <xf numFmtId="1" fontId="23" fillId="0" borderId="40" xfId="0" applyNumberFormat="1" applyFont="1" applyBorder="1" applyAlignment="1">
      <alignment horizontal="center" vertical="center"/>
    </xf>
    <xf numFmtId="1" fontId="23" fillId="0" borderId="205" xfId="0" applyNumberFormat="1" applyFont="1" applyBorder="1" applyAlignment="1">
      <alignment horizontal="center" vertical="center"/>
    </xf>
    <xf numFmtId="1" fontId="23" fillId="0" borderId="206" xfId="0" applyNumberFormat="1" applyFont="1" applyBorder="1" applyAlignment="1">
      <alignment horizontal="center" vertical="center"/>
    </xf>
    <xf numFmtId="1" fontId="23" fillId="0" borderId="202" xfId="0" applyNumberFormat="1" applyFont="1" applyBorder="1" applyAlignment="1">
      <alignment horizontal="center" vertical="center"/>
    </xf>
    <xf numFmtId="1" fontId="23" fillId="0" borderId="207" xfId="0" applyNumberFormat="1" applyFont="1" applyBorder="1" applyAlignment="1">
      <alignment horizontal="center" vertical="center"/>
    </xf>
    <xf numFmtId="1" fontId="23" fillId="0" borderId="145" xfId="0" applyNumberFormat="1" applyFont="1" applyBorder="1" applyAlignment="1">
      <alignment horizontal="center" vertical="center"/>
    </xf>
    <xf numFmtId="1" fontId="23" fillId="0" borderId="208" xfId="0" applyNumberFormat="1" applyFont="1" applyBorder="1" applyAlignment="1">
      <alignment horizontal="center" vertical="center"/>
    </xf>
    <xf numFmtId="1" fontId="23" fillId="0" borderId="147" xfId="0" applyNumberFormat="1" applyFont="1" applyBorder="1" applyAlignment="1">
      <alignment horizontal="center" vertical="center"/>
    </xf>
    <xf numFmtId="1" fontId="23" fillId="0" borderId="150" xfId="0" applyNumberFormat="1" applyFont="1" applyBorder="1" applyAlignment="1">
      <alignment horizontal="center" vertical="center"/>
    </xf>
    <xf numFmtId="1" fontId="23" fillId="0" borderId="0" xfId="0" applyNumberFormat="1" applyFont="1" applyAlignment="1">
      <alignment horizontal="center" vertical="center"/>
    </xf>
    <xf numFmtId="0" fontId="55" fillId="0" borderId="0" xfId="0" applyFont="1" applyAlignment="1">
      <alignment horizontal="center" vertical="center"/>
    </xf>
    <xf numFmtId="0" fontId="46" fillId="0" borderId="111" xfId="0" applyFont="1" applyBorder="1" applyAlignment="1">
      <alignment horizontal="center" vertical="center"/>
    </xf>
    <xf numFmtId="0" fontId="46" fillId="0" borderId="94" xfId="0" applyFont="1" applyBorder="1" applyAlignment="1">
      <alignment horizontal="center" vertical="center"/>
    </xf>
    <xf numFmtId="0" fontId="46" fillId="0" borderId="112" xfId="0" applyFont="1" applyBorder="1" applyAlignment="1">
      <alignment horizontal="center" vertical="center"/>
    </xf>
    <xf numFmtId="0" fontId="46" fillId="0" borderId="0" xfId="0" applyFont="1" applyAlignment="1">
      <alignment horizontal="center" vertical="center"/>
    </xf>
    <xf numFmtId="2" fontId="48" fillId="0" borderId="12" xfId="0" applyNumberFormat="1" applyFont="1" applyBorder="1" applyAlignment="1">
      <alignment horizontal="center" vertical="center"/>
    </xf>
    <xf numFmtId="2" fontId="48" fillId="0" borderId="2" xfId="0" applyNumberFormat="1" applyFont="1" applyBorder="1" applyAlignment="1">
      <alignment horizontal="center" vertical="center"/>
    </xf>
    <xf numFmtId="2" fontId="48" fillId="0" borderId="42" xfId="0" applyNumberFormat="1" applyFont="1" applyBorder="1" applyAlignment="1">
      <alignment horizontal="center" vertical="center"/>
    </xf>
    <xf numFmtId="2" fontId="48" fillId="0" borderId="43" xfId="0" applyNumberFormat="1" applyFont="1" applyBorder="1" applyAlignment="1">
      <alignment horizontal="center" vertical="center"/>
    </xf>
    <xf numFmtId="2" fontId="48" fillId="0" borderId="45" xfId="0" applyNumberFormat="1" applyFont="1" applyBorder="1" applyAlignment="1">
      <alignment horizontal="center" vertical="center"/>
    </xf>
    <xf numFmtId="2" fontId="48" fillId="0" borderId="51" xfId="0" applyNumberFormat="1" applyFont="1" applyBorder="1" applyAlignment="1">
      <alignment horizontal="center" vertical="center"/>
    </xf>
    <xf numFmtId="2" fontId="48" fillId="0" borderId="52" xfId="0" applyNumberFormat="1" applyFont="1" applyBorder="1" applyAlignment="1">
      <alignment horizontal="center" vertical="center"/>
    </xf>
    <xf numFmtId="1" fontId="23" fillId="0" borderId="140" xfId="0" applyNumberFormat="1" applyFont="1" applyBorder="1" applyAlignment="1">
      <alignment horizontal="center" vertical="center"/>
    </xf>
    <xf numFmtId="1" fontId="23" fillId="0" borderId="143" xfId="0" applyNumberFormat="1" applyFont="1" applyBorder="1" applyAlignment="1">
      <alignment horizontal="center" vertical="center"/>
    </xf>
    <xf numFmtId="1" fontId="23" fillId="0" borderId="155" xfId="0" applyNumberFormat="1" applyFont="1" applyBorder="1" applyAlignment="1">
      <alignment horizontal="center" vertical="center"/>
    </xf>
    <xf numFmtId="0" fontId="23" fillId="0" borderId="197" xfId="0" applyFont="1" applyBorder="1" applyAlignment="1">
      <alignment horizontal="center" vertical="center"/>
    </xf>
    <xf numFmtId="0" fontId="23" fillId="0" borderId="198" xfId="0" applyFont="1" applyBorder="1" applyAlignment="1">
      <alignment horizontal="center" vertical="center"/>
    </xf>
    <xf numFmtId="0" fontId="23" fillId="0" borderId="199" xfId="0" applyFont="1" applyBorder="1" applyAlignment="1">
      <alignment horizontal="center" vertical="center"/>
    </xf>
    <xf numFmtId="0" fontId="23" fillId="0" borderId="220" xfId="0" applyFont="1" applyBorder="1" applyAlignment="1">
      <alignment horizontal="center" vertical="center"/>
    </xf>
    <xf numFmtId="2" fontId="46" fillId="0" borderId="89" xfId="0" applyNumberFormat="1" applyFont="1" applyBorder="1" applyAlignment="1">
      <alignment horizontal="center" vertical="center"/>
    </xf>
    <xf numFmtId="0" fontId="46" fillId="0" borderId="0" xfId="0" applyFont="1" applyAlignment="1">
      <alignment horizontal="center" vertical="center" wrapText="1"/>
    </xf>
    <xf numFmtId="2" fontId="46" fillId="0" borderId="0" xfId="0" applyNumberFormat="1" applyFont="1" applyAlignment="1">
      <alignment horizontal="center" vertical="center"/>
    </xf>
    <xf numFmtId="0" fontId="58" fillId="0" borderId="0" xfId="0" applyFont="1" applyAlignment="1">
      <alignment vertical="center"/>
    </xf>
    <xf numFmtId="2" fontId="55" fillId="0" borderId="140" xfId="0" applyNumberFormat="1" applyFont="1" applyBorder="1" applyAlignment="1">
      <alignment horizontal="center" vertical="center"/>
    </xf>
    <xf numFmtId="2" fontId="55" fillId="0" borderId="143" xfId="0" applyNumberFormat="1" applyFont="1" applyBorder="1" applyAlignment="1">
      <alignment horizontal="center" vertical="center"/>
    </xf>
    <xf numFmtId="2" fontId="55" fillId="0" borderId="145" xfId="0" applyNumberFormat="1" applyFont="1" applyBorder="1" applyAlignment="1">
      <alignment horizontal="center" vertical="center"/>
    </xf>
    <xf numFmtId="2" fontId="55" fillId="0" borderId="147" xfId="0" applyNumberFormat="1" applyFont="1" applyBorder="1" applyAlignment="1">
      <alignment horizontal="center" vertical="center"/>
    </xf>
    <xf numFmtId="2" fontId="55" fillId="0" borderId="150" xfId="0" applyNumberFormat="1" applyFont="1" applyBorder="1" applyAlignment="1">
      <alignment horizontal="center" vertical="center"/>
    </xf>
    <xf numFmtId="0" fontId="46" fillId="0" borderId="142" xfId="0" applyFont="1" applyBorder="1" applyAlignment="1">
      <alignment horizontal="center" vertical="center"/>
    </xf>
    <xf numFmtId="2" fontId="46" fillId="0" borderId="140" xfId="0" applyNumberFormat="1" applyFont="1" applyBorder="1" applyAlignment="1">
      <alignment horizontal="center" vertical="center"/>
    </xf>
    <xf numFmtId="2" fontId="46" fillId="0" borderId="143" xfId="0" applyNumberFormat="1" applyFont="1" applyBorder="1" applyAlignment="1">
      <alignment horizontal="center" vertical="center"/>
    </xf>
    <xf numFmtId="2" fontId="46" fillId="0" borderId="145" xfId="0" applyNumberFormat="1" applyFont="1" applyBorder="1" applyAlignment="1">
      <alignment horizontal="center" vertical="center"/>
    </xf>
    <xf numFmtId="0" fontId="46" fillId="0" borderId="149" xfId="0" applyFont="1" applyBorder="1" applyAlignment="1">
      <alignment horizontal="center" vertical="center"/>
    </xf>
    <xf numFmtId="2" fontId="46" fillId="0" borderId="147" xfId="0" applyNumberFormat="1" applyFont="1" applyBorder="1" applyAlignment="1">
      <alignment horizontal="center" vertical="center"/>
    </xf>
    <xf numFmtId="2" fontId="46" fillId="0" borderId="150" xfId="0" applyNumberFormat="1" applyFont="1" applyBorder="1" applyAlignment="1">
      <alignment horizontal="center" vertical="center"/>
    </xf>
    <xf numFmtId="0" fontId="23" fillId="0" borderId="38"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39" xfId="0" applyFont="1" applyBorder="1" applyAlignment="1">
      <alignment horizontal="center" vertical="center" wrapText="1"/>
    </xf>
    <xf numFmtId="0" fontId="23" fillId="0" borderId="21" xfId="0" applyFont="1" applyBorder="1" applyAlignment="1">
      <alignment horizontal="center" vertical="center" wrapText="1"/>
    </xf>
    <xf numFmtId="0" fontId="23" fillId="0" borderId="15" xfId="0" applyFont="1" applyBorder="1" applyAlignment="1">
      <alignment horizontal="center" vertical="center" wrapText="1"/>
    </xf>
    <xf numFmtId="0" fontId="23" fillId="0" borderId="219" xfId="0" applyFont="1" applyBorder="1" applyAlignment="1">
      <alignment horizontal="center" vertical="center"/>
    </xf>
    <xf numFmtId="2" fontId="55" fillId="0" borderId="2" xfId="0" applyNumberFormat="1" applyFont="1" applyBorder="1" applyAlignment="1">
      <alignment horizontal="center" vertical="center"/>
    </xf>
    <xf numFmtId="2" fontId="55" fillId="0" borderId="18" xfId="0" applyNumberFormat="1" applyFont="1" applyBorder="1" applyAlignment="1">
      <alignment horizontal="center" vertical="center"/>
    </xf>
    <xf numFmtId="0" fontId="23" fillId="0" borderId="4" xfId="0" applyFont="1" applyBorder="1" applyAlignment="1">
      <alignment horizontal="center" vertical="center"/>
    </xf>
    <xf numFmtId="2" fontId="55" fillId="0" borderId="1" xfId="0" applyNumberFormat="1" applyFont="1" applyBorder="1" applyAlignment="1">
      <alignment horizontal="center" vertical="center"/>
    </xf>
    <xf numFmtId="2" fontId="55" fillId="0" borderId="5" xfId="0" applyNumberFormat="1" applyFont="1" applyBorder="1" applyAlignment="1">
      <alignment horizontal="center" vertical="center"/>
    </xf>
    <xf numFmtId="0" fontId="23" fillId="0" borderId="6" xfId="0" applyFont="1" applyBorder="1" applyAlignment="1">
      <alignment horizontal="center" vertical="center"/>
    </xf>
    <xf numFmtId="2" fontId="55" fillId="0" borderId="7" xfId="0" applyNumberFormat="1" applyFont="1" applyBorder="1" applyAlignment="1">
      <alignment horizontal="center" vertical="center"/>
    </xf>
    <xf numFmtId="0" fontId="23" fillId="0" borderId="8" xfId="0" applyFont="1" applyBorder="1" applyAlignment="1">
      <alignment horizontal="center" vertical="center"/>
    </xf>
    <xf numFmtId="2" fontId="55" fillId="0" borderId="30" xfId="0" applyNumberFormat="1" applyFont="1" applyBorder="1" applyAlignment="1">
      <alignment horizontal="center" vertical="center"/>
    </xf>
    <xf numFmtId="2" fontId="55" fillId="0" borderId="9" xfId="0" applyNumberFormat="1" applyFont="1" applyBorder="1" applyAlignment="1">
      <alignment horizontal="center" vertical="center"/>
    </xf>
    <xf numFmtId="2" fontId="55" fillId="0" borderId="12" xfId="0" applyNumberFormat="1" applyFont="1" applyBorder="1" applyAlignment="1">
      <alignment horizontal="center" vertical="center"/>
    </xf>
    <xf numFmtId="0" fontId="46" fillId="0" borderId="4" xfId="0" applyFont="1" applyBorder="1" applyAlignment="1">
      <alignment horizontal="center" vertical="center"/>
    </xf>
    <xf numFmtId="0" fontId="46" fillId="0" borderId="6" xfId="0" applyFont="1" applyBorder="1" applyAlignment="1">
      <alignment horizontal="center" vertical="center"/>
    </xf>
    <xf numFmtId="0" fontId="46" fillId="0" borderId="8" xfId="0" applyFont="1" applyBorder="1" applyAlignment="1">
      <alignment horizontal="center" vertical="center"/>
    </xf>
    <xf numFmtId="0" fontId="23" fillId="0" borderId="175" xfId="0" applyFont="1" applyBorder="1" applyAlignment="1">
      <alignment horizontal="center" vertical="center"/>
    </xf>
    <xf numFmtId="2" fontId="55" fillId="0" borderId="176" xfId="0" applyNumberFormat="1" applyFont="1" applyBorder="1" applyAlignment="1">
      <alignment horizontal="center" vertical="center"/>
    </xf>
    <xf numFmtId="0" fontId="23" fillId="0" borderId="138" xfId="0" applyFont="1" applyBorder="1" applyAlignment="1">
      <alignment horizontal="center" vertical="center"/>
    </xf>
    <xf numFmtId="2" fontId="55" fillId="0" borderId="40" xfId="0" applyNumberFormat="1" applyFont="1" applyBorder="1" applyAlignment="1">
      <alignment horizontal="center" vertical="center"/>
    </xf>
    <xf numFmtId="1" fontId="23" fillId="0" borderId="2" xfId="0" applyNumberFormat="1" applyFont="1" applyBorder="1" applyAlignment="1">
      <alignment horizontal="center" vertical="center"/>
    </xf>
    <xf numFmtId="0" fontId="23" fillId="0" borderId="223" xfId="0" applyFont="1" applyBorder="1" applyAlignment="1">
      <alignment horizontal="center" vertical="center"/>
    </xf>
    <xf numFmtId="1" fontId="23" fillId="0" borderId="1" xfId="0" applyNumberFormat="1" applyFont="1" applyBorder="1" applyAlignment="1">
      <alignment horizontal="center" vertical="center"/>
    </xf>
    <xf numFmtId="1" fontId="23" fillId="0" borderId="5" xfId="0" applyNumberFormat="1" applyFont="1" applyBorder="1" applyAlignment="1">
      <alignment horizontal="center" vertical="center"/>
    </xf>
    <xf numFmtId="0" fontId="23" fillId="0" borderId="224" xfId="0" applyFont="1" applyBorder="1" applyAlignment="1">
      <alignment horizontal="center" vertical="center"/>
    </xf>
    <xf numFmtId="1" fontId="23" fillId="0" borderId="7" xfId="0" applyNumberFormat="1" applyFont="1" applyBorder="1" applyAlignment="1">
      <alignment horizontal="center" vertical="center"/>
    </xf>
    <xf numFmtId="0" fontId="23" fillId="0" borderId="225" xfId="0" applyFont="1" applyBorder="1" applyAlignment="1">
      <alignment horizontal="center" vertical="center"/>
    </xf>
    <xf numFmtId="1" fontId="23" fillId="0" borderId="30" xfId="0" applyNumberFormat="1" applyFont="1" applyBorder="1" applyAlignment="1">
      <alignment horizontal="center" vertical="center"/>
    </xf>
    <xf numFmtId="1" fontId="23" fillId="0" borderId="9" xfId="0" applyNumberFormat="1" applyFont="1" applyBorder="1" applyAlignment="1">
      <alignment horizontal="center" vertical="center"/>
    </xf>
    <xf numFmtId="0" fontId="7" fillId="9" borderId="2" xfId="0" applyFont="1" applyFill="1" applyBorder="1" applyAlignment="1">
      <alignment horizontal="center" vertical="center" wrapText="1"/>
    </xf>
    <xf numFmtId="171" fontId="0" fillId="0" borderId="2" xfId="0" applyNumberFormat="1" applyBorder="1"/>
    <xf numFmtId="2" fontId="23" fillId="6" borderId="0" xfId="0" applyNumberFormat="1" applyFont="1" applyFill="1" applyAlignment="1">
      <alignment horizontal="center" vertical="center"/>
    </xf>
    <xf numFmtId="165" fontId="12" fillId="0" borderId="0" xfId="0" applyNumberFormat="1" applyFont="1"/>
    <xf numFmtId="0" fontId="7" fillId="0" borderId="8" xfId="0" applyFont="1" applyBorder="1" applyAlignment="1">
      <alignment horizontal="left" vertical="center"/>
    </xf>
    <xf numFmtId="0" fontId="2" fillId="0" borderId="226" xfId="0" applyFont="1" applyBorder="1" applyAlignment="1">
      <alignment horizontal="center" vertical="center"/>
    </xf>
    <xf numFmtId="0" fontId="2" fillId="0" borderId="227" xfId="0" applyFont="1" applyBorder="1" applyAlignment="1">
      <alignment horizontal="center" vertical="center"/>
    </xf>
    <xf numFmtId="0" fontId="23" fillId="0" borderId="5" xfId="0" applyFont="1" applyBorder="1" applyAlignment="1">
      <alignment horizontal="center" vertical="center"/>
    </xf>
    <xf numFmtId="0" fontId="23" fillId="0" borderId="7" xfId="0" applyFont="1" applyBorder="1" applyAlignment="1">
      <alignment horizontal="center" vertical="center"/>
    </xf>
    <xf numFmtId="0" fontId="23" fillId="0" borderId="9" xfId="0" applyFont="1" applyBorder="1" applyAlignment="1">
      <alignment horizontal="center" vertical="center"/>
    </xf>
    <xf numFmtId="1" fontId="7" fillId="0" borderId="95" xfId="0" applyNumberFormat="1" applyFont="1" applyBorder="1" applyAlignment="1">
      <alignment horizontal="center" vertical="center"/>
    </xf>
    <xf numFmtId="1" fontId="7" fillId="0" borderId="2" xfId="0" applyNumberFormat="1" applyFont="1" applyBorder="1" applyAlignment="1">
      <alignment horizontal="center" vertical="center"/>
    </xf>
    <xf numFmtId="1" fontId="7" fillId="0" borderId="11" xfId="0" applyNumberFormat="1" applyFont="1" applyBorder="1" applyAlignment="1">
      <alignment horizontal="center" vertical="center"/>
    </xf>
    <xf numFmtId="1" fontId="7" fillId="0" borderId="0" xfId="0" applyNumberFormat="1" applyFont="1" applyAlignment="1">
      <alignment horizontal="left" vertical="center"/>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xf numFmtId="0" fontId="4" fillId="0" borderId="2" xfId="0" applyFont="1" applyBorder="1" applyAlignment="1">
      <alignment horizontal="center" vertical="center"/>
    </xf>
    <xf numFmtId="2" fontId="23" fillId="0" borderId="233" xfId="0" applyNumberFormat="1" applyFont="1" applyBorder="1" applyAlignment="1">
      <alignment horizontal="center" vertical="center"/>
    </xf>
    <xf numFmtId="2" fontId="7" fillId="0" borderId="0" xfId="0" applyNumberFormat="1" applyFont="1" applyAlignment="1">
      <alignment horizontal="center" vertical="center"/>
    </xf>
    <xf numFmtId="0" fontId="19" fillId="19" borderId="2" xfId="0" applyFont="1" applyFill="1" applyBorder="1" applyAlignment="1">
      <alignment horizontal="center" vertical="center" wrapText="1"/>
    </xf>
    <xf numFmtId="0" fontId="19" fillId="15" borderId="2" xfId="0" applyFont="1" applyFill="1" applyBorder="1" applyAlignment="1">
      <alignment horizontal="center" vertical="center" wrapText="1"/>
    </xf>
    <xf numFmtId="0" fontId="13" fillId="0" borderId="0" xfId="0" applyFont="1" applyAlignment="1">
      <alignment horizontal="center" vertical="center"/>
    </xf>
    <xf numFmtId="0" fontId="7" fillId="0" borderId="2" xfId="4" applyBorder="1" applyAlignment="1">
      <alignment horizontal="center" vertical="center"/>
    </xf>
    <xf numFmtId="3" fontId="7" fillId="0" borderId="0" xfId="2" applyNumberFormat="1" applyFont="1" applyFill="1" applyBorder="1" applyAlignment="1">
      <alignment horizontal="center"/>
    </xf>
    <xf numFmtId="2" fontId="23" fillId="0" borderId="201" xfId="0" applyNumberFormat="1" applyFont="1" applyBorder="1" applyAlignment="1">
      <alignment horizontal="center" vertical="center"/>
    </xf>
    <xf numFmtId="170" fontId="2" fillId="17" borderId="10" xfId="0" applyNumberFormat="1" applyFont="1" applyFill="1" applyBorder="1" applyAlignment="1">
      <alignment vertical="center"/>
    </xf>
    <xf numFmtId="170" fontId="2" fillId="10" borderId="10" xfId="0" applyNumberFormat="1" applyFont="1" applyFill="1" applyBorder="1" applyAlignment="1">
      <alignment vertical="center"/>
    </xf>
    <xf numFmtId="0" fontId="24" fillId="9" borderId="109" xfId="0" applyFont="1" applyFill="1" applyBorder="1" applyAlignment="1">
      <alignment horizontal="center" vertical="center" wrapText="1"/>
    </xf>
    <xf numFmtId="0" fontId="24" fillId="20" borderId="113" xfId="0" applyFont="1" applyFill="1" applyBorder="1" applyAlignment="1">
      <alignment horizontal="center" vertical="center" wrapText="1"/>
    </xf>
    <xf numFmtId="0" fontId="7" fillId="0" borderId="18" xfId="0" applyFont="1" applyBorder="1" applyAlignment="1">
      <alignment vertical="center"/>
    </xf>
    <xf numFmtId="4" fontId="7" fillId="14" borderId="89" xfId="7" applyNumberFormat="1" applyFont="1" applyFill="1" applyBorder="1" applyAlignment="1">
      <alignment horizontal="center" vertical="center"/>
    </xf>
    <xf numFmtId="3" fontId="22" fillId="0" borderId="89" xfId="0" applyNumberFormat="1" applyFont="1" applyBorder="1" applyAlignment="1">
      <alignment horizontal="center" vertical="center"/>
    </xf>
    <xf numFmtId="0" fontId="8" fillId="4" borderId="19" xfId="0" applyFont="1" applyFill="1" applyBorder="1" applyAlignment="1">
      <alignment horizontal="center" vertical="center"/>
    </xf>
    <xf numFmtId="0" fontId="8" fillId="4" borderId="20" xfId="0" applyFont="1" applyFill="1" applyBorder="1" applyAlignment="1">
      <alignment horizontal="center" vertical="center"/>
    </xf>
    <xf numFmtId="0" fontId="8" fillId="4" borderId="21" xfId="0" applyFont="1" applyFill="1" applyBorder="1" applyAlignment="1">
      <alignment horizontal="center" vertical="center"/>
    </xf>
    <xf numFmtId="0" fontId="8" fillId="9" borderId="19" xfId="0" applyFont="1" applyFill="1" applyBorder="1" applyAlignment="1">
      <alignment horizontal="center" vertical="center"/>
    </xf>
    <xf numFmtId="0" fontId="8" fillId="9" borderId="20" xfId="0" applyFont="1" applyFill="1" applyBorder="1" applyAlignment="1">
      <alignment horizontal="center" vertical="center"/>
    </xf>
    <xf numFmtId="0" fontId="8" fillId="9" borderId="21" xfId="0" applyFont="1" applyFill="1" applyBorder="1" applyAlignment="1">
      <alignment horizontal="center" vertical="center"/>
    </xf>
    <xf numFmtId="0" fontId="8" fillId="0" borderId="18" xfId="0" applyFont="1" applyBorder="1" applyAlignment="1">
      <alignment horizontal="center" vertical="center"/>
    </xf>
    <xf numFmtId="0" fontId="8" fillId="0" borderId="2" xfId="0" applyFont="1" applyBorder="1" applyAlignment="1">
      <alignment horizontal="center" vertical="center"/>
    </xf>
    <xf numFmtId="0" fontId="8" fillId="0" borderId="0" xfId="0" applyFont="1" applyAlignment="1">
      <alignment horizontal="left" vertical="center"/>
    </xf>
    <xf numFmtId="0" fontId="52" fillId="0" borderId="0" xfId="0" applyFont="1" applyAlignment="1">
      <alignment vertical="center"/>
    </xf>
    <xf numFmtId="0" fontId="52" fillId="0" borderId="235" xfId="0" applyFont="1" applyBorder="1" applyAlignment="1">
      <alignment vertical="center"/>
    </xf>
    <xf numFmtId="0" fontId="62" fillId="22" borderId="99" xfId="0" applyFont="1" applyFill="1" applyBorder="1" applyAlignment="1">
      <alignment horizontal="center" vertical="center" wrapText="1"/>
    </xf>
    <xf numFmtId="3" fontId="7" fillId="0" borderId="0" xfId="0" applyNumberFormat="1" applyFont="1" applyAlignment="1">
      <alignment horizontal="center" vertical="center"/>
    </xf>
    <xf numFmtId="169" fontId="0" fillId="0" borderId="0" xfId="6" applyNumberFormat="1" applyFont="1" applyBorder="1" applyAlignment="1">
      <alignment horizontal="center" vertical="center"/>
    </xf>
    <xf numFmtId="0" fontId="49" fillId="0" borderId="0" xfId="0" applyFont="1" applyAlignment="1">
      <alignment horizontal="center" vertical="center"/>
    </xf>
    <xf numFmtId="0" fontId="7" fillId="6" borderId="0" xfId="0" applyFont="1" applyFill="1" applyAlignment="1">
      <alignment horizontal="center" vertical="center" wrapText="1"/>
    </xf>
    <xf numFmtId="0" fontId="19" fillId="9" borderId="34" xfId="0" applyFont="1" applyFill="1" applyBorder="1" applyAlignment="1">
      <alignment horizontal="center" vertical="center" wrapText="1"/>
    </xf>
    <xf numFmtId="169" fontId="22" fillId="0" borderId="89" xfId="6" applyNumberFormat="1" applyFont="1" applyBorder="1" applyAlignment="1">
      <alignment horizontal="center" vertical="center"/>
    </xf>
    <xf numFmtId="165" fontId="22" fillId="0" borderId="89" xfId="0" applyNumberFormat="1" applyFont="1" applyBorder="1" applyAlignment="1">
      <alignment horizontal="center" vertical="center"/>
    </xf>
    <xf numFmtId="1" fontId="11" fillId="0" borderId="89" xfId="3" applyNumberFormat="1" applyFont="1" applyFill="1" applyBorder="1" applyAlignment="1">
      <alignment vertical="center" wrapText="1"/>
    </xf>
    <xf numFmtId="0" fontId="12" fillId="0" borderId="0" xfId="0" applyFont="1" applyAlignment="1">
      <alignment vertical="top" wrapText="1"/>
    </xf>
    <xf numFmtId="1" fontId="7" fillId="0" borderId="0" xfId="6" applyNumberFormat="1" applyFont="1" applyFill="1" applyAlignment="1">
      <alignment horizontal="center" vertical="center"/>
    </xf>
    <xf numFmtId="0" fontId="64" fillId="0" borderId="0" xfId="0" applyFont="1"/>
    <xf numFmtId="1" fontId="22" fillId="0" borderId="2" xfId="0" applyNumberFormat="1" applyFont="1" applyBorder="1" applyAlignment="1">
      <alignment horizontal="left" vertical="center"/>
    </xf>
    <xf numFmtId="0" fontId="22" fillId="0" borderId="92" xfId="3" applyFont="1" applyBorder="1" applyAlignment="1">
      <alignment horizontal="left" vertical="center" wrapText="1"/>
    </xf>
    <xf numFmtId="3" fontId="22" fillId="0" borderId="89" xfId="7" applyNumberFormat="1" applyFont="1" applyBorder="1" applyAlignment="1">
      <alignment horizontal="center" vertical="center"/>
    </xf>
    <xf numFmtId="3" fontId="22" fillId="0" borderId="94" xfId="7" applyNumberFormat="1" applyFont="1" applyBorder="1" applyAlignment="1">
      <alignment horizontal="center" vertical="center"/>
    </xf>
    <xf numFmtId="164" fontId="22" fillId="0" borderId="89" xfId="2" applyNumberFormat="1" applyFont="1" applyBorder="1" applyAlignment="1">
      <alignment horizontal="center" vertical="center"/>
    </xf>
    <xf numFmtId="0" fontId="22" fillId="0" borderId="89" xfId="3" applyFont="1" applyFill="1" applyBorder="1" applyAlignment="1">
      <alignment horizontal="left" vertical="center" wrapText="1"/>
    </xf>
    <xf numFmtId="0" fontId="22" fillId="0" borderId="89" xfId="3" applyFont="1" applyBorder="1" applyAlignment="1">
      <alignment horizontal="left" vertical="center" wrapText="1"/>
    </xf>
    <xf numFmtId="0" fontId="22" fillId="0" borderId="92" xfId="3" applyFont="1" applyFill="1" applyBorder="1" applyAlignment="1">
      <alignment horizontal="left" vertical="center" wrapText="1"/>
    </xf>
    <xf numFmtId="0" fontId="22" fillId="0" borderId="89" xfId="3" applyFont="1" applyBorder="1" applyAlignment="1">
      <alignment horizontal="center" vertical="center" wrapText="1"/>
    </xf>
    <xf numFmtId="165" fontId="22" fillId="0" borderId="89" xfId="0" applyNumberFormat="1" applyFont="1" applyBorder="1" applyAlignment="1">
      <alignment horizontal="center" vertical="center" wrapText="1"/>
    </xf>
    <xf numFmtId="0" fontId="22" fillId="0" borderId="89" xfId="0" applyFont="1" applyBorder="1" applyAlignment="1">
      <alignment vertical="center" wrapText="1"/>
    </xf>
    <xf numFmtId="0" fontId="33" fillId="0" borderId="89" xfId="0" applyFont="1" applyBorder="1"/>
    <xf numFmtId="0" fontId="33" fillId="0" borderId="89" xfId="0" applyFont="1" applyBorder="1" applyAlignment="1">
      <alignment vertical="center" wrapText="1"/>
    </xf>
    <xf numFmtId="0" fontId="22" fillId="0" borderId="89" xfId="0" applyFont="1" applyBorder="1" applyAlignment="1">
      <alignment horizontal="left" vertical="center" wrapText="1"/>
    </xf>
    <xf numFmtId="1" fontId="22" fillId="0" borderId="34" xfId="3" applyNumberFormat="1" applyFont="1" applyBorder="1" applyAlignment="1">
      <alignment horizontal="left" vertical="center" wrapText="1"/>
    </xf>
    <xf numFmtId="0" fontId="22" fillId="0" borderId="34" xfId="0" applyFont="1" applyBorder="1"/>
    <xf numFmtId="169" fontId="22" fillId="0" borderId="34" xfId="6" applyNumberFormat="1" applyFont="1" applyBorder="1" applyAlignment="1">
      <alignment horizontal="left" vertical="center" wrapText="1"/>
    </xf>
    <xf numFmtId="169" fontId="22" fillId="0" borderId="34" xfId="6" applyNumberFormat="1" applyFont="1" applyBorder="1" applyAlignment="1">
      <alignment horizontal="left" vertical="center"/>
    </xf>
    <xf numFmtId="43" fontId="22" fillId="0" borderId="34" xfId="6" applyFont="1" applyFill="1" applyBorder="1"/>
    <xf numFmtId="43" fontId="22" fillId="0" borderId="34" xfId="6" applyFont="1" applyBorder="1"/>
    <xf numFmtId="0" fontId="22" fillId="0" borderId="15" xfId="0" applyFont="1" applyBorder="1" applyAlignment="1">
      <alignment vertical="center" wrapText="1"/>
    </xf>
    <xf numFmtId="0" fontId="22" fillId="0" borderId="89" xfId="1" applyFont="1" applyBorder="1" applyAlignment="1">
      <alignment vertical="center"/>
    </xf>
    <xf numFmtId="0" fontId="19" fillId="6" borderId="0" xfId="0" applyFont="1" applyFill="1"/>
    <xf numFmtId="9" fontId="7" fillId="0" borderId="0" xfId="2" applyFont="1"/>
    <xf numFmtId="0" fontId="22" fillId="0" borderId="0" xfId="0" applyFont="1" applyAlignment="1">
      <alignment vertical="top"/>
    </xf>
    <xf numFmtId="0" fontId="22" fillId="0" borderId="0" xfId="0" applyFont="1"/>
    <xf numFmtId="0" fontId="22" fillId="6" borderId="0" xfId="0" applyFont="1" applyFill="1" applyAlignment="1">
      <alignment vertical="center" wrapText="1"/>
    </xf>
    <xf numFmtId="0" fontId="22" fillId="6" borderId="0" xfId="0" applyFont="1" applyFill="1"/>
    <xf numFmtId="1" fontId="2" fillId="0" borderId="92" xfId="7" applyNumberFormat="1" applyFont="1" applyBorder="1" applyAlignment="1">
      <alignment horizontal="center" vertical="center"/>
    </xf>
    <xf numFmtId="1" fontId="22" fillId="0" borderId="92" xfId="7" applyNumberFormat="1" applyFont="1" applyBorder="1" applyAlignment="1">
      <alignment horizontal="center" vertical="center"/>
    </xf>
    <xf numFmtId="1" fontId="21" fillId="0" borderId="92" xfId="7" applyNumberFormat="1" applyFont="1" applyBorder="1" applyAlignment="1">
      <alignment horizontal="center" vertical="center"/>
    </xf>
    <xf numFmtId="1" fontId="22" fillId="0" borderId="92" xfId="7" quotePrefix="1" applyNumberFormat="1" applyFont="1" applyBorder="1" applyAlignment="1">
      <alignment horizontal="center" vertical="center"/>
    </xf>
    <xf numFmtId="1" fontId="2" fillId="0" borderId="92" xfId="7" quotePrefix="1" applyNumberFormat="1" applyFont="1" applyBorder="1" applyAlignment="1">
      <alignment horizontal="center" vertical="center"/>
    </xf>
    <xf numFmtId="1" fontId="7" fillId="0" borderId="92" xfId="7" quotePrefix="1" applyNumberFormat="1" applyFont="1" applyBorder="1" applyAlignment="1">
      <alignment horizontal="center" vertical="center"/>
    </xf>
    <xf numFmtId="1" fontId="2" fillId="14" borderId="92" xfId="7" quotePrefix="1" applyNumberFormat="1" applyFont="1" applyFill="1" applyBorder="1" applyAlignment="1">
      <alignment horizontal="center" vertical="center"/>
    </xf>
    <xf numFmtId="1" fontId="2" fillId="14" borderId="92" xfId="7" applyNumberFormat="1" applyFont="1" applyFill="1" applyBorder="1" applyAlignment="1">
      <alignment horizontal="center" vertical="center"/>
    </xf>
    <xf numFmtId="0" fontId="20" fillId="9" borderId="95" xfId="0" applyFont="1" applyFill="1" applyBorder="1" applyAlignment="1">
      <alignment horizontal="center" vertical="center" wrapText="1"/>
    </xf>
    <xf numFmtId="1" fontId="2" fillId="0" borderId="237" xfId="7" applyNumberFormat="1" applyFont="1" applyBorder="1" applyAlignment="1">
      <alignment horizontal="center" vertical="center"/>
    </xf>
    <xf numFmtId="1" fontId="21" fillId="0" borderId="237" xfId="7" applyNumberFormat="1" applyFont="1" applyBorder="1" applyAlignment="1">
      <alignment horizontal="center" vertical="center"/>
    </xf>
    <xf numFmtId="1" fontId="21" fillId="0" borderId="237" xfId="7" quotePrefix="1" applyNumberFormat="1" applyFont="1" applyBorder="1" applyAlignment="1">
      <alignment horizontal="center" vertical="center"/>
    </xf>
    <xf numFmtId="1" fontId="2" fillId="0" borderId="237" xfId="7" quotePrefix="1" applyNumberFormat="1" applyFont="1" applyBorder="1" applyAlignment="1">
      <alignment horizontal="center" vertical="center"/>
    </xf>
    <xf numFmtId="4" fontId="11" fillId="0" borderId="237" xfId="0" applyNumberFormat="1" applyFont="1" applyBorder="1" applyAlignment="1">
      <alignment horizontal="center" vertical="center" wrapText="1"/>
    </xf>
    <xf numFmtId="0" fontId="22" fillId="6" borderId="238" xfId="0" applyFont="1" applyFill="1" applyBorder="1"/>
    <xf numFmtId="0" fontId="22" fillId="6" borderId="241" xfId="0" applyFont="1" applyFill="1" applyBorder="1" applyAlignment="1">
      <alignment vertical="center" wrapText="1"/>
    </xf>
    <xf numFmtId="0" fontId="22" fillId="6" borderId="242" xfId="0" applyFont="1" applyFill="1" applyBorder="1" applyAlignment="1">
      <alignment vertical="center" wrapText="1"/>
    </xf>
    <xf numFmtId="0" fontId="22" fillId="6" borderId="241" xfId="0" applyFont="1" applyFill="1" applyBorder="1"/>
    <xf numFmtId="0" fontId="22" fillId="6" borderId="242" xfId="0" applyFont="1" applyFill="1" applyBorder="1"/>
    <xf numFmtId="0" fontId="22" fillId="0" borderId="4" xfId="0" applyFont="1" applyBorder="1" applyAlignment="1">
      <alignment horizontal="left" vertical="center"/>
    </xf>
    <xf numFmtId="0" fontId="22" fillId="0" borderId="1" xfId="0" applyFont="1" applyBorder="1" applyAlignment="1">
      <alignment horizontal="center" vertical="center"/>
    </xf>
    <xf numFmtId="0" fontId="22" fillId="0" borderId="226" xfId="0" applyFont="1" applyBorder="1" applyAlignment="1">
      <alignment horizontal="center" vertical="center"/>
    </xf>
    <xf numFmtId="0" fontId="22" fillId="0" borderId="6" xfId="0" applyFont="1" applyBorder="1" applyAlignment="1">
      <alignment horizontal="left" vertical="center"/>
    </xf>
    <xf numFmtId="0" fontId="22" fillId="0" borderId="3" xfId="0" applyFont="1" applyBorder="1" applyAlignment="1">
      <alignment horizontal="center" vertical="center"/>
    </xf>
    <xf numFmtId="0" fontId="22" fillId="0" borderId="8" xfId="0" applyFont="1" applyBorder="1" applyAlignment="1">
      <alignment horizontal="left" vertical="center"/>
    </xf>
    <xf numFmtId="0" fontId="22" fillId="0" borderId="30" xfId="0" applyFont="1" applyBorder="1" applyAlignment="1">
      <alignment horizontal="center" vertical="center"/>
    </xf>
    <xf numFmtId="0" fontId="22" fillId="0" borderId="227" xfId="0" applyFont="1" applyBorder="1" applyAlignment="1">
      <alignment horizontal="center" vertical="center"/>
    </xf>
    <xf numFmtId="0" fontId="7" fillId="0" borderId="0" xfId="13" applyFont="1"/>
    <xf numFmtId="0" fontId="7" fillId="0" borderId="0" xfId="13" applyFont="1" applyAlignment="1">
      <alignment wrapText="1"/>
    </xf>
    <xf numFmtId="2" fontId="7" fillId="0" borderId="2" xfId="0" applyNumberFormat="1" applyFont="1" applyBorder="1" applyAlignment="1">
      <alignment horizontal="center" vertical="center" wrapText="1"/>
    </xf>
    <xf numFmtId="0" fontId="7" fillId="0" borderId="235" xfId="0" applyFont="1" applyBorder="1"/>
    <xf numFmtId="43" fontId="7" fillId="0" borderId="243" xfId="0" applyNumberFormat="1" applyFont="1" applyBorder="1"/>
    <xf numFmtId="43" fontId="22" fillId="0" borderId="243" xfId="0" applyNumberFormat="1" applyFont="1" applyBorder="1"/>
    <xf numFmtId="43" fontId="7" fillId="0" borderId="2" xfId="6" applyFont="1" applyBorder="1" applyAlignment="1">
      <alignment horizontal="center" vertical="center"/>
    </xf>
    <xf numFmtId="0" fontId="61" fillId="0" borderId="0" xfId="13" applyFont="1" applyAlignment="1">
      <alignment vertical="center" wrapText="1"/>
    </xf>
    <xf numFmtId="0" fontId="61" fillId="0" borderId="0" xfId="13" applyFont="1" applyAlignment="1">
      <alignment vertical="center"/>
    </xf>
    <xf numFmtId="0" fontId="7" fillId="0" borderId="0" xfId="13" applyFont="1" applyAlignment="1">
      <alignment horizontal="left"/>
    </xf>
    <xf numFmtId="0" fontId="65" fillId="0" borderId="0" xfId="13"/>
    <xf numFmtId="0" fontId="65" fillId="0" borderId="0" xfId="13" applyAlignment="1">
      <alignment horizontal="left" vertical="center"/>
    </xf>
    <xf numFmtId="0" fontId="7" fillId="0" borderId="0" xfId="13" applyFont="1" applyAlignment="1">
      <alignment horizontal="left" vertical="center"/>
    </xf>
    <xf numFmtId="0" fontId="47" fillId="0" borderId="0" xfId="5" applyFont="1" applyAlignment="1">
      <alignment horizontal="left"/>
    </xf>
    <xf numFmtId="2" fontId="0" fillId="0" borderId="0" xfId="0" applyNumberFormat="1"/>
    <xf numFmtId="2" fontId="7" fillId="0" borderId="0" xfId="2" applyNumberFormat="1" applyFont="1" applyFill="1" applyBorder="1" applyAlignment="1">
      <alignment horizontal="center" vertical="center"/>
    </xf>
    <xf numFmtId="2" fontId="7" fillId="0" borderId="0" xfId="0" applyNumberFormat="1" applyFont="1" applyAlignment="1">
      <alignment horizontal="center"/>
    </xf>
    <xf numFmtId="0" fontId="22" fillId="0" borderId="248" xfId="13" applyFont="1" applyBorder="1" applyAlignment="1">
      <alignment horizontal="center" vertical="center" wrapText="1"/>
    </xf>
    <xf numFmtId="165" fontId="22" fillId="24" borderId="248" xfId="13" applyNumberFormat="1" applyFont="1" applyFill="1" applyBorder="1" applyAlignment="1">
      <alignment horizontal="center" vertical="center" wrapText="1"/>
    </xf>
    <xf numFmtId="3" fontId="22" fillId="0" borderId="248" xfId="13" applyNumberFormat="1" applyFont="1" applyBorder="1" applyAlignment="1">
      <alignment horizontal="center" vertical="center" wrapText="1"/>
    </xf>
    <xf numFmtId="2" fontId="22" fillId="25" borderId="249" xfId="13" applyNumberFormat="1" applyFont="1" applyFill="1" applyBorder="1" applyAlignment="1">
      <alignment horizontal="center" vertical="center" wrapText="1"/>
    </xf>
    <xf numFmtId="3" fontId="22" fillId="0" borderId="250" xfId="13" applyNumberFormat="1" applyFont="1" applyBorder="1" applyAlignment="1">
      <alignment horizontal="center" vertical="center" wrapText="1"/>
    </xf>
    <xf numFmtId="0" fontId="33" fillId="10" borderId="14" xfId="13" applyFont="1" applyFill="1" applyBorder="1" applyAlignment="1">
      <alignment horizontal="left" vertical="center"/>
    </xf>
    <xf numFmtId="0" fontId="22" fillId="27" borderId="17" xfId="13" applyFont="1" applyFill="1" applyBorder="1" applyAlignment="1">
      <alignment horizontal="left" vertical="center"/>
    </xf>
    <xf numFmtId="3" fontId="22" fillId="27" borderId="0" xfId="6" applyNumberFormat="1" applyFont="1" applyFill="1" applyBorder="1" applyAlignment="1">
      <alignment horizontal="left" vertical="center"/>
    </xf>
    <xf numFmtId="0" fontId="22" fillId="27" borderId="0" xfId="13" applyFont="1" applyFill="1" applyAlignment="1">
      <alignment horizontal="left" vertical="center"/>
    </xf>
    <xf numFmtId="0" fontId="22" fillId="27" borderId="253" xfId="13" applyFont="1" applyFill="1" applyBorder="1" applyAlignment="1">
      <alignment horizontal="left" vertical="center"/>
    </xf>
    <xf numFmtId="0" fontId="33" fillId="10" borderId="0" xfId="13" applyFont="1" applyFill="1" applyAlignment="1">
      <alignment horizontal="left" vertical="center"/>
    </xf>
    <xf numFmtId="0" fontId="22" fillId="10" borderId="0" xfId="13" applyFont="1" applyFill="1" applyAlignment="1">
      <alignment horizontal="left" vertical="center"/>
    </xf>
    <xf numFmtId="0" fontId="22" fillId="10" borderId="253" xfId="13" applyFont="1" applyFill="1" applyBorder="1" applyAlignment="1">
      <alignment horizontal="left" vertical="center"/>
    </xf>
    <xf numFmtId="0" fontId="22" fillId="10" borderId="21" xfId="13" applyFont="1" applyFill="1" applyBorder="1" applyAlignment="1">
      <alignment horizontal="left" vertical="center"/>
    </xf>
    <xf numFmtId="0" fontId="62" fillId="28" borderId="99" xfId="0" applyFont="1" applyFill="1" applyBorder="1" applyAlignment="1">
      <alignment horizontal="center" vertical="center" wrapText="1"/>
    </xf>
    <xf numFmtId="0" fontId="22" fillId="0" borderId="89" xfId="3" applyFont="1" applyFill="1" applyBorder="1" applyAlignment="1">
      <alignment horizontal="center" vertical="center" wrapText="1"/>
    </xf>
    <xf numFmtId="1" fontId="22" fillId="0" borderId="95" xfId="0" applyNumberFormat="1" applyFont="1" applyBorder="1" applyAlignment="1">
      <alignment horizontal="left" vertical="center"/>
    </xf>
    <xf numFmtId="169" fontId="22" fillId="27" borderId="0" xfId="13" applyNumberFormat="1" applyFont="1" applyFill="1" applyAlignment="1">
      <alignment horizontal="left" vertical="center"/>
    </xf>
    <xf numFmtId="0" fontId="22" fillId="27" borderId="254" xfId="13" applyFont="1" applyFill="1" applyBorder="1" applyAlignment="1">
      <alignment horizontal="left" vertical="center"/>
    </xf>
    <xf numFmtId="0" fontId="22" fillId="27" borderId="256" xfId="13" applyFont="1" applyFill="1" applyBorder="1" applyAlignment="1">
      <alignment horizontal="left" vertical="center"/>
    </xf>
    <xf numFmtId="0" fontId="22" fillId="27" borderId="255" xfId="13" applyFont="1" applyFill="1" applyBorder="1" applyAlignment="1">
      <alignment horizontal="left" vertical="center"/>
    </xf>
    <xf numFmtId="0" fontId="22" fillId="27" borderId="257" xfId="13" applyFont="1" applyFill="1" applyBorder="1" applyAlignment="1">
      <alignment horizontal="left" vertical="center"/>
    </xf>
    <xf numFmtId="0" fontId="22" fillId="27" borderId="258" xfId="13" applyFont="1" applyFill="1" applyBorder="1" applyAlignment="1">
      <alignment horizontal="left" vertical="center"/>
    </xf>
    <xf numFmtId="0" fontId="22" fillId="10" borderId="259" xfId="13" applyFont="1" applyFill="1" applyBorder="1" applyAlignment="1">
      <alignment horizontal="left" vertical="center"/>
    </xf>
    <xf numFmtId="0" fontId="67" fillId="7" borderId="0" xfId="13" applyFont="1" applyFill="1" applyAlignment="1">
      <alignment vertical="center" wrapText="1"/>
    </xf>
    <xf numFmtId="0" fontId="67" fillId="26" borderId="261" xfId="13" applyFont="1" applyFill="1" applyBorder="1" applyAlignment="1">
      <alignment vertical="center" wrapText="1"/>
    </xf>
    <xf numFmtId="0" fontId="67" fillId="26" borderId="262" xfId="13" applyFont="1" applyFill="1" applyBorder="1" applyAlignment="1">
      <alignment vertical="center" wrapText="1"/>
    </xf>
    <xf numFmtId="0" fontId="67" fillId="26" borderId="262" xfId="13" applyFont="1" applyFill="1" applyBorder="1" applyAlignment="1">
      <alignment horizontal="left" vertical="center" wrapText="1"/>
    </xf>
    <xf numFmtId="0" fontId="67" fillId="26" borderId="263" xfId="13" applyFont="1" applyFill="1" applyBorder="1" applyAlignment="1">
      <alignment vertical="center" wrapText="1"/>
    </xf>
    <xf numFmtId="0" fontId="68" fillId="0" borderId="0" xfId="5" applyFont="1" applyAlignment="1">
      <alignment horizontal="left" vertical="top"/>
    </xf>
    <xf numFmtId="0" fontId="22" fillId="0" borderId="89" xfId="0" applyFont="1" applyBorder="1" applyAlignment="1">
      <alignment vertical="center"/>
    </xf>
    <xf numFmtId="0" fontId="24" fillId="15" borderId="94" xfId="0" applyFont="1" applyFill="1" applyBorder="1" applyAlignment="1">
      <alignment horizontal="center" vertical="center"/>
    </xf>
    <xf numFmtId="0" fontId="8" fillId="9" borderId="95" xfId="0" applyFont="1" applyFill="1" applyBorder="1" applyAlignment="1">
      <alignment horizontal="center" vertical="center"/>
    </xf>
    <xf numFmtId="0" fontId="7" fillId="0" borderId="95" xfId="0" applyFont="1" applyBorder="1" applyAlignment="1">
      <alignment horizontal="center" vertical="center" wrapText="1"/>
    </xf>
    <xf numFmtId="0" fontId="7" fillId="6" borderId="0" xfId="0" applyFont="1" applyFill="1" applyAlignment="1">
      <alignment vertical="center"/>
    </xf>
    <xf numFmtId="0" fontId="7" fillId="6" borderId="0" xfId="0" applyFont="1" applyFill="1"/>
    <xf numFmtId="0" fontId="22" fillId="0" borderId="0" xfId="0" applyFont="1" applyAlignment="1">
      <alignment vertical="center"/>
    </xf>
    <xf numFmtId="0" fontId="9" fillId="0" borderId="0" xfId="5" applyAlignment="1">
      <alignment horizontal="left" vertical="center"/>
    </xf>
    <xf numFmtId="0" fontId="22" fillId="0" borderId="0" xfId="0" applyFont="1" applyAlignment="1">
      <alignment vertical="center" wrapText="1"/>
    </xf>
    <xf numFmtId="0" fontId="7" fillId="6" borderId="265" xfId="0" applyFont="1" applyFill="1" applyBorder="1"/>
    <xf numFmtId="0" fontId="7" fillId="6" borderId="266" xfId="0" applyFont="1" applyFill="1" applyBorder="1"/>
    <xf numFmtId="0" fontId="7" fillId="6" borderId="271" xfId="0" applyFont="1" applyFill="1" applyBorder="1"/>
    <xf numFmtId="0" fontId="7" fillId="6" borderId="270" xfId="0" applyFont="1" applyFill="1" applyBorder="1"/>
    <xf numFmtId="0" fontId="7" fillId="6" borderId="272" xfId="0" applyFont="1" applyFill="1" applyBorder="1"/>
    <xf numFmtId="1" fontId="22" fillId="0" borderId="237" xfId="7" quotePrefix="1" applyNumberFormat="1" applyFont="1" applyBorder="1" applyAlignment="1">
      <alignment horizontal="left" vertical="center" wrapText="1"/>
    </xf>
    <xf numFmtId="4" fontId="11" fillId="0" borderId="273" xfId="0" applyNumberFormat="1" applyFont="1" applyBorder="1" applyAlignment="1">
      <alignment horizontal="center" vertical="center" wrapText="1"/>
    </xf>
    <xf numFmtId="0" fontId="45" fillId="29" borderId="235" xfId="0" applyFont="1" applyFill="1" applyBorder="1" applyAlignment="1">
      <alignment horizontal="left" vertical="center"/>
    </xf>
    <xf numFmtId="0" fontId="7" fillId="6" borderId="0" xfId="0" applyFont="1" applyFill="1" applyAlignment="1">
      <alignment horizontal="left" vertical="center"/>
    </xf>
    <xf numFmtId="169" fontId="7" fillId="0" borderId="11" xfId="6" applyNumberFormat="1" applyFont="1" applyFill="1" applyBorder="1" applyAlignment="1">
      <alignment horizontal="right" vertical="center"/>
    </xf>
    <xf numFmtId="169" fontId="22" fillId="0" borderId="15" xfId="6" applyNumberFormat="1" applyFont="1" applyFill="1" applyBorder="1" applyAlignment="1">
      <alignment horizontal="right" vertical="center"/>
    </xf>
    <xf numFmtId="0" fontId="22" fillId="6" borderId="265" xfId="0" applyFont="1" applyFill="1" applyBorder="1"/>
    <xf numFmtId="0" fontId="22" fillId="0" borderId="95" xfId="0" applyFont="1" applyBorder="1" applyAlignment="1">
      <alignment horizontal="center" vertical="center" wrapText="1"/>
    </xf>
    <xf numFmtId="0" fontId="8" fillId="15" borderId="91" xfId="0" applyFont="1" applyFill="1" applyBorder="1" applyAlignment="1">
      <alignment horizontal="center" vertical="center" wrapText="1"/>
    </xf>
    <xf numFmtId="0" fontId="8" fillId="9" borderId="91" xfId="0" applyFont="1" applyFill="1" applyBorder="1" applyAlignment="1">
      <alignment horizontal="center" vertical="center"/>
    </xf>
    <xf numFmtId="1" fontId="22" fillId="0" borderId="2" xfId="0" applyNumberFormat="1" applyFont="1" applyBorder="1" applyAlignment="1">
      <alignment horizontal="center" vertical="center" wrapText="1"/>
    </xf>
    <xf numFmtId="0" fontId="70" fillId="0" borderId="0" xfId="0" applyFont="1"/>
    <xf numFmtId="0" fontId="24" fillId="0" borderId="0" xfId="0" applyFont="1" applyAlignment="1">
      <alignment wrapText="1"/>
    </xf>
    <xf numFmtId="0" fontId="71" fillId="0" borderId="2" xfId="5" applyFont="1" applyBorder="1" applyAlignment="1">
      <alignment horizontal="center" vertical="center" wrapText="1"/>
    </xf>
    <xf numFmtId="0" fontId="22" fillId="0" borderId="2" xfId="0" quotePrefix="1" applyFont="1" applyBorder="1" applyAlignment="1">
      <alignment horizontal="center" vertical="center" wrapText="1"/>
    </xf>
    <xf numFmtId="0" fontId="2" fillId="0" borderId="2" xfId="0" applyFont="1" applyBorder="1" applyAlignment="1">
      <alignment vertical="center" wrapText="1"/>
    </xf>
    <xf numFmtId="0" fontId="70" fillId="0" borderId="2" xfId="0" applyFont="1" applyBorder="1" applyAlignment="1">
      <alignment vertical="center" wrapText="1"/>
    </xf>
    <xf numFmtId="2" fontId="2" fillId="0" borderId="2" xfId="0" applyNumberFormat="1" applyFont="1" applyBorder="1" applyAlignment="1">
      <alignment horizontal="center" vertical="center" wrapText="1"/>
    </xf>
    <xf numFmtId="0" fontId="22" fillId="0" borderId="2" xfId="0" applyFont="1" applyBorder="1" applyAlignment="1">
      <alignment vertical="center" wrapText="1"/>
    </xf>
    <xf numFmtId="168" fontId="2" fillId="0" borderId="89" xfId="0" applyNumberFormat="1" applyFont="1" applyBorder="1" applyAlignment="1">
      <alignment horizontal="center" vertical="center"/>
    </xf>
    <xf numFmtId="0" fontId="2" fillId="10" borderId="89" xfId="0" applyFont="1" applyFill="1" applyBorder="1" applyAlignment="1">
      <alignment horizontal="center" vertical="center"/>
    </xf>
    <xf numFmtId="0" fontId="2" fillId="10" borderId="89" xfId="0" applyFont="1" applyFill="1" applyBorder="1" applyAlignment="1">
      <alignment horizontal="center" vertical="center" wrapText="1"/>
    </xf>
    <xf numFmtId="168" fontId="2" fillId="10" borderId="89" xfId="0" applyNumberFormat="1" applyFont="1" applyFill="1" applyBorder="1" applyAlignment="1">
      <alignment horizontal="center" vertical="center"/>
    </xf>
    <xf numFmtId="0" fontId="2" fillId="7" borderId="89" xfId="0" applyFont="1" applyFill="1" applyBorder="1" applyAlignment="1">
      <alignment horizontal="center" vertical="center"/>
    </xf>
    <xf numFmtId="168" fontId="2" fillId="7" borderId="89" xfId="0" applyNumberFormat="1" applyFont="1" applyFill="1" applyBorder="1" applyAlignment="1">
      <alignment horizontal="center" vertical="center"/>
    </xf>
    <xf numFmtId="0" fontId="2" fillId="3" borderId="89" xfId="0" applyFont="1" applyFill="1" applyBorder="1" applyAlignment="1">
      <alignment horizontal="center" vertical="center"/>
    </xf>
    <xf numFmtId="168" fontId="2" fillId="3" borderId="89" xfId="0" applyNumberFormat="1" applyFont="1" applyFill="1" applyBorder="1" applyAlignment="1">
      <alignment horizontal="center" vertical="center"/>
    </xf>
    <xf numFmtId="0" fontId="7" fillId="12" borderId="89" xfId="0" applyFont="1" applyFill="1" applyBorder="1" applyAlignment="1">
      <alignment horizontal="center" vertical="center"/>
    </xf>
    <xf numFmtId="0" fontId="2" fillId="12" borderId="89" xfId="0" applyFont="1" applyFill="1" applyBorder="1" applyAlignment="1">
      <alignment horizontal="center" vertical="center"/>
    </xf>
    <xf numFmtId="168" fontId="2" fillId="12" borderId="89" xfId="0" applyNumberFormat="1" applyFont="1" applyFill="1" applyBorder="1" applyAlignment="1">
      <alignment horizontal="center" vertical="center"/>
    </xf>
    <xf numFmtId="168" fontId="22" fillId="0" borderId="89" xfId="0" applyNumberFormat="1" applyFont="1" applyBorder="1" applyAlignment="1">
      <alignment horizontal="center" vertical="center"/>
    </xf>
    <xf numFmtId="0" fontId="7" fillId="10" borderId="89" xfId="0" applyFont="1" applyFill="1" applyBorder="1" applyAlignment="1">
      <alignment horizontal="center" vertical="center"/>
    </xf>
    <xf numFmtId="0" fontId="22" fillId="10" borderId="89" xfId="0" applyFont="1" applyFill="1" applyBorder="1" applyAlignment="1">
      <alignment horizontal="center" vertical="center"/>
    </xf>
    <xf numFmtId="0" fontId="22" fillId="10" borderId="89" xfId="0" applyFont="1" applyFill="1" applyBorder="1" applyAlignment="1">
      <alignment horizontal="center" vertical="center" wrapText="1"/>
    </xf>
    <xf numFmtId="168" fontId="22" fillId="7" borderId="89" xfId="0" applyNumberFormat="1" applyFont="1" applyFill="1" applyBorder="1" applyAlignment="1">
      <alignment horizontal="center" vertical="center"/>
    </xf>
    <xf numFmtId="0" fontId="7" fillId="7" borderId="89" xfId="0" applyFont="1" applyFill="1" applyBorder="1" applyAlignment="1">
      <alignment horizontal="center" vertical="center"/>
    </xf>
    <xf numFmtId="0" fontId="7" fillId="3" borderId="89" xfId="0" applyFont="1" applyFill="1" applyBorder="1" applyAlignment="1">
      <alignment horizontal="center" vertical="center"/>
    </xf>
    <xf numFmtId="168" fontId="22" fillId="3" borderId="89" xfId="0" applyNumberFormat="1" applyFont="1" applyFill="1" applyBorder="1" applyAlignment="1">
      <alignment horizontal="center" vertical="center"/>
    </xf>
    <xf numFmtId="0" fontId="7" fillId="7" borderId="89" xfId="0" applyFont="1" applyFill="1" applyBorder="1" applyAlignment="1">
      <alignment horizontal="center" vertical="center" wrapText="1"/>
    </xf>
    <xf numFmtId="0" fontId="7" fillId="3" borderId="89" xfId="0" applyFont="1" applyFill="1" applyBorder="1" applyAlignment="1">
      <alignment horizontal="center" vertical="center" wrapText="1"/>
    </xf>
    <xf numFmtId="0" fontId="7" fillId="12" borderId="89" xfId="0" applyFont="1" applyFill="1" applyBorder="1" applyAlignment="1">
      <alignment horizontal="center" vertical="center" wrapText="1"/>
    </xf>
    <xf numFmtId="0" fontId="2" fillId="7" borderId="89" xfId="0" applyFont="1" applyFill="1" applyBorder="1" applyAlignment="1">
      <alignment horizontal="center" vertical="center" wrapText="1"/>
    </xf>
    <xf numFmtId="0" fontId="2" fillId="3" borderId="89" xfId="0" applyFont="1" applyFill="1" applyBorder="1" applyAlignment="1">
      <alignment horizontal="center" vertical="center" wrapText="1"/>
    </xf>
    <xf numFmtId="0" fontId="2" fillId="12" borderId="89" xfId="0" applyFont="1" applyFill="1" applyBorder="1" applyAlignment="1">
      <alignment horizontal="center" vertical="center" wrapText="1"/>
    </xf>
    <xf numFmtId="0" fontId="7" fillId="17" borderId="89" xfId="0" applyFont="1" applyFill="1" applyBorder="1" applyAlignment="1">
      <alignment horizontal="center" vertical="center"/>
    </xf>
    <xf numFmtId="0" fontId="7" fillId="6" borderId="89" xfId="0" applyFont="1" applyFill="1" applyBorder="1" applyAlignment="1">
      <alignment horizontal="center" vertical="center"/>
    </xf>
    <xf numFmtId="2" fontId="7" fillId="0" borderId="89" xfId="0" applyNumberFormat="1" applyFont="1" applyBorder="1" applyAlignment="1">
      <alignment horizontal="center" vertical="center"/>
    </xf>
    <xf numFmtId="2" fontId="7" fillId="10" borderId="89" xfId="0" applyNumberFormat="1" applyFont="1" applyFill="1" applyBorder="1" applyAlignment="1">
      <alignment horizontal="center" vertical="center"/>
    </xf>
    <xf numFmtId="2" fontId="7" fillId="7" borderId="89" xfId="0" applyNumberFormat="1" applyFont="1" applyFill="1" applyBorder="1" applyAlignment="1">
      <alignment horizontal="center" vertical="center"/>
    </xf>
    <xf numFmtId="2" fontId="2" fillId="3" borderId="89" xfId="0" applyNumberFormat="1" applyFont="1" applyFill="1" applyBorder="1" applyAlignment="1">
      <alignment horizontal="center" vertical="center"/>
    </xf>
    <xf numFmtId="2" fontId="2" fillId="12" borderId="89" xfId="0" applyNumberFormat="1" applyFont="1" applyFill="1" applyBorder="1" applyAlignment="1">
      <alignment horizontal="center" vertical="center"/>
    </xf>
    <xf numFmtId="2" fontId="7" fillId="3" borderId="89" xfId="0" applyNumberFormat="1" applyFont="1" applyFill="1" applyBorder="1" applyAlignment="1">
      <alignment horizontal="center" vertical="center"/>
    </xf>
    <xf numFmtId="2" fontId="7" fillId="12" borderId="89" xfId="0" applyNumberFormat="1" applyFont="1" applyFill="1" applyBorder="1" applyAlignment="1">
      <alignment horizontal="center" vertical="center"/>
    </xf>
    <xf numFmtId="0" fontId="22" fillId="0" borderId="0" xfId="0" applyFont="1" applyAlignment="1">
      <alignment horizontal="center"/>
    </xf>
    <xf numFmtId="0" fontId="22" fillId="13" borderId="2" xfId="0" applyFont="1" applyFill="1" applyBorder="1" applyAlignment="1">
      <alignment horizontal="right" vertical="center" wrapText="1"/>
    </xf>
    <xf numFmtId="0" fontId="22" fillId="8" borderId="2" xfId="0" applyFont="1" applyFill="1" applyBorder="1" applyAlignment="1">
      <alignment horizontal="right" vertical="center" wrapText="1"/>
    </xf>
    <xf numFmtId="0" fontId="22" fillId="0" borderId="0" xfId="0" applyFont="1" applyAlignment="1">
      <alignment horizontal="right" vertical="center" wrapText="1"/>
    </xf>
    <xf numFmtId="1" fontId="22" fillId="0" borderId="2" xfId="0" applyNumberFormat="1" applyFont="1" applyBorder="1" applyAlignment="1">
      <alignment horizontal="right" vertical="center" wrapText="1"/>
    </xf>
    <xf numFmtId="2" fontId="22" fillId="0" borderId="2" xfId="0" applyNumberFormat="1" applyFont="1" applyBorder="1" applyAlignment="1">
      <alignment horizontal="right" vertical="center" wrapText="1"/>
    </xf>
    <xf numFmtId="9" fontId="22" fillId="0" borderId="2" xfId="2" applyFont="1" applyBorder="1" applyAlignment="1">
      <alignment horizontal="right" vertical="center" wrapText="1"/>
    </xf>
    <xf numFmtId="165" fontId="22" fillId="0" borderId="2" xfId="0" applyNumberFormat="1" applyFont="1" applyBorder="1" applyAlignment="1">
      <alignment horizontal="right" vertical="center" wrapText="1"/>
    </xf>
    <xf numFmtId="9" fontId="22" fillId="0" borderId="12" xfId="2" applyFont="1" applyBorder="1" applyAlignment="1">
      <alignment horizontal="right" vertical="center" wrapText="1"/>
    </xf>
    <xf numFmtId="1" fontId="22" fillId="0" borderId="12" xfId="0" applyNumberFormat="1" applyFont="1" applyBorder="1" applyAlignment="1">
      <alignment horizontal="right" vertical="center" wrapText="1"/>
    </xf>
    <xf numFmtId="2" fontId="22" fillId="0" borderId="12" xfId="0" applyNumberFormat="1" applyFont="1" applyBorder="1" applyAlignment="1">
      <alignment horizontal="right" vertical="center" wrapText="1"/>
    </xf>
    <xf numFmtId="165" fontId="22" fillId="0" borderId="12" xfId="0" applyNumberFormat="1" applyFont="1" applyBorder="1" applyAlignment="1">
      <alignment horizontal="right" vertical="center" wrapText="1"/>
    </xf>
    <xf numFmtId="2" fontId="22" fillId="0" borderId="3" xfId="0" applyNumberFormat="1" applyFont="1" applyBorder="1" applyAlignment="1">
      <alignment horizontal="right" vertical="center" wrapText="1"/>
    </xf>
    <xf numFmtId="9" fontId="22" fillId="12" borderId="0" xfId="2" applyFont="1" applyFill="1" applyBorder="1" applyAlignment="1">
      <alignment horizontal="right" vertical="center" wrapText="1"/>
    </xf>
    <xf numFmtId="2" fontId="22" fillId="0" borderId="13" xfId="0" applyNumberFormat="1" applyFont="1" applyBorder="1" applyAlignment="1">
      <alignment horizontal="right" vertical="center" wrapText="1"/>
    </xf>
    <xf numFmtId="0" fontId="24" fillId="9" borderId="89" xfId="0" applyFont="1" applyFill="1" applyBorder="1" applyAlignment="1">
      <alignment horizontal="center" vertical="center" wrapText="1"/>
    </xf>
    <xf numFmtId="0" fontId="24" fillId="6" borderId="239" xfId="0" applyFont="1" applyFill="1" applyBorder="1" applyAlignment="1">
      <alignment vertical="center"/>
    </xf>
    <xf numFmtId="0" fontId="24" fillId="6" borderId="240" xfId="0" applyFont="1" applyFill="1" applyBorder="1" applyAlignment="1">
      <alignment vertical="center"/>
    </xf>
    <xf numFmtId="0" fontId="24" fillId="6" borderId="241" xfId="0" applyFont="1" applyFill="1" applyBorder="1" applyAlignment="1">
      <alignment vertical="center"/>
    </xf>
    <xf numFmtId="0" fontId="24" fillId="6" borderId="0" xfId="0" applyFont="1" applyFill="1" applyAlignment="1">
      <alignment vertical="center"/>
    </xf>
    <xf numFmtId="0" fontId="24" fillId="6" borderId="242" xfId="0" applyFont="1" applyFill="1" applyBorder="1" applyAlignment="1">
      <alignment vertical="center"/>
    </xf>
    <xf numFmtId="168" fontId="22" fillId="12" borderId="89" xfId="0" applyNumberFormat="1" applyFont="1" applyFill="1" applyBorder="1" applyAlignment="1">
      <alignment horizontal="center" vertical="center"/>
    </xf>
    <xf numFmtId="0" fontId="24" fillId="9" borderId="22" xfId="0" applyFont="1" applyFill="1" applyBorder="1" applyAlignment="1">
      <alignment horizontal="center" vertical="center" wrapText="1"/>
    </xf>
    <xf numFmtId="3" fontId="64" fillId="0" borderId="0" xfId="0" applyNumberFormat="1" applyFont="1" applyAlignment="1">
      <alignment horizontal="right" vertical="center"/>
    </xf>
    <xf numFmtId="3" fontId="14" fillId="0" borderId="0" xfId="0" applyNumberFormat="1" applyFont="1" applyAlignment="1">
      <alignment vertical="center"/>
    </xf>
    <xf numFmtId="9" fontId="22" fillId="0" borderId="0" xfId="0" applyNumberFormat="1" applyFont="1" applyAlignment="1">
      <alignment vertical="center" wrapText="1"/>
    </xf>
    <xf numFmtId="0" fontId="24" fillId="15" borderId="2" xfId="0" applyFont="1" applyFill="1" applyBorder="1" applyAlignment="1">
      <alignment horizontal="center" vertical="center" wrapText="1"/>
    </xf>
    <xf numFmtId="43" fontId="24" fillId="0" borderId="2" xfId="6" applyFont="1" applyBorder="1" applyAlignment="1">
      <alignment horizontal="center" vertical="center"/>
    </xf>
    <xf numFmtId="2" fontId="24" fillId="0" borderId="2" xfId="0" applyNumberFormat="1" applyFont="1" applyBorder="1" applyAlignment="1">
      <alignment horizontal="center" vertical="center" wrapText="1"/>
    </xf>
    <xf numFmtId="0" fontId="14" fillId="0" borderId="0" xfId="0" applyFont="1"/>
    <xf numFmtId="0" fontId="14" fillId="0" borderId="0" xfId="0" applyFont="1" applyAlignment="1">
      <alignment wrapText="1"/>
    </xf>
    <xf numFmtId="165" fontId="22" fillId="0" borderId="0" xfId="13" applyNumberFormat="1" applyFont="1" applyAlignment="1">
      <alignment horizontal="left" vertical="center" wrapText="1"/>
    </xf>
    <xf numFmtId="0" fontId="22" fillId="0" borderId="0" xfId="13" applyFont="1" applyAlignment="1">
      <alignment vertical="center" wrapText="1"/>
    </xf>
    <xf numFmtId="0" fontId="22" fillId="0" borderId="0" xfId="13" applyFont="1" applyAlignment="1">
      <alignment vertical="center"/>
    </xf>
    <xf numFmtId="168" fontId="22" fillId="0" borderId="0" xfId="13" applyNumberFormat="1" applyFont="1" applyAlignment="1">
      <alignment horizontal="left" vertical="center" wrapText="1"/>
    </xf>
    <xf numFmtId="0" fontId="22" fillId="0" borderId="0" xfId="13" applyFont="1" applyAlignment="1">
      <alignment horizontal="left" vertical="center" wrapText="1"/>
    </xf>
    <xf numFmtId="167" fontId="22" fillId="0" borderId="0" xfId="13" applyNumberFormat="1" applyFont="1" applyAlignment="1">
      <alignment horizontal="left" vertical="center" wrapText="1"/>
    </xf>
    <xf numFmtId="0" fontId="24" fillId="22" borderId="248" xfId="13" applyFont="1" applyFill="1" applyBorder="1" applyAlignment="1">
      <alignment horizontal="center" vertical="center" wrapText="1"/>
    </xf>
    <xf numFmtId="0" fontId="24" fillId="22" borderId="12" xfId="13" applyFont="1" applyFill="1" applyBorder="1" applyAlignment="1">
      <alignment vertical="center" wrapText="1"/>
    </xf>
    <xf numFmtId="0" fontId="24" fillId="7" borderId="235" xfId="13" applyFont="1" applyFill="1" applyBorder="1" applyAlignment="1">
      <alignment vertical="center" wrapText="1"/>
    </xf>
    <xf numFmtId="0" fontId="24" fillId="26" borderId="262" xfId="13" applyFont="1" applyFill="1" applyBorder="1" applyAlignment="1">
      <alignment vertical="center" wrapText="1"/>
    </xf>
    <xf numFmtId="0" fontId="24" fillId="0" borderId="89" xfId="0" applyFont="1" applyBorder="1" applyAlignment="1">
      <alignment horizontal="left" vertical="center"/>
    </xf>
    <xf numFmtId="2" fontId="14" fillId="0" borderId="99" xfId="0" applyNumberFormat="1" applyFont="1" applyBorder="1" applyAlignment="1">
      <alignment horizontal="center" vertical="center" wrapText="1"/>
    </xf>
    <xf numFmtId="1" fontId="14" fillId="0" borderId="99" xfId="0" applyNumberFormat="1" applyFont="1" applyBorder="1" applyAlignment="1">
      <alignment horizontal="center" vertical="center" wrapText="1"/>
    </xf>
    <xf numFmtId="0" fontId="24" fillId="0" borderId="0" xfId="0" applyFont="1"/>
    <xf numFmtId="165" fontId="22" fillId="0" borderId="2" xfId="0" applyNumberFormat="1" applyFont="1" applyBorder="1" applyAlignment="1">
      <alignment horizontal="center" vertical="center"/>
    </xf>
    <xf numFmtId="3" fontId="22" fillId="0" borderId="2" xfId="0" applyNumberFormat="1" applyFont="1" applyBorder="1" applyAlignment="1">
      <alignment horizontal="center" vertical="center"/>
    </xf>
    <xf numFmtId="0" fontId="22" fillId="0" borderId="2" xfId="0" applyFont="1" applyBorder="1"/>
    <xf numFmtId="0" fontId="22" fillId="0" borderId="0" xfId="0" applyFont="1" applyAlignment="1">
      <alignment horizontal="center" vertical="center" wrapText="1"/>
    </xf>
    <xf numFmtId="1" fontId="22" fillId="0" borderId="0" xfId="0" applyNumberFormat="1" applyFont="1" applyAlignment="1">
      <alignment horizontal="left"/>
    </xf>
    <xf numFmtId="0" fontId="22" fillId="0" borderId="194" xfId="0" applyFont="1" applyBorder="1" applyAlignment="1">
      <alignment horizontal="center" vertical="center"/>
    </xf>
    <xf numFmtId="0" fontId="22" fillId="0" borderId="193" xfId="0" applyFont="1" applyBorder="1" applyAlignment="1">
      <alignment horizontal="center" vertical="center"/>
    </xf>
    <xf numFmtId="43" fontId="22"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7" fillId="0" borderId="12" xfId="0" applyFont="1" applyBorder="1" applyAlignment="1">
      <alignment horizontal="center" vertical="center" wrapText="1"/>
    </xf>
    <xf numFmtId="0" fontId="22" fillId="0" borderId="89" xfId="0" applyFont="1" applyBorder="1" applyAlignment="1">
      <alignment horizontal="center" vertical="center" wrapText="1"/>
    </xf>
    <xf numFmtId="0" fontId="7" fillId="0" borderId="89" xfId="0" applyFont="1" applyBorder="1" applyAlignment="1">
      <alignment horizontal="left" vertical="center" wrapText="1"/>
    </xf>
    <xf numFmtId="0" fontId="7" fillId="0" borderId="2" xfId="0" applyFont="1" applyBorder="1" applyAlignment="1">
      <alignment horizontal="center" vertical="center" wrapText="1"/>
    </xf>
    <xf numFmtId="0" fontId="7" fillId="0" borderId="89" xfId="0" applyFont="1" applyBorder="1" applyAlignment="1">
      <alignment horizontal="center" vertical="center" wrapText="1"/>
    </xf>
    <xf numFmtId="0" fontId="19" fillId="9" borderId="89" xfId="0" applyFont="1" applyFill="1" applyBorder="1" applyAlignment="1">
      <alignment horizontal="center" vertical="center" wrapText="1"/>
    </xf>
    <xf numFmtId="0" fontId="7" fillId="0" borderId="2" xfId="0" applyFont="1" applyBorder="1" applyAlignment="1">
      <alignment horizontal="center" vertical="center"/>
    </xf>
    <xf numFmtId="0" fontId="22" fillId="0" borderId="2" xfId="0" applyFont="1" applyBorder="1" applyAlignment="1">
      <alignment horizontal="center" vertical="center" wrapText="1"/>
    </xf>
    <xf numFmtId="2" fontId="22" fillId="0" borderId="2" xfId="0" applyNumberFormat="1" applyFont="1" applyBorder="1" applyAlignment="1">
      <alignment horizontal="center" vertical="center" wrapText="1"/>
    </xf>
    <xf numFmtId="0" fontId="7" fillId="0" borderId="0" xfId="0" applyFont="1" applyAlignment="1">
      <alignment horizontal="left" vertical="center" wrapText="1"/>
    </xf>
    <xf numFmtId="0" fontId="22" fillId="0" borderId="0" xfId="0" applyFont="1" applyAlignment="1">
      <alignment horizontal="left"/>
    </xf>
    <xf numFmtId="0" fontId="7" fillId="0" borderId="0" xfId="0" applyFont="1" applyAlignment="1">
      <alignment horizontal="left" vertical="center"/>
    </xf>
    <xf numFmtId="0" fontId="22" fillId="0" borderId="0" xfId="0" applyFont="1" applyAlignment="1">
      <alignment horizontal="left" vertical="center"/>
    </xf>
    <xf numFmtId="0" fontId="22" fillId="6" borderId="0" xfId="0" applyFont="1" applyFill="1" applyAlignment="1">
      <alignment horizontal="center" vertical="center" wrapText="1"/>
    </xf>
    <xf numFmtId="0" fontId="20" fillId="9" borderId="2" xfId="0" applyFont="1" applyFill="1" applyBorder="1" applyAlignment="1">
      <alignment horizontal="center" vertical="center" wrapText="1"/>
    </xf>
    <xf numFmtId="0" fontId="2" fillId="0" borderId="89" xfId="0" applyFont="1" applyBorder="1" applyAlignment="1">
      <alignment horizontal="center" vertical="center" wrapText="1"/>
    </xf>
    <xf numFmtId="0" fontId="7" fillId="0" borderId="89" xfId="0" applyFont="1" applyBorder="1" applyAlignment="1">
      <alignment horizontal="center" vertical="center"/>
    </xf>
    <xf numFmtId="0" fontId="7" fillId="0" borderId="22" xfId="0" applyFont="1" applyBorder="1" applyAlignment="1">
      <alignment horizontal="center" vertical="center"/>
    </xf>
    <xf numFmtId="0" fontId="2" fillId="0" borderId="89" xfId="0" applyFont="1" applyBorder="1" applyAlignment="1">
      <alignment horizontal="center" vertical="center"/>
    </xf>
    <xf numFmtId="0" fontId="7" fillId="0" borderId="0" xfId="0" applyFont="1" applyAlignment="1">
      <alignment horizontal="center"/>
    </xf>
    <xf numFmtId="0" fontId="7" fillId="0" borderId="22" xfId="0" applyFont="1" applyBorder="1" applyAlignment="1">
      <alignment horizontal="center" vertical="center" wrapText="1"/>
    </xf>
    <xf numFmtId="0" fontId="0" fillId="0" borderId="57" xfId="0" applyBorder="1" applyAlignment="1">
      <alignment horizontal="center" vertical="center"/>
    </xf>
    <xf numFmtId="0" fontId="8" fillId="2" borderId="0" xfId="0" applyFont="1" applyFill="1" applyAlignment="1">
      <alignment horizontal="left" vertical="center"/>
    </xf>
    <xf numFmtId="0" fontId="0" fillId="0" borderId="0" xfId="0" applyAlignment="1">
      <alignment horizontal="center"/>
    </xf>
    <xf numFmtId="0" fontId="22" fillId="0" borderId="0" xfId="0" applyFont="1" applyAlignment="1">
      <alignment horizontal="center" vertical="center"/>
    </xf>
    <xf numFmtId="0" fontId="8" fillId="9" borderId="89" xfId="0" applyFont="1" applyFill="1" applyBorder="1" applyAlignment="1">
      <alignment horizontal="center" vertical="center"/>
    </xf>
    <xf numFmtId="0" fontId="22" fillId="0" borderId="89" xfId="0" applyFont="1" applyBorder="1" applyAlignment="1">
      <alignment horizontal="center" vertical="center"/>
    </xf>
    <xf numFmtId="0" fontId="8" fillId="9" borderId="89" xfId="0" applyFont="1" applyFill="1" applyBorder="1" applyAlignment="1">
      <alignment horizontal="center" vertical="center" wrapText="1"/>
    </xf>
    <xf numFmtId="0" fontId="14" fillId="0" borderId="99" xfId="0" applyFont="1" applyBorder="1" applyAlignment="1">
      <alignment horizontal="center" vertical="center" wrapText="1"/>
    </xf>
    <xf numFmtId="0" fontId="7" fillId="0" borderId="2" xfId="0" applyFont="1" applyBorder="1" applyAlignment="1">
      <alignment horizontal="center"/>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76" xfId="0" applyFont="1" applyBorder="1" applyAlignment="1">
      <alignment horizontal="center" vertical="center" wrapText="1"/>
    </xf>
    <xf numFmtId="0" fontId="23" fillId="0" borderId="40" xfId="0" applyFont="1" applyBorder="1" applyAlignment="1">
      <alignment horizontal="center" vertical="center" wrapText="1"/>
    </xf>
    <xf numFmtId="0" fontId="23" fillId="0" borderId="140" xfId="0" applyFont="1" applyBorder="1" applyAlignment="1">
      <alignment horizontal="center" vertical="center"/>
    </xf>
    <xf numFmtId="0" fontId="23" fillId="0" borderId="89" xfId="0" applyFont="1" applyBorder="1" applyAlignment="1">
      <alignment horizontal="center" vertical="center"/>
    </xf>
    <xf numFmtId="0" fontId="23" fillId="0" borderId="157" xfId="0" applyFont="1" applyBorder="1" applyAlignment="1">
      <alignment horizontal="center" vertical="center"/>
    </xf>
    <xf numFmtId="0" fontId="23" fillId="0" borderId="109" xfId="0" applyFont="1" applyBorder="1" applyAlignment="1">
      <alignment horizontal="center" vertical="center"/>
    </xf>
    <xf numFmtId="0" fontId="23" fillId="0" borderId="106" xfId="0" applyFont="1" applyBorder="1" applyAlignment="1">
      <alignment horizontal="center" vertical="center"/>
    </xf>
    <xf numFmtId="0" fontId="23" fillId="0" borderId="101" xfId="0"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0" xfId="0" applyFont="1" applyBorder="1" applyAlignment="1">
      <alignment horizontal="center" vertical="center"/>
    </xf>
    <xf numFmtId="0" fontId="23" fillId="0" borderId="91" xfId="0" applyFont="1" applyBorder="1" applyAlignment="1">
      <alignment horizontal="center" vertical="center"/>
    </xf>
    <xf numFmtId="0" fontId="8" fillId="9" borderId="2" xfId="0" applyFont="1" applyFill="1" applyBorder="1" applyAlignment="1">
      <alignment horizontal="center" vertical="center"/>
    </xf>
    <xf numFmtId="0" fontId="8" fillId="9" borderId="12" xfId="0" applyFont="1" applyFill="1" applyBorder="1" applyAlignment="1">
      <alignment horizontal="center" vertical="center"/>
    </xf>
    <xf numFmtId="0" fontId="19" fillId="9" borderId="2" xfId="0" applyFont="1" applyFill="1" applyBorder="1" applyAlignment="1">
      <alignment horizontal="center" vertical="center" wrapText="1"/>
    </xf>
    <xf numFmtId="0" fontId="22" fillId="0" borderId="2" xfId="0" applyFont="1" applyBorder="1" applyAlignment="1">
      <alignment horizontal="center" vertical="center"/>
    </xf>
    <xf numFmtId="0" fontId="7" fillId="0" borderId="12" xfId="0" applyFont="1" applyBorder="1" applyAlignment="1">
      <alignment horizontal="center" vertical="center"/>
    </xf>
    <xf numFmtId="0" fontId="7" fillId="0" borderId="18" xfId="0" applyFont="1" applyBorder="1" applyAlignment="1">
      <alignment horizontal="center" vertical="center"/>
    </xf>
    <xf numFmtId="0" fontId="24" fillId="9" borderId="34" xfId="0" applyFont="1" applyFill="1" applyBorder="1" applyAlignment="1">
      <alignment horizontal="center" vertical="center"/>
    </xf>
    <xf numFmtId="0" fontId="24" fillId="9" borderId="2" xfId="0" applyFont="1" applyFill="1" applyBorder="1" applyAlignment="1">
      <alignment horizontal="center" vertical="center"/>
    </xf>
    <xf numFmtId="0" fontId="4" fillId="0" borderId="2" xfId="0" applyFont="1" applyBorder="1" applyAlignment="1">
      <alignment horizontal="center"/>
    </xf>
    <xf numFmtId="0" fontId="37" fillId="0" borderId="0" xfId="0" applyFont="1" applyAlignment="1">
      <alignment horizontal="left" vertical="top" wrapText="1"/>
    </xf>
    <xf numFmtId="169" fontId="37" fillId="0" borderId="0" xfId="6" applyNumberFormat="1" applyFont="1" applyBorder="1" applyAlignment="1">
      <alignment horizontal="center" vertical="center" wrapText="1"/>
    </xf>
    <xf numFmtId="0" fontId="31" fillId="0" borderId="0" xfId="0" applyFont="1"/>
    <xf numFmtId="0" fontId="22" fillId="0" borderId="89" xfId="0" applyFont="1" applyBorder="1" applyAlignment="1">
      <alignment horizontal="center"/>
    </xf>
    <xf numFmtId="9" fontId="7" fillId="0" borderId="34" xfId="2" applyFont="1" applyFill="1" applyBorder="1" applyAlignment="1">
      <alignment horizontal="center" vertical="center"/>
    </xf>
    <xf numFmtId="0" fontId="22" fillId="0" borderId="0" xfId="0" applyFont="1" applyAlignment="1">
      <alignment wrapText="1"/>
    </xf>
    <xf numFmtId="0" fontId="74" fillId="0" borderId="0" xfId="0" applyFont="1" applyAlignment="1">
      <alignment vertical="center" wrapText="1"/>
    </xf>
    <xf numFmtId="0" fontId="13" fillId="11" borderId="0" xfId="0" applyFont="1" applyFill="1" applyAlignment="1">
      <alignment horizontal="center" vertical="center"/>
    </xf>
    <xf numFmtId="0" fontId="22" fillId="6" borderId="241" xfId="0" applyFont="1" applyFill="1" applyBorder="1" applyAlignment="1">
      <alignment horizontal="center" vertical="center" wrapText="1"/>
    </xf>
    <xf numFmtId="0" fontId="22" fillId="6" borderId="0" xfId="0" applyFont="1" applyFill="1" applyAlignment="1">
      <alignment horizontal="center" vertical="center" wrapText="1"/>
    </xf>
    <xf numFmtId="0" fontId="22" fillId="6" borderId="24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41" fillId="0" borderId="2" xfId="5" applyFont="1" applyBorder="1" applyAlignment="1">
      <alignment horizontal="center" vertical="center"/>
    </xf>
    <xf numFmtId="9" fontId="7" fillId="0" borderId="2" xfId="0" applyNumberFormat="1" applyFont="1" applyBorder="1" applyAlignment="1">
      <alignment horizontal="center" vertical="center"/>
    </xf>
    <xf numFmtId="0" fontId="13" fillId="11" borderId="2" xfId="0" applyFont="1" applyFill="1" applyBorder="1" applyAlignment="1">
      <alignment horizontal="center" vertical="center"/>
    </xf>
    <xf numFmtId="0" fontId="22" fillId="6" borderId="241" xfId="0" applyFont="1" applyFill="1" applyBorder="1" applyAlignment="1">
      <alignment horizontal="center" vertical="top" wrapText="1"/>
    </xf>
    <xf numFmtId="0" fontId="22" fillId="6" borderId="0" xfId="0" applyFont="1" applyFill="1" applyAlignment="1">
      <alignment horizontal="center" vertical="top" wrapText="1"/>
    </xf>
    <xf numFmtId="0" fontId="22" fillId="6" borderId="242" xfId="0" applyFont="1" applyFill="1" applyBorder="1" applyAlignment="1">
      <alignment horizontal="center" vertical="top" wrapText="1"/>
    </xf>
    <xf numFmtId="4" fontId="11" fillId="0" borderId="237" xfId="0" applyNumberFormat="1" applyFont="1" applyBorder="1" applyAlignment="1">
      <alignment horizontal="left" vertical="center" wrapText="1"/>
    </xf>
    <xf numFmtId="0" fontId="22" fillId="6" borderId="241" xfId="0" applyFont="1" applyFill="1" applyBorder="1" applyAlignment="1">
      <alignment horizontal="left" vertical="center" wrapText="1"/>
    </xf>
    <xf numFmtId="0" fontId="22" fillId="6" borderId="0" xfId="0" applyFont="1" applyFill="1" applyAlignment="1">
      <alignment horizontal="left" vertical="center" wrapText="1"/>
    </xf>
    <xf numFmtId="0" fontId="22" fillId="6" borderId="242" xfId="0" applyFont="1" applyFill="1" applyBorder="1" applyAlignment="1">
      <alignment horizontal="left" vertical="center" wrapText="1"/>
    </xf>
    <xf numFmtId="0" fontId="27" fillId="6" borderId="264" xfId="0" applyFont="1" applyFill="1" applyBorder="1" applyAlignment="1">
      <alignment horizontal="center" vertical="center"/>
    </xf>
    <xf numFmtId="0" fontId="7" fillId="0" borderId="0" xfId="0" applyFont="1" applyAlignment="1">
      <alignment horizontal="left" vertical="center"/>
    </xf>
    <xf numFmtId="0" fontId="22" fillId="0" borderId="0" xfId="0" applyFont="1" applyAlignment="1">
      <alignment horizontal="left" vertical="center"/>
    </xf>
    <xf numFmtId="0" fontId="7" fillId="6" borderId="267" xfId="0" applyFont="1" applyFill="1" applyBorder="1" applyAlignment="1">
      <alignment horizontal="left" wrapText="1"/>
    </xf>
    <xf numFmtId="0" fontId="7" fillId="6" borderId="268" xfId="0" applyFont="1" applyFill="1" applyBorder="1" applyAlignment="1">
      <alignment horizontal="left" wrapText="1"/>
    </xf>
    <xf numFmtId="0" fontId="7" fillId="6" borderId="269" xfId="0" applyFont="1" applyFill="1" applyBorder="1" applyAlignment="1">
      <alignment horizontal="left" wrapText="1"/>
    </xf>
    <xf numFmtId="0" fontId="22" fillId="0" borderId="0" xfId="0" applyFont="1" applyAlignment="1">
      <alignment horizontal="left" vertical="center" wrapText="1"/>
    </xf>
    <xf numFmtId="0" fontId="7" fillId="0" borderId="0" xfId="0" applyFont="1" applyAlignment="1">
      <alignment horizontal="left" vertical="center" wrapText="1"/>
    </xf>
    <xf numFmtId="0" fontId="22" fillId="0" borderId="0" xfId="0" applyFont="1" applyAlignment="1">
      <alignment horizontal="left" wrapText="1"/>
    </xf>
    <xf numFmtId="0" fontId="22" fillId="0" borderId="0" xfId="0" applyFont="1" applyAlignment="1">
      <alignment horizontal="left"/>
    </xf>
    <xf numFmtId="0" fontId="18" fillId="0" borderId="20" xfId="0" applyFont="1" applyBorder="1" applyAlignment="1">
      <alignment horizontal="left" vertical="center"/>
    </xf>
    <xf numFmtId="0" fontId="13" fillId="11" borderId="13" xfId="1" applyFont="1" applyFill="1" applyBorder="1" applyAlignment="1">
      <alignment horizontal="center" vertical="center" wrapText="1"/>
    </xf>
    <xf numFmtId="0" fontId="52" fillId="0" borderId="3" xfId="0" applyFont="1" applyBorder="1" applyAlignment="1">
      <alignment horizontal="center" vertical="center"/>
    </xf>
    <xf numFmtId="0" fontId="52" fillId="0" borderId="10" xfId="0" applyFont="1" applyBorder="1" applyAlignment="1">
      <alignment horizontal="center" vertical="center"/>
    </xf>
    <xf numFmtId="0" fontId="7" fillId="0" borderId="0" xfId="0" applyFont="1" applyAlignment="1">
      <alignment horizontal="center"/>
    </xf>
    <xf numFmtId="0" fontId="22" fillId="0" borderId="279" xfId="0" applyFont="1" applyBorder="1" applyAlignment="1">
      <alignment horizontal="center" vertical="center" wrapText="1"/>
    </xf>
    <xf numFmtId="0" fontId="7" fillId="0" borderId="89" xfId="0" applyFont="1" applyBorder="1" applyAlignment="1">
      <alignment horizontal="center" vertical="center" wrapText="1"/>
    </xf>
    <xf numFmtId="0" fontId="2" fillId="0" borderId="89" xfId="0" applyFont="1" applyBorder="1" applyAlignment="1">
      <alignment horizontal="center" vertical="center"/>
    </xf>
    <xf numFmtId="0" fontId="2" fillId="0" borderId="89" xfId="0" applyFont="1" applyBorder="1" applyAlignment="1">
      <alignment horizontal="center" vertical="center" wrapText="1"/>
    </xf>
    <xf numFmtId="0" fontId="7" fillId="0" borderId="89" xfId="0" applyFont="1" applyBorder="1" applyAlignment="1">
      <alignment horizontal="center" vertical="center"/>
    </xf>
    <xf numFmtId="0" fontId="22" fillId="0" borderId="25" xfId="0" applyFont="1" applyBorder="1" applyAlignment="1">
      <alignment horizontal="center" vertical="center"/>
    </xf>
    <xf numFmtId="0" fontId="22" fillId="0" borderId="23" xfId="0" applyFont="1" applyBorder="1" applyAlignment="1">
      <alignment horizontal="center" vertical="center"/>
    </xf>
    <xf numFmtId="0" fontId="22" fillId="0" borderId="24" xfId="0" applyFont="1" applyBorder="1" applyAlignment="1">
      <alignment horizontal="center" vertical="center"/>
    </xf>
    <xf numFmtId="0" fontId="13" fillId="11" borderId="31" xfId="0" applyFont="1" applyFill="1" applyBorder="1" applyAlignment="1">
      <alignment horizontal="center" vertical="center"/>
    </xf>
    <xf numFmtId="0" fontId="13" fillId="11" borderId="0" xfId="0" applyFont="1" applyFill="1" applyAlignment="1">
      <alignment horizontal="center" vertical="center" wrapText="1"/>
    </xf>
    <xf numFmtId="0" fontId="22" fillId="0" borderId="89" xfId="0" applyFont="1" applyBorder="1" applyAlignment="1">
      <alignment horizontal="center" vertical="center" wrapText="1"/>
    </xf>
    <xf numFmtId="0" fontId="7" fillId="0" borderId="0" xfId="0" applyFont="1" applyAlignment="1">
      <alignment horizontal="left" vertical="top" wrapText="1"/>
    </xf>
    <xf numFmtId="0" fontId="9" fillId="0" borderId="33" xfId="5" applyBorder="1" applyAlignment="1">
      <alignment horizontal="left"/>
    </xf>
    <xf numFmtId="0" fontId="7" fillId="0" borderId="0" xfId="0" applyFont="1" applyAlignment="1">
      <alignment horizontal="left" wrapText="1"/>
    </xf>
    <xf numFmtId="0" fontId="8" fillId="9" borderId="26" xfId="0" applyFont="1" applyFill="1" applyBorder="1" applyAlignment="1">
      <alignment horizontal="center" vertical="center" wrapText="1"/>
    </xf>
    <xf numFmtId="0" fontId="8" fillId="9" borderId="27" xfId="0" applyFont="1" applyFill="1" applyBorder="1" applyAlignment="1">
      <alignment horizontal="center" vertical="center" wrapText="1"/>
    </xf>
    <xf numFmtId="0" fontId="8" fillId="9" borderId="28" xfId="0" applyFont="1" applyFill="1" applyBorder="1" applyAlignment="1">
      <alignment horizontal="center" vertical="center" wrapText="1"/>
    </xf>
    <xf numFmtId="0" fontId="19" fillId="9" borderId="89" xfId="0" applyFont="1" applyFill="1" applyBorder="1" applyAlignment="1">
      <alignment horizontal="center" vertical="center" wrapText="1"/>
    </xf>
    <xf numFmtId="0" fontId="7" fillId="0" borderId="89" xfId="0" applyFont="1" applyBorder="1" applyAlignment="1">
      <alignment horizontal="left" vertical="center" wrapText="1"/>
    </xf>
    <xf numFmtId="0" fontId="7" fillId="0" borderId="2" xfId="0" applyFont="1" applyBorder="1" applyAlignment="1">
      <alignment horizontal="center" vertical="center"/>
    </xf>
    <xf numFmtId="0" fontId="22" fillId="0" borderId="2" xfId="0" applyFont="1" applyBorder="1" applyAlignment="1">
      <alignment horizontal="center" vertical="center" wrapText="1"/>
    </xf>
    <xf numFmtId="0" fontId="22" fillId="0" borderId="0" xfId="0" applyFont="1" applyAlignment="1">
      <alignment horizontal="left" vertical="top" wrapText="1"/>
    </xf>
    <xf numFmtId="0" fontId="7" fillId="0" borderId="89" xfId="0" applyFont="1" applyBorder="1" applyAlignment="1">
      <alignment horizontal="center"/>
    </xf>
    <xf numFmtId="2" fontId="22" fillId="0" borderId="2" xfId="0" applyNumberFormat="1" applyFont="1" applyBorder="1" applyAlignment="1">
      <alignment horizontal="center" vertical="center" wrapText="1"/>
    </xf>
    <xf numFmtId="0" fontId="13" fillId="11" borderId="20"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8" xfId="0" applyFont="1" applyBorder="1" applyAlignment="1">
      <alignment horizontal="center" vertical="center" wrapText="1"/>
    </xf>
    <xf numFmtId="0" fontId="22" fillId="0" borderId="91" xfId="0" applyFont="1" applyBorder="1" applyAlignment="1">
      <alignment horizontal="center" vertical="center" wrapText="1"/>
    </xf>
    <xf numFmtId="0" fontId="7" fillId="0" borderId="95" xfId="0" applyFont="1" applyBorder="1" applyAlignment="1">
      <alignment horizontal="center" vertical="center"/>
    </xf>
    <xf numFmtId="0" fontId="7" fillId="0" borderId="274" xfId="0" applyFont="1" applyBorder="1" applyAlignment="1">
      <alignment horizontal="center" vertical="center"/>
    </xf>
    <xf numFmtId="0" fontId="40" fillId="16" borderId="13" xfId="0" applyFont="1" applyFill="1" applyBorder="1" applyAlignment="1">
      <alignment horizontal="center" vertical="center"/>
    </xf>
    <xf numFmtId="0" fontId="40" fillId="16" borderId="12" xfId="0" applyFont="1" applyFill="1" applyBorder="1" applyAlignment="1">
      <alignment horizontal="center" vertical="center"/>
    </xf>
    <xf numFmtId="0" fontId="40" fillId="16" borderId="93" xfId="0" applyFont="1" applyFill="1" applyBorder="1" applyAlignment="1">
      <alignment horizontal="center" vertical="center"/>
    </xf>
    <xf numFmtId="0" fontId="7" fillId="0" borderId="15" xfId="0" applyFont="1" applyBorder="1" applyAlignment="1">
      <alignment horizontal="center" vertical="center" wrapText="1"/>
    </xf>
    <xf numFmtId="0" fontId="7" fillId="0" borderId="2" xfId="0" applyFont="1" applyBorder="1" applyAlignment="1">
      <alignment horizontal="center" vertical="center" wrapText="1"/>
    </xf>
    <xf numFmtId="0" fontId="7" fillId="0" borderId="96" xfId="0" applyFont="1" applyBorder="1" applyAlignment="1">
      <alignment horizontal="center" vertical="center"/>
    </xf>
    <xf numFmtId="0" fontId="72" fillId="11" borderId="235" xfId="0" applyFont="1" applyFill="1" applyBorder="1" applyAlignment="1">
      <alignment horizontal="center" vertical="center" wrapText="1"/>
    </xf>
    <xf numFmtId="0" fontId="72" fillId="11" borderId="0" xfId="0" applyFont="1" applyFill="1" applyAlignment="1">
      <alignment horizontal="center" vertical="center" wrapText="1"/>
    </xf>
    <xf numFmtId="0" fontId="22" fillId="7" borderId="99" xfId="0" applyFont="1" applyFill="1" applyBorder="1" applyAlignment="1">
      <alignment horizontal="center" vertical="center"/>
    </xf>
    <xf numFmtId="0" fontId="22" fillId="7" borderId="276" xfId="0" applyFont="1" applyFill="1" applyBorder="1" applyAlignment="1">
      <alignment horizontal="center" vertical="center"/>
    </xf>
    <xf numFmtId="0" fontId="22" fillId="0" borderId="99" xfId="0" applyFont="1" applyBorder="1" applyAlignment="1">
      <alignment horizontal="center" vertical="center"/>
    </xf>
    <xf numFmtId="0" fontId="22" fillId="0" borderId="276" xfId="0" applyFont="1" applyBorder="1" applyAlignment="1">
      <alignment horizontal="center" vertical="center"/>
    </xf>
    <xf numFmtId="0" fontId="9" fillId="0" borderId="95" xfId="5" applyBorder="1" applyAlignment="1">
      <alignment horizontal="center" vertical="center"/>
    </xf>
    <xf numFmtId="0" fontId="9" fillId="0" borderId="275" xfId="5" applyBorder="1" applyAlignment="1">
      <alignment horizontal="center" vertical="center"/>
    </xf>
    <xf numFmtId="0" fontId="22" fillId="0" borderId="0" xfId="0" applyFont="1" applyAlignment="1">
      <alignment horizontal="center" vertical="center"/>
    </xf>
    <xf numFmtId="0" fontId="0" fillId="0" borderId="2" xfId="0" applyBorder="1" applyAlignment="1">
      <alignment horizontal="center" wrapText="1"/>
    </xf>
    <xf numFmtId="0" fontId="0" fillId="0" borderId="66" xfId="0" applyBorder="1" applyAlignment="1">
      <alignment horizontal="center" vertical="center" wrapText="1"/>
    </xf>
    <xf numFmtId="0" fontId="0" fillId="0" borderId="73" xfId="0" applyBorder="1" applyAlignment="1">
      <alignment horizontal="center" vertical="center" wrapText="1"/>
    </xf>
    <xf numFmtId="0" fontId="0" fillId="0" borderId="69" xfId="0" applyBorder="1" applyAlignment="1">
      <alignment horizontal="center" vertical="center" wrapText="1"/>
    </xf>
    <xf numFmtId="0" fontId="0" fillId="0" borderId="70" xfId="0" applyBorder="1" applyAlignment="1">
      <alignment horizontal="center" vertical="center" wrapText="1"/>
    </xf>
    <xf numFmtId="0" fontId="0" fillId="0" borderId="72" xfId="0" applyBorder="1" applyAlignment="1">
      <alignment horizontal="center" vertical="center" wrapText="1"/>
    </xf>
    <xf numFmtId="0" fontId="0" fillId="0" borderId="71" xfId="0" applyBorder="1" applyAlignment="1">
      <alignment horizontal="center" vertical="center" wrapText="1"/>
    </xf>
    <xf numFmtId="0" fontId="0" fillId="0" borderId="65" xfId="0" applyBorder="1" applyAlignment="1">
      <alignment horizontal="center" vertical="center" wrapText="1"/>
    </xf>
    <xf numFmtId="0" fontId="0" fillId="0" borderId="68" xfId="0" applyBorder="1" applyAlignment="1">
      <alignment horizontal="center" vertical="center" wrapText="1"/>
    </xf>
    <xf numFmtId="0" fontId="22" fillId="0" borderId="81" xfId="0" applyFont="1" applyBorder="1" applyAlignment="1">
      <alignment horizontal="center" vertical="center" wrapText="1"/>
    </xf>
    <xf numFmtId="0" fontId="22" fillId="0" borderId="82" xfId="0" applyFont="1" applyBorder="1" applyAlignment="1">
      <alignment horizontal="center" vertical="center" wrapText="1"/>
    </xf>
    <xf numFmtId="0" fontId="22" fillId="0" borderId="83" xfId="0" applyFont="1" applyBorder="1" applyAlignment="1">
      <alignment horizontal="center" vertical="center" wrapText="1"/>
    </xf>
    <xf numFmtId="0" fontId="4" fillId="0" borderId="0" xfId="0" applyFont="1" applyAlignment="1">
      <alignment horizontal="left" wrapText="1"/>
    </xf>
    <xf numFmtId="0" fontId="4" fillId="0" borderId="3" xfId="0" applyFont="1" applyBorder="1" applyAlignment="1">
      <alignment horizontal="center"/>
    </xf>
    <xf numFmtId="0" fontId="4" fillId="0" borderId="10" xfId="0" applyFont="1" applyBorder="1" applyAlignment="1">
      <alignment horizontal="center"/>
    </xf>
    <xf numFmtId="0" fontId="4" fillId="0" borderId="11" xfId="0" applyFont="1" applyBorder="1" applyAlignment="1">
      <alignment horizontal="center"/>
    </xf>
    <xf numFmtId="0" fontId="0" fillId="0" borderId="65" xfId="0" applyBorder="1" applyAlignment="1">
      <alignment horizontal="center" vertical="center"/>
    </xf>
    <xf numFmtId="0" fontId="0" fillId="0" borderId="68" xfId="0" applyBorder="1" applyAlignment="1">
      <alignment horizontal="center" vertical="center"/>
    </xf>
    <xf numFmtId="0" fontId="39" fillId="0" borderId="75" xfId="0" applyFont="1" applyBorder="1" applyAlignment="1">
      <alignment horizontal="center" wrapText="1"/>
    </xf>
    <xf numFmtId="0" fontId="39" fillId="0" borderId="76" xfId="0" applyFont="1" applyBorder="1" applyAlignment="1">
      <alignment horizontal="center" wrapText="1"/>
    </xf>
    <xf numFmtId="0" fontId="39" fillId="0" borderId="66" xfId="0" applyFont="1" applyBorder="1" applyAlignment="1">
      <alignment horizontal="center" wrapText="1"/>
    </xf>
    <xf numFmtId="0" fontId="39" fillId="0" borderId="67" xfId="0" applyFont="1" applyBorder="1" applyAlignment="1">
      <alignment horizontal="center" wrapText="1"/>
    </xf>
    <xf numFmtId="0" fontId="39" fillId="0" borderId="73" xfId="0" applyFont="1" applyBorder="1" applyAlignment="1">
      <alignment horizontal="center" wrapText="1"/>
    </xf>
    <xf numFmtId="0" fontId="0" fillId="0" borderId="0" xfId="0" applyAlignment="1">
      <alignment horizontal="center"/>
    </xf>
    <xf numFmtId="0" fontId="0" fillId="0" borderId="0" xfId="0" applyAlignment="1">
      <alignment horizontal="left" wrapText="1"/>
    </xf>
    <xf numFmtId="0" fontId="43" fillId="0" borderId="0" xfId="0" applyFont="1" applyAlignment="1">
      <alignment horizontal="left" wrapText="1"/>
    </xf>
    <xf numFmtId="0" fontId="43" fillId="0" borderId="0" xfId="0" applyFont="1" applyAlignment="1">
      <alignment horizontal="left"/>
    </xf>
    <xf numFmtId="0" fontId="14" fillId="0" borderId="0" xfId="0" applyFont="1" applyAlignment="1">
      <alignment horizontal="left"/>
    </xf>
    <xf numFmtId="0" fontId="0" fillId="0" borderId="57" xfId="0" applyBorder="1" applyAlignment="1">
      <alignment horizontal="center" vertical="center"/>
    </xf>
    <xf numFmtId="0" fontId="0" fillId="0" borderId="74" xfId="0" applyBorder="1" applyAlignment="1">
      <alignment horizontal="center" vertical="center"/>
    </xf>
    <xf numFmtId="0" fontId="8" fillId="2" borderId="0" xfId="0" applyFont="1" applyFill="1" applyAlignment="1">
      <alignment horizontal="left" vertical="center"/>
    </xf>
    <xf numFmtId="0" fontId="0" fillId="0" borderId="57" xfId="0" applyBorder="1" applyAlignment="1">
      <alignment horizontal="center" vertical="center" wrapText="1"/>
    </xf>
    <xf numFmtId="0" fontId="39" fillId="0" borderId="65" xfId="0" applyFont="1" applyBorder="1" applyAlignment="1">
      <alignment horizontal="center" vertical="center" wrapText="1"/>
    </xf>
    <xf numFmtId="0" fontId="39" fillId="0" borderId="68" xfId="0" applyFont="1" applyBorder="1" applyAlignment="1">
      <alignment horizontal="center" vertical="center" wrapText="1"/>
    </xf>
    <xf numFmtId="0" fontId="39" fillId="0" borderId="72" xfId="0" applyFont="1" applyBorder="1" applyAlignment="1">
      <alignment horizontal="center" vertical="center" wrapText="1"/>
    </xf>
    <xf numFmtId="0" fontId="39" fillId="0" borderId="71" xfId="0" applyFont="1" applyBorder="1" applyAlignment="1">
      <alignment horizontal="center" vertical="center" wrapText="1"/>
    </xf>
    <xf numFmtId="0" fontId="0" fillId="0" borderId="2" xfId="0" applyBorder="1" applyAlignment="1">
      <alignment horizontal="center" vertical="center"/>
    </xf>
    <xf numFmtId="0" fontId="39" fillId="0" borderId="66" xfId="0" applyFont="1" applyBorder="1" applyAlignment="1">
      <alignment horizontal="center" vertical="center" wrapText="1"/>
    </xf>
    <xf numFmtId="0" fontId="39" fillId="0" borderId="73" xfId="0" applyFont="1" applyBorder="1" applyAlignment="1">
      <alignment horizontal="center" vertical="center" wrapText="1"/>
    </xf>
    <xf numFmtId="0" fontId="39" fillId="0" borderId="69" xfId="0" applyFont="1" applyBorder="1" applyAlignment="1">
      <alignment horizontal="center" vertical="center" wrapText="1"/>
    </xf>
    <xf numFmtId="0" fontId="39" fillId="0" borderId="70" xfId="0" applyFont="1" applyBorder="1" applyAlignment="1">
      <alignment horizontal="center" vertical="center" wrapText="1"/>
    </xf>
    <xf numFmtId="0" fontId="14" fillId="0" borderId="65" xfId="0" applyFont="1" applyBorder="1" applyAlignment="1">
      <alignment horizontal="center" wrapText="1"/>
    </xf>
    <xf numFmtId="0" fontId="14" fillId="0" borderId="68" xfId="0" applyFont="1" applyBorder="1" applyAlignment="1">
      <alignment horizontal="center" wrapText="1"/>
    </xf>
    <xf numFmtId="0" fontId="39" fillId="0" borderId="77" xfId="0" applyFont="1" applyBorder="1" applyAlignment="1">
      <alignment horizontal="center" wrapText="1"/>
    </xf>
    <xf numFmtId="0" fontId="0" fillId="0" borderId="81" xfId="0" applyBorder="1" applyAlignment="1">
      <alignment horizontal="center" vertical="center" wrapText="1"/>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wrapText="1"/>
    </xf>
    <xf numFmtId="0" fontId="0" fillId="0" borderId="85" xfId="0" applyBorder="1" applyAlignment="1">
      <alignment horizontal="center" vertical="center"/>
    </xf>
    <xf numFmtId="0" fontId="0" fillId="0" borderId="86" xfId="0" applyBorder="1" applyAlignment="1">
      <alignment horizontal="center" vertical="center"/>
    </xf>
    <xf numFmtId="0" fontId="2" fillId="0" borderId="90" xfId="0" applyFont="1" applyBorder="1" applyAlignment="1">
      <alignment horizontal="center" vertical="center" wrapText="1"/>
    </xf>
    <xf numFmtId="0" fontId="12" fillId="0" borderId="0" xfId="0" applyFont="1" applyAlignment="1">
      <alignment horizontal="left" vertical="top" wrapText="1"/>
    </xf>
    <xf numFmtId="0" fontId="13" fillId="11" borderId="93" xfId="0" applyFont="1" applyFill="1" applyBorder="1" applyAlignment="1">
      <alignment horizontal="center" vertical="center" wrapText="1"/>
    </xf>
    <xf numFmtId="0" fontId="8" fillId="9" borderId="89" xfId="0" applyFont="1" applyFill="1" applyBorder="1" applyAlignment="1">
      <alignment horizontal="center" vertical="center"/>
    </xf>
    <xf numFmtId="0" fontId="12" fillId="0" borderId="91" xfId="0" applyFont="1" applyBorder="1" applyAlignment="1">
      <alignment horizontal="center" vertical="top" wrapText="1"/>
    </xf>
    <xf numFmtId="0" fontId="12" fillId="0" borderId="188" xfId="0" applyFont="1" applyBorder="1" applyAlignment="1">
      <alignment horizontal="center" vertical="top" wrapText="1"/>
    </xf>
    <xf numFmtId="0" fontId="12" fillId="0" borderId="109" xfId="0" applyFont="1" applyBorder="1" applyAlignment="1">
      <alignment horizontal="center" vertical="top" wrapText="1"/>
    </xf>
    <xf numFmtId="0" fontId="12" fillId="0" borderId="91" xfId="0" applyFont="1" applyBorder="1" applyAlignment="1">
      <alignment horizontal="center" vertical="center" wrapText="1"/>
    </xf>
    <xf numFmtId="0" fontId="12" fillId="0" borderId="188" xfId="0" applyFont="1" applyBorder="1" applyAlignment="1">
      <alignment horizontal="center" vertical="center"/>
    </xf>
    <xf numFmtId="0" fontId="12" fillId="0" borderId="109" xfId="0" applyFont="1" applyBorder="1" applyAlignment="1">
      <alignment horizontal="center" vertical="center"/>
    </xf>
    <xf numFmtId="0" fontId="22" fillId="0" borderId="89" xfId="0" applyFont="1" applyBorder="1" applyAlignment="1">
      <alignment horizontal="center" vertical="center"/>
    </xf>
    <xf numFmtId="0" fontId="7" fillId="0" borderId="98" xfId="0" applyFont="1" applyBorder="1" applyAlignment="1">
      <alignment horizontal="left" vertical="center" wrapText="1"/>
    </xf>
    <xf numFmtId="0" fontId="13" fillId="11" borderId="19" xfId="0" applyFont="1" applyFill="1" applyBorder="1" applyAlignment="1">
      <alignment horizontal="center" vertical="center" wrapText="1"/>
    </xf>
    <xf numFmtId="0" fontId="24" fillId="22" borderId="277" xfId="13" applyFont="1" applyFill="1" applyBorder="1" applyAlignment="1">
      <alignment horizontal="center" vertical="center" wrapText="1"/>
    </xf>
    <xf numFmtId="0" fontId="24" fillId="22" borderId="278" xfId="13" applyFont="1" applyFill="1" applyBorder="1" applyAlignment="1">
      <alignment horizontal="center" vertical="center" wrapText="1"/>
    </xf>
    <xf numFmtId="0" fontId="24" fillId="22" borderId="13" xfId="13" applyFont="1" applyFill="1" applyBorder="1" applyAlignment="1">
      <alignment horizontal="center" vertical="center" wrapText="1"/>
    </xf>
    <xf numFmtId="0" fontId="24" fillId="22" borderId="15" xfId="13" applyFont="1" applyFill="1" applyBorder="1" applyAlignment="1">
      <alignment horizontal="center" vertical="center" wrapText="1"/>
    </xf>
    <xf numFmtId="0" fontId="22" fillId="0" borderId="59" xfId="0" applyFont="1" applyBorder="1" applyAlignment="1">
      <alignment horizontal="center" vertical="center" wrapText="1"/>
    </xf>
    <xf numFmtId="0" fontId="22" fillId="0" borderId="251" xfId="0" applyFont="1" applyBorder="1" applyAlignment="1">
      <alignment horizontal="center" vertical="center" wrapText="1"/>
    </xf>
    <xf numFmtId="0" fontId="22" fillId="0" borderId="252" xfId="0" applyFont="1" applyBorder="1" applyAlignment="1">
      <alignment horizontal="center" vertical="center" wrapText="1"/>
    </xf>
    <xf numFmtId="0" fontId="13" fillId="11" borderId="260" xfId="0" applyFont="1" applyFill="1" applyBorder="1" applyAlignment="1">
      <alignment horizontal="center" vertical="center" wrapText="1"/>
    </xf>
    <xf numFmtId="0" fontId="13" fillId="11" borderId="254" xfId="0" applyFont="1" applyFill="1" applyBorder="1" applyAlignment="1">
      <alignment horizontal="center" vertical="center" wrapText="1"/>
    </xf>
    <xf numFmtId="0" fontId="13" fillId="23" borderId="247" xfId="13" applyFont="1" applyFill="1" applyBorder="1" applyAlignment="1">
      <alignment horizontal="center" vertical="center" wrapText="1"/>
    </xf>
    <xf numFmtId="0" fontId="13" fillId="23" borderId="0" xfId="13" applyFont="1" applyFill="1" applyAlignment="1">
      <alignment horizontal="center" vertical="center" wrapText="1"/>
    </xf>
    <xf numFmtId="0" fontId="7" fillId="0" borderId="244" xfId="0" applyFont="1" applyBorder="1" applyAlignment="1">
      <alignment horizontal="center" vertical="center" wrapText="1"/>
    </xf>
    <xf numFmtId="0" fontId="7" fillId="0" borderId="245" xfId="0" applyFont="1" applyBorder="1" applyAlignment="1">
      <alignment horizontal="center" vertical="center" wrapText="1"/>
    </xf>
    <xf numFmtId="0" fontId="7" fillId="0" borderId="246" xfId="0" applyFont="1" applyBorder="1" applyAlignment="1">
      <alignment horizontal="center" vertical="center" wrapText="1"/>
    </xf>
    <xf numFmtId="43" fontId="24" fillId="0" borderId="3" xfId="6" applyFont="1" applyBorder="1" applyAlignment="1">
      <alignment horizontal="left" vertical="center"/>
    </xf>
    <xf numFmtId="43" fontId="24" fillId="0" borderId="10" xfId="6" applyFont="1" applyBorder="1" applyAlignment="1">
      <alignment horizontal="left" vertical="center"/>
    </xf>
    <xf numFmtId="43" fontId="24" fillId="0" borderId="11" xfId="6" applyFont="1" applyBorder="1" applyAlignment="1">
      <alignment horizontal="left" vertical="center"/>
    </xf>
    <xf numFmtId="43" fontId="22" fillId="0" borderId="16" xfId="6" applyFont="1" applyBorder="1" applyAlignment="1">
      <alignment horizontal="center" vertical="center" wrapText="1"/>
    </xf>
    <xf numFmtId="43" fontId="22" fillId="0" borderId="18" xfId="6" applyFont="1" applyBorder="1" applyAlignment="1">
      <alignment horizontal="center" vertical="center" wrapText="1"/>
    </xf>
    <xf numFmtId="0" fontId="7" fillId="0" borderId="0" xfId="0" applyFont="1" applyAlignment="1">
      <alignment horizontal="center" wrapText="1"/>
    </xf>
    <xf numFmtId="0" fontId="8" fillId="9" borderId="89" xfId="0" applyFont="1" applyFill="1" applyBorder="1" applyAlignment="1">
      <alignment horizontal="center" vertical="center" wrapText="1"/>
    </xf>
    <xf numFmtId="0" fontId="13" fillId="11" borderId="17" xfId="0" applyFont="1" applyFill="1" applyBorder="1" applyAlignment="1">
      <alignment horizontal="center" vertical="center" wrapText="1"/>
    </xf>
    <xf numFmtId="0" fontId="7" fillId="17" borderId="99" xfId="0" applyFont="1" applyFill="1" applyBorder="1" applyAlignment="1">
      <alignment horizontal="center"/>
    </xf>
    <xf numFmtId="0" fontId="8" fillId="20" borderId="99" xfId="0" applyFont="1" applyFill="1" applyBorder="1" applyAlignment="1">
      <alignment horizontal="center" vertical="center"/>
    </xf>
    <xf numFmtId="0" fontId="7" fillId="10" borderId="2" xfId="0" applyFont="1" applyFill="1" applyBorder="1" applyAlignment="1">
      <alignment horizontal="left" vertical="center"/>
    </xf>
    <xf numFmtId="0" fontId="13" fillId="11" borderId="20" xfId="0" applyFont="1" applyFill="1" applyBorder="1" applyAlignment="1">
      <alignment horizontal="center" vertical="center"/>
    </xf>
    <xf numFmtId="0" fontId="24" fillId="9" borderId="234" xfId="0" applyFont="1" applyFill="1" applyBorder="1" applyAlignment="1">
      <alignment horizontal="center" vertical="center" wrapText="1"/>
    </xf>
    <xf numFmtId="0" fontId="24" fillId="9" borderId="99"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4" fillId="9" borderId="20" xfId="0" applyFont="1" applyFill="1" applyBorder="1" applyAlignment="1">
      <alignment horizontal="center" vertical="center" wrapText="1"/>
    </xf>
    <xf numFmtId="0" fontId="63" fillId="21" borderId="0" xfId="0" applyFont="1" applyFill="1" applyAlignment="1">
      <alignment horizontal="center" vertical="center"/>
    </xf>
    <xf numFmtId="0" fontId="0" fillId="0" borderId="0" xfId="0"/>
    <xf numFmtId="0" fontId="14" fillId="0" borderId="99" xfId="0" applyFont="1" applyBorder="1" applyAlignment="1">
      <alignment horizontal="center" vertical="center" wrapText="1"/>
    </xf>
    <xf numFmtId="0" fontId="66" fillId="21" borderId="236" xfId="0" applyFont="1" applyFill="1" applyBorder="1" applyAlignment="1">
      <alignment horizontal="center" vertical="center"/>
    </xf>
    <xf numFmtId="0" fontId="23" fillId="0" borderId="139" xfId="0" applyFont="1" applyBorder="1" applyAlignment="1">
      <alignment horizontal="center" vertical="center" wrapText="1"/>
    </xf>
    <xf numFmtId="0" fontId="23" fillId="0" borderId="144" xfId="0" applyFont="1" applyBorder="1" applyAlignment="1">
      <alignment horizontal="center" vertical="center" wrapText="1"/>
    </xf>
    <xf numFmtId="0" fontId="23" fillId="0" borderId="146" xfId="0" applyFont="1" applyBorder="1" applyAlignment="1">
      <alignment horizontal="center" vertical="center" wrapText="1"/>
    </xf>
    <xf numFmtId="0" fontId="23" fillId="0" borderId="140" xfId="0" applyFont="1" applyBorder="1" applyAlignment="1">
      <alignment horizontal="center" vertical="center" wrapText="1"/>
    </xf>
    <xf numFmtId="0" fontId="23" fillId="0" borderId="89" xfId="0" applyFont="1" applyBorder="1" applyAlignment="1">
      <alignment horizontal="center" vertical="center" wrapText="1"/>
    </xf>
    <xf numFmtId="0" fontId="23" fillId="0" borderId="147" xfId="0" applyFont="1" applyBorder="1" applyAlignment="1">
      <alignment horizontal="center" vertical="center" wrapText="1"/>
    </xf>
    <xf numFmtId="0" fontId="23" fillId="0" borderId="228" xfId="0" applyFont="1" applyBorder="1" applyAlignment="1">
      <alignment horizontal="center" vertical="center" wrapText="1"/>
    </xf>
    <xf numFmtId="0" fontId="23" fillId="0" borderId="92" xfId="0" applyFont="1" applyBorder="1" applyAlignment="1">
      <alignment horizontal="center" vertical="center" wrapText="1"/>
    </xf>
    <xf numFmtId="0" fontId="23" fillId="0" borderId="229" xfId="0" applyFont="1" applyBorder="1" applyAlignment="1">
      <alignment horizontal="center" vertical="center" wrapText="1"/>
    </xf>
    <xf numFmtId="0" fontId="55" fillId="0" borderId="228" xfId="0" applyFont="1" applyBorder="1" applyAlignment="1">
      <alignment horizontal="center" vertical="center" wrapText="1"/>
    </xf>
    <xf numFmtId="0" fontId="55" fillId="0" borderId="92" xfId="0" applyFont="1" applyBorder="1" applyAlignment="1">
      <alignment horizontal="center" vertical="center" wrapText="1"/>
    </xf>
    <xf numFmtId="0" fontId="55" fillId="0" borderId="229" xfId="0" applyFont="1" applyBorder="1" applyAlignment="1">
      <alignment horizontal="center" vertical="center" wrapText="1"/>
    </xf>
    <xf numFmtId="0" fontId="23" fillId="0" borderId="153" xfId="0" applyFont="1" applyBorder="1" applyAlignment="1">
      <alignment horizontal="center" vertical="center" wrapText="1"/>
    </xf>
    <xf numFmtId="0" fontId="23" fillId="0" borderId="154" xfId="0" applyFont="1" applyBorder="1" applyAlignment="1">
      <alignment horizontal="center" vertical="center" wrapText="1"/>
    </xf>
    <xf numFmtId="0" fontId="23" fillId="0" borderId="156" xfId="0" applyFont="1" applyBorder="1" applyAlignment="1">
      <alignment horizontal="center" vertical="center" wrapText="1"/>
    </xf>
    <xf numFmtId="0" fontId="23" fillId="0" borderId="230" xfId="0" applyFont="1" applyBorder="1" applyAlignment="1">
      <alignment horizontal="center" vertical="center" wrapText="1"/>
    </xf>
    <xf numFmtId="0" fontId="23" fillId="0" borderId="231" xfId="0" applyFont="1" applyBorder="1" applyAlignment="1">
      <alignment horizontal="center" vertical="center" wrapText="1"/>
    </xf>
    <xf numFmtId="0" fontId="23" fillId="0" borderId="232" xfId="0" applyFont="1" applyBorder="1" applyAlignment="1">
      <alignment horizontal="center" vertical="center" wrapText="1"/>
    </xf>
    <xf numFmtId="0" fontId="23" fillId="0" borderId="140" xfId="0" applyFont="1" applyBorder="1" applyAlignment="1">
      <alignment horizontal="center" vertical="center"/>
    </xf>
    <xf numFmtId="0" fontId="23" fillId="0" borderId="89" xfId="0" applyFont="1" applyBorder="1" applyAlignment="1">
      <alignment horizontal="center" vertical="center"/>
    </xf>
    <xf numFmtId="0" fontId="23" fillId="0" borderId="147" xfId="0" applyFont="1" applyBorder="1" applyAlignment="1">
      <alignment horizontal="center" vertical="center"/>
    </xf>
    <xf numFmtId="0" fontId="23" fillId="0" borderId="141" xfId="0" applyFont="1" applyBorder="1" applyAlignment="1">
      <alignment horizontal="center" vertical="center" wrapText="1"/>
    </xf>
    <xf numFmtId="0" fontId="23" fillId="0" borderId="104" xfId="0" applyFont="1" applyBorder="1" applyAlignment="1">
      <alignment horizontal="center" vertical="center" wrapText="1"/>
    </xf>
    <xf numFmtId="0" fontId="23" fillId="0" borderId="148" xfId="0" applyFont="1" applyBorder="1" applyAlignment="1">
      <alignment horizontal="center" vertical="center" wrapText="1"/>
    </xf>
    <xf numFmtId="0" fontId="23" fillId="0" borderId="108" xfId="0" applyFont="1" applyBorder="1" applyAlignment="1">
      <alignment horizontal="center" vertical="center" wrapText="1"/>
    </xf>
    <xf numFmtId="0" fontId="23" fillId="0" borderId="103" xfId="0" applyFont="1" applyBorder="1" applyAlignment="1">
      <alignment horizontal="center" vertical="center" wrapText="1"/>
    </xf>
    <xf numFmtId="0" fontId="23" fillId="0" borderId="105" xfId="0" applyFont="1" applyBorder="1" applyAlignment="1">
      <alignment horizontal="center" vertical="center" wrapText="1"/>
    </xf>
    <xf numFmtId="0" fontId="23" fillId="0" borderId="109" xfId="0" applyFont="1" applyBorder="1" applyAlignment="1">
      <alignment horizontal="center" vertical="center" wrapText="1"/>
    </xf>
    <xf numFmtId="0" fontId="23" fillId="0" borderId="106" xfId="0" applyFont="1" applyBorder="1" applyAlignment="1">
      <alignment horizontal="center" vertical="center" wrapText="1"/>
    </xf>
    <xf numFmtId="0" fontId="23" fillId="0" borderId="109" xfId="0" applyFont="1" applyBorder="1" applyAlignment="1">
      <alignment horizontal="center" vertical="center"/>
    </xf>
    <xf numFmtId="0" fontId="23" fillId="0" borderId="106" xfId="0" applyFont="1" applyBorder="1" applyAlignment="1">
      <alignment horizontal="center" vertical="center"/>
    </xf>
    <xf numFmtId="0" fontId="23" fillId="0" borderId="100" xfId="0" applyFont="1" applyBorder="1" applyAlignment="1">
      <alignment horizontal="center" vertical="center" wrapText="1"/>
    </xf>
    <xf numFmtId="0" fontId="23" fillId="0" borderId="117" xfId="0" applyFont="1" applyBorder="1" applyAlignment="1">
      <alignment horizontal="center" vertical="center" wrapText="1"/>
    </xf>
    <xf numFmtId="0" fontId="23" fillId="0" borderId="101" xfId="0" applyFont="1" applyBorder="1" applyAlignment="1">
      <alignment horizontal="center" vertical="center" wrapText="1"/>
    </xf>
    <xf numFmtId="0" fontId="23" fillId="0" borderId="91" xfId="0" applyFont="1" applyBorder="1" applyAlignment="1">
      <alignment horizontal="center" vertical="center" wrapText="1"/>
    </xf>
    <xf numFmtId="0" fontId="46" fillId="0" borderId="109" xfId="0" applyFont="1" applyBorder="1" applyAlignment="1">
      <alignment horizontal="center" vertical="center" wrapText="1"/>
    </xf>
    <xf numFmtId="0" fontId="46" fillId="0" borderId="89" xfId="0" applyFont="1" applyBorder="1" applyAlignment="1">
      <alignment horizontal="center" vertical="center" wrapText="1"/>
    </xf>
    <xf numFmtId="0" fontId="46" fillId="0" borderId="91" xfId="0" applyFont="1" applyBorder="1" applyAlignment="1">
      <alignment horizontal="center" vertical="center" wrapText="1"/>
    </xf>
    <xf numFmtId="0" fontId="23" fillId="0" borderId="162" xfId="0" applyFont="1" applyBorder="1" applyAlignment="1">
      <alignment horizontal="center" vertical="center" wrapText="1"/>
    </xf>
    <xf numFmtId="0" fontId="23" fillId="0" borderId="163" xfId="0" applyFont="1" applyBorder="1" applyAlignment="1">
      <alignment horizontal="center" vertical="center" wrapText="1"/>
    </xf>
    <xf numFmtId="0" fontId="23" fillId="0" borderId="164" xfId="0" applyFont="1" applyBorder="1" applyAlignment="1">
      <alignment horizontal="center" vertical="center" wrapText="1"/>
    </xf>
    <xf numFmtId="0" fontId="48" fillId="0" borderId="183" xfId="0" applyFont="1" applyBorder="1" applyAlignment="1">
      <alignment horizontal="center" vertical="center" wrapText="1"/>
    </xf>
    <xf numFmtId="0" fontId="48" fillId="0" borderId="185" xfId="0" applyFont="1" applyBorder="1" applyAlignment="1">
      <alignment horizontal="center" vertical="center" wrapText="1"/>
    </xf>
    <xf numFmtId="0" fontId="23" fillId="0" borderId="182" xfId="0" applyFont="1" applyBorder="1" applyAlignment="1">
      <alignment horizontal="center" vertical="center" wrapText="1"/>
    </xf>
    <xf numFmtId="0" fontId="23" fillId="0" borderId="183" xfId="0" applyFont="1" applyBorder="1" applyAlignment="1">
      <alignment horizontal="center" vertical="center" wrapText="1"/>
    </xf>
    <xf numFmtId="0" fontId="23" fillId="0" borderId="185"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8" xfId="0" applyFont="1" applyBorder="1" applyAlignment="1">
      <alignment horizontal="center" vertical="center" wrapText="1"/>
    </xf>
    <xf numFmtId="0" fontId="23" fillId="0" borderId="1" xfId="0" applyFont="1" applyBorder="1" applyAlignment="1">
      <alignment horizontal="center" vertical="center" wrapText="1"/>
    </xf>
    <xf numFmtId="0" fontId="23" fillId="0" borderId="2" xfId="0" applyFont="1" applyBorder="1" applyAlignment="1">
      <alignment horizontal="center" vertical="center" wrapText="1"/>
    </xf>
    <xf numFmtId="0" fontId="23" fillId="0" borderId="30"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9" xfId="0" applyFont="1" applyBorder="1" applyAlignment="1">
      <alignment horizontal="center" vertical="center" wrapText="1"/>
    </xf>
    <xf numFmtId="0" fontId="8" fillId="9" borderId="2" xfId="0" applyFont="1" applyFill="1" applyBorder="1" applyAlignment="1">
      <alignment horizontal="center" vertical="center"/>
    </xf>
    <xf numFmtId="0" fontId="8" fillId="9" borderId="12" xfId="0" applyFont="1" applyFill="1" applyBorder="1" applyAlignment="1">
      <alignment horizontal="center" vertical="center"/>
    </xf>
    <xf numFmtId="0" fontId="23" fillId="0" borderId="41" xfId="0" applyFont="1" applyBorder="1" applyAlignment="1">
      <alignment horizontal="center" vertical="center"/>
    </xf>
    <xf numFmtId="0" fontId="23" fillId="0" borderId="44" xfId="0" applyFont="1" applyBorder="1" applyAlignment="1">
      <alignment horizontal="center" vertical="center"/>
    </xf>
    <xf numFmtId="0" fontId="23" fillId="0" borderId="46" xfId="0" applyFont="1" applyBorder="1" applyAlignment="1">
      <alignment horizontal="center" vertical="center"/>
    </xf>
    <xf numFmtId="0" fontId="23" fillId="0" borderId="42"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35" xfId="0" applyFont="1" applyBorder="1" applyAlignment="1">
      <alignment horizontal="center" vertical="center" wrapText="1"/>
    </xf>
    <xf numFmtId="0" fontId="23" fillId="0" borderId="43" xfId="0" applyFont="1" applyBorder="1" applyAlignment="1">
      <alignment horizontal="center" vertical="center" wrapText="1"/>
    </xf>
    <xf numFmtId="0" fontId="23" fillId="0" borderId="45" xfId="0" applyFont="1" applyBorder="1" applyAlignment="1">
      <alignment horizontal="center" vertical="center" wrapText="1"/>
    </xf>
    <xf numFmtId="0" fontId="23" fillId="0" borderId="47" xfId="0" applyFont="1" applyBorder="1" applyAlignment="1">
      <alignment horizontal="center" vertical="center" wrapText="1"/>
    </xf>
    <xf numFmtId="0" fontId="23" fillId="0" borderId="41" xfId="0" applyFont="1" applyBorder="1" applyAlignment="1">
      <alignment horizontal="center" vertical="center" wrapText="1"/>
    </xf>
    <xf numFmtId="0" fontId="23" fillId="0" borderId="44" xfId="0" applyFont="1" applyBorder="1" applyAlignment="1">
      <alignment horizontal="center" vertical="center" wrapText="1"/>
    </xf>
    <xf numFmtId="0" fontId="23" fillId="0" borderId="50" xfId="0" applyFont="1" applyBorder="1" applyAlignment="1">
      <alignment horizontal="center" vertical="center" wrapText="1"/>
    </xf>
    <xf numFmtId="0" fontId="23" fillId="0" borderId="51" xfId="0" applyFont="1" applyBorder="1" applyAlignment="1">
      <alignment horizontal="center" vertical="center" wrapText="1"/>
    </xf>
    <xf numFmtId="0" fontId="23" fillId="0" borderId="52" xfId="0" applyFont="1" applyBorder="1" applyAlignment="1">
      <alignment horizontal="center" vertical="center" wrapText="1"/>
    </xf>
    <xf numFmtId="0" fontId="23" fillId="0" borderId="48" xfId="0" applyFont="1" applyBorder="1" applyAlignment="1">
      <alignment horizontal="center" vertical="center" wrapText="1"/>
    </xf>
    <xf numFmtId="0" fontId="23" fillId="0" borderId="79" xfId="0" applyFont="1" applyBorder="1" applyAlignment="1">
      <alignment horizontal="center" vertical="center" wrapText="1"/>
    </xf>
    <xf numFmtId="0" fontId="23" fillId="0" borderId="80" xfId="0" applyFont="1" applyBorder="1" applyAlignment="1">
      <alignment horizontal="center" vertical="center" wrapText="1"/>
    </xf>
    <xf numFmtId="0" fontId="19" fillId="9" borderId="2" xfId="0" applyFont="1" applyFill="1" applyBorder="1" applyAlignment="1">
      <alignment horizontal="center" vertical="center" wrapText="1"/>
    </xf>
    <xf numFmtId="0" fontId="23" fillId="0" borderId="36" xfId="0" applyFont="1" applyBorder="1" applyAlignment="1">
      <alignment horizontal="center" vertical="center" wrapText="1"/>
    </xf>
    <xf numFmtId="0" fontId="23" fillId="0" borderId="49" xfId="0" applyFont="1" applyBorder="1" applyAlignment="1">
      <alignment horizontal="center" vertical="center" wrapText="1"/>
    </xf>
    <xf numFmtId="0" fontId="23" fillId="0" borderId="46" xfId="0" applyFont="1" applyBorder="1" applyAlignment="1">
      <alignment horizontal="center" vertical="center" wrapText="1"/>
    </xf>
    <xf numFmtId="0" fontId="23" fillId="0" borderId="110" xfId="0" applyFont="1" applyBorder="1" applyAlignment="1">
      <alignment horizontal="center" vertical="center" wrapText="1"/>
    </xf>
    <xf numFmtId="0" fontId="23" fillId="0" borderId="107" xfId="0" applyFont="1" applyBorder="1" applyAlignment="1">
      <alignment horizontal="center" vertical="center" wrapText="1"/>
    </xf>
    <xf numFmtId="0" fontId="23" fillId="0" borderId="151" xfId="0" applyFont="1" applyBorder="1" applyAlignment="1">
      <alignment horizontal="center" vertical="center" wrapText="1"/>
    </xf>
    <xf numFmtId="0" fontId="23" fillId="0" borderId="152" xfId="0" applyFont="1" applyBorder="1" applyAlignment="1">
      <alignment horizontal="center" vertical="center" wrapText="1"/>
    </xf>
    <xf numFmtId="0" fontId="23" fillId="0" borderId="102" xfId="0" applyFont="1" applyBorder="1" applyAlignment="1">
      <alignment horizontal="center" vertical="center" wrapText="1"/>
    </xf>
    <xf numFmtId="0" fontId="23" fillId="0" borderId="114" xfId="0" applyFont="1" applyBorder="1" applyAlignment="1">
      <alignment horizontal="center" vertical="center" wrapText="1"/>
    </xf>
    <xf numFmtId="0" fontId="8" fillId="9" borderId="115" xfId="0" applyFont="1" applyFill="1" applyBorder="1" applyAlignment="1">
      <alignment horizontal="center" vertical="center"/>
    </xf>
    <xf numFmtId="0" fontId="8" fillId="9" borderId="116" xfId="0" applyFont="1" applyFill="1" applyBorder="1" applyAlignment="1">
      <alignment horizontal="center" vertical="center"/>
    </xf>
    <xf numFmtId="0" fontId="8" fillId="9" borderId="118" xfId="0" applyFont="1" applyFill="1" applyBorder="1" applyAlignment="1">
      <alignment horizontal="center" vertical="center"/>
    </xf>
    <xf numFmtId="0" fontId="46" fillId="0" borderId="101" xfId="0" applyFont="1" applyBorder="1" applyAlignment="1">
      <alignment horizontal="center" vertical="center"/>
    </xf>
    <xf numFmtId="0" fontId="46" fillId="0" borderId="89" xfId="0" applyFont="1" applyBorder="1" applyAlignment="1">
      <alignment horizontal="center" vertical="center"/>
    </xf>
    <xf numFmtId="0" fontId="46" fillId="0" borderId="106" xfId="0" applyFont="1" applyBorder="1" applyAlignment="1">
      <alignment horizontal="center" vertical="center"/>
    </xf>
    <xf numFmtId="0" fontId="23" fillId="0" borderId="101" xfId="0" applyFont="1" applyBorder="1" applyAlignment="1">
      <alignment horizontal="center" vertical="center"/>
    </xf>
    <xf numFmtId="0" fontId="55" fillId="0" borderId="151" xfId="0" applyFont="1" applyBorder="1" applyAlignment="1">
      <alignment horizontal="center" vertical="center" wrapText="1"/>
    </xf>
    <xf numFmtId="0" fontId="55" fillId="0" borderId="152" xfId="0" applyFont="1" applyBorder="1" applyAlignment="1">
      <alignment horizontal="center" vertical="center" wrapText="1"/>
    </xf>
    <xf numFmtId="0" fontId="54" fillId="0" borderId="101" xfId="0" applyFont="1" applyBorder="1" applyAlignment="1">
      <alignment horizontal="center" vertical="center"/>
    </xf>
    <xf numFmtId="0" fontId="54" fillId="0" borderId="89" xfId="0" applyFont="1" applyBorder="1" applyAlignment="1">
      <alignment horizontal="center" vertical="center"/>
    </xf>
    <xf numFmtId="0" fontId="54" fillId="0" borderId="106" xfId="0" applyFont="1" applyBorder="1" applyAlignment="1">
      <alignment horizontal="center" vertical="center"/>
    </xf>
    <xf numFmtId="0" fontId="46" fillId="0" borderId="151" xfId="0" applyFont="1" applyBorder="1" applyAlignment="1">
      <alignment horizontal="center" vertical="center" wrapText="1"/>
    </xf>
    <xf numFmtId="0" fontId="46" fillId="0" borderId="92" xfId="0" applyFont="1" applyBorder="1" applyAlignment="1">
      <alignment horizontal="center" vertical="center" wrapText="1"/>
    </xf>
    <xf numFmtId="0" fontId="46" fillId="0" borderId="152" xfId="0" applyFont="1" applyBorder="1" applyAlignment="1">
      <alignment horizontal="center" vertical="center" wrapText="1"/>
    </xf>
    <xf numFmtId="0" fontId="54" fillId="0" borderId="109" xfId="0" applyFont="1" applyBorder="1" applyAlignment="1">
      <alignment horizontal="center" vertical="center"/>
    </xf>
    <xf numFmtId="0" fontId="46" fillId="0" borderId="106" xfId="0" applyFont="1" applyBorder="1" applyAlignment="1">
      <alignment horizontal="center" vertical="center" wrapText="1"/>
    </xf>
    <xf numFmtId="0" fontId="55" fillId="0" borderId="115" xfId="0" applyFont="1" applyBorder="1" applyAlignment="1">
      <alignment horizontal="center" vertical="center" wrapText="1"/>
    </xf>
    <xf numFmtId="0" fontId="55" fillId="0" borderId="90" xfId="0" applyFont="1" applyBorder="1" applyAlignment="1">
      <alignment horizontal="center" vertical="center" wrapText="1"/>
    </xf>
    <xf numFmtId="0" fontId="55" fillId="0" borderId="222" xfId="0" applyFont="1" applyBorder="1" applyAlignment="1">
      <alignment horizontal="center" vertical="center" wrapText="1"/>
    </xf>
    <xf numFmtId="0" fontId="48" fillId="0" borderId="110" xfId="0" applyFont="1" applyBorder="1" applyAlignment="1">
      <alignment horizontal="center" vertical="center" wrapText="1"/>
    </xf>
    <xf numFmtId="0" fontId="48" fillId="0" borderId="104" xfId="0" applyFont="1" applyBorder="1" applyAlignment="1">
      <alignment horizontal="center" vertical="center" wrapText="1"/>
    </xf>
    <xf numFmtId="0" fontId="48" fillId="0" borderId="114" xfId="0" applyFont="1" applyBorder="1" applyAlignment="1">
      <alignment horizontal="center" vertical="center" wrapText="1"/>
    </xf>
    <xf numFmtId="0" fontId="19" fillId="9" borderId="0" xfId="0" applyFont="1" applyFill="1" applyAlignment="1">
      <alignment horizontal="center" vertical="center" wrapText="1"/>
    </xf>
    <xf numFmtId="0" fontId="19" fillId="9" borderId="97" xfId="0" applyFont="1" applyFill="1" applyBorder="1" applyAlignment="1">
      <alignment horizontal="center" vertical="center" wrapText="1"/>
    </xf>
    <xf numFmtId="0" fontId="23" fillId="0" borderId="200" xfId="0" applyFont="1" applyBorder="1" applyAlignment="1">
      <alignment horizontal="center" vertical="center" wrapText="1"/>
    </xf>
    <xf numFmtId="0" fontId="23" fillId="0" borderId="212" xfId="0" applyFont="1" applyBorder="1" applyAlignment="1">
      <alignment horizontal="center" vertical="center"/>
    </xf>
    <xf numFmtId="0" fontId="23" fillId="0" borderId="188" xfId="0" applyFont="1" applyBorder="1" applyAlignment="1">
      <alignment horizontal="center" vertical="center"/>
    </xf>
    <xf numFmtId="0" fontId="23" fillId="0" borderId="189" xfId="0" applyFont="1" applyBorder="1" applyAlignment="1">
      <alignment horizontal="center" vertical="center"/>
    </xf>
    <xf numFmtId="0" fontId="23" fillId="0" borderId="143" xfId="0" applyFont="1" applyBorder="1" applyAlignment="1">
      <alignment horizontal="center" vertical="center" wrapText="1"/>
    </xf>
    <xf numFmtId="0" fontId="23" fillId="0" borderId="145" xfId="0" applyFont="1" applyBorder="1" applyAlignment="1">
      <alignment horizontal="center" vertical="center" wrapText="1"/>
    </xf>
    <xf numFmtId="0" fontId="23" fillId="0" borderId="201" xfId="0" applyFont="1" applyBorder="1" applyAlignment="1">
      <alignment horizontal="center" vertical="center" wrapText="1"/>
    </xf>
    <xf numFmtId="0" fontId="46" fillId="0" borderId="91" xfId="0" applyFont="1" applyBorder="1" applyAlignment="1">
      <alignment horizontal="center" vertical="center"/>
    </xf>
    <xf numFmtId="0" fontId="46" fillId="0" borderId="140" xfId="0" applyFont="1" applyBorder="1" applyAlignment="1">
      <alignment horizontal="center" vertical="center"/>
    </xf>
    <xf numFmtId="0" fontId="46" fillId="0" borderId="147" xfId="0" applyFont="1" applyBorder="1" applyAlignment="1">
      <alignment horizontal="center" vertical="center"/>
    </xf>
    <xf numFmtId="3" fontId="23" fillId="0" borderId="101" xfId="0" applyNumberFormat="1" applyFont="1" applyBorder="1" applyAlignment="1">
      <alignment horizontal="center" vertical="center" wrapText="1"/>
    </xf>
    <xf numFmtId="0" fontId="23" fillId="0" borderId="221" xfId="0" applyFont="1" applyBorder="1" applyAlignment="1">
      <alignment horizontal="center" vertical="center" wrapText="1"/>
    </xf>
    <xf numFmtId="0" fontId="23" fillId="0" borderId="123" xfId="0" applyFont="1" applyBorder="1" applyAlignment="1">
      <alignment horizontal="center" vertical="center"/>
    </xf>
    <xf numFmtId="0" fontId="23" fillId="0" borderId="17" xfId="0" applyFont="1" applyBorder="1" applyAlignment="1">
      <alignment horizontal="center" vertical="center"/>
    </xf>
    <xf numFmtId="0" fontId="23" fillId="0" borderId="124" xfId="0" applyFont="1" applyBorder="1" applyAlignment="1">
      <alignment horizontal="center" vertical="center"/>
    </xf>
    <xf numFmtId="0" fontId="23" fillId="18" borderId="100" xfId="0" applyFont="1" applyFill="1" applyBorder="1" applyAlignment="1">
      <alignment horizontal="center" vertical="center" wrapText="1"/>
    </xf>
    <xf numFmtId="0" fontId="23" fillId="18" borderId="103" xfId="0" applyFont="1" applyFill="1" applyBorder="1" applyAlignment="1">
      <alignment horizontal="center" vertical="center" wrapText="1"/>
    </xf>
    <xf numFmtId="0" fontId="23" fillId="18" borderId="105" xfId="0" applyFont="1" applyFill="1" applyBorder="1" applyAlignment="1">
      <alignment horizontal="center" vertical="center" wrapText="1"/>
    </xf>
    <xf numFmtId="0" fontId="8" fillId="9" borderId="90" xfId="0" applyFont="1" applyFill="1" applyBorder="1" applyAlignment="1">
      <alignment horizontal="center" vertical="center"/>
    </xf>
    <xf numFmtId="0" fontId="8" fillId="9" borderId="0" xfId="0" applyFont="1" applyFill="1" applyAlignment="1">
      <alignment horizontal="center" vertical="center"/>
    </xf>
    <xf numFmtId="0" fontId="8" fillId="9" borderId="97" xfId="0" applyFont="1" applyFill="1" applyBorder="1" applyAlignment="1">
      <alignment horizontal="center" vertical="center"/>
    </xf>
    <xf numFmtId="0" fontId="23" fillId="0" borderId="150" xfId="0" applyFont="1" applyBorder="1" applyAlignment="1">
      <alignment horizontal="center" vertical="center" wrapText="1"/>
    </xf>
    <xf numFmtId="0" fontId="48" fillId="0" borderId="102" xfId="0" applyFont="1" applyBorder="1" applyAlignment="1">
      <alignment horizontal="center" vertical="center" wrapText="1"/>
    </xf>
    <xf numFmtId="0" fontId="48" fillId="0" borderId="107" xfId="0" applyFont="1" applyBorder="1" applyAlignment="1">
      <alignment horizontal="center" vertical="center" wrapText="1"/>
    </xf>
    <xf numFmtId="0" fontId="23" fillId="0" borderId="196" xfId="0" applyFont="1" applyBorder="1" applyAlignment="1">
      <alignment horizontal="center" vertical="center" wrapText="1"/>
    </xf>
    <xf numFmtId="0" fontId="23" fillId="0" borderId="190" xfId="0" applyFont="1" applyBorder="1" applyAlignment="1">
      <alignment horizontal="center" vertical="center" wrapText="1"/>
    </xf>
    <xf numFmtId="0" fontId="23" fillId="0" borderId="158" xfId="0" applyFont="1" applyBorder="1" applyAlignment="1">
      <alignment horizontal="center" vertical="center" wrapText="1"/>
    </xf>
    <xf numFmtId="0" fontId="46" fillId="0" borderId="109" xfId="0" applyFont="1" applyBorder="1" applyAlignment="1">
      <alignment horizontal="center" vertical="center"/>
    </xf>
    <xf numFmtId="0" fontId="23" fillId="0" borderId="1" xfId="0" applyFont="1" applyBorder="1" applyAlignment="1">
      <alignment horizontal="center" vertical="center"/>
    </xf>
    <xf numFmtId="0" fontId="23" fillId="0" borderId="2" xfId="0" applyFont="1" applyBorder="1" applyAlignment="1">
      <alignment horizontal="center" vertical="center"/>
    </xf>
    <xf numFmtId="0" fontId="23" fillId="0" borderId="30" xfId="0" applyFont="1" applyBorder="1" applyAlignment="1">
      <alignment horizontal="center" vertical="center"/>
    </xf>
    <xf numFmtId="0" fontId="13" fillId="11" borderId="21" xfId="0" applyFont="1" applyFill="1" applyBorder="1" applyAlignment="1">
      <alignment horizontal="center" vertical="center" wrapText="1"/>
    </xf>
    <xf numFmtId="3" fontId="23" fillId="0" borderId="109" xfId="0" applyNumberFormat="1" applyFont="1" applyBorder="1" applyAlignment="1">
      <alignment horizontal="center" vertical="center" wrapText="1"/>
    </xf>
    <xf numFmtId="0" fontId="23" fillId="0" borderId="91" xfId="0" applyFont="1" applyBorder="1" applyAlignment="1">
      <alignment horizontal="center" vertical="center"/>
    </xf>
    <xf numFmtId="3" fontId="23" fillId="0" borderId="101" xfId="0" applyNumberFormat="1" applyFont="1" applyBorder="1" applyAlignment="1">
      <alignment horizontal="center" vertical="center"/>
    </xf>
    <xf numFmtId="0" fontId="23" fillId="0" borderId="175" xfId="0" applyFont="1" applyBorder="1" applyAlignment="1">
      <alignment horizontal="center" vertical="center" wrapText="1"/>
    </xf>
    <xf numFmtId="0" fontId="23" fillId="0" borderId="179" xfId="0" applyFont="1" applyBorder="1" applyAlignment="1">
      <alignment horizontal="center" vertical="center"/>
    </xf>
    <xf numFmtId="0" fontId="23" fillId="0" borderId="180" xfId="0" applyFont="1" applyBorder="1" applyAlignment="1">
      <alignment horizontal="center" vertical="center"/>
    </xf>
    <xf numFmtId="0" fontId="23" fillId="0" borderId="186" xfId="0" applyFont="1" applyBorder="1" applyAlignment="1">
      <alignment horizontal="center" vertical="center"/>
    </xf>
    <xf numFmtId="0" fontId="23" fillId="0" borderId="18" xfId="0" applyFont="1" applyBorder="1" applyAlignment="1">
      <alignment horizontal="center" vertical="center"/>
    </xf>
    <xf numFmtId="0" fontId="23" fillId="0" borderId="184" xfId="0" applyFont="1" applyBorder="1" applyAlignment="1">
      <alignment horizontal="center" vertical="center"/>
    </xf>
    <xf numFmtId="0" fontId="23" fillId="0" borderId="179" xfId="0" applyFont="1" applyBorder="1" applyAlignment="1">
      <alignment horizontal="center" vertical="center" wrapText="1"/>
    </xf>
    <xf numFmtId="0" fontId="23" fillId="0" borderId="180" xfId="0" applyFont="1" applyBorder="1" applyAlignment="1">
      <alignment horizontal="center" vertical="center" wrapText="1"/>
    </xf>
    <xf numFmtId="0" fontId="23" fillId="0" borderId="186" xfId="0" applyFont="1" applyBorder="1" applyAlignment="1">
      <alignment horizontal="center" vertical="center" wrapText="1"/>
    </xf>
    <xf numFmtId="0" fontId="23" fillId="0" borderId="187" xfId="0" applyFont="1" applyBorder="1" applyAlignment="1">
      <alignment horizontal="center" vertical="center" wrapText="1"/>
    </xf>
    <xf numFmtId="0" fontId="23" fillId="0" borderId="187" xfId="0" applyFont="1" applyBorder="1" applyAlignment="1">
      <alignment horizontal="center" vertical="center"/>
    </xf>
    <xf numFmtId="0" fontId="23" fillId="0" borderId="181"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8" xfId="0" applyFont="1" applyBorder="1" applyAlignment="1">
      <alignment horizontal="center" vertical="center" wrapText="1"/>
    </xf>
    <xf numFmtId="0" fontId="23" fillId="0" borderId="202" xfId="0" applyFont="1" applyBorder="1" applyAlignment="1">
      <alignment horizontal="center" vertical="center" wrapText="1"/>
    </xf>
    <xf numFmtId="0" fontId="23" fillId="0" borderId="209" xfId="0" applyFont="1" applyBorder="1" applyAlignment="1">
      <alignment horizontal="center" vertical="center" wrapText="1"/>
    </xf>
    <xf numFmtId="0" fontId="23" fillId="0" borderId="210" xfId="0" applyFont="1" applyBorder="1" applyAlignment="1">
      <alignment horizontal="center" vertical="center" wrapText="1"/>
    </xf>
    <xf numFmtId="0" fontId="23" fillId="0" borderId="188" xfId="0" applyFont="1" applyBorder="1" applyAlignment="1">
      <alignment horizontal="center" vertical="center" wrapText="1"/>
    </xf>
    <xf numFmtId="0" fontId="23" fillId="0" borderId="189" xfId="0" applyFont="1" applyBorder="1" applyAlignment="1">
      <alignment horizontal="center" vertical="center" wrapText="1"/>
    </xf>
    <xf numFmtId="0" fontId="23" fillId="0" borderId="211" xfId="0" applyFont="1" applyBorder="1" applyAlignment="1">
      <alignment horizontal="center" vertical="center" wrapText="1"/>
    </xf>
    <xf numFmtId="0" fontId="23" fillId="0" borderId="191" xfId="0" applyFont="1" applyBorder="1" applyAlignment="1">
      <alignment horizontal="center" vertical="center" wrapText="1"/>
    </xf>
    <xf numFmtId="0" fontId="48" fillId="0" borderId="202" xfId="0" applyFont="1" applyBorder="1" applyAlignment="1">
      <alignment horizontal="center" vertical="center" wrapText="1"/>
    </xf>
    <xf numFmtId="0" fontId="48" fillId="0" borderId="145" xfId="0" applyFont="1" applyBorder="1" applyAlignment="1">
      <alignment horizontal="center" vertical="center" wrapText="1"/>
    </xf>
    <xf numFmtId="0" fontId="48" fillId="0" borderId="211" xfId="0" applyFont="1" applyBorder="1" applyAlignment="1">
      <alignment horizontal="center" vertical="center" wrapText="1"/>
    </xf>
    <xf numFmtId="0" fontId="23" fillId="0" borderId="192" xfId="0" applyFont="1" applyBorder="1" applyAlignment="1">
      <alignment horizontal="center" vertical="center" wrapText="1"/>
    </xf>
    <xf numFmtId="0" fontId="23" fillId="0" borderId="213" xfId="0" applyFont="1" applyBorder="1" applyAlignment="1">
      <alignment horizontal="center" vertical="center" wrapText="1"/>
    </xf>
    <xf numFmtId="0" fontId="23" fillId="0" borderId="215" xfId="0" applyFont="1" applyBorder="1" applyAlignment="1">
      <alignment horizontal="center" vertical="center" wrapText="1"/>
    </xf>
    <xf numFmtId="0" fontId="23" fillId="0" borderId="217" xfId="0" applyFont="1" applyBorder="1" applyAlignment="1">
      <alignment horizontal="center" vertical="center" wrapText="1"/>
    </xf>
    <xf numFmtId="0" fontId="23" fillId="0" borderId="214" xfId="0" applyFont="1" applyBorder="1" applyAlignment="1">
      <alignment horizontal="center" vertical="center" wrapText="1"/>
    </xf>
    <xf numFmtId="0" fontId="23" fillId="0" borderId="216" xfId="0" applyFont="1" applyBorder="1" applyAlignment="1">
      <alignment horizontal="center" vertical="center" wrapText="1"/>
    </xf>
    <xf numFmtId="0" fontId="23" fillId="0" borderId="218" xfId="0" applyFont="1" applyBorder="1" applyAlignment="1">
      <alignment horizontal="center" vertical="center" wrapText="1"/>
    </xf>
    <xf numFmtId="0" fontId="23" fillId="0" borderId="157" xfId="0" applyFont="1" applyBorder="1" applyAlignment="1">
      <alignment horizontal="center" vertical="center"/>
    </xf>
    <xf numFmtId="0" fontId="54" fillId="0" borderId="140" xfId="0" applyFont="1" applyBorder="1" applyAlignment="1">
      <alignment horizontal="center" vertical="center"/>
    </xf>
    <xf numFmtId="0" fontId="54" fillId="0" borderId="147" xfId="0" applyFont="1" applyBorder="1" applyAlignment="1">
      <alignment horizontal="center" vertical="center"/>
    </xf>
    <xf numFmtId="0" fontId="55" fillId="0" borderId="141" xfId="0" applyFont="1" applyBorder="1" applyAlignment="1">
      <alignment horizontal="center" vertical="center" wrapText="1"/>
    </xf>
    <xf numFmtId="0" fontId="55" fillId="0" borderId="104" xfId="0" applyFont="1" applyBorder="1" applyAlignment="1">
      <alignment horizontal="center" vertical="center" wrapText="1"/>
    </xf>
    <xf numFmtId="0" fontId="55" fillId="0" borderId="148" xfId="0" applyFont="1" applyBorder="1" applyAlignment="1">
      <alignment horizontal="center" vertical="center" wrapText="1"/>
    </xf>
    <xf numFmtId="0" fontId="23" fillId="18" borderId="209" xfId="0" applyFont="1" applyFill="1" applyBorder="1" applyAlignment="1">
      <alignment horizontal="center" vertical="center" wrapText="1"/>
    </xf>
    <xf numFmtId="0" fontId="23" fillId="18" borderId="144" xfId="0" applyFont="1" applyFill="1" applyBorder="1" applyAlignment="1">
      <alignment horizontal="center" vertical="center" wrapText="1"/>
    </xf>
    <xf numFmtId="0" fontId="23" fillId="18" borderId="146" xfId="0" applyFont="1" applyFill="1" applyBorder="1" applyAlignment="1">
      <alignment horizontal="center" vertical="center" wrapText="1"/>
    </xf>
    <xf numFmtId="0" fontId="23" fillId="0" borderId="157" xfId="0" applyFont="1" applyBorder="1" applyAlignment="1">
      <alignment horizontal="center" vertical="center" wrapText="1"/>
    </xf>
    <xf numFmtId="0" fontId="23" fillId="0" borderId="138" xfId="0" applyFont="1" applyBorder="1" applyAlignment="1">
      <alignment horizontal="center" vertical="center" wrapText="1"/>
    </xf>
    <xf numFmtId="0" fontId="46" fillId="0" borderId="209" xfId="0" applyFont="1" applyBorder="1" applyAlignment="1">
      <alignment horizontal="center" vertical="center" wrapText="1"/>
    </xf>
    <xf numFmtId="0" fontId="46" fillId="0" borderId="144" xfId="0" applyFont="1" applyBorder="1" applyAlignment="1">
      <alignment horizontal="center" vertical="center" wrapText="1"/>
    </xf>
    <xf numFmtId="0" fontId="46" fillId="0" borderId="146" xfId="0" applyFont="1" applyBorder="1" applyAlignment="1">
      <alignment horizontal="center" vertical="center" wrapText="1"/>
    </xf>
    <xf numFmtId="0" fontId="46" fillId="0" borderId="101" xfId="0" applyFont="1" applyBorder="1" applyAlignment="1">
      <alignment horizontal="center" vertical="center" wrapText="1"/>
    </xf>
    <xf numFmtId="0" fontId="46" fillId="0" borderId="188" xfId="0" applyFont="1" applyBorder="1" applyAlignment="1">
      <alignment horizontal="center" vertical="center" wrapText="1"/>
    </xf>
    <xf numFmtId="0" fontId="46" fillId="0" borderId="189" xfId="0" applyFont="1" applyBorder="1" applyAlignment="1">
      <alignment horizontal="center" vertical="center" wrapText="1"/>
    </xf>
    <xf numFmtId="0" fontId="46" fillId="0" borderId="157" xfId="0" applyFont="1" applyBorder="1" applyAlignment="1">
      <alignment horizontal="center" vertical="center" wrapText="1"/>
    </xf>
    <xf numFmtId="0" fontId="46" fillId="0" borderId="202" xfId="0" applyFont="1" applyBorder="1" applyAlignment="1">
      <alignment horizontal="center" vertical="center" wrapText="1"/>
    </xf>
    <xf numFmtId="0" fontId="46" fillId="0" borderId="145" xfId="0" applyFont="1" applyBorder="1" applyAlignment="1">
      <alignment horizontal="center" vertical="center" wrapText="1"/>
    </xf>
    <xf numFmtId="0" fontId="46" fillId="0" borderId="211" xfId="0" applyFont="1" applyBorder="1" applyAlignment="1">
      <alignment horizontal="center" vertical="center" wrapText="1"/>
    </xf>
    <xf numFmtId="0" fontId="55" fillId="0" borderId="110" xfId="0" applyFont="1" applyBorder="1" applyAlignment="1">
      <alignment horizontal="center" vertical="center" wrapText="1"/>
    </xf>
    <xf numFmtId="0" fontId="55" fillId="0" borderId="107" xfId="0" applyFont="1" applyBorder="1" applyAlignment="1">
      <alignment horizontal="center" vertical="center" wrapText="1"/>
    </xf>
    <xf numFmtId="3" fontId="23" fillId="0" borderId="140" xfId="0" applyNumberFormat="1" applyFont="1" applyBorder="1" applyAlignment="1">
      <alignment horizontal="center" vertical="center" wrapText="1"/>
    </xf>
    <xf numFmtId="0" fontId="23" fillId="0" borderId="176" xfId="0" applyFont="1" applyBorder="1" applyAlignment="1">
      <alignment horizontal="center" vertical="center" wrapText="1"/>
    </xf>
    <xf numFmtId="0" fontId="23" fillId="0" borderId="40" xfId="0" applyFont="1" applyBorder="1" applyAlignment="1">
      <alignment horizontal="center" vertical="center" wrapText="1"/>
    </xf>
    <xf numFmtId="0" fontId="22" fillId="0" borderId="2" xfId="0" applyFont="1" applyBorder="1" applyAlignment="1">
      <alignment horizontal="center" vertical="center"/>
    </xf>
    <xf numFmtId="0" fontId="40" fillId="16" borderId="2" xfId="0" applyFont="1" applyFill="1" applyBorder="1" applyAlignment="1">
      <alignment horizontal="center" vertical="center"/>
    </xf>
    <xf numFmtId="0" fontId="7" fillId="0" borderId="12" xfId="0" applyFont="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9" fontId="7" fillId="0" borderId="32" xfId="2" applyFont="1" applyFill="1" applyBorder="1" applyAlignment="1">
      <alignment horizontal="center" vertical="center"/>
    </xf>
    <xf numFmtId="9" fontId="7" fillId="0" borderId="23" xfId="2" applyFont="1" applyFill="1" applyBorder="1" applyAlignment="1">
      <alignment horizontal="center" vertical="center"/>
    </xf>
    <xf numFmtId="9" fontId="7" fillId="0" borderId="24" xfId="2" applyFont="1" applyFill="1" applyBorder="1" applyAlignment="1">
      <alignment horizontal="center" vertical="center"/>
    </xf>
    <xf numFmtId="0" fontId="7" fillId="0" borderId="34" xfId="0" applyFont="1" applyBorder="1" applyAlignment="1">
      <alignment horizontal="center" vertical="center"/>
    </xf>
    <xf numFmtId="0" fontId="24" fillId="9" borderId="34" xfId="0" applyFont="1" applyFill="1" applyBorder="1" applyAlignment="1">
      <alignment horizontal="center" vertical="center"/>
    </xf>
    <xf numFmtId="0" fontId="24" fillId="9" borderId="2" xfId="0" applyFont="1" applyFill="1" applyBorder="1" applyAlignment="1">
      <alignment horizontal="center" vertical="center"/>
    </xf>
    <xf numFmtId="0" fontId="4" fillId="0" borderId="2" xfId="0" applyFont="1" applyBorder="1" applyAlignment="1">
      <alignment horizontal="center"/>
    </xf>
    <xf numFmtId="0" fontId="60" fillId="0" borderId="0" xfId="0" applyFont="1" applyAlignment="1">
      <alignment horizontal="center" vertical="center" wrapText="1"/>
    </xf>
    <xf numFmtId="0" fontId="10" fillId="0" borderId="3" xfId="0" applyFont="1" applyBorder="1" applyAlignment="1">
      <alignment horizontal="center"/>
    </xf>
    <xf numFmtId="0" fontId="10" fillId="0" borderId="10" xfId="0" applyFont="1" applyBorder="1" applyAlignment="1">
      <alignment horizontal="center"/>
    </xf>
    <xf numFmtId="0" fontId="10" fillId="0" borderId="11" xfId="0" applyFont="1" applyBorder="1" applyAlignment="1">
      <alignment horizontal="center"/>
    </xf>
    <xf numFmtId="0" fontId="1" fillId="0" borderId="3" xfId="0" applyFont="1" applyBorder="1" applyAlignment="1">
      <alignment horizontal="center"/>
    </xf>
    <xf numFmtId="0" fontId="1" fillId="0" borderId="10" xfId="0" applyFont="1" applyBorder="1" applyAlignment="1">
      <alignment horizontal="center"/>
    </xf>
    <xf numFmtId="0" fontId="10" fillId="0" borderId="2" xfId="0" applyFont="1" applyBorder="1" applyAlignment="1">
      <alignment horizontal="center"/>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55" fillId="0" borderId="289" xfId="0" applyFont="1" applyBorder="1" applyAlignment="1">
      <alignment horizontal="center" vertical="center"/>
    </xf>
    <xf numFmtId="0" fontId="55" fillId="0" borderId="282" xfId="0" applyFont="1" applyBorder="1" applyAlignment="1">
      <alignment horizontal="center" vertical="center"/>
    </xf>
    <xf numFmtId="0" fontId="55" fillId="0" borderId="290" xfId="0" applyFont="1" applyBorder="1" applyAlignment="1">
      <alignment horizontal="center" vertical="center"/>
    </xf>
    <xf numFmtId="0" fontId="55" fillId="0" borderId="194" xfId="0" applyFont="1" applyBorder="1" applyAlignment="1">
      <alignment horizontal="center" vertical="center"/>
    </xf>
    <xf numFmtId="0" fontId="55" fillId="0" borderId="291" xfId="0" applyFont="1" applyBorder="1" applyAlignment="1">
      <alignment horizontal="center" vertical="center"/>
    </xf>
    <xf numFmtId="0" fontId="55" fillId="0" borderId="292" xfId="0" applyFont="1" applyBorder="1" applyAlignment="1">
      <alignment horizontal="center" vertical="center"/>
    </xf>
    <xf numFmtId="0" fontId="55" fillId="0" borderId="293" xfId="0" applyFont="1" applyBorder="1" applyAlignment="1">
      <alignment horizontal="center" vertical="center"/>
    </xf>
    <xf numFmtId="0" fontId="55" fillId="0" borderId="294" xfId="0" applyFont="1" applyBorder="1" applyAlignment="1">
      <alignment horizontal="center" vertical="center"/>
    </xf>
    <xf numFmtId="0" fontId="55" fillId="0" borderId="295" xfId="0" applyFont="1" applyBorder="1" applyAlignment="1">
      <alignment horizontal="center" vertical="center"/>
    </xf>
    <xf numFmtId="0" fontId="55" fillId="0" borderId="296" xfId="0" applyFont="1" applyBorder="1" applyAlignment="1">
      <alignment horizontal="center" vertical="center"/>
    </xf>
    <xf numFmtId="0" fontId="55" fillId="0" borderId="285" xfId="0" applyFont="1" applyBorder="1" applyAlignment="1">
      <alignment horizontal="center" vertical="center"/>
    </xf>
    <xf numFmtId="0" fontId="55" fillId="0" borderId="288" xfId="0" applyFont="1" applyBorder="1" applyAlignment="1">
      <alignment horizontal="center" vertical="center"/>
    </xf>
    <xf numFmtId="0" fontId="55" fillId="0" borderId="297" xfId="0" applyFont="1" applyBorder="1" applyAlignment="1">
      <alignment horizontal="center" vertical="center"/>
    </xf>
    <xf numFmtId="0" fontId="55" fillId="0" borderId="298" xfId="0" applyFont="1" applyBorder="1" applyAlignment="1">
      <alignment horizontal="center" vertical="center"/>
    </xf>
    <xf numFmtId="0" fontId="55" fillId="0" borderId="299" xfId="0" applyFont="1" applyBorder="1" applyAlignment="1">
      <alignment horizontal="center" vertical="center"/>
    </xf>
    <xf numFmtId="0" fontId="55" fillId="0" borderId="300" xfId="0" applyFont="1" applyBorder="1" applyAlignment="1">
      <alignment horizontal="center" vertical="center"/>
    </xf>
    <xf numFmtId="0" fontId="24" fillId="15" borderId="301" xfId="0" applyFont="1" applyFill="1" applyBorder="1" applyAlignment="1">
      <alignment horizontal="center" vertical="center"/>
    </xf>
    <xf numFmtId="0" fontId="24" fillId="15" borderId="302" xfId="0" applyFont="1" applyFill="1" applyBorder="1" applyAlignment="1">
      <alignment horizontal="center" vertical="center"/>
    </xf>
    <xf numFmtId="0" fontId="55" fillId="0" borderId="280" xfId="0" applyFont="1" applyBorder="1" applyAlignment="1">
      <alignment horizontal="center" vertical="center" wrapText="1"/>
    </xf>
    <xf numFmtId="0" fontId="55" fillId="0" borderId="281" xfId="0" applyFont="1" applyBorder="1" applyAlignment="1">
      <alignment horizontal="center" vertical="center" wrapText="1"/>
    </xf>
    <xf numFmtId="0" fontId="55" fillId="0" borderId="303" xfId="0" applyFont="1" applyBorder="1" applyAlignment="1">
      <alignment horizontal="center" vertical="center" wrapText="1"/>
    </xf>
    <xf numFmtId="0" fontId="55" fillId="0" borderId="283" xfId="0" applyFont="1" applyBorder="1" applyAlignment="1">
      <alignment horizontal="center" vertical="center"/>
    </xf>
    <xf numFmtId="0" fontId="55" fillId="0" borderId="284" xfId="0" applyFont="1" applyBorder="1" applyAlignment="1">
      <alignment horizontal="center" vertical="center"/>
    </xf>
    <xf numFmtId="0" fontId="55" fillId="0" borderId="304" xfId="0" applyFont="1" applyBorder="1" applyAlignment="1">
      <alignment horizontal="center" vertical="center"/>
    </xf>
    <xf numFmtId="0" fontId="55" fillId="0" borderId="286" xfId="0" applyFont="1" applyBorder="1" applyAlignment="1">
      <alignment horizontal="center" vertical="center" wrapText="1"/>
    </xf>
    <xf numFmtId="0" fontId="55" fillId="0" borderId="287" xfId="0" applyFont="1" applyBorder="1" applyAlignment="1">
      <alignment horizontal="center" vertical="center" wrapText="1"/>
    </xf>
    <xf numFmtId="0" fontId="46" fillId="0" borderId="283" xfId="0" applyFont="1" applyBorder="1" applyAlignment="1">
      <alignment horizontal="center" vertical="center"/>
    </xf>
    <xf numFmtId="0" fontId="46" fillId="0" borderId="284" xfId="0" applyFont="1" applyBorder="1" applyAlignment="1">
      <alignment horizontal="center" vertical="center"/>
    </xf>
    <xf numFmtId="0" fontId="55" fillId="0" borderId="284" xfId="0" applyFont="1" applyBorder="1" applyAlignment="1">
      <alignment horizontal="center" vertical="center" wrapText="1"/>
    </xf>
    <xf numFmtId="0" fontId="46" fillId="0" borderId="304" xfId="0" applyFont="1" applyBorder="1" applyAlignment="1">
      <alignment horizontal="center" vertical="center"/>
    </xf>
    <xf numFmtId="0" fontId="55" fillId="0" borderId="305" xfId="0" applyFont="1" applyBorder="1" applyAlignment="1">
      <alignment horizontal="center" vertical="center" wrapText="1"/>
    </xf>
    <xf numFmtId="0" fontId="55" fillId="0" borderId="283" xfId="0" applyFont="1" applyBorder="1" applyAlignment="1">
      <alignment horizontal="center" vertical="center" wrapText="1"/>
    </xf>
    <xf numFmtId="0" fontId="55" fillId="0" borderId="304" xfId="0" applyFont="1" applyBorder="1" applyAlignment="1">
      <alignment horizontal="center" vertical="center" wrapText="1"/>
    </xf>
  </cellXfs>
  <cellStyles count="14">
    <cellStyle name="Comma" xfId="6" builtinId="3"/>
    <cellStyle name="Hyperlink" xfId="5" builtinId="8"/>
    <cellStyle name="Hyperlink 2" xfId="10" xr:uid="{10C1E3C0-F46B-4E25-BD9A-EE5D62F88FF2}"/>
    <cellStyle name="Normal" xfId="0" builtinId="0"/>
    <cellStyle name="Normal 2" xfId="3" xr:uid="{E38C2638-0821-4BB2-9C33-A89D3950ADA6}"/>
    <cellStyle name="Normal 2 2" xfId="4" xr:uid="{7604919E-E68F-4366-A693-6A7B8B8DA661}"/>
    <cellStyle name="Normal 2 3" xfId="9" xr:uid="{8A1E39CD-7ABA-4D79-A464-67010D1209C1}"/>
    <cellStyle name="Normal 3" xfId="7" xr:uid="{1C10DAE4-4F9C-4E19-81E4-5574511A6741}"/>
    <cellStyle name="Normal 4" xfId="11" xr:uid="{43272557-B37F-4996-BC18-AA3EDEAFA379}"/>
    <cellStyle name="Normal 5" xfId="12" xr:uid="{642BE191-BE2F-4847-8420-1C59B95E270E}"/>
    <cellStyle name="Normal 7" xfId="13" xr:uid="{4EE7C538-54C5-445E-9038-5D3A2C9EE3DD}"/>
    <cellStyle name="Normal_Prototype_Scorecard-LgOffice-2008-03-13" xfId="1" xr:uid="{F839F8A1-86E5-4008-9801-0F032E8A3317}"/>
    <cellStyle name="Percent" xfId="2" builtinId="5"/>
    <cellStyle name="Percent 2" xfId="8" xr:uid="{CB789C3E-741F-4464-8065-385A956411E6}"/>
  </cellStyles>
  <dxfs count="8">
    <dxf>
      <fill>
        <patternFill>
          <bgColor theme="9" tint="0.59996337778862885"/>
        </patternFill>
      </fill>
    </dxf>
    <dxf>
      <font>
        <b/>
        <i val="0"/>
      </font>
      <fill>
        <patternFill>
          <bgColor theme="0" tint="-0.14996795556505021"/>
        </patternFill>
      </fill>
      <border>
        <left style="thin">
          <color auto="1"/>
        </left>
        <right style="thin">
          <color auto="1"/>
        </right>
        <top style="thin">
          <color auto="1"/>
        </top>
        <bottom style="thin">
          <color auto="1"/>
        </bottom>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font>
        <b/>
        <i val="0"/>
      </font>
    </dxf>
    <dxf>
      <font>
        <b/>
        <i val="0"/>
      </font>
    </dxf>
    <dxf>
      <font>
        <b/>
        <i val="0"/>
      </font>
      <border diagonalDown="1">
        <left style="thin">
          <color auto="1"/>
        </left>
        <right style="thin">
          <color auto="1"/>
        </right>
        <top style="thin">
          <color auto="1"/>
        </top>
        <bottom style="thin">
          <color auto="1"/>
        </bottom>
        <diagonal style="thin">
          <color auto="1"/>
        </diagonal>
        <vertical style="thin">
          <color auto="1"/>
        </vertical>
        <horizontal style="thin">
          <color auto="1"/>
        </horizontal>
      </border>
    </dxf>
    <dxf>
      <font>
        <b/>
        <i val="0"/>
      </font>
      <fill>
        <patternFill>
          <bgColor theme="0" tint="-0.14996795556505021"/>
        </patternFill>
      </fill>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border>
    </dxf>
  </dxfs>
  <tableStyles count="1" defaultTableStyle="TableStyleMedium2" defaultPivotStyle="PivotStyleLight16">
    <tableStyle name="PivotTable Style_MFA1" table="0" count="7" xr9:uid="{14E84246-083A-4927-8273-A88944943105}">
      <tableStyleElement type="wholeTable" dxfId="7"/>
      <tableStyleElement type="headerRow" dxfId="6"/>
      <tableStyleElement type="totalRow" dxfId="5"/>
      <tableStyleElement type="firstColumn" dxfId="4"/>
      <tableStyleElement type="lastColumn" dxfId="3"/>
      <tableStyleElement type="pageFieldLabels" dxfId="2"/>
      <tableStyleElement type="pageFieldValues" dxfId="1"/>
    </tableStyle>
  </tableStyles>
  <colors>
    <mruColors>
      <color rgb="FFD9E1F2"/>
      <color rgb="FFF3F3F3"/>
      <color rgb="FF002F8E"/>
      <color rgb="FFCCCCFF"/>
      <color rgb="FF0000CC"/>
      <color rgb="FF8238BA"/>
      <color rgb="FFFFFBEF"/>
      <color rgb="FFECF0F8"/>
      <color rgb="FFFF9900"/>
      <color rgb="FFFFEB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c:f>
              <c:strCache>
                <c:ptCount val="1"/>
                <c:pt idx="0">
                  <c:v>Weekday</c:v>
                </c:pt>
              </c:strCache>
            </c:strRef>
          </c:tx>
          <c:spPr>
            <a:ln w="28575" cap="rnd">
              <a:solidFill>
                <a:schemeClr val="accent1"/>
              </a:solidFill>
              <a:round/>
            </a:ln>
            <a:effectLst/>
          </c:spPr>
          <c:marker>
            <c:symbol val="none"/>
          </c:marker>
          <c:val>
            <c:numRef>
              <c:f>Schedules!$F$29:$AC$29</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0.8</c:v>
                </c:pt>
                <c:pt idx="12">
                  <c:v>0.8</c:v>
                </c:pt>
                <c:pt idx="13">
                  <c:v>0.8</c:v>
                </c:pt>
                <c:pt idx="14">
                  <c:v>0.8</c:v>
                </c:pt>
                <c:pt idx="15">
                  <c:v>0.8</c:v>
                </c:pt>
                <c:pt idx="16">
                  <c:v>0.8</c:v>
                </c:pt>
                <c:pt idx="17">
                  <c:v>0.8</c:v>
                </c:pt>
                <c:pt idx="18">
                  <c:v>0.2</c:v>
                </c:pt>
                <c:pt idx="19">
                  <c:v>0.2</c:v>
                </c:pt>
                <c:pt idx="20">
                  <c:v>0.2</c:v>
                </c:pt>
                <c:pt idx="21">
                  <c:v>0.2</c:v>
                </c:pt>
                <c:pt idx="22">
                  <c:v>0.1</c:v>
                </c:pt>
                <c:pt idx="23">
                  <c:v>0</c:v>
                </c:pt>
              </c:numCache>
            </c:numRef>
          </c:val>
          <c:smooth val="0"/>
          <c:extLst>
            <c:ext xmlns:c16="http://schemas.microsoft.com/office/drawing/2014/chart" uri="{C3380CC4-5D6E-409C-BE32-E72D297353CC}">
              <c16:uniqueId val="{00000000-06BB-4405-BC60-B55164A79AEF}"/>
            </c:ext>
          </c:extLst>
        </c:ser>
        <c:ser>
          <c:idx val="1"/>
          <c:order val="1"/>
          <c:tx>
            <c:strRef>
              <c:f>Schedules!$E$30</c:f>
              <c:strCache>
                <c:ptCount val="1"/>
                <c:pt idx="0">
                  <c:v>Saturday</c:v>
                </c:pt>
              </c:strCache>
            </c:strRef>
          </c:tx>
          <c:spPr>
            <a:ln w="28575" cap="rnd">
              <a:solidFill>
                <a:schemeClr val="accent2"/>
              </a:solidFill>
              <a:round/>
            </a:ln>
            <a:effectLst/>
          </c:spPr>
          <c:marker>
            <c:symbol val="none"/>
          </c:marker>
          <c:val>
            <c:numRef>
              <c:f>Schedules!$F$30:$AC$30</c:f>
              <c:numCache>
                <c:formatCode>0.00</c:formatCode>
                <c:ptCount val="24"/>
                <c:pt idx="0">
                  <c:v>0</c:v>
                </c:pt>
                <c:pt idx="1">
                  <c:v>0</c:v>
                </c:pt>
                <c:pt idx="2">
                  <c:v>0</c:v>
                </c:pt>
                <c:pt idx="3">
                  <c:v>0</c:v>
                </c:pt>
                <c:pt idx="4">
                  <c:v>0</c:v>
                </c:pt>
                <c:pt idx="5">
                  <c:v>0</c:v>
                </c:pt>
                <c:pt idx="6">
                  <c:v>0</c:v>
                </c:pt>
                <c:pt idx="7">
                  <c:v>0</c:v>
                </c:pt>
                <c:pt idx="8">
                  <c:v>0.2</c:v>
                </c:pt>
                <c:pt idx="9">
                  <c:v>0.2</c:v>
                </c:pt>
                <c:pt idx="10">
                  <c:v>0.2</c:v>
                </c:pt>
                <c:pt idx="11">
                  <c:v>0.6</c:v>
                </c:pt>
                <c:pt idx="12">
                  <c:v>0.6</c:v>
                </c:pt>
                <c:pt idx="13">
                  <c:v>0.6</c:v>
                </c:pt>
                <c:pt idx="14">
                  <c:v>0.6</c:v>
                </c:pt>
                <c:pt idx="15">
                  <c:v>0.6</c:v>
                </c:pt>
                <c:pt idx="16">
                  <c:v>0.6</c:v>
                </c:pt>
                <c:pt idx="17">
                  <c:v>0.6</c:v>
                </c:pt>
                <c:pt idx="18">
                  <c:v>0.6</c:v>
                </c:pt>
                <c:pt idx="19">
                  <c:v>0.6</c:v>
                </c:pt>
                <c:pt idx="20">
                  <c:v>0.6</c:v>
                </c:pt>
                <c:pt idx="21">
                  <c:v>0.8</c:v>
                </c:pt>
                <c:pt idx="22">
                  <c:v>0.1</c:v>
                </c:pt>
                <c:pt idx="23">
                  <c:v>0</c:v>
                </c:pt>
              </c:numCache>
            </c:numRef>
          </c:val>
          <c:smooth val="0"/>
          <c:extLst>
            <c:ext xmlns:c16="http://schemas.microsoft.com/office/drawing/2014/chart" uri="{C3380CC4-5D6E-409C-BE32-E72D297353CC}">
              <c16:uniqueId val="{00000001-06BB-4405-BC60-B55164A79AEF}"/>
            </c:ext>
          </c:extLst>
        </c:ser>
        <c:ser>
          <c:idx val="2"/>
          <c:order val="2"/>
          <c:tx>
            <c:strRef>
              <c:f>Schedules!$E$31</c:f>
              <c:strCache>
                <c:ptCount val="1"/>
                <c:pt idx="0">
                  <c:v>Sunday</c:v>
                </c:pt>
              </c:strCache>
            </c:strRef>
          </c:tx>
          <c:spPr>
            <a:ln w="28575" cap="rnd">
              <a:solidFill>
                <a:schemeClr val="accent3"/>
              </a:solidFill>
              <a:round/>
            </a:ln>
            <a:effectLst/>
          </c:spPr>
          <c:marker>
            <c:symbol val="none"/>
          </c:marker>
          <c:val>
            <c:numRef>
              <c:f>Schedules!$F$31:$AC$31</c:f>
              <c:numCache>
                <c:formatCode>0.00</c:formatCode>
                <c:ptCount val="24"/>
                <c:pt idx="0">
                  <c:v>0</c:v>
                </c:pt>
                <c:pt idx="1">
                  <c:v>0</c:v>
                </c:pt>
                <c:pt idx="2">
                  <c:v>0</c:v>
                </c:pt>
                <c:pt idx="3">
                  <c:v>0</c:v>
                </c:pt>
                <c:pt idx="4">
                  <c:v>0</c:v>
                </c:pt>
                <c:pt idx="5">
                  <c:v>0</c:v>
                </c:pt>
                <c:pt idx="6">
                  <c:v>0</c:v>
                </c:pt>
                <c:pt idx="7">
                  <c:v>0</c:v>
                </c:pt>
                <c:pt idx="8">
                  <c:v>0.1</c:v>
                </c:pt>
                <c:pt idx="9">
                  <c:v>0.1</c:v>
                </c:pt>
                <c:pt idx="10">
                  <c:v>0.1</c:v>
                </c:pt>
                <c:pt idx="11">
                  <c:v>0.1</c:v>
                </c:pt>
                <c:pt idx="12">
                  <c:v>0.1</c:v>
                </c:pt>
                <c:pt idx="13">
                  <c:v>0.7</c:v>
                </c:pt>
                <c:pt idx="14">
                  <c:v>0.7</c:v>
                </c:pt>
                <c:pt idx="15">
                  <c:v>0.7</c:v>
                </c:pt>
                <c:pt idx="16">
                  <c:v>0.7</c:v>
                </c:pt>
                <c:pt idx="17">
                  <c:v>0.7</c:v>
                </c:pt>
                <c:pt idx="18">
                  <c:v>0.7</c:v>
                </c:pt>
                <c:pt idx="19">
                  <c:v>0.7</c:v>
                </c:pt>
                <c:pt idx="20">
                  <c:v>0.7</c:v>
                </c:pt>
                <c:pt idx="21">
                  <c:v>0.7</c:v>
                </c:pt>
                <c:pt idx="22">
                  <c:v>0.2</c:v>
                </c:pt>
                <c:pt idx="23">
                  <c:v>0</c:v>
                </c:pt>
              </c:numCache>
            </c:numRef>
          </c:val>
          <c:smooth val="0"/>
          <c:extLst>
            <c:ext xmlns:c16="http://schemas.microsoft.com/office/drawing/2014/chart" uri="{C3380CC4-5D6E-409C-BE32-E72D297353CC}">
              <c16:uniqueId val="{00000002-06BB-4405-BC60-B55164A79AE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Schedules!$C$32</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5ED3-4941-8080-3783F3668DDA}"/>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5ED3-4941-8080-3783F3668DDA}"/>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5ED3-4941-8080-3783F3668DD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Schedules!$C$47</c:f>
          <c:strCache>
            <c:ptCount val="1"/>
            <c:pt idx="0">
              <c:v>GasEquipment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Schedules!$E$47</c:f>
              <c:strCache>
                <c:ptCount val="1"/>
                <c:pt idx="0">
                  <c:v>Weekday</c:v>
                </c:pt>
              </c:strCache>
            </c:strRef>
          </c:tx>
          <c:spPr>
            <a:ln w="28575" cap="rnd">
              <a:solidFill>
                <a:schemeClr val="accent1"/>
              </a:solidFill>
              <a:round/>
            </a:ln>
            <a:effectLst/>
          </c:spPr>
          <c:marker>
            <c:symbol val="none"/>
          </c:marker>
          <c:val>
            <c:numRef>
              <c:f>Schedules!$F$47:$AC$47</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0.9</c:v>
                </c:pt>
                <c:pt idx="12">
                  <c:v>0.9</c:v>
                </c:pt>
                <c:pt idx="13">
                  <c:v>0.9</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0-541D-40B0-962A-A5C79439ED86}"/>
            </c:ext>
          </c:extLst>
        </c:ser>
        <c:ser>
          <c:idx val="1"/>
          <c:order val="1"/>
          <c:tx>
            <c:strRef>
              <c:f>Schedules!$E$48</c:f>
              <c:strCache>
                <c:ptCount val="1"/>
                <c:pt idx="0">
                  <c:v>Saturday</c:v>
                </c:pt>
              </c:strCache>
            </c:strRef>
          </c:tx>
          <c:spPr>
            <a:ln w="28575" cap="rnd">
              <a:solidFill>
                <a:schemeClr val="accent2"/>
              </a:solidFill>
              <a:round/>
            </a:ln>
            <a:effectLst/>
          </c:spPr>
          <c:marker>
            <c:symbol val="none"/>
          </c:marker>
          <c:val>
            <c:numRef>
              <c:f>Schedules!$F$48:$AC$48</c:f>
              <c:numCache>
                <c:formatCode>0.00</c:formatCode>
                <c:ptCount val="24"/>
                <c:pt idx="0">
                  <c:v>0</c:v>
                </c:pt>
                <c:pt idx="1">
                  <c:v>0</c:v>
                </c:pt>
                <c:pt idx="2">
                  <c:v>0</c:v>
                </c:pt>
                <c:pt idx="3">
                  <c:v>0</c:v>
                </c:pt>
                <c:pt idx="4">
                  <c:v>0</c:v>
                </c:pt>
                <c:pt idx="5">
                  <c:v>0</c:v>
                </c:pt>
                <c:pt idx="6">
                  <c:v>0</c:v>
                </c:pt>
                <c:pt idx="7">
                  <c:v>0</c:v>
                </c:pt>
                <c:pt idx="8">
                  <c:v>0.3</c:v>
                </c:pt>
                <c:pt idx="9">
                  <c:v>0.3</c:v>
                </c:pt>
                <c:pt idx="10">
                  <c:v>0.2</c:v>
                </c:pt>
                <c:pt idx="11">
                  <c:v>0.7</c:v>
                </c:pt>
                <c:pt idx="12">
                  <c:v>0.7</c:v>
                </c:pt>
                <c:pt idx="13">
                  <c:v>0.7</c:v>
                </c:pt>
                <c:pt idx="14">
                  <c:v>0.2</c:v>
                </c:pt>
                <c:pt idx="15">
                  <c:v>0.2</c:v>
                </c:pt>
                <c:pt idx="16">
                  <c:v>0.2</c:v>
                </c:pt>
                <c:pt idx="17">
                  <c:v>0.4</c:v>
                </c:pt>
                <c:pt idx="18">
                  <c:v>0.4</c:v>
                </c:pt>
                <c:pt idx="19">
                  <c:v>0.1</c:v>
                </c:pt>
                <c:pt idx="20">
                  <c:v>0.1</c:v>
                </c:pt>
                <c:pt idx="21">
                  <c:v>0.1</c:v>
                </c:pt>
                <c:pt idx="22">
                  <c:v>0</c:v>
                </c:pt>
                <c:pt idx="23">
                  <c:v>0</c:v>
                </c:pt>
              </c:numCache>
            </c:numRef>
          </c:val>
          <c:smooth val="0"/>
          <c:extLst>
            <c:ext xmlns:c16="http://schemas.microsoft.com/office/drawing/2014/chart" uri="{C3380CC4-5D6E-409C-BE32-E72D297353CC}">
              <c16:uniqueId val="{00000001-541D-40B0-962A-A5C79439ED86}"/>
            </c:ext>
          </c:extLst>
        </c:ser>
        <c:ser>
          <c:idx val="2"/>
          <c:order val="2"/>
          <c:tx>
            <c:strRef>
              <c:f>Schedules!$E$49</c:f>
              <c:strCache>
                <c:ptCount val="1"/>
                <c:pt idx="0">
                  <c:v>Sunday</c:v>
                </c:pt>
              </c:strCache>
            </c:strRef>
          </c:tx>
          <c:spPr>
            <a:ln w="28575" cap="rnd">
              <a:solidFill>
                <a:schemeClr val="accent3"/>
              </a:solidFill>
              <a:prstDash val="dash"/>
              <a:round/>
            </a:ln>
            <a:effectLst/>
          </c:spPr>
          <c:marker>
            <c:symbol val="none"/>
          </c:marker>
          <c:val>
            <c:numRef>
              <c:f>Schedules!$F$49:$AC$49</c:f>
              <c:numCache>
                <c:formatCode>0.00</c:formatCode>
                <c:ptCount val="24"/>
                <c:pt idx="0">
                  <c:v>0</c:v>
                </c:pt>
                <c:pt idx="1">
                  <c:v>0</c:v>
                </c:pt>
                <c:pt idx="2">
                  <c:v>0</c:v>
                </c:pt>
                <c:pt idx="3">
                  <c:v>0</c:v>
                </c:pt>
                <c:pt idx="4">
                  <c:v>0</c:v>
                </c:pt>
                <c:pt idx="5">
                  <c:v>0</c:v>
                </c:pt>
                <c:pt idx="6">
                  <c:v>0</c:v>
                </c:pt>
                <c:pt idx="7">
                  <c:v>0</c:v>
                </c:pt>
                <c:pt idx="8">
                  <c:v>0.2</c:v>
                </c:pt>
                <c:pt idx="9">
                  <c:v>0.2</c:v>
                </c:pt>
                <c:pt idx="10">
                  <c:v>0.1</c:v>
                </c:pt>
                <c:pt idx="11">
                  <c:v>0.1</c:v>
                </c:pt>
                <c:pt idx="12">
                  <c:v>0.3</c:v>
                </c:pt>
                <c:pt idx="13">
                  <c:v>0.8</c:v>
                </c:pt>
                <c:pt idx="14">
                  <c:v>0.2</c:v>
                </c:pt>
                <c:pt idx="15">
                  <c:v>0.2</c:v>
                </c:pt>
                <c:pt idx="16">
                  <c:v>0.2</c:v>
                </c:pt>
                <c:pt idx="17">
                  <c:v>0.5</c:v>
                </c:pt>
                <c:pt idx="18">
                  <c:v>0.5</c:v>
                </c:pt>
                <c:pt idx="19">
                  <c:v>0.1</c:v>
                </c:pt>
                <c:pt idx="20">
                  <c:v>0.1</c:v>
                </c:pt>
                <c:pt idx="21">
                  <c:v>0.1</c:v>
                </c:pt>
                <c:pt idx="22">
                  <c:v>0</c:v>
                </c:pt>
                <c:pt idx="23">
                  <c:v>0</c:v>
                </c:pt>
              </c:numCache>
            </c:numRef>
          </c:val>
          <c:smooth val="0"/>
          <c:extLst>
            <c:ext xmlns:c16="http://schemas.microsoft.com/office/drawing/2014/chart" uri="{C3380CC4-5D6E-409C-BE32-E72D297353CC}">
              <c16:uniqueId val="{00000002-541D-40B0-962A-A5C79439ED8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Schedules!$C$44</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Schedules!$E$44</c:f>
              <c:strCache>
                <c:ptCount val="1"/>
                <c:pt idx="0">
                  <c:v>Weekday</c:v>
                </c:pt>
              </c:strCache>
            </c:strRef>
          </c:tx>
          <c:spPr>
            <a:ln w="28575" cap="rnd">
              <a:solidFill>
                <a:schemeClr val="accent1"/>
              </a:solidFill>
              <a:round/>
            </a:ln>
            <a:effectLst/>
          </c:spPr>
          <c:marker>
            <c:symbol val="none"/>
          </c:marker>
          <c:val>
            <c:numRef>
              <c:f>Schedules!$F$44:$AC$44</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0-1261-49B4-9636-466DF194812E}"/>
            </c:ext>
          </c:extLst>
        </c:ser>
        <c:ser>
          <c:idx val="1"/>
          <c:order val="1"/>
          <c:tx>
            <c:strRef>
              <c:f>Schedules!$E$45</c:f>
              <c:strCache>
                <c:ptCount val="1"/>
                <c:pt idx="0">
                  <c:v>Saturday</c:v>
                </c:pt>
              </c:strCache>
            </c:strRef>
          </c:tx>
          <c:spPr>
            <a:ln w="28575" cap="rnd">
              <a:solidFill>
                <a:schemeClr val="accent2"/>
              </a:solidFill>
              <a:round/>
            </a:ln>
            <a:effectLst/>
          </c:spPr>
          <c:marker>
            <c:symbol val="none"/>
          </c:marker>
          <c:val>
            <c:numRef>
              <c:f>Schedules!$F$45:$AC$45</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1-1261-49B4-9636-466DF194812E}"/>
            </c:ext>
          </c:extLst>
        </c:ser>
        <c:ser>
          <c:idx val="2"/>
          <c:order val="2"/>
          <c:tx>
            <c:strRef>
              <c:f>Schedules!$E$46</c:f>
              <c:strCache>
                <c:ptCount val="1"/>
                <c:pt idx="0">
                  <c:v>Sunday</c:v>
                </c:pt>
              </c:strCache>
            </c:strRef>
          </c:tx>
          <c:spPr>
            <a:ln w="28575" cap="rnd">
              <a:solidFill>
                <a:schemeClr val="accent3"/>
              </a:solidFill>
              <a:round/>
            </a:ln>
            <a:effectLst/>
          </c:spPr>
          <c:marker>
            <c:symbol val="none"/>
          </c:marker>
          <c:val>
            <c:numRef>
              <c:f>Schedules!$F$46:$AC$46</c:f>
              <c:numCache>
                <c:formatCode>0.00</c:formatCode>
                <c:ptCount val="24"/>
                <c:pt idx="0">
                  <c:v>1</c:v>
                </c:pt>
                <c:pt idx="1">
                  <c:v>1</c:v>
                </c:pt>
                <c:pt idx="2">
                  <c:v>1</c:v>
                </c:pt>
                <c:pt idx="3">
                  <c:v>1</c:v>
                </c:pt>
                <c:pt idx="4">
                  <c:v>1</c:v>
                </c:pt>
                <c:pt idx="5">
                  <c:v>1</c:v>
                </c:pt>
                <c:pt idx="6">
                  <c:v>1</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1</c:v>
                </c:pt>
              </c:numCache>
            </c:numRef>
          </c:val>
          <c:smooth val="0"/>
          <c:extLst>
            <c:ext xmlns:c16="http://schemas.microsoft.com/office/drawing/2014/chart" uri="{C3380CC4-5D6E-409C-BE32-E72D297353CC}">
              <c16:uniqueId val="{00000002-1261-49B4-9636-466DF194812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Schedules!$F$38:$AC$38</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E302-42EC-BE25-56DD4FBD97A6}"/>
            </c:ext>
          </c:extLst>
        </c:ser>
        <c:ser>
          <c:idx val="1"/>
          <c:order val="1"/>
          <c:spPr>
            <a:ln w="28575" cap="rnd">
              <a:solidFill>
                <a:schemeClr val="accent2"/>
              </a:solidFill>
              <a:round/>
            </a:ln>
            <a:effectLst/>
          </c:spPr>
          <c:marker>
            <c:symbol val="none"/>
          </c:marker>
          <c:val>
            <c:numRef>
              <c:f>Schedules!$F$39:$AC$39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E302-42EC-BE25-56DD4FBD97A6}"/>
            </c:ext>
          </c:extLst>
        </c:ser>
        <c:ser>
          <c:idx val="2"/>
          <c:order val="2"/>
          <c:spPr>
            <a:ln w="28575" cap="rnd">
              <a:solidFill>
                <a:schemeClr val="accent3"/>
              </a:solidFill>
              <a:round/>
            </a:ln>
            <a:effectLst/>
          </c:spPr>
          <c:marker>
            <c:symbol val="none"/>
          </c:marker>
          <c:val>
            <c:numRef>
              <c:f>Schedules!$F$40:$AC$40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2-E302-42EC-BE25-56DD4FBD97A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Schedules!$C$41</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37F6-4C28-9709-316E8B1CAD8B}"/>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37F6-4C28-9709-316E8B1CAD8B}"/>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2-37F6-4C28-9709-316E8B1CAD8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Schedules!$C$60</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Schedules!$E$60</c:f>
              <c:strCache>
                <c:ptCount val="1"/>
                <c:pt idx="0">
                  <c:v>Weekday</c:v>
                </c:pt>
              </c:strCache>
            </c:strRef>
          </c:tx>
          <c:spPr>
            <a:ln w="28575" cap="rnd">
              <a:solidFill>
                <a:schemeClr val="accent1"/>
              </a:solidFill>
              <a:round/>
            </a:ln>
            <a:effectLst/>
          </c:spPr>
          <c:marker>
            <c:symbol val="none"/>
          </c:marker>
          <c:val>
            <c:numRef>
              <c:f>Schedules!$F$60:$AC$60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4B6C-49C6-8478-081DA7B82710}"/>
            </c:ext>
          </c:extLst>
        </c:ser>
        <c:ser>
          <c:idx val="1"/>
          <c:order val="1"/>
          <c:tx>
            <c:strRef>
              <c:f>Schedules!$E$61</c:f>
              <c:strCache>
                <c:ptCount val="1"/>
                <c:pt idx="0">
                  <c:v>Saturday</c:v>
                </c:pt>
              </c:strCache>
            </c:strRef>
          </c:tx>
          <c:spPr>
            <a:ln w="28575" cap="rnd">
              <a:solidFill>
                <a:schemeClr val="accent2"/>
              </a:solidFill>
              <a:round/>
            </a:ln>
            <a:effectLst/>
          </c:spPr>
          <c:marker>
            <c:symbol val="none"/>
          </c:marker>
          <c:val>
            <c:numRef>
              <c:f>Schedules!$F$61:$AC$61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4B6C-49C6-8478-081DA7B82710}"/>
            </c:ext>
          </c:extLst>
        </c:ser>
        <c:ser>
          <c:idx val="2"/>
          <c:order val="2"/>
          <c:tx>
            <c:strRef>
              <c:f>Schedules!$E$62</c:f>
              <c:strCache>
                <c:ptCount val="1"/>
                <c:pt idx="0">
                  <c:v>Sunday</c:v>
                </c:pt>
              </c:strCache>
            </c:strRef>
          </c:tx>
          <c:spPr>
            <a:ln w="28575" cap="rnd">
              <a:solidFill>
                <a:schemeClr val="accent3"/>
              </a:solidFill>
              <a:round/>
            </a:ln>
            <a:effectLst/>
          </c:spPr>
          <c:marker>
            <c:symbol val="none"/>
          </c:marker>
          <c:val>
            <c:numRef>
              <c:f>Schedules!$F$62:$AC$62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4B6C-49C6-8478-081DA7B8271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Corridor Service Hot Water</a:t>
            </a:r>
          </a:p>
        </c:rich>
      </c:tx>
      <c:layout>
        <c:manualLayout>
          <c:xMode val="edge"/>
          <c:yMode val="edge"/>
          <c:x val="0.15883143049026194"/>
          <c:y val="7.096008435390005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9363-4F47-9DA3-0C0F58D51016}"/>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9363-4F47-9DA3-0C0F58D51016}"/>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9363-4F47-9DA3-0C0F58D5101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Schedules!$C$69</c:f>
          <c:strCache>
            <c:ptCount val="1"/>
            <c:pt idx="0">
              <c:v>HVACAvail</c:v>
            </c:pt>
          </c:strCache>
        </c:strRef>
      </c:tx>
      <c:layout>
        <c:manualLayout>
          <c:xMode val="edge"/>
          <c:yMode val="edge"/>
          <c:x val="0.17677275498800721"/>
          <c:y val="6.1316469426658825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Schedules!$E$69</c:f>
              <c:strCache>
                <c:ptCount val="1"/>
                <c:pt idx="0">
                  <c:v>Weekday</c:v>
                </c:pt>
              </c:strCache>
            </c:strRef>
          </c:tx>
          <c:spPr>
            <a:ln w="28575" cap="rnd">
              <a:solidFill>
                <a:schemeClr val="accent1"/>
              </a:solidFill>
              <a:round/>
            </a:ln>
            <a:effectLst/>
          </c:spPr>
          <c:marker>
            <c:symbol val="none"/>
          </c:marker>
          <c:val>
            <c:numRef>
              <c:f>Schedules!$F$69:$AC$69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C9B4-4ED7-A640-47AFF0FF986D}"/>
            </c:ext>
          </c:extLst>
        </c:ser>
        <c:ser>
          <c:idx val="1"/>
          <c:order val="1"/>
          <c:tx>
            <c:strRef>
              <c:f>Schedules!$E$70</c:f>
              <c:strCache>
                <c:ptCount val="1"/>
                <c:pt idx="0">
                  <c:v>Saturday</c:v>
                </c:pt>
              </c:strCache>
            </c:strRef>
          </c:tx>
          <c:spPr>
            <a:ln w="28575" cap="rnd">
              <a:solidFill>
                <a:schemeClr val="accent2"/>
              </a:solidFill>
              <a:round/>
            </a:ln>
            <a:effectLst/>
          </c:spPr>
          <c:marker>
            <c:symbol val="none"/>
          </c:marker>
          <c:val>
            <c:numRef>
              <c:f>Schedules!$F$70:$AC$70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C9B4-4ED7-A640-47AFF0FF986D}"/>
            </c:ext>
          </c:extLst>
        </c:ser>
        <c:ser>
          <c:idx val="2"/>
          <c:order val="2"/>
          <c:tx>
            <c:strRef>
              <c:f>Schedules!$E$71</c:f>
              <c:strCache>
                <c:ptCount val="1"/>
                <c:pt idx="0">
                  <c:v>Sunday</c:v>
                </c:pt>
              </c:strCache>
            </c:strRef>
          </c:tx>
          <c:spPr>
            <a:ln w="28575" cap="rnd">
              <a:solidFill>
                <a:schemeClr val="accent3"/>
              </a:solidFill>
              <a:round/>
            </a:ln>
            <a:effectLst/>
          </c:spPr>
          <c:marker>
            <c:symbol val="none"/>
          </c:marker>
          <c:val>
            <c:numRef>
              <c:f>Schedules!$F$71:$AC$71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C9B4-4ED7-A640-47AFF0FF986D}"/>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Schedules!$C$57</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Schedules!$E$57</c:f>
              <c:strCache>
                <c:ptCount val="1"/>
                <c:pt idx="0">
                  <c:v>Weekday</c:v>
                </c:pt>
              </c:strCache>
            </c:strRef>
          </c:tx>
          <c:spPr>
            <a:ln w="28575" cap="rnd">
              <a:solidFill>
                <a:schemeClr val="accent1"/>
              </a:solidFill>
              <a:round/>
            </a:ln>
            <a:effectLst/>
          </c:spPr>
          <c:marker>
            <c:symbol val="none"/>
          </c:marker>
          <c:val>
            <c:numRef>
              <c:f>Schedules!$F$57:$AC$57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A203-4026-A178-63A12F4A17C5}"/>
            </c:ext>
          </c:extLst>
        </c:ser>
        <c:ser>
          <c:idx val="1"/>
          <c:order val="1"/>
          <c:tx>
            <c:strRef>
              <c:f>Schedules!$E$58</c:f>
              <c:strCache>
                <c:ptCount val="1"/>
                <c:pt idx="0">
                  <c:v>Saturday</c:v>
                </c:pt>
              </c:strCache>
            </c:strRef>
          </c:tx>
          <c:spPr>
            <a:ln w="28575" cap="rnd">
              <a:solidFill>
                <a:schemeClr val="accent2"/>
              </a:solidFill>
              <a:round/>
            </a:ln>
            <a:effectLst/>
          </c:spPr>
          <c:marker>
            <c:symbol val="none"/>
          </c:marker>
          <c:val>
            <c:numRef>
              <c:f>Schedules!$F$58:$AC$58</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A203-4026-A178-63A12F4A17C5}"/>
            </c:ext>
          </c:extLst>
        </c:ser>
        <c:ser>
          <c:idx val="2"/>
          <c:order val="2"/>
          <c:tx>
            <c:strRef>
              <c:f>Schedules!$E$59</c:f>
              <c:strCache>
                <c:ptCount val="1"/>
                <c:pt idx="0">
                  <c:v>Sunday</c:v>
                </c:pt>
              </c:strCache>
            </c:strRef>
          </c:tx>
          <c:spPr>
            <a:ln w="28575" cap="rnd">
              <a:solidFill>
                <a:schemeClr val="accent3"/>
              </a:solidFill>
              <a:round/>
            </a:ln>
            <a:effectLst/>
          </c:spPr>
          <c:marker>
            <c:symbol val="none"/>
          </c:marker>
          <c:val>
            <c:numRef>
              <c:f>Schedules!$F$59:$AC$59</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A203-4026-A178-63A12F4A17C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Schedules!$C$63</c:f>
          <c:strCache>
            <c:ptCount val="1"/>
            <c:pt idx="0">
              <c:v>ElecEquipment</c:v>
            </c:pt>
          </c:strCache>
        </c:strRef>
      </c:tx>
      <c:layout>
        <c:manualLayout>
          <c:xMode val="edge"/>
          <c:yMode val="edge"/>
          <c:x val="0.11467703110168408"/>
          <c:y val="6.1096122160172864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Schedules!$E$63</c:f>
              <c:strCache>
                <c:ptCount val="1"/>
                <c:pt idx="0">
                  <c:v>Weekday</c:v>
                </c:pt>
              </c:strCache>
            </c:strRef>
          </c:tx>
          <c:spPr>
            <a:ln w="28575" cap="rnd">
              <a:solidFill>
                <a:schemeClr val="accent1"/>
              </a:solidFill>
              <a:round/>
            </a:ln>
            <a:effectLst/>
          </c:spPr>
          <c:marker>
            <c:symbol val="none"/>
          </c:marker>
          <c:val>
            <c:numRef>
              <c:f>Schedules!$F$63:$AC$63</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0B78-4ECF-807F-130439B80561}"/>
            </c:ext>
          </c:extLst>
        </c:ser>
        <c:ser>
          <c:idx val="1"/>
          <c:order val="1"/>
          <c:tx>
            <c:strRef>
              <c:f>Schedules!$E$64</c:f>
              <c:strCache>
                <c:ptCount val="1"/>
                <c:pt idx="0">
                  <c:v>Saturday</c:v>
                </c:pt>
              </c:strCache>
            </c:strRef>
          </c:tx>
          <c:spPr>
            <a:ln w="28575" cap="rnd">
              <a:solidFill>
                <a:schemeClr val="accent2"/>
              </a:solidFill>
              <a:round/>
            </a:ln>
            <a:effectLst/>
          </c:spPr>
          <c:marker>
            <c:symbol val="none"/>
          </c:marker>
          <c:val>
            <c:numRef>
              <c:f>Schedules!$F$64:$AC$64</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0B78-4ECF-807F-130439B80561}"/>
            </c:ext>
          </c:extLst>
        </c:ser>
        <c:ser>
          <c:idx val="2"/>
          <c:order val="2"/>
          <c:tx>
            <c:strRef>
              <c:f>Schedules!$E$65</c:f>
              <c:strCache>
                <c:ptCount val="1"/>
                <c:pt idx="0">
                  <c:v>Sunday</c:v>
                </c:pt>
              </c:strCache>
            </c:strRef>
          </c:tx>
          <c:spPr>
            <a:ln w="28575" cap="rnd">
              <a:solidFill>
                <a:schemeClr val="accent3"/>
              </a:solidFill>
              <a:round/>
            </a:ln>
            <a:effectLst/>
          </c:spPr>
          <c:marker>
            <c:symbol val="none"/>
          </c:marker>
          <c:val>
            <c:numRef>
              <c:f>Schedules!$F$65:$AC$65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0B78-4ECF-807F-130439B80561}"/>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Schedules!$C$72</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Schedules!$E$72</c:f>
              <c:strCache>
                <c:ptCount val="1"/>
                <c:pt idx="0">
                  <c:v>Weekday</c:v>
                </c:pt>
              </c:strCache>
            </c:strRef>
          </c:tx>
          <c:spPr>
            <a:ln w="28575" cap="rnd">
              <a:solidFill>
                <a:schemeClr val="accent1"/>
              </a:solidFill>
              <a:round/>
            </a:ln>
            <a:effectLst/>
          </c:spPr>
          <c:marker>
            <c:symbol val="none"/>
          </c:marker>
          <c:val>
            <c:numRef>
              <c:f>Schedules!$F$72:$AC$72</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BA6D-4A2D-B204-7C772FDC14FB}"/>
            </c:ext>
          </c:extLst>
        </c:ser>
        <c:ser>
          <c:idx val="1"/>
          <c:order val="1"/>
          <c:tx>
            <c:strRef>
              <c:f>Schedules!$E$73</c:f>
              <c:strCache>
                <c:ptCount val="1"/>
                <c:pt idx="0">
                  <c:v>Saturday</c:v>
                </c:pt>
              </c:strCache>
            </c:strRef>
          </c:tx>
          <c:spPr>
            <a:ln w="28575" cap="rnd">
              <a:solidFill>
                <a:schemeClr val="accent2"/>
              </a:solidFill>
              <a:round/>
            </a:ln>
            <a:effectLst/>
          </c:spPr>
          <c:marker>
            <c:symbol val="none"/>
          </c:marker>
          <c:val>
            <c:numRef>
              <c:f>Schedules!$F$73:$AC$73</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1-BA6D-4A2D-B204-7C772FDC14FB}"/>
            </c:ext>
          </c:extLst>
        </c:ser>
        <c:ser>
          <c:idx val="2"/>
          <c:order val="2"/>
          <c:tx>
            <c:strRef>
              <c:f>Schedules!$E$74</c:f>
              <c:strCache>
                <c:ptCount val="1"/>
                <c:pt idx="0">
                  <c:v>Sunday</c:v>
                </c:pt>
              </c:strCache>
            </c:strRef>
          </c:tx>
          <c:spPr>
            <a:ln w="28575" cap="rnd">
              <a:solidFill>
                <a:schemeClr val="accent3"/>
              </a:solidFill>
              <a:round/>
            </a:ln>
            <a:effectLst/>
          </c:spPr>
          <c:marker>
            <c:symbol val="none"/>
          </c:marker>
          <c:val>
            <c:numRef>
              <c:f>Schedules!$F$74:$AC$74</c:f>
              <c:numCache>
                <c:formatCode>0.00</c:formatCode>
                <c:ptCount val="24"/>
                <c:pt idx="0">
                  <c:v>0.25</c:v>
                </c:pt>
                <c:pt idx="1">
                  <c:v>0.25</c:v>
                </c:pt>
                <c:pt idx="2">
                  <c:v>0.25</c:v>
                </c:pt>
                <c:pt idx="3">
                  <c:v>0.25</c:v>
                </c:pt>
                <c:pt idx="4">
                  <c:v>0.25</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2-BA6D-4A2D-B204-7C772FDC14F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Schedules!$C$85</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Schedules!$E$85</c:f>
              <c:strCache>
                <c:ptCount val="1"/>
                <c:pt idx="0">
                  <c:v>Weekday</c:v>
                </c:pt>
              </c:strCache>
            </c:strRef>
          </c:tx>
          <c:spPr>
            <a:ln w="28575" cap="rnd">
              <a:solidFill>
                <a:schemeClr val="accent1"/>
              </a:solidFill>
              <a:round/>
            </a:ln>
            <a:effectLst/>
          </c:spPr>
          <c:marker>
            <c:symbol val="none"/>
          </c:marker>
          <c:val>
            <c:numRef>
              <c:f>Schedules!$F$85:$AC$85</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0-5865-4331-8B5B-9E6C1F196204}"/>
            </c:ext>
          </c:extLst>
        </c:ser>
        <c:ser>
          <c:idx val="1"/>
          <c:order val="1"/>
          <c:tx>
            <c:strRef>
              <c:f>Schedules!$E$86</c:f>
              <c:strCache>
                <c:ptCount val="1"/>
                <c:pt idx="0">
                  <c:v>Saturday</c:v>
                </c:pt>
              </c:strCache>
            </c:strRef>
          </c:tx>
          <c:spPr>
            <a:ln w="28575" cap="rnd">
              <a:solidFill>
                <a:schemeClr val="accent2"/>
              </a:solidFill>
              <a:round/>
            </a:ln>
            <a:effectLst/>
          </c:spPr>
          <c:marker>
            <c:symbol val="none"/>
          </c:marker>
          <c:val>
            <c:numRef>
              <c:f>Schedules!$F$86:$AC$86</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1-5865-4331-8B5B-9E6C1F196204}"/>
            </c:ext>
          </c:extLst>
        </c:ser>
        <c:ser>
          <c:idx val="2"/>
          <c:order val="2"/>
          <c:tx>
            <c:strRef>
              <c:f>Schedules!$E$87</c:f>
              <c:strCache>
                <c:ptCount val="1"/>
                <c:pt idx="0">
                  <c:v>Sunday</c:v>
                </c:pt>
              </c:strCache>
            </c:strRef>
          </c:tx>
          <c:spPr>
            <a:ln w="28575" cap="rnd">
              <a:solidFill>
                <a:schemeClr val="accent3"/>
              </a:solidFill>
              <a:round/>
            </a:ln>
            <a:effectLst/>
          </c:spPr>
          <c:marker>
            <c:symbol val="none"/>
          </c:marker>
          <c:val>
            <c:numRef>
              <c:f>Schedules!$F$87:$AC$87</c:f>
              <c:numCache>
                <c:formatCode>0.00</c:formatCode>
                <c:ptCount val="24"/>
                <c:pt idx="0">
                  <c:v>0.1</c:v>
                </c:pt>
                <c:pt idx="1">
                  <c:v>0.1</c:v>
                </c:pt>
                <c:pt idx="2">
                  <c:v>0.1</c:v>
                </c:pt>
                <c:pt idx="3">
                  <c:v>0.1</c:v>
                </c:pt>
                <c:pt idx="4">
                  <c:v>0.1</c:v>
                </c:pt>
                <c:pt idx="5">
                  <c:v>0.3</c:v>
                </c:pt>
                <c:pt idx="6">
                  <c:v>0.45</c:v>
                </c:pt>
                <c:pt idx="7">
                  <c:v>0.45</c:v>
                </c:pt>
                <c:pt idx="8">
                  <c:v>0.45</c:v>
                </c:pt>
                <c:pt idx="9">
                  <c:v>0.45</c:v>
                </c:pt>
                <c:pt idx="10">
                  <c:v>0.3</c:v>
                </c:pt>
                <c:pt idx="11">
                  <c:v>0.3</c:v>
                </c:pt>
                <c:pt idx="12">
                  <c:v>0.3</c:v>
                </c:pt>
                <c:pt idx="13">
                  <c:v>0.3</c:v>
                </c:pt>
                <c:pt idx="14">
                  <c:v>0.3</c:v>
                </c:pt>
                <c:pt idx="15">
                  <c:v>0.3</c:v>
                </c:pt>
                <c:pt idx="16">
                  <c:v>0.3</c:v>
                </c:pt>
                <c:pt idx="17">
                  <c:v>0.3</c:v>
                </c:pt>
                <c:pt idx="18">
                  <c:v>0.6</c:v>
                </c:pt>
                <c:pt idx="19">
                  <c:v>0.8</c:v>
                </c:pt>
                <c:pt idx="20">
                  <c:v>0.9</c:v>
                </c:pt>
                <c:pt idx="21">
                  <c:v>0.8</c:v>
                </c:pt>
                <c:pt idx="22">
                  <c:v>0.6</c:v>
                </c:pt>
                <c:pt idx="23">
                  <c:v>0.3</c:v>
                </c:pt>
              </c:numCache>
            </c:numRef>
          </c:val>
          <c:smooth val="0"/>
          <c:extLst>
            <c:ext xmlns:c16="http://schemas.microsoft.com/office/drawing/2014/chart" uri="{C3380CC4-5D6E-409C-BE32-E72D297353CC}">
              <c16:uniqueId val="{00000002-5865-4331-8B5B-9E6C1F19620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Schedules!$C$94</c:f>
          <c:strCache>
            <c:ptCount val="1"/>
            <c:pt idx="0">
              <c:v>ServiceHotWater</c:v>
            </c:pt>
          </c:strCache>
        </c:strRef>
      </c:tx>
      <c:layout>
        <c:manualLayout>
          <c:xMode val="edge"/>
          <c:yMode val="edge"/>
          <c:x val="0.26716733239887436"/>
          <c:y val="3.9147901297221878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Schedules!$E$94</c:f>
              <c:strCache>
                <c:ptCount val="1"/>
                <c:pt idx="0">
                  <c:v>Weekday</c:v>
                </c:pt>
              </c:strCache>
            </c:strRef>
          </c:tx>
          <c:spPr>
            <a:ln w="28575" cap="rnd">
              <a:solidFill>
                <a:schemeClr val="accent1"/>
              </a:solidFill>
              <a:round/>
            </a:ln>
            <a:effectLst/>
          </c:spPr>
          <c:marker>
            <c:symbol val="none"/>
          </c:marker>
          <c:val>
            <c:numRef>
              <c:f>Schedules!$F$94:$AC$94</c:f>
              <c:numCache>
                <c:formatCode>0.00</c:formatCode>
                <c:ptCount val="24"/>
                <c:pt idx="0">
                  <c:v>0.13100000000000001</c:v>
                </c:pt>
                <c:pt idx="1">
                  <c:v>7.4999999999999997E-2</c:v>
                </c:pt>
                <c:pt idx="2">
                  <c:v>8.4000000000000005E-2</c:v>
                </c:pt>
                <c:pt idx="3">
                  <c:v>0.10299999999999999</c:v>
                </c:pt>
                <c:pt idx="4">
                  <c:v>0.187</c:v>
                </c:pt>
                <c:pt idx="5">
                  <c:v>0.41099999999999998</c:v>
                </c:pt>
                <c:pt idx="6">
                  <c:v>0.83199999999999996</c:v>
                </c:pt>
                <c:pt idx="7">
                  <c:v>1</c:v>
                </c:pt>
                <c:pt idx="8">
                  <c:v>0.83199999999999996</c:v>
                </c:pt>
                <c:pt idx="9">
                  <c:v>0.61699999999999999</c:v>
                </c:pt>
                <c:pt idx="10">
                  <c:v>0.48599999999999999</c:v>
                </c:pt>
                <c:pt idx="11">
                  <c:v>0.35499999999999998</c:v>
                </c:pt>
                <c:pt idx="12">
                  <c:v>0.33600000000000002</c:v>
                </c:pt>
                <c:pt idx="13">
                  <c:v>0.308</c:v>
                </c:pt>
                <c:pt idx="14">
                  <c:v>0.29899999999999999</c:v>
                </c:pt>
                <c:pt idx="15">
                  <c:v>0.24299999999999999</c:v>
                </c:pt>
                <c:pt idx="16">
                  <c:v>0.39300000000000002</c:v>
                </c:pt>
                <c:pt idx="17">
                  <c:v>0.44900000000000001</c:v>
                </c:pt>
                <c:pt idx="18">
                  <c:v>0.48599999999999999</c:v>
                </c:pt>
                <c:pt idx="19">
                  <c:v>0.439</c:v>
                </c:pt>
                <c:pt idx="20">
                  <c:v>0.39300000000000002</c:v>
                </c:pt>
                <c:pt idx="21">
                  <c:v>0.36399999999999999</c:v>
                </c:pt>
                <c:pt idx="22">
                  <c:v>0.33600000000000002</c:v>
                </c:pt>
                <c:pt idx="23">
                  <c:v>0.20599999999999999</c:v>
                </c:pt>
              </c:numCache>
            </c:numRef>
          </c:val>
          <c:smooth val="0"/>
          <c:extLst>
            <c:ext xmlns:c16="http://schemas.microsoft.com/office/drawing/2014/chart" uri="{C3380CC4-5D6E-409C-BE32-E72D297353CC}">
              <c16:uniqueId val="{00000000-C200-4F0B-9240-950FCB2134A4}"/>
            </c:ext>
          </c:extLst>
        </c:ser>
        <c:ser>
          <c:idx val="1"/>
          <c:order val="1"/>
          <c:tx>
            <c:strRef>
              <c:f>Schedules!$E$95</c:f>
              <c:strCache>
                <c:ptCount val="1"/>
                <c:pt idx="0">
                  <c:v>Saturday</c:v>
                </c:pt>
              </c:strCache>
            </c:strRef>
          </c:tx>
          <c:spPr>
            <a:ln w="28575" cap="rnd">
              <a:solidFill>
                <a:schemeClr val="accent2"/>
              </a:solidFill>
              <a:round/>
            </a:ln>
            <a:effectLst/>
          </c:spPr>
          <c:marker>
            <c:symbol val="none"/>
          </c:marker>
          <c:val>
            <c:numRef>
              <c:f>Schedules!$F$95:$AC$95</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1-C200-4F0B-9240-950FCB2134A4}"/>
            </c:ext>
          </c:extLst>
        </c:ser>
        <c:ser>
          <c:idx val="2"/>
          <c:order val="2"/>
          <c:tx>
            <c:strRef>
              <c:f>Schedules!$E$96</c:f>
              <c:strCache>
                <c:ptCount val="1"/>
                <c:pt idx="0">
                  <c:v>Sunday</c:v>
                </c:pt>
              </c:strCache>
            </c:strRef>
          </c:tx>
          <c:spPr>
            <a:ln w="28575" cap="rnd">
              <a:solidFill>
                <a:schemeClr val="accent3"/>
              </a:solidFill>
              <a:round/>
            </a:ln>
            <a:effectLst/>
          </c:spPr>
          <c:marker>
            <c:symbol val="none"/>
          </c:marker>
          <c:val>
            <c:numRef>
              <c:f>Schedules!$F$96:$AC$96</c:f>
              <c:numCache>
                <c:formatCode>0.00</c:formatCode>
                <c:ptCount val="24"/>
                <c:pt idx="0">
                  <c:v>0.217</c:v>
                </c:pt>
                <c:pt idx="1">
                  <c:v>0.12</c:v>
                </c:pt>
                <c:pt idx="2">
                  <c:v>0.108</c:v>
                </c:pt>
                <c:pt idx="3">
                  <c:v>9.6000000000000002E-2</c:v>
                </c:pt>
                <c:pt idx="4">
                  <c:v>0.18099999999999999</c:v>
                </c:pt>
                <c:pt idx="5">
                  <c:v>0.27700000000000002</c:v>
                </c:pt>
                <c:pt idx="6">
                  <c:v>0.313</c:v>
                </c:pt>
                <c:pt idx="7">
                  <c:v>0.56599999999999995</c:v>
                </c:pt>
                <c:pt idx="8">
                  <c:v>0.92800000000000005</c:v>
                </c:pt>
                <c:pt idx="9">
                  <c:v>1</c:v>
                </c:pt>
                <c:pt idx="10">
                  <c:v>0.89200000000000002</c:v>
                </c:pt>
                <c:pt idx="11">
                  <c:v>0.73499999999999999</c:v>
                </c:pt>
                <c:pt idx="12">
                  <c:v>0.61399999999999999</c:v>
                </c:pt>
                <c:pt idx="13">
                  <c:v>0.51800000000000002</c:v>
                </c:pt>
                <c:pt idx="14">
                  <c:v>0.47</c:v>
                </c:pt>
                <c:pt idx="15">
                  <c:v>0.47</c:v>
                </c:pt>
                <c:pt idx="16">
                  <c:v>0.627</c:v>
                </c:pt>
                <c:pt idx="17">
                  <c:v>0.69899999999999995</c:v>
                </c:pt>
                <c:pt idx="18">
                  <c:v>0.67500000000000004</c:v>
                </c:pt>
                <c:pt idx="19">
                  <c:v>0.627</c:v>
                </c:pt>
                <c:pt idx="20">
                  <c:v>0.56599999999999995</c:v>
                </c:pt>
                <c:pt idx="21">
                  <c:v>0.53</c:v>
                </c:pt>
                <c:pt idx="22">
                  <c:v>0.48199999999999998</c:v>
                </c:pt>
                <c:pt idx="23">
                  <c:v>0.33700000000000002</c:v>
                </c:pt>
              </c:numCache>
            </c:numRef>
          </c:val>
          <c:smooth val="0"/>
          <c:extLst>
            <c:ext xmlns:c16="http://schemas.microsoft.com/office/drawing/2014/chart" uri="{C3380CC4-5D6E-409C-BE32-E72D297353CC}">
              <c16:uniqueId val="{00000002-C200-4F0B-9240-950FCB2134A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Schedules!$C$91</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Schedules!$E$91</c:f>
              <c:strCache>
                <c:ptCount val="1"/>
                <c:pt idx="0">
                  <c:v>Weekday</c:v>
                </c:pt>
              </c:strCache>
            </c:strRef>
          </c:tx>
          <c:spPr>
            <a:ln w="28575" cap="rnd">
              <a:solidFill>
                <a:schemeClr val="accent1"/>
              </a:solidFill>
              <a:round/>
            </a:ln>
            <a:effectLst/>
          </c:spPr>
          <c:marker>
            <c:symbol val="none"/>
          </c:marker>
          <c:val>
            <c:numRef>
              <c:f>Schedules!$F$91:$AC$91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1901-475F-84D5-98EF48037E17}"/>
            </c:ext>
          </c:extLst>
        </c:ser>
        <c:ser>
          <c:idx val="1"/>
          <c:order val="1"/>
          <c:tx>
            <c:strRef>
              <c:f>Schedules!$E$92</c:f>
              <c:strCache>
                <c:ptCount val="1"/>
                <c:pt idx="0">
                  <c:v>Saturday</c:v>
                </c:pt>
              </c:strCache>
            </c:strRef>
          </c:tx>
          <c:spPr>
            <a:ln w="28575" cap="rnd">
              <a:solidFill>
                <a:schemeClr val="accent2"/>
              </a:solidFill>
              <a:round/>
            </a:ln>
            <a:effectLst/>
          </c:spPr>
          <c:marker>
            <c:symbol val="none"/>
          </c:marker>
          <c:val>
            <c:numRef>
              <c:f>Schedules!$F$92:$AC$92</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1901-475F-84D5-98EF48037E17}"/>
            </c:ext>
          </c:extLst>
        </c:ser>
        <c:ser>
          <c:idx val="2"/>
          <c:order val="2"/>
          <c:tx>
            <c:strRef>
              <c:f>Schedules!$E$93</c:f>
              <c:strCache>
                <c:ptCount val="1"/>
                <c:pt idx="0">
                  <c:v>Sunday</c:v>
                </c:pt>
              </c:strCache>
            </c:strRef>
          </c:tx>
          <c:spPr>
            <a:ln w="28575" cap="rnd">
              <a:solidFill>
                <a:schemeClr val="accent3"/>
              </a:solidFill>
              <a:round/>
            </a:ln>
            <a:effectLst/>
          </c:spPr>
          <c:marker>
            <c:symbol val="none"/>
          </c:marker>
          <c:val>
            <c:numRef>
              <c:f>Schedules!$F$93:$AC$93</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1901-475F-84D5-98EF48037E1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1006718935"/>
          <c:y val="0.3084356022809490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Schedules!$C$82</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Schedules!$E$82</c:f>
              <c:strCache>
                <c:ptCount val="1"/>
                <c:pt idx="0">
                  <c:v>Weekday</c:v>
                </c:pt>
              </c:strCache>
            </c:strRef>
          </c:tx>
          <c:spPr>
            <a:ln w="28575" cap="rnd">
              <a:solidFill>
                <a:schemeClr val="accent1"/>
              </a:solidFill>
              <a:round/>
            </a:ln>
            <a:effectLst/>
          </c:spPr>
          <c:marker>
            <c:symbol val="none"/>
          </c:marker>
          <c:val>
            <c:numRef>
              <c:f>Schedules!$F$82:$AC$82</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0-86B3-4A5C-8AF0-19EC0B5D3C1E}"/>
            </c:ext>
          </c:extLst>
        </c:ser>
        <c:ser>
          <c:idx val="1"/>
          <c:order val="1"/>
          <c:tx>
            <c:strRef>
              <c:f>Schedules!$E$83</c:f>
              <c:strCache>
                <c:ptCount val="1"/>
                <c:pt idx="0">
                  <c:v>Saturday</c:v>
                </c:pt>
              </c:strCache>
            </c:strRef>
          </c:tx>
          <c:spPr>
            <a:ln w="28575" cap="rnd">
              <a:solidFill>
                <a:schemeClr val="accent2"/>
              </a:solidFill>
              <a:round/>
            </a:ln>
            <a:effectLst/>
          </c:spPr>
          <c:marker>
            <c:symbol val="none"/>
          </c:marker>
          <c:val>
            <c:numRef>
              <c:f>Schedules!$F$83:$AC$83</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1-86B3-4A5C-8AF0-19EC0B5D3C1E}"/>
            </c:ext>
          </c:extLst>
        </c:ser>
        <c:ser>
          <c:idx val="2"/>
          <c:order val="2"/>
          <c:tx>
            <c:strRef>
              <c:f>Schedules!$E$84</c:f>
              <c:strCache>
                <c:ptCount val="1"/>
                <c:pt idx="0">
                  <c:v>Sunday</c:v>
                </c:pt>
              </c:strCache>
            </c:strRef>
          </c:tx>
          <c:spPr>
            <a:ln w="28575" cap="rnd">
              <a:solidFill>
                <a:schemeClr val="accent3"/>
              </a:solidFill>
              <a:round/>
            </a:ln>
            <a:effectLst/>
          </c:spPr>
          <c:marker>
            <c:symbol val="none"/>
          </c:marker>
          <c:val>
            <c:numRef>
              <c:f>Schedules!$F$84:$AC$84</c:f>
              <c:numCache>
                <c:formatCode>0.00</c:formatCode>
                <c:ptCount val="24"/>
                <c:pt idx="0">
                  <c:v>0.9</c:v>
                </c:pt>
                <c:pt idx="1">
                  <c:v>0.9</c:v>
                </c:pt>
                <c:pt idx="2">
                  <c:v>0.9</c:v>
                </c:pt>
                <c:pt idx="3">
                  <c:v>0.9</c:v>
                </c:pt>
                <c:pt idx="4">
                  <c:v>0.9</c:v>
                </c:pt>
                <c:pt idx="5">
                  <c:v>0.9</c:v>
                </c:pt>
                <c:pt idx="6">
                  <c:v>0.7</c:v>
                </c:pt>
                <c:pt idx="7">
                  <c:v>0.4</c:v>
                </c:pt>
                <c:pt idx="8">
                  <c:v>0.4</c:v>
                </c:pt>
                <c:pt idx="9">
                  <c:v>0.2</c:v>
                </c:pt>
                <c:pt idx="10">
                  <c:v>0.2</c:v>
                </c:pt>
                <c:pt idx="11">
                  <c:v>0.2</c:v>
                </c:pt>
                <c:pt idx="12">
                  <c:v>0.2</c:v>
                </c:pt>
                <c:pt idx="13">
                  <c:v>0.2</c:v>
                </c:pt>
                <c:pt idx="14">
                  <c:v>0.2</c:v>
                </c:pt>
                <c:pt idx="15">
                  <c:v>0.3</c:v>
                </c:pt>
                <c:pt idx="16">
                  <c:v>0.5</c:v>
                </c:pt>
                <c:pt idx="17">
                  <c:v>0.5</c:v>
                </c:pt>
                <c:pt idx="18">
                  <c:v>0.5</c:v>
                </c:pt>
                <c:pt idx="19">
                  <c:v>0.7</c:v>
                </c:pt>
                <c:pt idx="20">
                  <c:v>0.7</c:v>
                </c:pt>
                <c:pt idx="21">
                  <c:v>0.8</c:v>
                </c:pt>
                <c:pt idx="22">
                  <c:v>0.9</c:v>
                </c:pt>
                <c:pt idx="23">
                  <c:v>0.9</c:v>
                </c:pt>
              </c:numCache>
            </c:numRef>
          </c:val>
          <c:smooth val="0"/>
          <c:extLst>
            <c:ext xmlns:c16="http://schemas.microsoft.com/office/drawing/2014/chart" uri="{C3380CC4-5D6E-409C-BE32-E72D297353CC}">
              <c16:uniqueId val="{00000002-86B3-4A5C-8AF0-19EC0B5D3C1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Schedules!$C$88</c:f>
          <c:strCache>
            <c:ptCount val="1"/>
            <c:pt idx="0">
              <c:v>ElecEquipment</c:v>
            </c:pt>
          </c:strCache>
        </c:strRef>
      </c:tx>
      <c:layout>
        <c:manualLayout>
          <c:xMode val="edge"/>
          <c:yMode val="edge"/>
          <c:x val="0.33340220080653948"/>
          <c:y val="7.421264887399627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Schedules!$E$88</c:f>
              <c:strCache>
                <c:ptCount val="1"/>
                <c:pt idx="0">
                  <c:v>Weekday</c:v>
                </c:pt>
              </c:strCache>
            </c:strRef>
          </c:tx>
          <c:spPr>
            <a:ln w="28575" cap="rnd">
              <a:solidFill>
                <a:schemeClr val="accent1"/>
              </a:solidFill>
              <a:round/>
            </a:ln>
            <a:effectLst/>
          </c:spPr>
          <c:marker>
            <c:symbol val="none"/>
          </c:marker>
          <c:val>
            <c:numRef>
              <c:f>Schedules!$F$88:$AC$88</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0-1616-402B-B0C1-A11C62645525}"/>
            </c:ext>
          </c:extLst>
        </c:ser>
        <c:ser>
          <c:idx val="1"/>
          <c:order val="1"/>
          <c:tx>
            <c:strRef>
              <c:f>Schedules!$E$89</c:f>
              <c:strCache>
                <c:ptCount val="1"/>
                <c:pt idx="0">
                  <c:v>Saturday</c:v>
                </c:pt>
              </c:strCache>
            </c:strRef>
          </c:tx>
          <c:spPr>
            <a:ln w="28575" cap="rnd">
              <a:solidFill>
                <a:schemeClr val="accent2"/>
              </a:solidFill>
              <a:round/>
            </a:ln>
            <a:effectLst/>
          </c:spPr>
          <c:marker>
            <c:symbol val="none"/>
          </c:marker>
          <c:val>
            <c:numRef>
              <c:f>Schedules!$F$89:$AC$89</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1-1616-402B-B0C1-A11C62645525}"/>
            </c:ext>
          </c:extLst>
        </c:ser>
        <c:ser>
          <c:idx val="2"/>
          <c:order val="2"/>
          <c:tx>
            <c:strRef>
              <c:f>Schedules!$E$90</c:f>
              <c:strCache>
                <c:ptCount val="1"/>
                <c:pt idx="0">
                  <c:v>Sunday</c:v>
                </c:pt>
              </c:strCache>
            </c:strRef>
          </c:tx>
          <c:spPr>
            <a:ln w="28575" cap="rnd">
              <a:solidFill>
                <a:schemeClr val="accent3"/>
              </a:solidFill>
              <a:round/>
            </a:ln>
            <a:effectLst/>
          </c:spPr>
          <c:marker>
            <c:symbol val="none"/>
          </c:marker>
          <c:val>
            <c:numRef>
              <c:f>Schedules!$F$90:$AC$90</c:f>
              <c:numCache>
                <c:formatCode>0.00</c:formatCode>
                <c:ptCount val="24"/>
                <c:pt idx="0">
                  <c:v>0.1</c:v>
                </c:pt>
                <c:pt idx="1">
                  <c:v>0.1</c:v>
                </c:pt>
                <c:pt idx="2">
                  <c:v>0.1</c:v>
                </c:pt>
                <c:pt idx="3">
                  <c:v>0.1</c:v>
                </c:pt>
                <c:pt idx="4">
                  <c:v>0.1</c:v>
                </c:pt>
                <c:pt idx="5">
                  <c:v>0.3</c:v>
                </c:pt>
                <c:pt idx="6">
                  <c:v>0.45</c:v>
                </c:pt>
                <c:pt idx="7">
                  <c:v>0.45</c:v>
                </c:pt>
                <c:pt idx="8">
                  <c:v>0.45</c:v>
                </c:pt>
                <c:pt idx="9">
                  <c:v>0.45</c:v>
                </c:pt>
                <c:pt idx="10">
                  <c:v>0.2</c:v>
                </c:pt>
                <c:pt idx="11">
                  <c:v>0.2</c:v>
                </c:pt>
                <c:pt idx="12">
                  <c:v>0.2</c:v>
                </c:pt>
                <c:pt idx="13">
                  <c:v>0.2</c:v>
                </c:pt>
                <c:pt idx="14">
                  <c:v>0.2</c:v>
                </c:pt>
                <c:pt idx="15">
                  <c:v>0.2</c:v>
                </c:pt>
                <c:pt idx="16">
                  <c:v>0.2</c:v>
                </c:pt>
                <c:pt idx="17">
                  <c:v>0.2</c:v>
                </c:pt>
                <c:pt idx="18">
                  <c:v>0.4</c:v>
                </c:pt>
                <c:pt idx="19">
                  <c:v>0.5</c:v>
                </c:pt>
                <c:pt idx="20">
                  <c:v>0.6</c:v>
                </c:pt>
                <c:pt idx="21">
                  <c:v>0.5</c:v>
                </c:pt>
                <c:pt idx="22">
                  <c:v>0.4</c:v>
                </c:pt>
                <c:pt idx="23">
                  <c:v>0.25</c:v>
                </c:pt>
              </c:numCache>
            </c:numRef>
          </c:val>
          <c:smooth val="0"/>
          <c:extLst>
            <c:ext xmlns:c16="http://schemas.microsoft.com/office/drawing/2014/chart" uri="{C3380CC4-5D6E-409C-BE32-E72D297353CC}">
              <c16:uniqueId val="{00000002-1616-402B-B0C1-A11C6264552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Schedules!$C$97</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Schedules!$E$97</c:f>
              <c:strCache>
                <c:ptCount val="1"/>
                <c:pt idx="0">
                  <c:v>Weekday</c:v>
                </c:pt>
              </c:strCache>
            </c:strRef>
          </c:tx>
          <c:spPr>
            <a:ln w="28575" cap="rnd">
              <a:solidFill>
                <a:schemeClr val="accent1"/>
              </a:solidFill>
              <a:round/>
            </a:ln>
            <a:effectLst/>
          </c:spPr>
          <c:marker>
            <c:symbol val="none"/>
          </c:marker>
          <c:val>
            <c:numRef>
              <c:f>Schedules!$F$97:$AC$97</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9152-4732-B20E-855AD75030B3}"/>
            </c:ext>
          </c:extLst>
        </c:ser>
        <c:ser>
          <c:idx val="1"/>
          <c:order val="1"/>
          <c:tx>
            <c:strRef>
              <c:f>Schedules!$E$98</c:f>
              <c:strCache>
                <c:ptCount val="1"/>
                <c:pt idx="0">
                  <c:v>Saturday</c:v>
                </c:pt>
              </c:strCache>
            </c:strRef>
          </c:tx>
          <c:spPr>
            <a:ln w="28575" cap="rnd">
              <a:solidFill>
                <a:schemeClr val="accent2"/>
              </a:solidFill>
              <a:round/>
            </a:ln>
            <a:effectLst/>
          </c:spPr>
          <c:marker>
            <c:symbol val="none"/>
          </c:marker>
          <c:val>
            <c:numRef>
              <c:f>Schedules!$F$98:$AC$98</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9152-4732-B20E-855AD75030B3}"/>
            </c:ext>
          </c:extLst>
        </c:ser>
        <c:ser>
          <c:idx val="2"/>
          <c:order val="2"/>
          <c:tx>
            <c:strRef>
              <c:f>Schedules!$E$99</c:f>
              <c:strCache>
                <c:ptCount val="1"/>
                <c:pt idx="0">
                  <c:v>Sunday</c:v>
                </c:pt>
              </c:strCache>
            </c:strRef>
          </c:tx>
          <c:spPr>
            <a:ln w="28575" cap="rnd">
              <a:solidFill>
                <a:schemeClr val="accent3"/>
              </a:solidFill>
              <a:round/>
            </a:ln>
            <a:effectLst/>
          </c:spPr>
          <c:marker>
            <c:symbol val="none"/>
          </c:marker>
          <c:val>
            <c:numRef>
              <c:f>Schedules!$F$99:$AC$99</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9152-4732-B20E-855AD75030B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11006718935"/>
          <c:y val="0.3140390784485273"/>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727A-4770-8D97-CD022D6A4B94}"/>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727A-4770-8D97-CD022D6A4B94}"/>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727A-4770-8D97-CD022D6A4B9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Schedules!$C$219</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Schedules!$E$219</c:f>
              <c:strCache>
                <c:ptCount val="1"/>
                <c:pt idx="0">
                  <c:v>Weekday</c:v>
                </c:pt>
              </c:strCache>
            </c:strRef>
          </c:tx>
          <c:spPr>
            <a:ln w="28575" cap="rnd">
              <a:solidFill>
                <a:schemeClr val="accent1"/>
              </a:solidFill>
              <a:round/>
            </a:ln>
            <a:effectLst/>
          </c:spPr>
          <c:marker>
            <c:symbol val="none"/>
          </c:marker>
          <c:val>
            <c:numRef>
              <c:f>Schedules!$F$219:$AC$219</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0-41CA-44B1-B8D3-C51F51EDCEF3}"/>
            </c:ext>
          </c:extLst>
        </c:ser>
        <c:ser>
          <c:idx val="1"/>
          <c:order val="1"/>
          <c:tx>
            <c:strRef>
              <c:f>Schedules!$E$220</c:f>
              <c:strCache>
                <c:ptCount val="1"/>
                <c:pt idx="0">
                  <c:v>Saturday</c:v>
                </c:pt>
              </c:strCache>
            </c:strRef>
          </c:tx>
          <c:spPr>
            <a:ln w="28575" cap="rnd">
              <a:solidFill>
                <a:schemeClr val="accent2"/>
              </a:solidFill>
              <a:round/>
            </a:ln>
            <a:effectLst/>
          </c:spPr>
          <c:marker>
            <c:symbol val="none"/>
          </c:marker>
          <c:val>
            <c:numRef>
              <c:f>Schedules!$F$220:$AC$220</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1-41CA-44B1-B8D3-C51F51EDCEF3}"/>
            </c:ext>
          </c:extLst>
        </c:ser>
        <c:ser>
          <c:idx val="2"/>
          <c:order val="2"/>
          <c:tx>
            <c:strRef>
              <c:f>Schedules!$E$221</c:f>
              <c:strCache>
                <c:ptCount val="1"/>
                <c:pt idx="0">
                  <c:v>Sunday</c:v>
                </c:pt>
              </c:strCache>
            </c:strRef>
          </c:tx>
          <c:spPr>
            <a:ln w="28575" cap="rnd">
              <a:solidFill>
                <a:schemeClr val="accent3"/>
              </a:solidFill>
              <a:round/>
            </a:ln>
            <a:effectLst/>
          </c:spPr>
          <c:marker>
            <c:symbol val="none"/>
          </c:marker>
          <c:val>
            <c:numRef>
              <c:f>Schedules!$F$221:$AC$221</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2-41CA-44B1-B8D3-C51F51EDCEF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Schedules!$C$35</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283D-420E-BE1E-09270BE0707C}"/>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283D-420E-BE1E-09270BE0707C}"/>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283D-420E-BE1E-09270BE0707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Schedules!$C$50</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0-0DFE-469E-9668-0D72A2376D53}"/>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1-0DFE-469E-9668-0D72A2376D53}"/>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2-0DFE-469E-9668-0D72A2376D5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5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Schedules!$C$53</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0-A745-47B8-8247-9B958687D800}"/>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1-A745-47B8-8247-9B958687D800}"/>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2-A745-47B8-8247-9B958687D80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0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Schedules!$C$100</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Schedules!$E$100</c:f>
              <c:strCache>
                <c:ptCount val="1"/>
                <c:pt idx="0">
                  <c:v>Weekday</c:v>
                </c:pt>
              </c:strCache>
            </c:strRef>
          </c:tx>
          <c:spPr>
            <a:ln w="28575" cap="rnd">
              <a:solidFill>
                <a:schemeClr val="accent1"/>
              </a:solidFill>
              <a:round/>
            </a:ln>
            <a:effectLst/>
          </c:spPr>
          <c:marker>
            <c:symbol val="none"/>
          </c:marker>
          <c:val>
            <c:numRef>
              <c:f>Schedules!$F$100:$AC$100</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A3AF-4E2D-A219-E7A5C0191057}"/>
            </c:ext>
          </c:extLst>
        </c:ser>
        <c:ser>
          <c:idx val="1"/>
          <c:order val="1"/>
          <c:tx>
            <c:strRef>
              <c:f>Schedules!$E$101</c:f>
              <c:strCache>
                <c:ptCount val="1"/>
                <c:pt idx="0">
                  <c:v>Saturday</c:v>
                </c:pt>
              </c:strCache>
            </c:strRef>
          </c:tx>
          <c:spPr>
            <a:ln w="28575" cap="rnd">
              <a:solidFill>
                <a:schemeClr val="accent2"/>
              </a:solidFill>
              <a:round/>
            </a:ln>
            <a:effectLst/>
          </c:spPr>
          <c:marker>
            <c:symbol val="none"/>
          </c:marker>
          <c:val>
            <c:numRef>
              <c:f>Schedules!$F$101:$AC$101</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1-A3AF-4E2D-A219-E7A5C0191057}"/>
            </c:ext>
          </c:extLst>
        </c:ser>
        <c:ser>
          <c:idx val="2"/>
          <c:order val="2"/>
          <c:tx>
            <c:strRef>
              <c:f>Schedules!$E$102</c:f>
              <c:strCache>
                <c:ptCount val="1"/>
                <c:pt idx="0">
                  <c:v>Sunday</c:v>
                </c:pt>
              </c:strCache>
            </c:strRef>
          </c:tx>
          <c:spPr>
            <a:ln w="28575" cap="rnd">
              <a:solidFill>
                <a:schemeClr val="accent3"/>
              </a:solidFill>
              <a:round/>
            </a:ln>
            <a:effectLst/>
          </c:spPr>
          <c:marker>
            <c:symbol val="none"/>
          </c:marker>
          <c:val>
            <c:numRef>
              <c:f>Schedules!$F$102:$AC$102</c:f>
              <c:numCache>
                <c:formatCode>0</c:formatCode>
                <c:ptCount val="24"/>
                <c:pt idx="0">
                  <c:v>70</c:v>
                </c:pt>
                <c:pt idx="1">
                  <c:v>70</c:v>
                </c:pt>
                <c:pt idx="2">
                  <c:v>70</c:v>
                </c:pt>
                <c:pt idx="3">
                  <c:v>70</c:v>
                </c:pt>
                <c:pt idx="4">
                  <c:v>70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2-A3AF-4E2D-A219-E7A5C019105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Schedules!$C$103</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Schedules!$F$103:$AC$103</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0-5AA3-4EA2-B281-19B148F2D9DC}"/>
            </c:ext>
          </c:extLst>
        </c:ser>
        <c:ser>
          <c:idx val="1"/>
          <c:order val="1"/>
          <c:spPr>
            <a:ln w="28575" cap="rnd">
              <a:solidFill>
                <a:schemeClr val="accent2"/>
              </a:solidFill>
              <a:round/>
            </a:ln>
            <a:effectLst/>
          </c:spPr>
          <c:marker>
            <c:symbol val="none"/>
          </c:marker>
          <c:val>
            <c:numRef>
              <c:f>Schedules!$F$104:$AC$104</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1-5AA3-4EA2-B281-19B148F2D9DC}"/>
            </c:ext>
          </c:extLst>
        </c:ser>
        <c:ser>
          <c:idx val="2"/>
          <c:order val="2"/>
          <c:spPr>
            <a:ln w="28575" cap="rnd">
              <a:solidFill>
                <a:schemeClr val="accent3"/>
              </a:solidFill>
              <a:round/>
            </a:ln>
            <a:effectLst/>
          </c:spPr>
          <c:marker>
            <c:symbol val="none"/>
          </c:marker>
          <c:val>
            <c:numRef>
              <c:f>Schedules!$F$105:$AC$105</c:f>
              <c:numCache>
                <c:formatCode>0</c:formatCode>
                <c:ptCount val="24"/>
                <c:pt idx="0">
                  <c:v>72</c:v>
                </c:pt>
                <c:pt idx="1">
                  <c:v>72</c:v>
                </c:pt>
                <c:pt idx="2">
                  <c:v>72</c:v>
                </c:pt>
                <c:pt idx="3">
                  <c:v>72</c:v>
                </c:pt>
                <c:pt idx="4">
                  <c:v>72</c:v>
                </c:pt>
                <c:pt idx="5">
                  <c:v>72</c:v>
                </c:pt>
                <c:pt idx="6">
                  <c:v>72</c:v>
                </c:pt>
                <c:pt idx="7">
                  <c:v>72</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numCache>
            </c:numRef>
          </c:val>
          <c:smooth val="0"/>
          <c:extLst>
            <c:ext xmlns:c16="http://schemas.microsoft.com/office/drawing/2014/chart" uri="{C3380CC4-5D6E-409C-BE32-E72D297353CC}">
              <c16:uniqueId val="{00000002-5AA3-4EA2-B281-19B148F2D9DC}"/>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Schedules!$C$75</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Schedules!$E$75</c:f>
              <c:strCache>
                <c:ptCount val="1"/>
                <c:pt idx="0">
                  <c:v>Weekday</c:v>
                </c:pt>
              </c:strCache>
            </c:strRef>
          </c:tx>
          <c:spPr>
            <a:ln w="28575" cap="rnd">
              <a:solidFill>
                <a:schemeClr val="accent1"/>
              </a:solidFill>
              <a:round/>
            </a:ln>
            <a:effectLst/>
          </c:spPr>
          <c:marker>
            <c:symbol val="none"/>
          </c:marker>
          <c:val>
            <c:numRef>
              <c:f>Schedules!$F$75:$AC$75</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0-D6B0-4BA2-913B-0890E98AFD5F}"/>
            </c:ext>
          </c:extLst>
        </c:ser>
        <c:ser>
          <c:idx val="1"/>
          <c:order val="1"/>
          <c:tx>
            <c:strRef>
              <c:f>Schedules!$E$76</c:f>
              <c:strCache>
                <c:ptCount val="1"/>
                <c:pt idx="0">
                  <c:v>Saturday</c:v>
                </c:pt>
              </c:strCache>
            </c:strRef>
          </c:tx>
          <c:spPr>
            <a:ln w="28575" cap="rnd">
              <a:solidFill>
                <a:schemeClr val="accent2"/>
              </a:solidFill>
              <a:round/>
            </a:ln>
            <a:effectLst/>
          </c:spPr>
          <c:marker>
            <c:symbol val="none"/>
          </c:marker>
          <c:val>
            <c:numRef>
              <c:f>Schedules!$F$76:$AC$76</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1-D6B0-4BA2-913B-0890E98AFD5F}"/>
            </c:ext>
          </c:extLst>
        </c:ser>
        <c:ser>
          <c:idx val="2"/>
          <c:order val="2"/>
          <c:tx>
            <c:strRef>
              <c:f>Schedules!$E$77</c:f>
              <c:strCache>
                <c:ptCount val="1"/>
                <c:pt idx="0">
                  <c:v>Sunday</c:v>
                </c:pt>
              </c:strCache>
            </c:strRef>
          </c:tx>
          <c:spPr>
            <a:ln w="28575" cap="rnd">
              <a:solidFill>
                <a:schemeClr val="accent3"/>
              </a:solidFill>
              <a:round/>
            </a:ln>
            <a:effectLst/>
          </c:spPr>
          <c:marker>
            <c:symbol val="none"/>
          </c:marker>
          <c:val>
            <c:numRef>
              <c:f>Schedules!$F$77:$AC$77</c:f>
              <c:numCache>
                <c:formatCode>General</c:formatCode>
                <c:ptCount val="24"/>
                <c:pt idx="0">
                  <c:v>68</c:v>
                </c:pt>
                <c:pt idx="1">
                  <c:v>68</c:v>
                </c:pt>
                <c:pt idx="2">
                  <c:v>68</c:v>
                </c:pt>
                <c:pt idx="3">
                  <c:v>68</c:v>
                </c:pt>
                <c:pt idx="4">
                  <c:v>68</c:v>
                </c:pt>
                <c:pt idx="5">
                  <c:v>68</c:v>
                </c:pt>
                <c:pt idx="6">
                  <c:v>68</c:v>
                </c:pt>
                <c:pt idx="7">
                  <c:v>68</c:v>
                </c:pt>
                <c:pt idx="8">
                  <c:v>68</c:v>
                </c:pt>
                <c:pt idx="9">
                  <c:v>68</c:v>
                </c:pt>
                <c:pt idx="10">
                  <c:v>68</c:v>
                </c:pt>
                <c:pt idx="11">
                  <c:v>68</c:v>
                </c:pt>
                <c:pt idx="12">
                  <c:v>68</c:v>
                </c:pt>
                <c:pt idx="13">
                  <c:v>68</c:v>
                </c:pt>
                <c:pt idx="14">
                  <c:v>68</c:v>
                </c:pt>
                <c:pt idx="15">
                  <c:v>68</c:v>
                </c:pt>
                <c:pt idx="16">
                  <c:v>68</c:v>
                </c:pt>
                <c:pt idx="17">
                  <c:v>68</c:v>
                </c:pt>
                <c:pt idx="18">
                  <c:v>68</c:v>
                </c:pt>
                <c:pt idx="19">
                  <c:v>68</c:v>
                </c:pt>
                <c:pt idx="20">
                  <c:v>68</c:v>
                </c:pt>
                <c:pt idx="21">
                  <c:v>68</c:v>
                </c:pt>
                <c:pt idx="22">
                  <c:v>68</c:v>
                </c:pt>
                <c:pt idx="23">
                  <c:v>68</c:v>
                </c:pt>
              </c:numCache>
            </c:numRef>
          </c:val>
          <c:smooth val="0"/>
          <c:extLst>
            <c:ext xmlns:c16="http://schemas.microsoft.com/office/drawing/2014/chart" uri="{C3380CC4-5D6E-409C-BE32-E72D297353CC}">
              <c16:uniqueId val="{00000002-D6B0-4BA2-913B-0890E98AFD5F}"/>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Schedules!$C$78</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Schedules!$E$78</c:f>
              <c:strCache>
                <c:ptCount val="1"/>
                <c:pt idx="0">
                  <c:v>Weekday</c:v>
                </c:pt>
              </c:strCache>
            </c:strRef>
          </c:tx>
          <c:spPr>
            <a:ln w="28575" cap="rnd">
              <a:solidFill>
                <a:schemeClr val="accent1"/>
              </a:solidFill>
              <a:round/>
            </a:ln>
            <a:effectLst/>
          </c:spPr>
          <c:marker>
            <c:symbol val="none"/>
          </c:marker>
          <c:val>
            <c:numRef>
              <c:f>Schedules!$F$78:$AC$78</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0-E620-4B70-B916-B334829D9A66}"/>
            </c:ext>
          </c:extLst>
        </c:ser>
        <c:ser>
          <c:idx val="1"/>
          <c:order val="1"/>
          <c:tx>
            <c:strRef>
              <c:f>Schedules!$E$79</c:f>
              <c:strCache>
                <c:ptCount val="1"/>
                <c:pt idx="0">
                  <c:v>Saturday</c:v>
                </c:pt>
              </c:strCache>
            </c:strRef>
          </c:tx>
          <c:spPr>
            <a:ln w="28575" cap="rnd">
              <a:solidFill>
                <a:schemeClr val="accent2"/>
              </a:solidFill>
              <a:round/>
            </a:ln>
            <a:effectLst/>
          </c:spPr>
          <c:marker>
            <c:symbol val="none"/>
          </c:marker>
          <c:val>
            <c:numRef>
              <c:f>Schedules!$F$79:$AC$79</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1-E620-4B70-B916-B334829D9A66}"/>
            </c:ext>
          </c:extLst>
        </c:ser>
        <c:ser>
          <c:idx val="2"/>
          <c:order val="2"/>
          <c:tx>
            <c:strRef>
              <c:f>Schedules!$E$80</c:f>
              <c:strCache>
                <c:ptCount val="1"/>
                <c:pt idx="0">
                  <c:v>Sunday</c:v>
                </c:pt>
              </c:strCache>
            </c:strRef>
          </c:tx>
          <c:spPr>
            <a:ln w="28575" cap="rnd">
              <a:solidFill>
                <a:schemeClr val="accent3"/>
              </a:solidFill>
              <a:round/>
            </a:ln>
            <a:effectLst/>
          </c:spPr>
          <c:marker>
            <c:symbol val="none"/>
          </c:marker>
          <c:val>
            <c:numRef>
              <c:f>Schedules!$F$80:$AC$80</c:f>
              <c:numCache>
                <c:formatCode>General</c:formatCode>
                <c:ptCount val="24"/>
                <c:pt idx="0">
                  <c:v>78</c:v>
                </c:pt>
                <c:pt idx="1">
                  <c:v>78</c:v>
                </c:pt>
                <c:pt idx="2">
                  <c:v>78</c:v>
                </c:pt>
                <c:pt idx="3">
                  <c:v>78</c:v>
                </c:pt>
                <c:pt idx="4">
                  <c:v>78</c:v>
                </c:pt>
                <c:pt idx="5">
                  <c:v>78</c:v>
                </c:pt>
                <c:pt idx="6">
                  <c:v>78</c:v>
                </c:pt>
                <c:pt idx="7">
                  <c:v>78</c:v>
                </c:pt>
                <c:pt idx="8">
                  <c:v>78</c:v>
                </c:pt>
                <c:pt idx="9">
                  <c:v>78</c:v>
                </c:pt>
                <c:pt idx="10">
                  <c:v>78</c:v>
                </c:pt>
                <c:pt idx="11">
                  <c:v>78</c:v>
                </c:pt>
                <c:pt idx="12">
                  <c:v>78</c:v>
                </c:pt>
                <c:pt idx="13">
                  <c:v>78</c:v>
                </c:pt>
                <c:pt idx="14">
                  <c:v>78</c:v>
                </c:pt>
                <c:pt idx="15">
                  <c:v>78</c:v>
                </c:pt>
                <c:pt idx="16">
                  <c:v>78</c:v>
                </c:pt>
                <c:pt idx="17">
                  <c:v>78</c:v>
                </c:pt>
                <c:pt idx="18">
                  <c:v>78</c:v>
                </c:pt>
                <c:pt idx="19">
                  <c:v>78</c:v>
                </c:pt>
                <c:pt idx="20">
                  <c:v>78</c:v>
                </c:pt>
                <c:pt idx="21">
                  <c:v>78</c:v>
                </c:pt>
                <c:pt idx="22">
                  <c:v>78</c:v>
                </c:pt>
                <c:pt idx="23">
                  <c:v>78</c:v>
                </c:pt>
              </c:numCache>
            </c:numRef>
          </c:val>
          <c:smooth val="0"/>
          <c:extLst>
            <c:ext xmlns:c16="http://schemas.microsoft.com/office/drawing/2014/chart" uri="{C3380CC4-5D6E-409C-BE32-E72D297353CC}">
              <c16:uniqueId val="{00000002-E620-4B70-B916-B334829D9A66}"/>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Schedules!$C$380</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Schedules!$E$380</c:f>
              <c:strCache>
                <c:ptCount val="1"/>
                <c:pt idx="0">
                  <c:v>Weekday</c:v>
                </c:pt>
              </c:strCache>
            </c:strRef>
          </c:tx>
          <c:spPr>
            <a:ln w="28575" cap="rnd">
              <a:solidFill>
                <a:schemeClr val="accent1"/>
              </a:solidFill>
              <a:round/>
            </a:ln>
            <a:effectLst/>
          </c:spPr>
          <c:marker>
            <c:symbol val="none"/>
          </c:marker>
          <c:val>
            <c:numRef>
              <c:f>Schedules!$F$380:$AC$380</c:f>
            </c:numRef>
          </c:val>
          <c:smooth val="0"/>
          <c:extLst>
            <c:ext xmlns:c16="http://schemas.microsoft.com/office/drawing/2014/chart" uri="{C3380CC4-5D6E-409C-BE32-E72D297353CC}">
              <c16:uniqueId val="{00000000-26D2-47DE-A582-1D8D4697507D}"/>
            </c:ext>
          </c:extLst>
        </c:ser>
        <c:ser>
          <c:idx val="1"/>
          <c:order val="1"/>
          <c:tx>
            <c:strRef>
              <c:f>Schedules!$E$381</c:f>
              <c:strCache>
                <c:ptCount val="1"/>
                <c:pt idx="0">
                  <c:v>Saturday</c:v>
                </c:pt>
              </c:strCache>
            </c:strRef>
          </c:tx>
          <c:spPr>
            <a:ln w="28575" cap="rnd">
              <a:solidFill>
                <a:schemeClr val="accent2"/>
              </a:solidFill>
              <a:round/>
            </a:ln>
            <a:effectLst/>
          </c:spPr>
          <c:marker>
            <c:symbol val="none"/>
          </c:marker>
          <c:val>
            <c:numRef>
              <c:f>Schedules!$F$381:$AC$381</c:f>
            </c:numRef>
          </c:val>
          <c:smooth val="0"/>
          <c:extLst>
            <c:ext xmlns:c16="http://schemas.microsoft.com/office/drawing/2014/chart" uri="{C3380CC4-5D6E-409C-BE32-E72D297353CC}">
              <c16:uniqueId val="{00000001-26D2-47DE-A582-1D8D4697507D}"/>
            </c:ext>
          </c:extLst>
        </c:ser>
        <c:ser>
          <c:idx val="2"/>
          <c:order val="2"/>
          <c:tx>
            <c:strRef>
              <c:f>Schedules!$E$382</c:f>
              <c:strCache>
                <c:ptCount val="1"/>
                <c:pt idx="0">
                  <c:v>Sunday</c:v>
                </c:pt>
              </c:strCache>
            </c:strRef>
          </c:tx>
          <c:spPr>
            <a:ln w="28575" cap="rnd">
              <a:solidFill>
                <a:schemeClr val="accent3"/>
              </a:solidFill>
              <a:round/>
            </a:ln>
            <a:effectLst/>
          </c:spPr>
          <c:marker>
            <c:symbol val="none"/>
          </c:marker>
          <c:val>
            <c:numRef>
              <c:f>Schedules!$F$382:$AC$382</c:f>
            </c:numRef>
          </c:val>
          <c:smooth val="0"/>
          <c:extLst>
            <c:ext xmlns:c16="http://schemas.microsoft.com/office/drawing/2014/chart" uri="{C3380CC4-5D6E-409C-BE32-E72D297353CC}">
              <c16:uniqueId val="{00000002-26D2-47DE-A582-1D8D4697507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Schedules!$C$383</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Schedules!$E$32</c:f>
              <c:strCache>
                <c:ptCount val="1"/>
                <c:pt idx="0">
                  <c:v>Weekday</c:v>
                </c:pt>
              </c:strCache>
            </c:strRef>
          </c:tx>
          <c:spPr>
            <a:ln w="28575" cap="rnd">
              <a:solidFill>
                <a:schemeClr val="accent1"/>
              </a:solidFill>
              <a:round/>
            </a:ln>
            <a:effectLst/>
          </c:spPr>
          <c:marker>
            <c:symbol val="none"/>
          </c:marker>
          <c:val>
            <c:numRef>
              <c:f>Schedules!$F$32:$AC$32</c:f>
              <c:numCache>
                <c:formatCode>0.00</c:formatCode>
                <c:ptCount val="24"/>
                <c:pt idx="0">
                  <c:v>0.05</c:v>
                </c:pt>
                <c:pt idx="1">
                  <c:v>0.05</c:v>
                </c:pt>
                <c:pt idx="2">
                  <c:v>0.05</c:v>
                </c:pt>
                <c:pt idx="3">
                  <c:v>0.05</c:v>
                </c:pt>
                <c:pt idx="4">
                  <c:v>0.05</c:v>
                </c:pt>
                <c:pt idx="5">
                  <c:v>0.05</c:v>
                </c:pt>
                <c:pt idx="6">
                  <c:v>0.35</c:v>
                </c:pt>
                <c:pt idx="7">
                  <c:v>0.35</c:v>
                </c:pt>
                <c:pt idx="8">
                  <c:v>0.35</c:v>
                </c:pt>
                <c:pt idx="9">
                  <c:v>0.65</c:v>
                </c:pt>
                <c:pt idx="10">
                  <c:v>0.65</c:v>
                </c:pt>
                <c:pt idx="11">
                  <c:v>0.65</c:v>
                </c:pt>
                <c:pt idx="12">
                  <c:v>0.65</c:v>
                </c:pt>
                <c:pt idx="13">
                  <c:v>0.65</c:v>
                </c:pt>
                <c:pt idx="14">
                  <c:v>0.65</c:v>
                </c:pt>
                <c:pt idx="15">
                  <c:v>0.65</c:v>
                </c:pt>
                <c:pt idx="16">
                  <c:v>0.65</c:v>
                </c:pt>
                <c:pt idx="17">
                  <c:v>0.65</c:v>
                </c:pt>
                <c:pt idx="18">
                  <c:v>0.65</c:v>
                </c:pt>
                <c:pt idx="19">
                  <c:v>0.65</c:v>
                </c:pt>
                <c:pt idx="20">
                  <c:v>0.65</c:v>
                </c:pt>
                <c:pt idx="21">
                  <c:v>0.65</c:v>
                </c:pt>
                <c:pt idx="22">
                  <c:v>0.25</c:v>
                </c:pt>
                <c:pt idx="23">
                  <c:v>0.05</c:v>
                </c:pt>
              </c:numCache>
            </c:numRef>
          </c:val>
          <c:smooth val="0"/>
          <c:extLst>
            <c:ext xmlns:c16="http://schemas.microsoft.com/office/drawing/2014/chart" uri="{C3380CC4-5D6E-409C-BE32-E72D297353CC}">
              <c16:uniqueId val="{00000000-F757-4C57-903B-98B3E87E393B}"/>
            </c:ext>
          </c:extLst>
        </c:ser>
        <c:ser>
          <c:idx val="1"/>
          <c:order val="1"/>
          <c:tx>
            <c:strRef>
              <c:f>Schedules!$E$33</c:f>
              <c:strCache>
                <c:ptCount val="1"/>
                <c:pt idx="0">
                  <c:v>Saturday</c:v>
                </c:pt>
              </c:strCache>
            </c:strRef>
          </c:tx>
          <c:spPr>
            <a:ln w="28575" cap="rnd">
              <a:solidFill>
                <a:schemeClr val="accent2"/>
              </a:solidFill>
              <a:round/>
            </a:ln>
            <a:effectLst/>
          </c:spPr>
          <c:marker>
            <c:symbol val="none"/>
          </c:marker>
          <c:val>
            <c:numRef>
              <c:f>Schedules!$F$33:$AC$33</c:f>
              <c:numCache>
                <c:formatCode>0.00</c:formatCode>
                <c:ptCount val="24"/>
                <c:pt idx="0">
                  <c:v>0.05</c:v>
                </c:pt>
                <c:pt idx="1">
                  <c:v>0.05</c:v>
                </c:pt>
                <c:pt idx="2">
                  <c:v>0.05</c:v>
                </c:pt>
                <c:pt idx="3">
                  <c:v>0.05</c:v>
                </c:pt>
                <c:pt idx="4">
                  <c:v>0.05</c:v>
                </c:pt>
                <c:pt idx="5">
                  <c:v>0.05</c:v>
                </c:pt>
                <c:pt idx="6">
                  <c:v>0.05</c:v>
                </c:pt>
                <c:pt idx="7">
                  <c:v>0.3</c:v>
                </c:pt>
                <c:pt idx="8">
                  <c:v>0.3</c:v>
                </c:pt>
                <c:pt idx="9">
                  <c:v>0.4</c:v>
                </c:pt>
                <c:pt idx="10">
                  <c:v>0.4</c:v>
                </c:pt>
                <c:pt idx="11">
                  <c:v>0.4</c:v>
                </c:pt>
                <c:pt idx="12">
                  <c:v>0.4</c:v>
                </c:pt>
                <c:pt idx="13">
                  <c:v>0.4</c:v>
                </c:pt>
                <c:pt idx="14">
                  <c:v>0.4</c:v>
                </c:pt>
                <c:pt idx="15">
                  <c:v>0.4</c:v>
                </c:pt>
                <c:pt idx="16">
                  <c:v>0.4</c:v>
                </c:pt>
                <c:pt idx="17">
                  <c:v>0.4</c:v>
                </c:pt>
                <c:pt idx="18">
                  <c:v>0.4</c:v>
                </c:pt>
                <c:pt idx="19">
                  <c:v>0.4</c:v>
                </c:pt>
                <c:pt idx="20">
                  <c:v>0.4</c:v>
                </c:pt>
                <c:pt idx="21">
                  <c:v>0.4</c:v>
                </c:pt>
                <c:pt idx="22">
                  <c:v>0.4</c:v>
                </c:pt>
                <c:pt idx="23">
                  <c:v>0.05</c:v>
                </c:pt>
              </c:numCache>
            </c:numRef>
          </c:val>
          <c:smooth val="0"/>
          <c:extLst>
            <c:ext xmlns:c16="http://schemas.microsoft.com/office/drawing/2014/chart" uri="{C3380CC4-5D6E-409C-BE32-E72D297353CC}">
              <c16:uniqueId val="{00000001-F757-4C57-903B-98B3E87E393B}"/>
            </c:ext>
          </c:extLst>
        </c:ser>
        <c:ser>
          <c:idx val="2"/>
          <c:order val="2"/>
          <c:tx>
            <c:strRef>
              <c:f>Schedules!$E$34</c:f>
              <c:strCache>
                <c:ptCount val="1"/>
                <c:pt idx="0">
                  <c:v>Sunday</c:v>
                </c:pt>
              </c:strCache>
            </c:strRef>
          </c:tx>
          <c:spPr>
            <a:ln w="28575" cap="rnd">
              <a:solidFill>
                <a:schemeClr val="accent3"/>
              </a:solidFill>
              <a:round/>
            </a:ln>
            <a:effectLst/>
          </c:spPr>
          <c:marker>
            <c:symbol val="none"/>
          </c:marker>
          <c:val>
            <c:numRef>
              <c:f>Schedules!$F$34:$AC$34</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0.55000000000000004</c:v>
                </c:pt>
                <c:pt idx="13">
                  <c:v>0.55000000000000004</c:v>
                </c:pt>
                <c:pt idx="14">
                  <c:v>0.55000000000000004</c:v>
                </c:pt>
                <c:pt idx="15">
                  <c:v>0.55000000000000004</c:v>
                </c:pt>
                <c:pt idx="16">
                  <c:v>0.55000000000000004</c:v>
                </c:pt>
                <c:pt idx="17">
                  <c:v>0.55000000000000004</c:v>
                </c:pt>
                <c:pt idx="18">
                  <c:v>0.55000000000000004</c:v>
                </c:pt>
                <c:pt idx="19">
                  <c:v>0.55000000000000004</c:v>
                </c:pt>
                <c:pt idx="20">
                  <c:v>0.55000000000000004</c:v>
                </c:pt>
                <c:pt idx="21">
                  <c:v>0.55000000000000004</c:v>
                </c:pt>
                <c:pt idx="22">
                  <c:v>0.05</c:v>
                </c:pt>
                <c:pt idx="23">
                  <c:v>0.05</c:v>
                </c:pt>
              </c:numCache>
            </c:numRef>
          </c:val>
          <c:smooth val="0"/>
          <c:extLst>
            <c:ext xmlns:c16="http://schemas.microsoft.com/office/drawing/2014/chart" uri="{C3380CC4-5D6E-409C-BE32-E72D297353CC}">
              <c16:uniqueId val="{00000002-F757-4C57-903B-98B3E87E393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Schedules!$C$389</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Schedules!$F$38:$AC$38</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0-A770-4B30-83D6-9D04522AE24A}"/>
            </c:ext>
          </c:extLst>
        </c:ser>
        <c:ser>
          <c:idx val="1"/>
          <c:order val="1"/>
          <c:spPr>
            <a:ln w="28575" cap="rnd">
              <a:solidFill>
                <a:schemeClr val="accent2"/>
              </a:solidFill>
              <a:round/>
            </a:ln>
            <a:effectLst/>
          </c:spPr>
          <c:marker>
            <c:symbol val="none"/>
          </c:marker>
          <c:val>
            <c:numRef>
              <c:f>Schedules!$F$39:$AC$39</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1-A770-4B30-83D6-9D04522AE24A}"/>
            </c:ext>
          </c:extLst>
        </c:ser>
        <c:ser>
          <c:idx val="2"/>
          <c:order val="2"/>
          <c:spPr>
            <a:ln w="28575" cap="rnd">
              <a:solidFill>
                <a:schemeClr val="accent3"/>
              </a:solidFill>
              <a:round/>
            </a:ln>
            <a:effectLst/>
          </c:spPr>
          <c:marker>
            <c:symbol val="none"/>
          </c:marker>
          <c:val>
            <c:numRef>
              <c:f>Schedules!$F$40:$AC$40</c:f>
              <c:numCache>
                <c:formatCode>0.00</c:formatCode>
                <c:ptCount val="24"/>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0</c:v>
                </c:pt>
              </c:numCache>
            </c:numRef>
          </c:val>
          <c:smooth val="0"/>
          <c:extLst>
            <c:ext xmlns:c16="http://schemas.microsoft.com/office/drawing/2014/chart" uri="{C3380CC4-5D6E-409C-BE32-E72D297353CC}">
              <c16:uniqueId val="{00000002-A770-4B30-83D6-9D04522AE24A}"/>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Schedules!$C$392</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Schedules!$E$41</c:f>
              <c:strCache>
                <c:ptCount val="1"/>
                <c:pt idx="0">
                  <c:v>Weekday</c:v>
                </c:pt>
              </c:strCache>
            </c:strRef>
          </c:tx>
          <c:spPr>
            <a:ln w="28575" cap="rnd">
              <a:solidFill>
                <a:schemeClr val="accent1"/>
              </a:solidFill>
              <a:round/>
            </a:ln>
            <a:effectLst/>
          </c:spPr>
          <c:marker>
            <c:symbol val="none"/>
          </c:marker>
          <c:val>
            <c:numRef>
              <c:f>Schedules!$F$41:$AC$41</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0.35</c:v>
                </c:pt>
                <c:pt idx="12">
                  <c:v>0.05</c:v>
                </c:pt>
                <c:pt idx="13">
                  <c:v>0.05</c:v>
                </c:pt>
                <c:pt idx="14">
                  <c:v>0.05</c:v>
                </c:pt>
                <c:pt idx="15">
                  <c:v>0.05</c:v>
                </c:pt>
                <c:pt idx="16">
                  <c:v>0.05</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0-C162-426D-B977-592351728654}"/>
            </c:ext>
          </c:extLst>
        </c:ser>
        <c:ser>
          <c:idx val="1"/>
          <c:order val="1"/>
          <c:tx>
            <c:strRef>
              <c:f>Schedules!$E$42</c:f>
              <c:strCache>
                <c:ptCount val="1"/>
                <c:pt idx="0">
                  <c:v>Saturday</c:v>
                </c:pt>
              </c:strCache>
            </c:strRef>
          </c:tx>
          <c:spPr>
            <a:ln w="28575" cap="rnd">
              <a:solidFill>
                <a:schemeClr val="accent2"/>
              </a:solidFill>
              <a:round/>
            </a:ln>
            <a:effectLst/>
          </c:spPr>
          <c:marker>
            <c:symbol val="none"/>
          </c:marker>
          <c:val>
            <c:numRef>
              <c:f>Schedules!$F$42:$AC$42</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0.2</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1-C162-426D-B977-592351728654}"/>
            </c:ext>
          </c:extLst>
        </c:ser>
        <c:ser>
          <c:idx val="2"/>
          <c:order val="2"/>
          <c:tx>
            <c:strRef>
              <c:f>Schedules!$E$43</c:f>
              <c:strCache>
                <c:ptCount val="1"/>
                <c:pt idx="0">
                  <c:v>Sunday</c:v>
                </c:pt>
              </c:strCache>
            </c:strRef>
          </c:tx>
          <c:spPr>
            <a:ln w="28575" cap="rnd">
              <a:solidFill>
                <a:schemeClr val="accent3"/>
              </a:solidFill>
              <a:round/>
            </a:ln>
            <a:effectLst/>
          </c:spPr>
          <c:marker>
            <c:symbol val="none"/>
          </c:marker>
          <c:val>
            <c:numRef>
              <c:f>Schedules!$F$43:$AC$43</c:f>
              <c:numCache>
                <c:formatCode>0.00</c:formatCode>
                <c:ptCount val="24"/>
                <c:pt idx="0">
                  <c:v>0</c:v>
                </c:pt>
                <c:pt idx="1">
                  <c:v>0</c:v>
                </c:pt>
                <c:pt idx="2">
                  <c:v>0</c:v>
                </c:pt>
                <c:pt idx="3">
                  <c:v>0</c:v>
                </c:pt>
                <c:pt idx="4">
                  <c:v>0</c:v>
                </c:pt>
                <c:pt idx="5">
                  <c:v>0</c:v>
                </c:pt>
                <c:pt idx="6">
                  <c:v>0</c:v>
                </c:pt>
                <c:pt idx="7">
                  <c:v>0</c:v>
                </c:pt>
                <c:pt idx="8">
                  <c:v>0</c:v>
                </c:pt>
                <c:pt idx="9">
                  <c:v>0.05</c:v>
                </c:pt>
                <c:pt idx="10">
                  <c:v>0.05</c:v>
                </c:pt>
                <c:pt idx="11">
                  <c:v>0.1</c:v>
                </c:pt>
                <c:pt idx="12">
                  <c:v>0</c:v>
                </c:pt>
                <c:pt idx="13">
                  <c:v>0</c:v>
                </c:pt>
                <c:pt idx="14">
                  <c:v>0</c:v>
                </c:pt>
                <c:pt idx="15">
                  <c:v>0</c:v>
                </c:pt>
                <c:pt idx="16">
                  <c:v>0</c:v>
                </c:pt>
                <c:pt idx="17">
                  <c:v>0</c:v>
                </c:pt>
                <c:pt idx="18">
                  <c:v>0</c:v>
                </c:pt>
                <c:pt idx="19">
                  <c:v>0.65</c:v>
                </c:pt>
                <c:pt idx="20">
                  <c:v>0.3</c:v>
                </c:pt>
                <c:pt idx="21">
                  <c:v>0</c:v>
                </c:pt>
                <c:pt idx="22">
                  <c:v>0</c:v>
                </c:pt>
                <c:pt idx="23">
                  <c:v>0</c:v>
                </c:pt>
              </c:numCache>
            </c:numRef>
          </c:val>
          <c:smooth val="0"/>
          <c:extLst>
            <c:ext xmlns:c16="http://schemas.microsoft.com/office/drawing/2014/chart" uri="{C3380CC4-5D6E-409C-BE32-E72D297353CC}">
              <c16:uniqueId val="{00000002-C162-426D-B977-59235172865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3B2F-4A2E-8836-1055055D3EFB}"/>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3B2F-4A2E-8836-1055055D3EFB}"/>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3B2F-4A2E-8836-1055055D3EF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Schedules!$C$386</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Schedules!$E$35</c:f>
              <c:strCache>
                <c:ptCount val="1"/>
                <c:pt idx="0">
                  <c:v>Weekday</c:v>
                </c:pt>
              </c:strCache>
            </c:strRef>
          </c:tx>
          <c:spPr>
            <a:ln w="28575" cap="rnd">
              <a:solidFill>
                <a:schemeClr val="accent1"/>
              </a:solidFill>
              <a:round/>
            </a:ln>
            <a:effectLst/>
          </c:spPr>
          <c:marker>
            <c:symbol val="none"/>
          </c:marker>
          <c:val>
            <c:numRef>
              <c:f>Schedules!$F$35:$AC$35</c:f>
              <c:numCache>
                <c:formatCode>0.00</c:formatCode>
                <c:ptCount val="24"/>
                <c:pt idx="0">
                  <c:v>0.05</c:v>
                </c:pt>
                <c:pt idx="1">
                  <c:v>0.05</c:v>
                </c:pt>
                <c:pt idx="2">
                  <c:v>0.05</c:v>
                </c:pt>
                <c:pt idx="3">
                  <c:v>0.05</c:v>
                </c:pt>
                <c:pt idx="4">
                  <c:v>0.05</c:v>
                </c:pt>
                <c:pt idx="5">
                  <c:v>0.05</c:v>
                </c:pt>
                <c:pt idx="6">
                  <c:v>0.4</c:v>
                </c:pt>
                <c:pt idx="7">
                  <c:v>0.4</c:v>
                </c:pt>
                <c:pt idx="8">
                  <c:v>0.4</c:v>
                </c:pt>
                <c:pt idx="9">
                  <c:v>0.75</c:v>
                </c:pt>
                <c:pt idx="10">
                  <c:v>0.75</c:v>
                </c:pt>
                <c:pt idx="11">
                  <c:v>0.75</c:v>
                </c:pt>
                <c:pt idx="12">
                  <c:v>0.75</c:v>
                </c:pt>
                <c:pt idx="13">
                  <c:v>0.75</c:v>
                </c:pt>
                <c:pt idx="14">
                  <c:v>0.75</c:v>
                </c:pt>
                <c:pt idx="15">
                  <c:v>0.75</c:v>
                </c:pt>
                <c:pt idx="16">
                  <c:v>0.75</c:v>
                </c:pt>
                <c:pt idx="17">
                  <c:v>0.75</c:v>
                </c:pt>
                <c:pt idx="18">
                  <c:v>0.75</c:v>
                </c:pt>
                <c:pt idx="19">
                  <c:v>0.75</c:v>
                </c:pt>
                <c:pt idx="20">
                  <c:v>0.75</c:v>
                </c:pt>
                <c:pt idx="21">
                  <c:v>0.75</c:v>
                </c:pt>
                <c:pt idx="22">
                  <c:v>0.25</c:v>
                </c:pt>
                <c:pt idx="23">
                  <c:v>0.05</c:v>
                </c:pt>
              </c:numCache>
            </c:numRef>
          </c:val>
          <c:smooth val="0"/>
          <c:extLst>
            <c:ext xmlns:c16="http://schemas.microsoft.com/office/drawing/2014/chart" uri="{C3380CC4-5D6E-409C-BE32-E72D297353CC}">
              <c16:uniqueId val="{00000000-28B8-4B6C-8B46-7B661D6EF85B}"/>
            </c:ext>
          </c:extLst>
        </c:ser>
        <c:ser>
          <c:idx val="1"/>
          <c:order val="1"/>
          <c:tx>
            <c:strRef>
              <c:f>Schedules!$E$36</c:f>
              <c:strCache>
                <c:ptCount val="1"/>
                <c:pt idx="0">
                  <c:v>Saturday</c:v>
                </c:pt>
              </c:strCache>
            </c:strRef>
          </c:tx>
          <c:spPr>
            <a:ln w="28575" cap="rnd">
              <a:solidFill>
                <a:schemeClr val="accent2"/>
              </a:solidFill>
              <a:round/>
            </a:ln>
            <a:effectLst/>
          </c:spPr>
          <c:marker>
            <c:symbol val="none"/>
          </c:marker>
          <c:val>
            <c:numRef>
              <c:f>Schedules!$F$36:$AC$36</c:f>
              <c:numCache>
                <c:formatCode>0.00</c:formatCode>
                <c:ptCount val="24"/>
                <c:pt idx="0">
                  <c:v>0.05</c:v>
                </c:pt>
                <c:pt idx="1">
                  <c:v>0.05</c:v>
                </c:pt>
                <c:pt idx="2">
                  <c:v>0.05</c:v>
                </c:pt>
                <c:pt idx="3">
                  <c:v>0.05</c:v>
                </c:pt>
                <c:pt idx="4">
                  <c:v>0.05</c:v>
                </c:pt>
                <c:pt idx="5">
                  <c:v>0.05</c:v>
                </c:pt>
                <c:pt idx="6">
                  <c:v>0.05</c:v>
                </c:pt>
                <c:pt idx="7">
                  <c:v>0.3</c:v>
                </c:pt>
                <c:pt idx="8">
                  <c:v>0.3</c:v>
                </c:pt>
                <c:pt idx="9">
                  <c:v>0.5</c:v>
                </c:pt>
                <c:pt idx="10">
                  <c:v>0.5</c:v>
                </c:pt>
                <c:pt idx="11">
                  <c:v>0.5</c:v>
                </c:pt>
                <c:pt idx="12">
                  <c:v>0.5</c:v>
                </c:pt>
                <c:pt idx="13">
                  <c:v>0.5</c:v>
                </c:pt>
                <c:pt idx="14">
                  <c:v>0.5</c:v>
                </c:pt>
                <c:pt idx="15">
                  <c:v>0.5</c:v>
                </c:pt>
                <c:pt idx="16">
                  <c:v>0.5</c:v>
                </c:pt>
                <c:pt idx="17">
                  <c:v>0.5</c:v>
                </c:pt>
                <c:pt idx="18">
                  <c:v>0.5</c:v>
                </c:pt>
                <c:pt idx="19">
                  <c:v>0.5</c:v>
                </c:pt>
                <c:pt idx="20">
                  <c:v>0.5</c:v>
                </c:pt>
                <c:pt idx="21">
                  <c:v>0.5</c:v>
                </c:pt>
                <c:pt idx="22">
                  <c:v>0.5</c:v>
                </c:pt>
                <c:pt idx="23">
                  <c:v>0.05</c:v>
                </c:pt>
              </c:numCache>
            </c:numRef>
          </c:val>
          <c:smooth val="0"/>
          <c:extLst>
            <c:ext xmlns:c16="http://schemas.microsoft.com/office/drawing/2014/chart" uri="{C3380CC4-5D6E-409C-BE32-E72D297353CC}">
              <c16:uniqueId val="{00000001-28B8-4B6C-8B46-7B661D6EF85B}"/>
            </c:ext>
          </c:extLst>
        </c:ser>
        <c:ser>
          <c:idx val="2"/>
          <c:order val="2"/>
          <c:tx>
            <c:strRef>
              <c:f>Schedules!$E$37</c:f>
              <c:strCache>
                <c:ptCount val="1"/>
                <c:pt idx="0">
                  <c:v>Sunday</c:v>
                </c:pt>
              </c:strCache>
            </c:strRef>
          </c:tx>
          <c:spPr>
            <a:ln w="28575" cap="rnd">
              <a:solidFill>
                <a:schemeClr val="accent3"/>
              </a:solidFill>
              <a:round/>
            </a:ln>
            <a:effectLst/>
          </c:spPr>
          <c:marker>
            <c:symbol val="none"/>
          </c:marker>
          <c:val>
            <c:numRef>
              <c:f>Schedules!$F$37:$AC$37</c:f>
              <c:numCache>
                <c:formatCode>0.00</c:formatCode>
                <c:ptCount val="24"/>
                <c:pt idx="0">
                  <c:v>0.05</c:v>
                </c:pt>
                <c:pt idx="1">
                  <c:v>0.05</c:v>
                </c:pt>
                <c:pt idx="2">
                  <c:v>0.05</c:v>
                </c:pt>
                <c:pt idx="3">
                  <c:v>0.05</c:v>
                </c:pt>
                <c:pt idx="4">
                  <c:v>0.05</c:v>
                </c:pt>
                <c:pt idx="5">
                  <c:v>0.05</c:v>
                </c:pt>
                <c:pt idx="6">
                  <c:v>0.05</c:v>
                </c:pt>
                <c:pt idx="7">
                  <c:v>0.3</c:v>
                </c:pt>
                <c:pt idx="8">
                  <c:v>0.3</c:v>
                </c:pt>
                <c:pt idx="9">
                  <c:v>0.3</c:v>
                </c:pt>
                <c:pt idx="10">
                  <c:v>0.3</c:v>
                </c:pt>
                <c:pt idx="11">
                  <c:v>0.3</c:v>
                </c:pt>
                <c:pt idx="12">
                  <c:v>0.65</c:v>
                </c:pt>
                <c:pt idx="13">
                  <c:v>0.65</c:v>
                </c:pt>
                <c:pt idx="14">
                  <c:v>0.65</c:v>
                </c:pt>
                <c:pt idx="15">
                  <c:v>0.65</c:v>
                </c:pt>
                <c:pt idx="16">
                  <c:v>0.65</c:v>
                </c:pt>
                <c:pt idx="17">
                  <c:v>0.65</c:v>
                </c:pt>
                <c:pt idx="18">
                  <c:v>0.65</c:v>
                </c:pt>
                <c:pt idx="19">
                  <c:v>0.65</c:v>
                </c:pt>
                <c:pt idx="20">
                  <c:v>0.65</c:v>
                </c:pt>
                <c:pt idx="21">
                  <c:v>0.65</c:v>
                </c:pt>
                <c:pt idx="22">
                  <c:v>0.05</c:v>
                </c:pt>
                <c:pt idx="23">
                  <c:v>0.05</c:v>
                </c:pt>
              </c:numCache>
            </c:numRef>
          </c:val>
          <c:smooth val="0"/>
          <c:extLst>
            <c:ext xmlns:c16="http://schemas.microsoft.com/office/drawing/2014/chart" uri="{C3380CC4-5D6E-409C-BE32-E72D297353CC}">
              <c16:uniqueId val="{00000002-28B8-4B6C-8B46-7B661D6EF85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Schedules!$C$395</c:f>
          <c:strCache>
            <c:ptCount val="1"/>
            <c:pt idx="0">
              <c:v>HtgSetpt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Schedules!$E$50</c:f>
              <c:strCache>
                <c:ptCount val="1"/>
                <c:pt idx="0">
                  <c:v>Weekday</c:v>
                </c:pt>
              </c:strCache>
            </c:strRef>
          </c:tx>
          <c:spPr>
            <a:ln w="28575" cap="rnd">
              <a:solidFill>
                <a:schemeClr val="accent1"/>
              </a:solidFill>
              <a:round/>
            </a:ln>
            <a:effectLst/>
          </c:spPr>
          <c:marker>
            <c:symbol val="none"/>
          </c:marker>
          <c:val>
            <c:numRef>
              <c:f>Schedules!$F$50:$AC$50</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0-CD96-4D89-8438-B50A59B80E2B}"/>
            </c:ext>
          </c:extLst>
        </c:ser>
        <c:ser>
          <c:idx val="1"/>
          <c:order val="1"/>
          <c:tx>
            <c:strRef>
              <c:f>Schedules!$E$51</c:f>
              <c:strCache>
                <c:ptCount val="1"/>
                <c:pt idx="0">
                  <c:v>Saturday</c:v>
                </c:pt>
              </c:strCache>
            </c:strRef>
          </c:tx>
          <c:spPr>
            <a:ln w="28575" cap="rnd">
              <a:solidFill>
                <a:schemeClr val="accent2"/>
              </a:solidFill>
              <a:round/>
            </a:ln>
            <a:effectLst/>
          </c:spPr>
          <c:marker>
            <c:symbol val="none"/>
          </c:marker>
          <c:val>
            <c:numRef>
              <c:f>Schedules!$F$51:$AC$51</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1-CD96-4D89-8438-B50A59B80E2B}"/>
            </c:ext>
          </c:extLst>
        </c:ser>
        <c:ser>
          <c:idx val="2"/>
          <c:order val="2"/>
          <c:tx>
            <c:strRef>
              <c:f>Schedules!$E$52</c:f>
              <c:strCache>
                <c:ptCount val="1"/>
                <c:pt idx="0">
                  <c:v>Sunday</c:v>
                </c:pt>
              </c:strCache>
            </c:strRef>
          </c:tx>
          <c:spPr>
            <a:ln w="28575" cap="rnd">
              <a:solidFill>
                <a:schemeClr val="accent3"/>
              </a:solidFill>
              <a:round/>
            </a:ln>
            <a:effectLst/>
          </c:spPr>
          <c:marker>
            <c:symbol val="none"/>
          </c:marker>
          <c:val>
            <c:numRef>
              <c:f>Schedules!$F$52:$AC$52</c:f>
              <c:numCache>
                <c:formatCode>General</c:formatCode>
                <c:ptCount val="24"/>
                <c:pt idx="0">
                  <c:v>60</c:v>
                </c:pt>
                <c:pt idx="1">
                  <c:v>60</c:v>
                </c:pt>
                <c:pt idx="2">
                  <c:v>60</c:v>
                </c:pt>
                <c:pt idx="3">
                  <c:v>60</c:v>
                </c:pt>
                <c:pt idx="4">
                  <c:v>60</c:v>
                </c:pt>
                <c:pt idx="5">
                  <c:v>60</c:v>
                </c:pt>
                <c:pt idx="6">
                  <c:v>60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60</c:v>
                </c:pt>
              </c:numCache>
            </c:numRef>
          </c:val>
          <c:smooth val="0"/>
          <c:extLst>
            <c:ext xmlns:c16="http://schemas.microsoft.com/office/drawing/2014/chart" uri="{C3380CC4-5D6E-409C-BE32-E72D297353CC}">
              <c16:uniqueId val="{00000002-CD96-4D89-8438-B50A59B80E2B}"/>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Schedules!$C$398</c:f>
          <c:strCache>
            <c:ptCount val="1"/>
            <c:pt idx="0">
              <c:v>ClgSetpt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Schedules!$E$53</c:f>
              <c:strCache>
                <c:ptCount val="1"/>
                <c:pt idx="0">
                  <c:v>Weekday</c:v>
                </c:pt>
              </c:strCache>
            </c:strRef>
          </c:tx>
          <c:spPr>
            <a:ln w="28575" cap="rnd">
              <a:solidFill>
                <a:schemeClr val="accent1"/>
              </a:solidFill>
              <a:round/>
            </a:ln>
            <a:effectLst/>
          </c:spPr>
          <c:marker>
            <c:symbol val="none"/>
          </c:marker>
          <c:val>
            <c:numRef>
              <c:f>Schedules!$F$53:$AC$53</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0-33BB-42D3-880E-C4C7F85D3D80}"/>
            </c:ext>
          </c:extLst>
        </c:ser>
        <c:ser>
          <c:idx val="1"/>
          <c:order val="1"/>
          <c:tx>
            <c:strRef>
              <c:f>Schedules!$E$54</c:f>
              <c:strCache>
                <c:ptCount val="1"/>
                <c:pt idx="0">
                  <c:v>Saturday</c:v>
                </c:pt>
              </c:strCache>
            </c:strRef>
          </c:tx>
          <c:spPr>
            <a:ln w="28575" cap="rnd">
              <a:solidFill>
                <a:schemeClr val="accent2"/>
              </a:solidFill>
              <a:round/>
            </a:ln>
            <a:effectLst/>
          </c:spPr>
          <c:marker>
            <c:symbol val="none"/>
          </c:marker>
          <c:val>
            <c:numRef>
              <c:f>Schedules!$F$54:$AC$54</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1-33BB-42D3-880E-C4C7F85D3D80}"/>
            </c:ext>
          </c:extLst>
        </c:ser>
        <c:ser>
          <c:idx val="2"/>
          <c:order val="2"/>
          <c:tx>
            <c:strRef>
              <c:f>Schedules!$E$55</c:f>
              <c:strCache>
                <c:ptCount val="1"/>
                <c:pt idx="0">
                  <c:v>Sunday</c:v>
                </c:pt>
              </c:strCache>
            </c:strRef>
          </c:tx>
          <c:spPr>
            <a:ln w="28575" cap="rnd">
              <a:solidFill>
                <a:schemeClr val="accent3"/>
              </a:solidFill>
              <a:round/>
            </a:ln>
            <a:effectLst/>
          </c:spPr>
          <c:marker>
            <c:symbol val="none"/>
          </c:marker>
          <c:val>
            <c:numRef>
              <c:f>Schedules!$F$55:$AC$55</c:f>
              <c:numCache>
                <c:formatCode>General</c:formatCode>
                <c:ptCount val="24"/>
                <c:pt idx="0">
                  <c:v>85</c:v>
                </c:pt>
                <c:pt idx="1">
                  <c:v>85</c:v>
                </c:pt>
                <c:pt idx="2">
                  <c:v>85</c:v>
                </c:pt>
                <c:pt idx="3">
                  <c:v>85</c:v>
                </c:pt>
                <c:pt idx="4">
                  <c:v>85</c:v>
                </c:pt>
                <c:pt idx="5">
                  <c:v>85</c:v>
                </c:pt>
                <c:pt idx="6">
                  <c:v>85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85</c:v>
                </c:pt>
              </c:numCache>
            </c:numRef>
          </c:val>
          <c:smooth val="0"/>
          <c:extLst>
            <c:ext xmlns:c16="http://schemas.microsoft.com/office/drawing/2014/chart" uri="{C3380CC4-5D6E-409C-BE32-E72D297353CC}">
              <c16:uniqueId val="{00000002-33BB-42D3-880E-C4C7F85D3D8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0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10"/>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Schedules!$C$219</c:f>
          <c:strCache>
            <c:ptCount val="1"/>
            <c:pt idx="0">
              <c:v>Elevator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Schedules!$E$219</c:f>
              <c:strCache>
                <c:ptCount val="1"/>
                <c:pt idx="0">
                  <c:v>Weekday</c:v>
                </c:pt>
              </c:strCache>
            </c:strRef>
          </c:tx>
          <c:spPr>
            <a:ln w="28575" cap="rnd">
              <a:solidFill>
                <a:schemeClr val="accent1"/>
              </a:solidFill>
              <a:round/>
            </a:ln>
            <a:effectLst/>
          </c:spPr>
          <c:marker>
            <c:symbol val="none"/>
          </c:marker>
          <c:val>
            <c:numRef>
              <c:f>Schedules!$F$219:$AC$219</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0-C11D-4743-8FBB-8EA5A1E3D015}"/>
            </c:ext>
          </c:extLst>
        </c:ser>
        <c:ser>
          <c:idx val="1"/>
          <c:order val="1"/>
          <c:tx>
            <c:strRef>
              <c:f>Schedules!$E$220</c:f>
              <c:strCache>
                <c:ptCount val="1"/>
                <c:pt idx="0">
                  <c:v>Saturday</c:v>
                </c:pt>
              </c:strCache>
            </c:strRef>
          </c:tx>
          <c:spPr>
            <a:ln w="28575" cap="rnd">
              <a:solidFill>
                <a:schemeClr val="accent2"/>
              </a:solidFill>
              <a:round/>
            </a:ln>
            <a:effectLst/>
          </c:spPr>
          <c:marker>
            <c:symbol val="none"/>
          </c:marker>
          <c:val>
            <c:numRef>
              <c:f>Schedules!$F$220:$AC$220</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1-C11D-4743-8FBB-8EA5A1E3D015}"/>
            </c:ext>
          </c:extLst>
        </c:ser>
        <c:ser>
          <c:idx val="2"/>
          <c:order val="2"/>
          <c:tx>
            <c:strRef>
              <c:f>Schedules!$E$221</c:f>
              <c:strCache>
                <c:ptCount val="1"/>
                <c:pt idx="0">
                  <c:v>Sunday</c:v>
                </c:pt>
              </c:strCache>
            </c:strRef>
          </c:tx>
          <c:spPr>
            <a:ln w="28575" cap="rnd">
              <a:solidFill>
                <a:schemeClr val="accent3"/>
              </a:solidFill>
              <a:round/>
            </a:ln>
            <a:effectLst/>
          </c:spPr>
          <c:marker>
            <c:symbol val="none"/>
          </c:marker>
          <c:val>
            <c:numRef>
              <c:f>Schedules!$F$221:$AC$221</c:f>
              <c:numCache>
                <c:formatCode>0.00</c:formatCode>
                <c:ptCount val="24"/>
                <c:pt idx="0">
                  <c:v>0.12</c:v>
                </c:pt>
                <c:pt idx="1">
                  <c:v>0.12</c:v>
                </c:pt>
                <c:pt idx="2">
                  <c:v>0.12</c:v>
                </c:pt>
                <c:pt idx="3">
                  <c:v>0.12</c:v>
                </c:pt>
                <c:pt idx="4">
                  <c:v>0.12</c:v>
                </c:pt>
                <c:pt idx="5">
                  <c:v>0.2</c:v>
                </c:pt>
                <c:pt idx="6">
                  <c:v>0.4</c:v>
                </c:pt>
                <c:pt idx="7">
                  <c:v>0.5</c:v>
                </c:pt>
                <c:pt idx="8">
                  <c:v>0.5</c:v>
                </c:pt>
                <c:pt idx="9">
                  <c:v>0.35</c:v>
                </c:pt>
                <c:pt idx="10">
                  <c:v>0.15</c:v>
                </c:pt>
                <c:pt idx="11">
                  <c:v>0.15</c:v>
                </c:pt>
                <c:pt idx="12">
                  <c:v>0.15</c:v>
                </c:pt>
                <c:pt idx="13">
                  <c:v>0.15</c:v>
                </c:pt>
                <c:pt idx="14">
                  <c:v>0.15</c:v>
                </c:pt>
                <c:pt idx="15">
                  <c:v>0.15</c:v>
                </c:pt>
                <c:pt idx="16">
                  <c:v>0.35</c:v>
                </c:pt>
                <c:pt idx="17">
                  <c:v>0.5</c:v>
                </c:pt>
                <c:pt idx="18">
                  <c:v>0.5</c:v>
                </c:pt>
                <c:pt idx="19">
                  <c:v>0.4</c:v>
                </c:pt>
                <c:pt idx="20">
                  <c:v>0.4</c:v>
                </c:pt>
                <c:pt idx="21">
                  <c:v>0.3</c:v>
                </c:pt>
                <c:pt idx="22">
                  <c:v>0.2</c:v>
                </c:pt>
                <c:pt idx="23">
                  <c:v>0.12</c:v>
                </c:pt>
              </c:numCache>
            </c:numRef>
          </c:val>
          <c:smooth val="0"/>
          <c:extLst>
            <c:ext xmlns:c16="http://schemas.microsoft.com/office/drawing/2014/chart" uri="{C3380CC4-5D6E-409C-BE32-E72D297353CC}">
              <c16:uniqueId val="{00000002-C11D-4743-8FBB-8EA5A1E3D01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Schedules!$C$194</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Schedules!$E$194</c:f>
              <c:strCache>
                <c:ptCount val="1"/>
                <c:pt idx="0">
                  <c:v>Weekday</c:v>
                </c:pt>
              </c:strCache>
            </c:strRef>
          </c:tx>
          <c:spPr>
            <a:ln w="28575" cap="rnd">
              <a:solidFill>
                <a:schemeClr val="accent1"/>
              </a:solidFill>
              <a:round/>
            </a:ln>
            <a:effectLst/>
          </c:spPr>
          <c:marker>
            <c:symbol val="none"/>
          </c:marker>
          <c:val>
            <c:numRef>
              <c:f>Schedules!$F$194:$AC$194</c:f>
              <c:numCache>
                <c:formatCode>0.00</c:formatCode>
                <c:ptCount val="24"/>
                <c:pt idx="0">
                  <c:v>0</c:v>
                </c:pt>
                <c:pt idx="1">
                  <c:v>0</c:v>
                </c:pt>
                <c:pt idx="2">
                  <c:v>0</c:v>
                </c:pt>
                <c:pt idx="3">
                  <c:v>0</c:v>
                </c:pt>
                <c:pt idx="4">
                  <c:v>0</c:v>
                </c:pt>
                <c:pt idx="5">
                  <c:v>0</c:v>
                </c:pt>
                <c:pt idx="6">
                  <c:v>0.1</c:v>
                </c:pt>
                <c:pt idx="7">
                  <c:v>0.2</c:v>
                </c:pt>
                <c:pt idx="8">
                  <c:v>0.95</c:v>
                </c:pt>
                <c:pt idx="9">
                  <c:v>0.95</c:v>
                </c:pt>
                <c:pt idx="10">
                  <c:v>0.95</c:v>
                </c:pt>
                <c:pt idx="11">
                  <c:v>0.95</c:v>
                </c:pt>
                <c:pt idx="12">
                  <c:v>0.5</c:v>
                </c:pt>
                <c:pt idx="13">
                  <c:v>0.95</c:v>
                </c:pt>
                <c:pt idx="14">
                  <c:v>0.95</c:v>
                </c:pt>
                <c:pt idx="15">
                  <c:v>0.95</c:v>
                </c:pt>
                <c:pt idx="16">
                  <c:v>0.95</c:v>
                </c:pt>
                <c:pt idx="17">
                  <c:v>0.3</c:v>
                </c:pt>
                <c:pt idx="18">
                  <c:v>0.1</c:v>
                </c:pt>
                <c:pt idx="19">
                  <c:v>0.1</c:v>
                </c:pt>
                <c:pt idx="20">
                  <c:v>0.1</c:v>
                </c:pt>
                <c:pt idx="21">
                  <c:v>0.1</c:v>
                </c:pt>
                <c:pt idx="22">
                  <c:v>0.05</c:v>
                </c:pt>
                <c:pt idx="23">
                  <c:v>0.05</c:v>
                </c:pt>
              </c:numCache>
            </c:numRef>
          </c:val>
          <c:smooth val="0"/>
          <c:extLst>
            <c:ext xmlns:c16="http://schemas.microsoft.com/office/drawing/2014/chart" uri="{C3380CC4-5D6E-409C-BE32-E72D297353CC}">
              <c16:uniqueId val="{00000000-6B30-4F77-A0CA-524F73749BE9}"/>
            </c:ext>
          </c:extLst>
        </c:ser>
        <c:ser>
          <c:idx val="1"/>
          <c:order val="1"/>
          <c:tx>
            <c:strRef>
              <c:f>Schedules!$E$195</c:f>
              <c:strCache>
                <c:ptCount val="1"/>
                <c:pt idx="0">
                  <c:v>Saturday</c:v>
                </c:pt>
              </c:strCache>
            </c:strRef>
          </c:tx>
          <c:spPr>
            <a:ln w="28575" cap="rnd">
              <a:solidFill>
                <a:schemeClr val="accent2"/>
              </a:solidFill>
              <a:round/>
            </a:ln>
            <a:effectLst/>
          </c:spPr>
          <c:marker>
            <c:symbol val="none"/>
          </c:marker>
          <c:val>
            <c:numRef>
              <c:f>Schedules!$F$195:$AC$195</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6B30-4F77-A0CA-524F73749BE9}"/>
            </c:ext>
          </c:extLst>
        </c:ser>
        <c:ser>
          <c:idx val="2"/>
          <c:order val="2"/>
          <c:tx>
            <c:strRef>
              <c:f>Schedules!$E$196</c:f>
              <c:strCache>
                <c:ptCount val="1"/>
                <c:pt idx="0">
                  <c:v>Sunday</c:v>
                </c:pt>
              </c:strCache>
            </c:strRef>
          </c:tx>
          <c:spPr>
            <a:ln w="28575" cap="rnd">
              <a:solidFill>
                <a:schemeClr val="accent3"/>
              </a:solidFill>
              <a:round/>
            </a:ln>
            <a:effectLst/>
          </c:spPr>
          <c:marker>
            <c:symbol val="none"/>
          </c:marker>
          <c:val>
            <c:numRef>
              <c:f>Schedules!$F$196:$AC$196</c:f>
              <c:numCache>
                <c:formatCode>0.00</c:formatCode>
                <c:ptCount val="24"/>
                <c:pt idx="0">
                  <c:v>0</c:v>
                </c:pt>
                <c:pt idx="1">
                  <c:v>0</c:v>
                </c:pt>
                <c:pt idx="2">
                  <c:v>0</c:v>
                </c:pt>
                <c:pt idx="3">
                  <c:v>0</c:v>
                </c:pt>
                <c:pt idx="4">
                  <c:v>0</c:v>
                </c:pt>
                <c:pt idx="5">
                  <c:v>0</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6B30-4F77-A0CA-524F73749BE9}"/>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Schedules!$C$197</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Schedules!$E$197</c:f>
              <c:strCache>
                <c:ptCount val="1"/>
                <c:pt idx="0">
                  <c:v>Weekday</c:v>
                </c:pt>
              </c:strCache>
            </c:strRef>
          </c:tx>
          <c:spPr>
            <a:ln w="28575" cap="rnd">
              <a:solidFill>
                <a:schemeClr val="accent1"/>
              </a:solidFill>
              <a:round/>
            </a:ln>
            <a:effectLst/>
          </c:spPr>
          <c:marker>
            <c:symbol val="none"/>
          </c:marker>
          <c:val>
            <c:numRef>
              <c:f>Schedules!$F$197:$AC$197</c:f>
              <c:numCache>
                <c:formatCode>0.00</c:formatCode>
                <c:ptCount val="24"/>
                <c:pt idx="0">
                  <c:v>0.05</c:v>
                </c:pt>
                <c:pt idx="1">
                  <c:v>0.05</c:v>
                </c:pt>
                <c:pt idx="2">
                  <c:v>0.05</c:v>
                </c:pt>
                <c:pt idx="3">
                  <c:v>0.05</c:v>
                </c:pt>
                <c:pt idx="4">
                  <c:v>0.05</c:v>
                </c:pt>
                <c:pt idx="5">
                  <c:v>0.1</c:v>
                </c:pt>
                <c:pt idx="6">
                  <c:v>0.1</c:v>
                </c:pt>
                <c:pt idx="7">
                  <c:v>0.3</c:v>
                </c:pt>
                <c:pt idx="8">
                  <c:v>0.65</c:v>
                </c:pt>
                <c:pt idx="9">
                  <c:v>0.65</c:v>
                </c:pt>
                <c:pt idx="10">
                  <c:v>0.65</c:v>
                </c:pt>
                <c:pt idx="11">
                  <c:v>0.65</c:v>
                </c:pt>
                <c:pt idx="12">
                  <c:v>0.65</c:v>
                </c:pt>
                <c:pt idx="13">
                  <c:v>0.65</c:v>
                </c:pt>
                <c:pt idx="14">
                  <c:v>0.65</c:v>
                </c:pt>
                <c:pt idx="15">
                  <c:v>0.65</c:v>
                </c:pt>
                <c:pt idx="16">
                  <c:v>0.65</c:v>
                </c:pt>
                <c:pt idx="17">
                  <c:v>0.35</c:v>
                </c:pt>
                <c:pt idx="18">
                  <c:v>0.3</c:v>
                </c:pt>
                <c:pt idx="19">
                  <c:v>0.3</c:v>
                </c:pt>
                <c:pt idx="20">
                  <c:v>0.2</c:v>
                </c:pt>
                <c:pt idx="21">
                  <c:v>0.2</c:v>
                </c:pt>
                <c:pt idx="22">
                  <c:v>0.1</c:v>
                </c:pt>
                <c:pt idx="23">
                  <c:v>0.05</c:v>
                </c:pt>
              </c:numCache>
            </c:numRef>
          </c:val>
          <c:smooth val="0"/>
          <c:extLst>
            <c:ext xmlns:c16="http://schemas.microsoft.com/office/drawing/2014/chart" uri="{C3380CC4-5D6E-409C-BE32-E72D297353CC}">
              <c16:uniqueId val="{00000000-6255-4463-9547-12B28241AD47}"/>
            </c:ext>
          </c:extLst>
        </c:ser>
        <c:ser>
          <c:idx val="1"/>
          <c:order val="1"/>
          <c:tx>
            <c:strRef>
              <c:f>Schedules!$E$198</c:f>
              <c:strCache>
                <c:ptCount val="1"/>
                <c:pt idx="0">
                  <c:v>Saturday</c:v>
                </c:pt>
              </c:strCache>
            </c:strRef>
          </c:tx>
          <c:spPr>
            <a:ln w="28575" cap="rnd">
              <a:solidFill>
                <a:schemeClr val="accent2"/>
              </a:solidFill>
              <a:round/>
            </a:ln>
            <a:effectLst/>
          </c:spPr>
          <c:marker>
            <c:symbol val="none"/>
          </c:marker>
          <c:val>
            <c:numRef>
              <c:f>Schedules!$F$198:$AC$198</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1-6255-4463-9547-12B28241AD47}"/>
            </c:ext>
          </c:extLst>
        </c:ser>
        <c:ser>
          <c:idx val="2"/>
          <c:order val="2"/>
          <c:tx>
            <c:strRef>
              <c:f>Schedules!$E$199</c:f>
              <c:strCache>
                <c:ptCount val="1"/>
                <c:pt idx="0">
                  <c:v>Sunday</c:v>
                </c:pt>
              </c:strCache>
            </c:strRef>
          </c:tx>
          <c:spPr>
            <a:ln w="28575" cap="rnd">
              <a:solidFill>
                <a:schemeClr val="accent3"/>
              </a:solidFill>
              <a:round/>
            </a:ln>
            <a:effectLst/>
          </c:spPr>
          <c:marker>
            <c:symbol val="none"/>
          </c:marker>
          <c:val>
            <c:numRef>
              <c:f>Schedules!$F$199:$AC$199</c:f>
              <c:numCache>
                <c:formatCode>0.00</c:formatCode>
                <c:ptCount val="24"/>
                <c:pt idx="0">
                  <c:v>0.05</c:v>
                </c:pt>
                <c:pt idx="1">
                  <c:v>0.05</c:v>
                </c:pt>
                <c:pt idx="2">
                  <c:v>0.05</c:v>
                </c:pt>
                <c:pt idx="3">
                  <c:v>0.05</c:v>
                </c:pt>
                <c:pt idx="4">
                  <c:v>0.05</c:v>
                </c:pt>
                <c:pt idx="5">
                  <c:v>0.05</c:v>
                </c:pt>
                <c:pt idx="6">
                  <c:v>0.05</c:v>
                </c:pt>
                <c:pt idx="7">
                  <c:v>0.05</c:v>
                </c:pt>
                <c:pt idx="8">
                  <c:v>0.05</c:v>
                </c:pt>
                <c:pt idx="9">
                  <c:v>0.05</c:v>
                </c:pt>
                <c:pt idx="10">
                  <c:v>0.05</c:v>
                </c:pt>
                <c:pt idx="11">
                  <c:v>0.05</c:v>
                </c:pt>
                <c:pt idx="12">
                  <c:v>0.05</c:v>
                </c:pt>
                <c:pt idx="13">
                  <c:v>0.05</c:v>
                </c:pt>
                <c:pt idx="14">
                  <c:v>0.05</c:v>
                </c:pt>
                <c:pt idx="15">
                  <c:v>0.05</c:v>
                </c:pt>
                <c:pt idx="16">
                  <c:v>0.05</c:v>
                </c:pt>
                <c:pt idx="17">
                  <c:v>0.05</c:v>
                </c:pt>
                <c:pt idx="18">
                  <c:v>0.05</c:v>
                </c:pt>
                <c:pt idx="19">
                  <c:v>0.05</c:v>
                </c:pt>
                <c:pt idx="20">
                  <c:v>0.05</c:v>
                </c:pt>
                <c:pt idx="21">
                  <c:v>0.05</c:v>
                </c:pt>
                <c:pt idx="22">
                  <c:v>0.05</c:v>
                </c:pt>
                <c:pt idx="23">
                  <c:v>0.05</c:v>
                </c:pt>
              </c:numCache>
            </c:numRef>
          </c:val>
          <c:smooth val="0"/>
          <c:extLst>
            <c:ext xmlns:c16="http://schemas.microsoft.com/office/drawing/2014/chart" uri="{C3380CC4-5D6E-409C-BE32-E72D297353CC}">
              <c16:uniqueId val="{00000002-6255-4463-9547-12B28241AD47}"/>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Schedules!$C$200</c:f>
          <c:strCache>
            <c:ptCount val="1"/>
            <c:pt idx="0">
              <c:v>ElecEquipment </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Schedules!$E$200</c:f>
              <c:strCache>
                <c:ptCount val="1"/>
                <c:pt idx="0">
                  <c:v>Weekday</c:v>
                </c:pt>
              </c:strCache>
            </c:strRef>
          </c:tx>
          <c:spPr>
            <a:ln w="28575" cap="rnd">
              <a:solidFill>
                <a:schemeClr val="accent1"/>
              </a:solidFill>
              <a:round/>
            </a:ln>
            <a:effectLst/>
          </c:spPr>
          <c:marker>
            <c:symbol val="none"/>
          </c:marker>
          <c:val>
            <c:numRef>
              <c:f>Schedules!$F$200:$AC$200</c:f>
              <c:numCache>
                <c:formatCode>0.00</c:formatCode>
                <c:ptCount val="24"/>
                <c:pt idx="0">
                  <c:v>0.45</c:v>
                </c:pt>
                <c:pt idx="1">
                  <c:v>0.45</c:v>
                </c:pt>
                <c:pt idx="2">
                  <c:v>0.45</c:v>
                </c:pt>
                <c:pt idx="3">
                  <c:v>0.45</c:v>
                </c:pt>
                <c:pt idx="4">
                  <c:v>0.45</c:v>
                </c:pt>
                <c:pt idx="5">
                  <c:v>0.45</c:v>
                </c:pt>
                <c:pt idx="6">
                  <c:v>0.45</c:v>
                </c:pt>
                <c:pt idx="7">
                  <c:v>0.74</c:v>
                </c:pt>
                <c:pt idx="8">
                  <c:v>0.87</c:v>
                </c:pt>
                <c:pt idx="9">
                  <c:v>0.9</c:v>
                </c:pt>
                <c:pt idx="10">
                  <c:v>0.9</c:v>
                </c:pt>
                <c:pt idx="11">
                  <c:v>0.9</c:v>
                </c:pt>
                <c:pt idx="12">
                  <c:v>0.9</c:v>
                </c:pt>
                <c:pt idx="13">
                  <c:v>0.9</c:v>
                </c:pt>
                <c:pt idx="14">
                  <c:v>0.9</c:v>
                </c:pt>
                <c:pt idx="15">
                  <c:v>0.9</c:v>
                </c:pt>
                <c:pt idx="16">
                  <c:v>0.9</c:v>
                </c:pt>
                <c:pt idx="17">
                  <c:v>0.7</c:v>
                </c:pt>
                <c:pt idx="18">
                  <c:v>0.5</c:v>
                </c:pt>
                <c:pt idx="19">
                  <c:v>0.5</c:v>
                </c:pt>
                <c:pt idx="20">
                  <c:v>0.5</c:v>
                </c:pt>
                <c:pt idx="21">
                  <c:v>0.45</c:v>
                </c:pt>
                <c:pt idx="22">
                  <c:v>0.45</c:v>
                </c:pt>
                <c:pt idx="23">
                  <c:v>0.45</c:v>
                </c:pt>
              </c:numCache>
            </c:numRef>
          </c:val>
          <c:smooth val="0"/>
          <c:extLst>
            <c:ext xmlns:c16="http://schemas.microsoft.com/office/drawing/2014/chart" uri="{C3380CC4-5D6E-409C-BE32-E72D297353CC}">
              <c16:uniqueId val="{00000000-B81F-41E1-8269-5C72D1E6774E}"/>
            </c:ext>
          </c:extLst>
        </c:ser>
        <c:ser>
          <c:idx val="1"/>
          <c:order val="1"/>
          <c:tx>
            <c:strRef>
              <c:f>Schedules!$E$201</c:f>
              <c:strCache>
                <c:ptCount val="1"/>
                <c:pt idx="0">
                  <c:v>Saturday</c:v>
                </c:pt>
              </c:strCache>
            </c:strRef>
          </c:tx>
          <c:spPr>
            <a:ln w="28575" cap="rnd">
              <a:solidFill>
                <a:schemeClr val="accent2"/>
              </a:solidFill>
              <a:round/>
            </a:ln>
            <a:effectLst/>
          </c:spPr>
          <c:marker>
            <c:symbol val="none"/>
          </c:marker>
          <c:val>
            <c:numRef>
              <c:f>Schedules!$F$201:$AC$201</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1-B81F-41E1-8269-5C72D1E6774E}"/>
            </c:ext>
          </c:extLst>
        </c:ser>
        <c:ser>
          <c:idx val="2"/>
          <c:order val="2"/>
          <c:tx>
            <c:strRef>
              <c:f>Schedules!$E$202</c:f>
              <c:strCache>
                <c:ptCount val="1"/>
                <c:pt idx="0">
                  <c:v>Sunday</c:v>
                </c:pt>
              </c:strCache>
            </c:strRef>
          </c:tx>
          <c:spPr>
            <a:ln w="28575" cap="rnd">
              <a:solidFill>
                <a:schemeClr val="accent3"/>
              </a:solidFill>
              <a:round/>
            </a:ln>
            <a:effectLst/>
          </c:spPr>
          <c:marker>
            <c:symbol val="none"/>
          </c:marker>
          <c:val>
            <c:numRef>
              <c:f>Schedules!$F$202:$AC$202</c:f>
              <c:numCache>
                <c:formatCode>0.00</c:formatCode>
                <c:ptCount val="24"/>
                <c:pt idx="0">
                  <c:v>0.43</c:v>
                </c:pt>
                <c:pt idx="1">
                  <c:v>0.43</c:v>
                </c:pt>
                <c:pt idx="2">
                  <c:v>0.43</c:v>
                </c:pt>
                <c:pt idx="3">
                  <c:v>0.43</c:v>
                </c:pt>
                <c:pt idx="4">
                  <c:v>0.43</c:v>
                </c:pt>
                <c:pt idx="5">
                  <c:v>0.43</c:v>
                </c:pt>
                <c:pt idx="6">
                  <c:v>0.43</c:v>
                </c:pt>
                <c:pt idx="7">
                  <c:v>0.43</c:v>
                </c:pt>
                <c:pt idx="8">
                  <c:v>0.43</c:v>
                </c:pt>
                <c:pt idx="9">
                  <c:v>0.43</c:v>
                </c:pt>
                <c:pt idx="10">
                  <c:v>0.43</c:v>
                </c:pt>
                <c:pt idx="11">
                  <c:v>0.43</c:v>
                </c:pt>
                <c:pt idx="12">
                  <c:v>0.43</c:v>
                </c:pt>
                <c:pt idx="13">
                  <c:v>0.43</c:v>
                </c:pt>
                <c:pt idx="14">
                  <c:v>0.43</c:v>
                </c:pt>
                <c:pt idx="15">
                  <c:v>0.43</c:v>
                </c:pt>
                <c:pt idx="16">
                  <c:v>0.43</c:v>
                </c:pt>
                <c:pt idx="17">
                  <c:v>0.43</c:v>
                </c:pt>
                <c:pt idx="18">
                  <c:v>0.43</c:v>
                </c:pt>
                <c:pt idx="19">
                  <c:v>0.43</c:v>
                </c:pt>
                <c:pt idx="20">
                  <c:v>0.43</c:v>
                </c:pt>
                <c:pt idx="21">
                  <c:v>0.43</c:v>
                </c:pt>
                <c:pt idx="22">
                  <c:v>0.43</c:v>
                </c:pt>
                <c:pt idx="23">
                  <c:v>0.43</c:v>
                </c:pt>
              </c:numCache>
            </c:numRef>
          </c:val>
          <c:smooth val="0"/>
          <c:extLst>
            <c:ext xmlns:c16="http://schemas.microsoft.com/office/drawing/2014/chart" uri="{C3380CC4-5D6E-409C-BE32-E72D297353CC}">
              <c16:uniqueId val="{00000002-B81F-41E1-8269-5C72D1E6774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Schedules!$C$203</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Schedules!$E$203</c:f>
              <c:strCache>
                <c:ptCount val="1"/>
                <c:pt idx="0">
                  <c:v>Weekday</c:v>
                </c:pt>
              </c:strCache>
            </c:strRef>
          </c:tx>
          <c:spPr>
            <a:ln w="28575" cap="rnd">
              <a:solidFill>
                <a:schemeClr val="accent1"/>
              </a:solidFill>
              <a:round/>
            </a:ln>
            <a:effectLst/>
          </c:spPr>
          <c:marker>
            <c:symbol val="none"/>
          </c:marker>
          <c:val>
            <c:numRef>
              <c:f>Schedules!$F$203:$AC$203</c:f>
              <c:numCache>
                <c:formatCode>0.00</c:formatCode>
                <c:ptCount val="24"/>
                <c:pt idx="0">
                  <c:v>0</c:v>
                </c:pt>
                <c:pt idx="1">
                  <c:v>0</c:v>
                </c:pt>
                <c:pt idx="2">
                  <c:v>0</c:v>
                </c:pt>
                <c:pt idx="3">
                  <c:v>0</c:v>
                </c:pt>
                <c:pt idx="4">
                  <c:v>0</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0-F0AC-4CF3-93A4-FE6576F5698E}"/>
            </c:ext>
          </c:extLst>
        </c:ser>
        <c:ser>
          <c:idx val="1"/>
          <c:order val="1"/>
          <c:tx>
            <c:strRef>
              <c:f>Schedules!$E$204</c:f>
              <c:strCache>
                <c:ptCount val="1"/>
                <c:pt idx="0">
                  <c:v>Saturday</c:v>
                </c:pt>
              </c:strCache>
            </c:strRef>
          </c:tx>
          <c:spPr>
            <a:ln w="28575" cap="rnd">
              <a:solidFill>
                <a:schemeClr val="accent2"/>
              </a:solidFill>
              <a:round/>
            </a:ln>
            <a:effectLst/>
          </c:spPr>
          <c:marker>
            <c:symbol val="none"/>
          </c:marker>
          <c:val>
            <c:numRef>
              <c:f>Schedules!$F$204:$AC$204</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1-F0AC-4CF3-93A4-FE6576F5698E}"/>
            </c:ext>
          </c:extLst>
        </c:ser>
        <c:ser>
          <c:idx val="2"/>
          <c:order val="2"/>
          <c:tx>
            <c:strRef>
              <c:f>Schedules!$E$205</c:f>
              <c:strCache>
                <c:ptCount val="1"/>
                <c:pt idx="0">
                  <c:v>Sunday</c:v>
                </c:pt>
              </c:strCache>
            </c:strRef>
          </c:tx>
          <c:spPr>
            <a:ln w="28575" cap="rnd">
              <a:solidFill>
                <a:schemeClr val="accent3"/>
              </a:solidFill>
              <a:round/>
            </a:ln>
            <a:effectLst/>
          </c:spPr>
          <c:marker>
            <c:symbol val="none"/>
          </c:marker>
          <c:val>
            <c:numRef>
              <c:f>Schedules!$F$205:$AC$205</c:f>
              <c:numCache>
                <c:formatCode>0.00</c:formatCode>
                <c:ptCount val="2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2-F0AC-4CF3-93A4-FE6576F5698E}"/>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Schedules!$C$206</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Schedules!$E$206</c:f>
              <c:strCache>
                <c:ptCount val="1"/>
                <c:pt idx="0">
                  <c:v>Weekday</c:v>
                </c:pt>
              </c:strCache>
            </c:strRef>
          </c:tx>
          <c:spPr>
            <a:ln w="28575" cap="rnd">
              <a:solidFill>
                <a:schemeClr val="accent1"/>
              </a:solidFill>
              <a:round/>
            </a:ln>
            <a:effectLst/>
          </c:spPr>
          <c:marker>
            <c:symbol val="none"/>
          </c:marker>
          <c:val>
            <c:numRef>
              <c:f>Schedules!$F$206:$AC$206</c:f>
              <c:numCache>
                <c:formatCode>0.00</c:formatCode>
                <c:ptCount val="24"/>
                <c:pt idx="0">
                  <c:v>0.05</c:v>
                </c:pt>
                <c:pt idx="1">
                  <c:v>0.05</c:v>
                </c:pt>
                <c:pt idx="2">
                  <c:v>0.05</c:v>
                </c:pt>
                <c:pt idx="3">
                  <c:v>0.05</c:v>
                </c:pt>
                <c:pt idx="4">
                  <c:v>0.05</c:v>
                </c:pt>
                <c:pt idx="5">
                  <c:v>0.08</c:v>
                </c:pt>
                <c:pt idx="6">
                  <c:v>7.0000000000000007E-2</c:v>
                </c:pt>
                <c:pt idx="7">
                  <c:v>0.19</c:v>
                </c:pt>
                <c:pt idx="8">
                  <c:v>0.35</c:v>
                </c:pt>
                <c:pt idx="9">
                  <c:v>0.38</c:v>
                </c:pt>
                <c:pt idx="10">
                  <c:v>0.39</c:v>
                </c:pt>
                <c:pt idx="11">
                  <c:v>0.47</c:v>
                </c:pt>
                <c:pt idx="12">
                  <c:v>0.56999999999999995</c:v>
                </c:pt>
                <c:pt idx="13">
                  <c:v>0.54</c:v>
                </c:pt>
                <c:pt idx="14">
                  <c:v>0.34</c:v>
                </c:pt>
                <c:pt idx="15">
                  <c:v>0.33</c:v>
                </c:pt>
                <c:pt idx="16">
                  <c:v>0.44</c:v>
                </c:pt>
                <c:pt idx="17">
                  <c:v>0.26</c:v>
                </c:pt>
                <c:pt idx="18">
                  <c:v>0.21</c:v>
                </c:pt>
                <c:pt idx="19">
                  <c:v>0.15</c:v>
                </c:pt>
                <c:pt idx="20">
                  <c:v>0.17</c:v>
                </c:pt>
                <c:pt idx="21">
                  <c:v>0.08</c:v>
                </c:pt>
                <c:pt idx="22">
                  <c:v>0.05</c:v>
                </c:pt>
                <c:pt idx="23">
                  <c:v>0.05</c:v>
                </c:pt>
              </c:numCache>
            </c:numRef>
          </c:val>
          <c:smooth val="0"/>
          <c:extLst>
            <c:ext xmlns:c16="http://schemas.microsoft.com/office/drawing/2014/chart" uri="{C3380CC4-5D6E-409C-BE32-E72D297353CC}">
              <c16:uniqueId val="{00000000-83B9-4A92-8114-AD0A718F85C0}"/>
            </c:ext>
          </c:extLst>
        </c:ser>
        <c:ser>
          <c:idx val="1"/>
          <c:order val="1"/>
          <c:tx>
            <c:strRef>
              <c:f>Schedules!$E$207</c:f>
              <c:strCache>
                <c:ptCount val="1"/>
                <c:pt idx="0">
                  <c:v>Saturday</c:v>
                </c:pt>
              </c:strCache>
            </c:strRef>
          </c:tx>
          <c:spPr>
            <a:ln w="28575" cap="rnd">
              <a:solidFill>
                <a:schemeClr val="accent2"/>
              </a:solidFill>
              <a:round/>
            </a:ln>
            <a:effectLst/>
          </c:spPr>
          <c:marker>
            <c:symbol val="none"/>
          </c:marker>
          <c:val>
            <c:numRef>
              <c:f>Schedules!$F$207:$AC$207</c:f>
              <c:numCache>
                <c:formatCode>0.00</c:formatCode>
                <c:ptCount val="24"/>
                <c:pt idx="0">
                  <c:v>0.05</c:v>
                </c:pt>
                <c:pt idx="1">
                  <c:v>0.05</c:v>
                </c:pt>
                <c:pt idx="2">
                  <c:v>0.05</c:v>
                </c:pt>
                <c:pt idx="3">
                  <c:v>0.05</c:v>
                </c:pt>
                <c:pt idx="4">
                  <c:v>0.05</c:v>
                </c:pt>
                <c:pt idx="5">
                  <c:v>0.08</c:v>
                </c:pt>
                <c:pt idx="6">
                  <c:v>7.0000000000000007E-2</c:v>
                </c:pt>
                <c:pt idx="7">
                  <c:v>0.11</c:v>
                </c:pt>
                <c:pt idx="8">
                  <c:v>0.15</c:v>
                </c:pt>
                <c:pt idx="9">
                  <c:v>0.21</c:v>
                </c:pt>
                <c:pt idx="10">
                  <c:v>0.19</c:v>
                </c:pt>
                <c:pt idx="11">
                  <c:v>0.23</c:v>
                </c:pt>
                <c:pt idx="12">
                  <c:v>0.2</c:v>
                </c:pt>
                <c:pt idx="13">
                  <c:v>0.19</c:v>
                </c:pt>
                <c:pt idx="14">
                  <c:v>0.15</c:v>
                </c:pt>
                <c:pt idx="15">
                  <c:v>0.12</c:v>
                </c:pt>
                <c:pt idx="16">
                  <c:v>0.14000000000000001</c:v>
                </c:pt>
                <c:pt idx="17">
                  <c:v>7.0000000000000007E-2</c:v>
                </c:pt>
                <c:pt idx="18">
                  <c:v>7.0000000000000007E-2</c:v>
                </c:pt>
                <c:pt idx="19">
                  <c:v>7.0000000000000007E-2</c:v>
                </c:pt>
                <c:pt idx="20">
                  <c:v>7.0000000000000007E-2</c:v>
                </c:pt>
                <c:pt idx="21">
                  <c:v>0.09</c:v>
                </c:pt>
                <c:pt idx="22">
                  <c:v>0.05</c:v>
                </c:pt>
                <c:pt idx="23">
                  <c:v>0.05</c:v>
                </c:pt>
              </c:numCache>
            </c:numRef>
          </c:val>
          <c:smooth val="0"/>
          <c:extLst>
            <c:ext xmlns:c16="http://schemas.microsoft.com/office/drawing/2014/chart" uri="{C3380CC4-5D6E-409C-BE32-E72D297353CC}">
              <c16:uniqueId val="{00000003-83B9-4A92-8114-AD0A718F85C0}"/>
            </c:ext>
          </c:extLst>
        </c:ser>
        <c:ser>
          <c:idx val="2"/>
          <c:order val="2"/>
          <c:tx>
            <c:strRef>
              <c:f>Schedules!$E$208</c:f>
              <c:strCache>
                <c:ptCount val="1"/>
                <c:pt idx="0">
                  <c:v>Sunday</c:v>
                </c:pt>
              </c:strCache>
            </c:strRef>
          </c:tx>
          <c:spPr>
            <a:ln w="28575" cap="rnd">
              <a:solidFill>
                <a:schemeClr val="accent3"/>
              </a:solidFill>
              <a:round/>
            </a:ln>
            <a:effectLst/>
          </c:spPr>
          <c:marker>
            <c:symbol val="none"/>
          </c:marker>
          <c:val>
            <c:numRef>
              <c:f>Schedules!$F$208:$AC$208</c:f>
              <c:numCache>
                <c:formatCode>0.00</c:formatCode>
                <c:ptCount val="24"/>
                <c:pt idx="0">
                  <c:v>0.04</c:v>
                </c:pt>
                <c:pt idx="1">
                  <c:v>0.04</c:v>
                </c:pt>
                <c:pt idx="2">
                  <c:v>0.04</c:v>
                </c:pt>
                <c:pt idx="3">
                  <c:v>0.04</c:v>
                </c:pt>
                <c:pt idx="4">
                  <c:v>0.04</c:v>
                </c:pt>
                <c:pt idx="5">
                  <c:v>7.0000000000000007E-2</c:v>
                </c:pt>
                <c:pt idx="6">
                  <c:v>0.04</c:v>
                </c:pt>
                <c:pt idx="7">
                  <c:v>0.04</c:v>
                </c:pt>
                <c:pt idx="8">
                  <c:v>0.04</c:v>
                </c:pt>
                <c:pt idx="9">
                  <c:v>0.04</c:v>
                </c:pt>
                <c:pt idx="10">
                  <c:v>0.04</c:v>
                </c:pt>
                <c:pt idx="11">
                  <c:v>0.06</c:v>
                </c:pt>
                <c:pt idx="12">
                  <c:v>0.06</c:v>
                </c:pt>
                <c:pt idx="13">
                  <c:v>0.09</c:v>
                </c:pt>
                <c:pt idx="14">
                  <c:v>0.06</c:v>
                </c:pt>
                <c:pt idx="15">
                  <c:v>0.04</c:v>
                </c:pt>
                <c:pt idx="16">
                  <c:v>0.04</c:v>
                </c:pt>
                <c:pt idx="17">
                  <c:v>0.04</c:v>
                </c:pt>
                <c:pt idx="18">
                  <c:v>0.04</c:v>
                </c:pt>
                <c:pt idx="19">
                  <c:v>0.04</c:v>
                </c:pt>
                <c:pt idx="20">
                  <c:v>0.04</c:v>
                </c:pt>
                <c:pt idx="21">
                  <c:v>7.0000000000000007E-2</c:v>
                </c:pt>
                <c:pt idx="22">
                  <c:v>0.04</c:v>
                </c:pt>
                <c:pt idx="23">
                  <c:v>0.04</c:v>
                </c:pt>
              </c:numCache>
            </c:numRef>
          </c:val>
          <c:smooth val="0"/>
          <c:extLst>
            <c:ext xmlns:c16="http://schemas.microsoft.com/office/drawing/2014/chart" uri="{C3380CC4-5D6E-409C-BE32-E72D297353CC}">
              <c16:uniqueId val="{00000004-83B9-4A92-8114-AD0A718F85C0}"/>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439012883629005"/>
          <c:y val="0.66465017621985101"/>
          <c:w val="0.35609883786620561"/>
          <c:h val="0.16663595425386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Schedules!$C$209</c:f>
          <c:strCache>
            <c:ptCount val="1"/>
            <c:pt idx="0">
              <c:v>Infiltration</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Schedules!$F$209:$AC$209</c:f>
              <c:numCache>
                <c:formatCode>0.00</c:formatCode>
                <c:ptCount val="24"/>
                <c:pt idx="0">
                  <c:v>1</c:v>
                </c:pt>
                <c:pt idx="1">
                  <c:v>1</c:v>
                </c:pt>
                <c:pt idx="2">
                  <c:v>1</c:v>
                </c:pt>
                <c:pt idx="3">
                  <c:v>1</c:v>
                </c:pt>
                <c:pt idx="4">
                  <c:v>1</c:v>
                </c:pt>
                <c:pt idx="5">
                  <c:v>0.25</c:v>
                </c:pt>
                <c:pt idx="6">
                  <c:v>0.25</c:v>
                </c:pt>
                <c:pt idx="7">
                  <c:v>0.25</c:v>
                </c:pt>
                <c:pt idx="8">
                  <c:v>0.25</c:v>
                </c:pt>
                <c:pt idx="9">
                  <c:v>0.25</c:v>
                </c:pt>
                <c:pt idx="10">
                  <c:v>0.25</c:v>
                </c:pt>
                <c:pt idx="11">
                  <c:v>0.25</c:v>
                </c:pt>
                <c:pt idx="12">
                  <c:v>0.25</c:v>
                </c:pt>
                <c:pt idx="13">
                  <c:v>0.25</c:v>
                </c:pt>
                <c:pt idx="14">
                  <c:v>0.25</c:v>
                </c:pt>
                <c:pt idx="15">
                  <c:v>0.25</c:v>
                </c:pt>
                <c:pt idx="16">
                  <c:v>0.25</c:v>
                </c:pt>
                <c:pt idx="17">
                  <c:v>0.25</c:v>
                </c:pt>
                <c:pt idx="18">
                  <c:v>0.25</c:v>
                </c:pt>
                <c:pt idx="19">
                  <c:v>0.25</c:v>
                </c:pt>
                <c:pt idx="20">
                  <c:v>0.25</c:v>
                </c:pt>
                <c:pt idx="21">
                  <c:v>0.25</c:v>
                </c:pt>
                <c:pt idx="22">
                  <c:v>0.25</c:v>
                </c:pt>
                <c:pt idx="23">
                  <c:v>0.25</c:v>
                </c:pt>
              </c:numCache>
            </c:numRef>
          </c:val>
          <c:smooth val="0"/>
          <c:extLst>
            <c:ext xmlns:c16="http://schemas.microsoft.com/office/drawing/2014/chart" uri="{C3380CC4-5D6E-409C-BE32-E72D297353CC}">
              <c16:uniqueId val="{00000000-E590-407F-9BE6-1AF4310285D8}"/>
            </c:ext>
          </c:extLst>
        </c:ser>
        <c:ser>
          <c:idx val="1"/>
          <c:order val="1"/>
          <c:spPr>
            <a:ln w="28575" cap="rnd">
              <a:solidFill>
                <a:schemeClr val="accent2"/>
              </a:solidFill>
              <a:round/>
            </a:ln>
            <a:effectLst/>
          </c:spPr>
          <c:marker>
            <c:symbol val="none"/>
          </c:marker>
          <c:val>
            <c:numRef>
              <c:f>Schedules!$F$210:$AC$210</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1-E590-407F-9BE6-1AF4310285D8}"/>
            </c:ext>
          </c:extLst>
        </c:ser>
        <c:ser>
          <c:idx val="2"/>
          <c:order val="2"/>
          <c:spPr>
            <a:ln w="28575" cap="rnd">
              <a:solidFill>
                <a:schemeClr val="accent3"/>
              </a:solidFill>
              <a:round/>
            </a:ln>
            <a:effectLst/>
          </c:spPr>
          <c:marker>
            <c:symbol val="none"/>
          </c:marker>
          <c:val>
            <c:numRef>
              <c:f>Schedules!$F$211:$AC$211</c:f>
              <c:numCache>
                <c:formatCode>0.00</c:formatCode>
                <c:ptCount val="24"/>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numCache>
            </c:numRef>
          </c:val>
          <c:smooth val="0"/>
          <c:extLst>
            <c:ext xmlns:c16="http://schemas.microsoft.com/office/drawing/2014/chart" uri="{C3380CC4-5D6E-409C-BE32-E72D297353CC}">
              <c16:uniqueId val="{00000002-E590-407F-9BE6-1AF4310285D8}"/>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14622591937496168"/>
          <c:y val="0.58324327299090994"/>
          <c:w val="0.8161751365375606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Schedules!$C$212</c:f>
          <c:strCache>
            <c:ptCount val="1"/>
            <c:pt idx="0">
              <c:v>HtgSetpt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Schedules!$E$212</c:f>
              <c:strCache>
                <c:ptCount val="1"/>
                <c:pt idx="0">
                  <c:v>Weekday</c:v>
                </c:pt>
              </c:strCache>
            </c:strRef>
          </c:tx>
          <c:spPr>
            <a:ln w="28575" cap="rnd">
              <a:solidFill>
                <a:schemeClr val="accent1"/>
              </a:solidFill>
              <a:round/>
            </a:ln>
            <a:effectLst/>
          </c:spPr>
          <c:marker>
            <c:symbol val="none"/>
          </c:marker>
          <c:val>
            <c:numRef>
              <c:f>Schedules!$F$212:$AC$212</c:f>
              <c:numCache>
                <c:formatCode>0</c:formatCode>
                <c:ptCount val="24"/>
                <c:pt idx="0">
                  <c:v>60</c:v>
                </c:pt>
                <c:pt idx="1">
                  <c:v>60</c:v>
                </c:pt>
                <c:pt idx="2">
                  <c:v>60</c:v>
                </c:pt>
                <c:pt idx="3">
                  <c:v>60</c:v>
                </c:pt>
                <c:pt idx="4">
                  <c:v>60</c:v>
                </c:pt>
                <c:pt idx="5">
                  <c:v>70</c:v>
                </c:pt>
                <c:pt idx="6">
                  <c:v>70</c:v>
                </c:pt>
                <c:pt idx="7">
                  <c:v>70</c:v>
                </c:pt>
                <c:pt idx="8">
                  <c:v>70</c:v>
                </c:pt>
                <c:pt idx="9">
                  <c:v>70</c:v>
                </c:pt>
                <c:pt idx="10">
                  <c:v>70</c:v>
                </c:pt>
                <c:pt idx="11">
                  <c:v>70</c:v>
                </c:pt>
                <c:pt idx="12">
                  <c:v>70</c:v>
                </c:pt>
                <c:pt idx="13">
                  <c:v>70</c:v>
                </c:pt>
                <c:pt idx="14">
                  <c:v>70</c:v>
                </c:pt>
                <c:pt idx="15">
                  <c:v>70</c:v>
                </c:pt>
                <c:pt idx="16">
                  <c:v>70</c:v>
                </c:pt>
                <c:pt idx="17">
                  <c:v>70</c:v>
                </c:pt>
                <c:pt idx="18">
                  <c:v>70</c:v>
                </c:pt>
                <c:pt idx="19">
                  <c:v>70</c:v>
                </c:pt>
                <c:pt idx="20">
                  <c:v>70</c:v>
                </c:pt>
                <c:pt idx="21">
                  <c:v>70</c:v>
                </c:pt>
                <c:pt idx="22">
                  <c:v>70</c:v>
                </c:pt>
                <c:pt idx="23">
                  <c:v>70</c:v>
                </c:pt>
              </c:numCache>
            </c:numRef>
          </c:val>
          <c:smooth val="0"/>
          <c:extLst>
            <c:ext xmlns:c16="http://schemas.microsoft.com/office/drawing/2014/chart" uri="{C3380CC4-5D6E-409C-BE32-E72D297353CC}">
              <c16:uniqueId val="{00000000-8B64-4988-90B4-E89028C9D583}"/>
            </c:ext>
          </c:extLst>
        </c:ser>
        <c:ser>
          <c:idx val="1"/>
          <c:order val="1"/>
          <c:tx>
            <c:strRef>
              <c:f>Schedules!$E$213</c:f>
              <c:strCache>
                <c:ptCount val="1"/>
                <c:pt idx="0">
                  <c:v>Saturday</c:v>
                </c:pt>
              </c:strCache>
            </c:strRef>
          </c:tx>
          <c:spPr>
            <a:ln w="28575" cap="rnd">
              <a:solidFill>
                <a:schemeClr val="accent2"/>
              </a:solidFill>
              <a:round/>
            </a:ln>
            <a:effectLst/>
          </c:spPr>
          <c:marker>
            <c:symbol val="none"/>
          </c:marker>
          <c:val>
            <c:numRef>
              <c:f>Schedules!$F$213:$AC$213</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1-8B64-4988-90B4-E89028C9D583}"/>
            </c:ext>
          </c:extLst>
        </c:ser>
        <c:ser>
          <c:idx val="2"/>
          <c:order val="2"/>
          <c:tx>
            <c:strRef>
              <c:f>Schedules!$E$214</c:f>
              <c:strCache>
                <c:ptCount val="1"/>
                <c:pt idx="0">
                  <c:v>Sunday</c:v>
                </c:pt>
              </c:strCache>
            </c:strRef>
          </c:tx>
          <c:spPr>
            <a:ln w="28575" cap="rnd">
              <a:solidFill>
                <a:schemeClr val="accent3"/>
              </a:solidFill>
              <a:round/>
            </a:ln>
            <a:effectLst/>
          </c:spPr>
          <c:marker>
            <c:symbol val="none"/>
          </c:marker>
          <c:val>
            <c:numRef>
              <c:f>Schedules!$F$214:$AC$214</c:f>
              <c:numCache>
                <c:formatCode>0</c:formatCode>
                <c:ptCount val="24"/>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numCache>
            </c:numRef>
          </c:val>
          <c:smooth val="0"/>
          <c:extLst>
            <c:ext xmlns:c16="http://schemas.microsoft.com/office/drawing/2014/chart" uri="{C3380CC4-5D6E-409C-BE32-E72D297353CC}">
              <c16:uniqueId val="{00000002-8B64-4988-90B4-E89028C9D58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Schedules!$C$215</c:f>
          <c:strCache>
            <c:ptCount val="1"/>
            <c:pt idx="0">
              <c:v>ClgSetpt</c:v>
            </c:pt>
          </c:strCache>
        </c:strRef>
      </c:tx>
      <c:overlay val="0"/>
      <c:spPr>
        <a:noFill/>
        <a:ln>
          <a:noFill/>
        </a:ln>
        <a:effectLst/>
      </c:spPr>
      <c:txPr>
        <a:bodyPr rot="0" spcFirstLastPara="1" vertOverflow="ellipsis" vert="horz" wrap="square" anchor="ctr" anchorCtr="1"/>
        <a:lstStyle/>
        <a:p>
          <a:pPr>
            <a:defRPr sz="100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Schedules!$E$215</c:f>
              <c:strCache>
                <c:ptCount val="1"/>
                <c:pt idx="0">
                  <c:v>Weekday</c:v>
                </c:pt>
              </c:strCache>
            </c:strRef>
          </c:tx>
          <c:spPr>
            <a:ln w="28575" cap="rnd">
              <a:solidFill>
                <a:schemeClr val="accent1"/>
              </a:solidFill>
              <a:round/>
            </a:ln>
            <a:effectLst/>
          </c:spPr>
          <c:marker>
            <c:symbol val="none"/>
          </c:marker>
          <c:val>
            <c:numRef>
              <c:f>Schedules!$F$215:$AC$215</c:f>
              <c:numCache>
                <c:formatCode>0</c:formatCode>
                <c:ptCount val="24"/>
                <c:pt idx="0">
                  <c:v>85</c:v>
                </c:pt>
                <c:pt idx="1">
                  <c:v>85</c:v>
                </c:pt>
                <c:pt idx="2">
                  <c:v>85</c:v>
                </c:pt>
                <c:pt idx="3">
                  <c:v>85</c:v>
                </c:pt>
                <c:pt idx="4">
                  <c:v>85</c:v>
                </c:pt>
                <c:pt idx="5">
                  <c:v>75</c:v>
                </c:pt>
                <c:pt idx="6">
                  <c:v>75</c:v>
                </c:pt>
                <c:pt idx="7">
                  <c:v>75</c:v>
                </c:pt>
                <c:pt idx="8">
                  <c:v>75</c:v>
                </c:pt>
                <c:pt idx="9">
                  <c:v>75</c:v>
                </c:pt>
                <c:pt idx="10">
                  <c:v>75</c:v>
                </c:pt>
                <c:pt idx="11">
                  <c:v>75</c:v>
                </c:pt>
                <c:pt idx="12">
                  <c:v>75</c:v>
                </c:pt>
                <c:pt idx="13">
                  <c:v>75</c:v>
                </c:pt>
                <c:pt idx="14">
                  <c:v>75</c:v>
                </c:pt>
                <c:pt idx="15">
                  <c:v>75</c:v>
                </c:pt>
                <c:pt idx="16">
                  <c:v>75</c:v>
                </c:pt>
                <c:pt idx="17">
                  <c:v>75</c:v>
                </c:pt>
                <c:pt idx="18">
                  <c:v>75</c:v>
                </c:pt>
                <c:pt idx="19">
                  <c:v>75</c:v>
                </c:pt>
                <c:pt idx="20">
                  <c:v>75</c:v>
                </c:pt>
                <c:pt idx="21">
                  <c:v>75</c:v>
                </c:pt>
                <c:pt idx="22">
                  <c:v>75</c:v>
                </c:pt>
                <c:pt idx="23">
                  <c:v>75</c:v>
                </c:pt>
              </c:numCache>
            </c:numRef>
          </c:val>
          <c:smooth val="0"/>
          <c:extLst>
            <c:ext xmlns:c16="http://schemas.microsoft.com/office/drawing/2014/chart" uri="{C3380CC4-5D6E-409C-BE32-E72D297353CC}">
              <c16:uniqueId val="{00000000-5683-4C3B-B346-74E515792944}"/>
            </c:ext>
          </c:extLst>
        </c:ser>
        <c:ser>
          <c:idx val="1"/>
          <c:order val="1"/>
          <c:tx>
            <c:strRef>
              <c:f>Schedules!$E$216</c:f>
              <c:strCache>
                <c:ptCount val="1"/>
                <c:pt idx="0">
                  <c:v>Saturday</c:v>
                </c:pt>
              </c:strCache>
            </c:strRef>
          </c:tx>
          <c:spPr>
            <a:ln w="28575" cap="rnd">
              <a:solidFill>
                <a:schemeClr val="accent2"/>
              </a:solidFill>
              <a:round/>
            </a:ln>
            <a:effectLst/>
          </c:spPr>
          <c:marker>
            <c:symbol val="none"/>
          </c:marker>
          <c:val>
            <c:numRef>
              <c:f>Schedules!$F$216:$AC$216</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1-5683-4C3B-B346-74E515792944}"/>
            </c:ext>
          </c:extLst>
        </c:ser>
        <c:ser>
          <c:idx val="2"/>
          <c:order val="2"/>
          <c:tx>
            <c:strRef>
              <c:f>Schedules!$E$217</c:f>
              <c:strCache>
                <c:ptCount val="1"/>
                <c:pt idx="0">
                  <c:v>Sunday</c:v>
                </c:pt>
              </c:strCache>
            </c:strRef>
          </c:tx>
          <c:spPr>
            <a:ln w="28575" cap="rnd">
              <a:solidFill>
                <a:schemeClr val="accent3"/>
              </a:solidFill>
              <a:round/>
            </a:ln>
            <a:effectLst/>
          </c:spPr>
          <c:marker>
            <c:symbol val="none"/>
          </c:marker>
          <c:val>
            <c:numRef>
              <c:f>Schedules!$F$217:$AC$217</c:f>
              <c:numCache>
                <c:formatCode>0</c:formatCode>
                <c:ptCount val="24"/>
                <c:pt idx="0">
                  <c:v>85</c:v>
                </c:pt>
                <c:pt idx="1">
                  <c:v>85</c:v>
                </c:pt>
                <c:pt idx="2">
                  <c:v>85</c:v>
                </c:pt>
                <c:pt idx="3">
                  <c:v>85</c:v>
                </c:pt>
                <c:pt idx="4">
                  <c:v>85</c:v>
                </c:pt>
                <c:pt idx="5">
                  <c:v>85</c:v>
                </c:pt>
                <c:pt idx="6">
                  <c:v>85</c:v>
                </c:pt>
                <c:pt idx="7">
                  <c:v>85</c:v>
                </c:pt>
                <c:pt idx="8">
                  <c:v>85</c:v>
                </c:pt>
                <c:pt idx="9">
                  <c:v>85</c:v>
                </c:pt>
                <c:pt idx="10">
                  <c:v>85</c:v>
                </c:pt>
                <c:pt idx="11">
                  <c:v>85</c:v>
                </c:pt>
                <c:pt idx="12">
                  <c:v>85</c:v>
                </c:pt>
                <c:pt idx="13">
                  <c:v>85</c:v>
                </c:pt>
                <c:pt idx="14">
                  <c:v>85</c:v>
                </c:pt>
                <c:pt idx="15">
                  <c:v>85</c:v>
                </c:pt>
                <c:pt idx="16">
                  <c:v>85</c:v>
                </c:pt>
                <c:pt idx="17">
                  <c:v>85</c:v>
                </c:pt>
                <c:pt idx="18">
                  <c:v>85</c:v>
                </c:pt>
                <c:pt idx="19">
                  <c:v>85</c:v>
                </c:pt>
                <c:pt idx="20">
                  <c:v>85</c:v>
                </c:pt>
                <c:pt idx="21">
                  <c:v>85</c:v>
                </c:pt>
                <c:pt idx="22">
                  <c:v>85</c:v>
                </c:pt>
                <c:pt idx="23">
                  <c:v>85</c:v>
                </c:pt>
              </c:numCache>
            </c:numRef>
          </c:val>
          <c:smooth val="0"/>
          <c:extLst>
            <c:ext xmlns:c16="http://schemas.microsoft.com/office/drawing/2014/chart" uri="{C3380CC4-5D6E-409C-BE32-E72D297353CC}">
              <c16:uniqueId val="{00000002-5683-4C3B-B346-74E515792944}"/>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80"/>
          <c:min val="6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5"/>
        <c:minorUnit val="2"/>
      </c:valAx>
      <c:spPr>
        <a:noFill/>
        <a:ln>
          <a:noFill/>
        </a:ln>
        <a:effectLst/>
      </c:spPr>
    </c:plotArea>
    <c:legend>
      <c:legendPos val="b"/>
      <c:layout>
        <c:manualLayout>
          <c:xMode val="edge"/>
          <c:yMode val="edge"/>
          <c:x val="0.19081515552398717"/>
          <c:y val="0.52565747119424466"/>
          <c:w val="0.72584928779999403"/>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Schedules!$C$288</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Schedules!$E$288</c:f>
              <c:strCache>
                <c:ptCount val="1"/>
                <c:pt idx="0">
                  <c:v>Weekday</c:v>
                </c:pt>
              </c:strCache>
            </c:strRef>
          </c:tx>
          <c:spPr>
            <a:ln w="28575" cap="rnd">
              <a:solidFill>
                <a:schemeClr val="accent1"/>
              </a:solidFill>
              <a:round/>
            </a:ln>
            <a:effectLst/>
          </c:spPr>
          <c:marker>
            <c:symbol val="none"/>
          </c:marker>
          <c:val>
            <c:numRef>
              <c:f>Schedules!$F$288:$AC$288</c:f>
            </c:numRef>
          </c:val>
          <c:smooth val="0"/>
          <c:extLst>
            <c:ext xmlns:c16="http://schemas.microsoft.com/office/drawing/2014/chart" uri="{C3380CC4-5D6E-409C-BE32-E72D297353CC}">
              <c16:uniqueId val="{00000000-F541-4078-B841-B50EF2D9B405}"/>
            </c:ext>
          </c:extLst>
        </c:ser>
        <c:ser>
          <c:idx val="1"/>
          <c:order val="1"/>
          <c:tx>
            <c:strRef>
              <c:f>Schedules!$E$289</c:f>
              <c:strCache>
                <c:ptCount val="1"/>
                <c:pt idx="0">
                  <c:v>Saturday</c:v>
                </c:pt>
              </c:strCache>
            </c:strRef>
          </c:tx>
          <c:spPr>
            <a:ln w="28575" cap="rnd">
              <a:solidFill>
                <a:schemeClr val="accent2"/>
              </a:solidFill>
              <a:round/>
            </a:ln>
            <a:effectLst/>
          </c:spPr>
          <c:marker>
            <c:symbol val="none"/>
          </c:marker>
          <c:val>
            <c:numRef>
              <c:f>Schedules!$F$289:$AC$289</c:f>
            </c:numRef>
          </c:val>
          <c:smooth val="0"/>
          <c:extLst>
            <c:ext xmlns:c16="http://schemas.microsoft.com/office/drawing/2014/chart" uri="{C3380CC4-5D6E-409C-BE32-E72D297353CC}">
              <c16:uniqueId val="{00000001-F541-4078-B841-B50EF2D9B405}"/>
            </c:ext>
          </c:extLst>
        </c:ser>
        <c:ser>
          <c:idx val="2"/>
          <c:order val="2"/>
          <c:tx>
            <c:strRef>
              <c:f>Schedules!$E$290</c:f>
              <c:strCache>
                <c:ptCount val="1"/>
                <c:pt idx="0">
                  <c:v>Sunday</c:v>
                </c:pt>
              </c:strCache>
            </c:strRef>
          </c:tx>
          <c:spPr>
            <a:ln w="28575" cap="rnd">
              <a:solidFill>
                <a:schemeClr val="accent3"/>
              </a:solidFill>
              <a:round/>
            </a:ln>
            <a:effectLst/>
          </c:spPr>
          <c:marker>
            <c:symbol val="none"/>
          </c:marker>
          <c:val>
            <c:numRef>
              <c:f>Schedules!$F$290:$AC$290</c:f>
            </c:numRef>
          </c:val>
          <c:smooth val="0"/>
          <c:extLst>
            <c:ext xmlns:c16="http://schemas.microsoft.com/office/drawing/2014/chart" uri="{C3380CC4-5D6E-409C-BE32-E72D297353CC}">
              <c16:uniqueId val="{00000002-F541-4078-B841-B50EF2D9B405}"/>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Schedules!$E$291</c:f>
              <c:strCache>
                <c:ptCount val="1"/>
                <c:pt idx="0">
                  <c:v>Weekday</c:v>
                </c:pt>
              </c:strCache>
            </c:strRef>
          </c:tx>
          <c:spPr>
            <a:ln w="28575" cap="rnd">
              <a:solidFill>
                <a:schemeClr val="accent1"/>
              </a:solidFill>
              <a:round/>
            </a:ln>
            <a:effectLst/>
          </c:spPr>
          <c:marker>
            <c:symbol val="none"/>
          </c:marker>
          <c:val>
            <c:numRef>
              <c:f>Schedules!$F$291:$AC$291</c:f>
            </c:numRef>
          </c:val>
          <c:smooth val="0"/>
          <c:extLst>
            <c:ext xmlns:c16="http://schemas.microsoft.com/office/drawing/2014/chart" uri="{C3380CC4-5D6E-409C-BE32-E72D297353CC}">
              <c16:uniqueId val="{00000000-C2BD-4E46-81B1-88751964A2E9}"/>
            </c:ext>
          </c:extLst>
        </c:ser>
        <c:ser>
          <c:idx val="1"/>
          <c:order val="1"/>
          <c:tx>
            <c:strRef>
              <c:f>Schedules!$E$292</c:f>
              <c:strCache>
                <c:ptCount val="1"/>
                <c:pt idx="0">
                  <c:v>Saturday</c:v>
                </c:pt>
              </c:strCache>
            </c:strRef>
          </c:tx>
          <c:spPr>
            <a:ln w="28575" cap="rnd">
              <a:solidFill>
                <a:schemeClr val="accent2"/>
              </a:solidFill>
              <a:round/>
            </a:ln>
            <a:effectLst/>
          </c:spPr>
          <c:marker>
            <c:symbol val="none"/>
          </c:marker>
          <c:val>
            <c:numRef>
              <c:f>Schedules!$F$292:$AC$292</c:f>
            </c:numRef>
          </c:val>
          <c:smooth val="0"/>
          <c:extLst>
            <c:ext xmlns:c16="http://schemas.microsoft.com/office/drawing/2014/chart" uri="{C3380CC4-5D6E-409C-BE32-E72D297353CC}">
              <c16:uniqueId val="{00000001-C2BD-4E46-81B1-88751964A2E9}"/>
            </c:ext>
          </c:extLst>
        </c:ser>
        <c:ser>
          <c:idx val="2"/>
          <c:order val="2"/>
          <c:tx>
            <c:strRef>
              <c:f>Schedules!$E$293</c:f>
              <c:strCache>
                <c:ptCount val="1"/>
                <c:pt idx="0">
                  <c:v>Sunday</c:v>
                </c:pt>
              </c:strCache>
            </c:strRef>
          </c:tx>
          <c:spPr>
            <a:ln w="28575" cap="rnd">
              <a:solidFill>
                <a:schemeClr val="accent3"/>
              </a:solidFill>
              <a:round/>
            </a:ln>
            <a:effectLst/>
          </c:spPr>
          <c:marker>
            <c:symbol val="none"/>
          </c:marker>
          <c:val>
            <c:numRef>
              <c:f>Schedules!$F$293:$AC$293</c:f>
            </c:numRef>
          </c:val>
          <c:smooth val="0"/>
          <c:extLst>
            <c:ext xmlns:c16="http://schemas.microsoft.com/office/drawing/2014/chart" uri="{C3380CC4-5D6E-409C-BE32-E72D297353CC}">
              <c16:uniqueId val="{00000002-C2BD-4E46-81B1-88751964A2E9}"/>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Schedules!$C$297</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Schedules!$E$297</c:f>
              <c:strCache>
                <c:ptCount val="1"/>
                <c:pt idx="0">
                  <c:v>Weekday</c:v>
                </c:pt>
              </c:strCache>
            </c:strRef>
          </c:tx>
          <c:spPr>
            <a:ln w="28575" cap="rnd">
              <a:solidFill>
                <a:schemeClr val="accent1"/>
              </a:solidFill>
              <a:round/>
            </a:ln>
            <a:effectLst/>
          </c:spPr>
          <c:marker>
            <c:symbol val="none"/>
          </c:marker>
          <c:val>
            <c:numRef>
              <c:f>Schedules!$F$297:$AC$297</c:f>
            </c:numRef>
          </c:val>
          <c:smooth val="0"/>
          <c:extLst>
            <c:ext xmlns:c16="http://schemas.microsoft.com/office/drawing/2014/chart" uri="{C3380CC4-5D6E-409C-BE32-E72D297353CC}">
              <c16:uniqueId val="{00000000-EC11-4CA0-AEB3-97202D6507A8}"/>
            </c:ext>
          </c:extLst>
        </c:ser>
        <c:ser>
          <c:idx val="1"/>
          <c:order val="1"/>
          <c:tx>
            <c:strRef>
              <c:f>Schedules!$E$298</c:f>
              <c:strCache>
                <c:ptCount val="1"/>
                <c:pt idx="0">
                  <c:v>Saturday</c:v>
                </c:pt>
              </c:strCache>
            </c:strRef>
          </c:tx>
          <c:spPr>
            <a:ln w="28575" cap="rnd">
              <a:solidFill>
                <a:schemeClr val="accent2"/>
              </a:solidFill>
              <a:round/>
            </a:ln>
            <a:effectLst/>
          </c:spPr>
          <c:marker>
            <c:symbol val="none"/>
          </c:marker>
          <c:val>
            <c:numRef>
              <c:f>Schedules!$F$298:$AC$298</c:f>
            </c:numRef>
          </c:val>
          <c:smooth val="0"/>
          <c:extLst>
            <c:ext xmlns:c16="http://schemas.microsoft.com/office/drawing/2014/chart" uri="{C3380CC4-5D6E-409C-BE32-E72D297353CC}">
              <c16:uniqueId val="{00000001-EC11-4CA0-AEB3-97202D6507A8}"/>
            </c:ext>
          </c:extLst>
        </c:ser>
        <c:ser>
          <c:idx val="2"/>
          <c:order val="2"/>
          <c:tx>
            <c:strRef>
              <c:f>Schedules!$E$299</c:f>
              <c:strCache>
                <c:ptCount val="1"/>
                <c:pt idx="0">
                  <c:v>Sunday</c:v>
                </c:pt>
              </c:strCache>
            </c:strRef>
          </c:tx>
          <c:spPr>
            <a:ln w="28575" cap="rnd">
              <a:solidFill>
                <a:schemeClr val="accent3"/>
              </a:solidFill>
              <a:round/>
            </a:ln>
            <a:effectLst/>
          </c:spPr>
          <c:marker>
            <c:symbol val="none"/>
          </c:marker>
          <c:val>
            <c:numRef>
              <c:f>Schedules!$F$299:$AC$299</c:f>
            </c:numRef>
          </c:val>
          <c:smooth val="0"/>
          <c:extLst>
            <c:ext xmlns:c16="http://schemas.microsoft.com/office/drawing/2014/chart" uri="{C3380CC4-5D6E-409C-BE32-E72D297353CC}">
              <c16:uniqueId val="{00000002-EC11-4CA0-AEB3-97202D6507A8}"/>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Schedules!$C$300</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Schedules!$E$300</c:f>
              <c:strCache>
                <c:ptCount val="1"/>
                <c:pt idx="0">
                  <c:v>Weekday</c:v>
                </c:pt>
              </c:strCache>
            </c:strRef>
          </c:tx>
          <c:spPr>
            <a:ln w="28575" cap="rnd">
              <a:solidFill>
                <a:schemeClr val="accent1"/>
              </a:solidFill>
              <a:round/>
            </a:ln>
            <a:effectLst/>
          </c:spPr>
          <c:marker>
            <c:symbol val="none"/>
          </c:marker>
          <c:val>
            <c:numRef>
              <c:f>Schedules!$F$300:$AC$300</c:f>
            </c:numRef>
          </c:val>
          <c:smooth val="0"/>
          <c:extLst>
            <c:ext xmlns:c16="http://schemas.microsoft.com/office/drawing/2014/chart" uri="{C3380CC4-5D6E-409C-BE32-E72D297353CC}">
              <c16:uniqueId val="{00000000-DADD-4E0B-8521-539518D43E55}"/>
            </c:ext>
          </c:extLst>
        </c:ser>
        <c:ser>
          <c:idx val="1"/>
          <c:order val="1"/>
          <c:tx>
            <c:strRef>
              <c:f>Schedules!$E$301</c:f>
              <c:strCache>
                <c:ptCount val="1"/>
                <c:pt idx="0">
                  <c:v>Saturday</c:v>
                </c:pt>
              </c:strCache>
            </c:strRef>
          </c:tx>
          <c:spPr>
            <a:ln w="28575" cap="rnd">
              <a:solidFill>
                <a:schemeClr val="accent2"/>
              </a:solidFill>
              <a:round/>
            </a:ln>
            <a:effectLst/>
          </c:spPr>
          <c:marker>
            <c:symbol val="none"/>
          </c:marker>
          <c:val>
            <c:numRef>
              <c:f>Schedules!$F$301:$AC$301</c:f>
            </c:numRef>
          </c:val>
          <c:smooth val="0"/>
          <c:extLst>
            <c:ext xmlns:c16="http://schemas.microsoft.com/office/drawing/2014/chart" uri="{C3380CC4-5D6E-409C-BE32-E72D297353CC}">
              <c16:uniqueId val="{00000001-DADD-4E0B-8521-539518D43E55}"/>
            </c:ext>
          </c:extLst>
        </c:ser>
        <c:ser>
          <c:idx val="2"/>
          <c:order val="2"/>
          <c:tx>
            <c:strRef>
              <c:f>Schedules!$E$302</c:f>
              <c:strCache>
                <c:ptCount val="1"/>
                <c:pt idx="0">
                  <c:v>Sunday</c:v>
                </c:pt>
              </c:strCache>
            </c:strRef>
          </c:tx>
          <c:spPr>
            <a:ln w="28575" cap="rnd">
              <a:solidFill>
                <a:schemeClr val="accent3"/>
              </a:solidFill>
              <a:round/>
            </a:ln>
            <a:effectLst/>
          </c:spPr>
          <c:marker>
            <c:symbol val="none"/>
          </c:marker>
          <c:val>
            <c:numRef>
              <c:f>Schedules!$F$302:$AC$302</c:f>
            </c:numRef>
          </c:val>
          <c:smooth val="0"/>
          <c:extLst>
            <c:ext xmlns:c16="http://schemas.microsoft.com/office/drawing/2014/chart" uri="{C3380CC4-5D6E-409C-BE32-E72D297353CC}">
              <c16:uniqueId val="{00000002-DADD-4E0B-8521-539518D43E55}"/>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8813-4D63-8703-145D318C3735}"/>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8813-4D63-8703-145D318C3735}"/>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8813-4D63-8703-145D318C3735}"/>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Schedules!$E$294</c:f>
              <c:strCache>
                <c:ptCount val="1"/>
                <c:pt idx="0">
                  <c:v>Weekday</c:v>
                </c:pt>
              </c:strCache>
            </c:strRef>
          </c:tx>
          <c:spPr>
            <a:ln w="28575" cap="rnd">
              <a:solidFill>
                <a:schemeClr val="accent1"/>
              </a:solidFill>
              <a:round/>
            </a:ln>
            <a:effectLst/>
          </c:spPr>
          <c:marker>
            <c:symbol val="none"/>
          </c:marker>
          <c:val>
            <c:numRef>
              <c:f>Schedules!$F$294:$AC$294</c:f>
            </c:numRef>
          </c:val>
          <c:smooth val="0"/>
          <c:extLst>
            <c:ext xmlns:c16="http://schemas.microsoft.com/office/drawing/2014/chart" uri="{C3380CC4-5D6E-409C-BE32-E72D297353CC}">
              <c16:uniqueId val="{00000000-5C6F-4BB5-9936-EE875CECB71C}"/>
            </c:ext>
          </c:extLst>
        </c:ser>
        <c:ser>
          <c:idx val="1"/>
          <c:order val="1"/>
          <c:tx>
            <c:strRef>
              <c:f>Schedules!$E$295</c:f>
              <c:strCache>
                <c:ptCount val="1"/>
                <c:pt idx="0">
                  <c:v>Saturday</c:v>
                </c:pt>
              </c:strCache>
            </c:strRef>
          </c:tx>
          <c:spPr>
            <a:ln w="28575" cap="rnd">
              <a:solidFill>
                <a:schemeClr val="accent2"/>
              </a:solidFill>
              <a:round/>
            </a:ln>
            <a:effectLst/>
          </c:spPr>
          <c:marker>
            <c:symbol val="none"/>
          </c:marker>
          <c:val>
            <c:numRef>
              <c:f>Schedules!$F$295:$AC$295</c:f>
            </c:numRef>
          </c:val>
          <c:smooth val="0"/>
          <c:extLst>
            <c:ext xmlns:c16="http://schemas.microsoft.com/office/drawing/2014/chart" uri="{C3380CC4-5D6E-409C-BE32-E72D297353CC}">
              <c16:uniqueId val="{00000001-5C6F-4BB5-9936-EE875CECB71C}"/>
            </c:ext>
          </c:extLst>
        </c:ser>
        <c:ser>
          <c:idx val="2"/>
          <c:order val="2"/>
          <c:tx>
            <c:strRef>
              <c:f>Schedules!$E$296</c:f>
              <c:strCache>
                <c:ptCount val="1"/>
                <c:pt idx="0">
                  <c:v>Sunday</c:v>
                </c:pt>
              </c:strCache>
            </c:strRef>
          </c:tx>
          <c:spPr>
            <a:ln w="28575" cap="rnd">
              <a:solidFill>
                <a:schemeClr val="accent3"/>
              </a:solidFill>
              <a:round/>
            </a:ln>
            <a:effectLst/>
          </c:spPr>
          <c:marker>
            <c:symbol val="none"/>
          </c:marker>
          <c:val>
            <c:numRef>
              <c:f>Schedules!$F$296:$AC$296</c:f>
            </c:numRef>
          </c:val>
          <c:smooth val="0"/>
          <c:extLst>
            <c:ext xmlns:c16="http://schemas.microsoft.com/office/drawing/2014/chart" uri="{C3380CC4-5D6E-409C-BE32-E72D297353CC}">
              <c16:uniqueId val="{00000002-5C6F-4BB5-9936-EE875CECB71C}"/>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Schedules!$C$288</c:f>
          <c:strCache>
            <c:ptCount val="1"/>
            <c:pt idx="0">
              <c:v>Occupancy</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Schedules!$E$288</c:f>
              <c:strCache>
                <c:ptCount val="1"/>
                <c:pt idx="0">
                  <c:v>Weekday</c:v>
                </c:pt>
              </c:strCache>
            </c:strRef>
          </c:tx>
          <c:spPr>
            <a:ln w="28575" cap="rnd">
              <a:solidFill>
                <a:schemeClr val="accent1"/>
              </a:solidFill>
              <a:round/>
            </a:ln>
            <a:effectLst/>
          </c:spPr>
          <c:marker>
            <c:symbol val="none"/>
          </c:marker>
          <c:val>
            <c:numRef>
              <c:f>Schedules!$F$288:$AC$288</c:f>
            </c:numRef>
          </c:val>
          <c:smooth val="0"/>
          <c:extLst>
            <c:ext xmlns:c16="http://schemas.microsoft.com/office/drawing/2014/chart" uri="{C3380CC4-5D6E-409C-BE32-E72D297353CC}">
              <c16:uniqueId val="{00000000-EA78-4784-9B8C-DBA74B6B59EE}"/>
            </c:ext>
          </c:extLst>
        </c:ser>
        <c:ser>
          <c:idx val="1"/>
          <c:order val="1"/>
          <c:tx>
            <c:strRef>
              <c:f>Schedules!$E$289</c:f>
              <c:strCache>
                <c:ptCount val="1"/>
                <c:pt idx="0">
                  <c:v>Saturday</c:v>
                </c:pt>
              </c:strCache>
            </c:strRef>
          </c:tx>
          <c:spPr>
            <a:ln w="28575" cap="rnd">
              <a:solidFill>
                <a:schemeClr val="accent2"/>
              </a:solidFill>
              <a:round/>
            </a:ln>
            <a:effectLst/>
          </c:spPr>
          <c:marker>
            <c:symbol val="none"/>
          </c:marker>
          <c:val>
            <c:numRef>
              <c:f>Schedules!$F$289:$AC$289</c:f>
            </c:numRef>
          </c:val>
          <c:smooth val="0"/>
          <c:extLst>
            <c:ext xmlns:c16="http://schemas.microsoft.com/office/drawing/2014/chart" uri="{C3380CC4-5D6E-409C-BE32-E72D297353CC}">
              <c16:uniqueId val="{00000001-EA78-4784-9B8C-DBA74B6B59EE}"/>
            </c:ext>
          </c:extLst>
        </c:ser>
        <c:ser>
          <c:idx val="2"/>
          <c:order val="2"/>
          <c:tx>
            <c:strRef>
              <c:f>Schedules!$E$290</c:f>
              <c:strCache>
                <c:ptCount val="1"/>
                <c:pt idx="0">
                  <c:v>Sunday</c:v>
                </c:pt>
              </c:strCache>
            </c:strRef>
          </c:tx>
          <c:spPr>
            <a:ln w="28575" cap="rnd">
              <a:solidFill>
                <a:schemeClr val="accent3"/>
              </a:solidFill>
              <a:round/>
            </a:ln>
            <a:effectLst/>
          </c:spPr>
          <c:marker>
            <c:symbol val="none"/>
          </c:marker>
          <c:val>
            <c:numRef>
              <c:f>Schedules!$F$290:$AC$290</c:f>
            </c:numRef>
          </c:val>
          <c:smooth val="0"/>
          <c:extLst>
            <c:ext xmlns:c16="http://schemas.microsoft.com/office/drawing/2014/chart" uri="{C3380CC4-5D6E-409C-BE32-E72D297353CC}">
              <c16:uniqueId val="{00000002-EA78-4784-9B8C-DBA74B6B59EE}"/>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Schedules!$C$291</c:f>
          <c:strCache>
            <c:ptCount val="1"/>
            <c:pt idx="0">
              <c:v>Lights</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Schedules!$E$291</c:f>
              <c:strCache>
                <c:ptCount val="1"/>
                <c:pt idx="0">
                  <c:v>Weekday</c:v>
                </c:pt>
              </c:strCache>
            </c:strRef>
          </c:tx>
          <c:spPr>
            <a:ln w="28575" cap="rnd">
              <a:solidFill>
                <a:schemeClr val="accent1"/>
              </a:solidFill>
              <a:round/>
            </a:ln>
            <a:effectLst/>
          </c:spPr>
          <c:marker>
            <c:symbol val="none"/>
          </c:marker>
          <c:val>
            <c:numRef>
              <c:f>Schedules!$F$291:$AC$291</c:f>
            </c:numRef>
          </c:val>
          <c:smooth val="0"/>
          <c:extLst>
            <c:ext xmlns:c16="http://schemas.microsoft.com/office/drawing/2014/chart" uri="{C3380CC4-5D6E-409C-BE32-E72D297353CC}">
              <c16:uniqueId val="{00000000-BDAE-4405-9BD8-A32F92A3AD3D}"/>
            </c:ext>
          </c:extLst>
        </c:ser>
        <c:ser>
          <c:idx val="1"/>
          <c:order val="1"/>
          <c:tx>
            <c:strRef>
              <c:f>Schedules!$E$292</c:f>
              <c:strCache>
                <c:ptCount val="1"/>
                <c:pt idx="0">
                  <c:v>Saturday</c:v>
                </c:pt>
              </c:strCache>
            </c:strRef>
          </c:tx>
          <c:spPr>
            <a:ln w="28575" cap="rnd">
              <a:solidFill>
                <a:schemeClr val="accent2"/>
              </a:solidFill>
              <a:round/>
            </a:ln>
            <a:effectLst/>
          </c:spPr>
          <c:marker>
            <c:symbol val="none"/>
          </c:marker>
          <c:val>
            <c:numRef>
              <c:f>Schedules!$F$292:$AC$292</c:f>
            </c:numRef>
          </c:val>
          <c:smooth val="0"/>
          <c:extLst>
            <c:ext xmlns:c16="http://schemas.microsoft.com/office/drawing/2014/chart" uri="{C3380CC4-5D6E-409C-BE32-E72D297353CC}">
              <c16:uniqueId val="{00000001-BDAE-4405-9BD8-A32F92A3AD3D}"/>
            </c:ext>
          </c:extLst>
        </c:ser>
        <c:ser>
          <c:idx val="2"/>
          <c:order val="2"/>
          <c:tx>
            <c:strRef>
              <c:f>Schedules!$E$293</c:f>
              <c:strCache>
                <c:ptCount val="1"/>
                <c:pt idx="0">
                  <c:v>Sunday</c:v>
                </c:pt>
              </c:strCache>
            </c:strRef>
          </c:tx>
          <c:spPr>
            <a:ln w="28575" cap="rnd">
              <a:solidFill>
                <a:schemeClr val="accent3"/>
              </a:solidFill>
              <a:round/>
            </a:ln>
            <a:effectLst/>
          </c:spPr>
          <c:marker>
            <c:symbol val="none"/>
          </c:marker>
          <c:val>
            <c:numRef>
              <c:f>Schedules!$F$293:$AC$293</c:f>
            </c:numRef>
          </c:val>
          <c:smooth val="0"/>
          <c:extLst>
            <c:ext xmlns:c16="http://schemas.microsoft.com/office/drawing/2014/chart" uri="{C3380CC4-5D6E-409C-BE32-E72D297353CC}">
              <c16:uniqueId val="{00000002-BDAE-4405-9BD8-A32F92A3AD3D}"/>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Schedules!$C$297</c:f>
          <c:strCache>
            <c:ptCount val="1"/>
            <c:pt idx="0">
              <c:v>HVACAvail</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Schedules!$E$297</c:f>
              <c:strCache>
                <c:ptCount val="1"/>
                <c:pt idx="0">
                  <c:v>Weekday</c:v>
                </c:pt>
              </c:strCache>
            </c:strRef>
          </c:tx>
          <c:spPr>
            <a:ln w="28575" cap="rnd">
              <a:solidFill>
                <a:schemeClr val="accent1"/>
              </a:solidFill>
              <a:round/>
            </a:ln>
            <a:effectLst/>
          </c:spPr>
          <c:marker>
            <c:symbol val="none"/>
          </c:marker>
          <c:val>
            <c:numRef>
              <c:f>Schedules!$F$297:$AC$297</c:f>
            </c:numRef>
          </c:val>
          <c:smooth val="0"/>
          <c:extLst>
            <c:ext xmlns:c16="http://schemas.microsoft.com/office/drawing/2014/chart" uri="{C3380CC4-5D6E-409C-BE32-E72D297353CC}">
              <c16:uniqueId val="{00000000-3840-451B-8F20-290A97B7972B}"/>
            </c:ext>
          </c:extLst>
        </c:ser>
        <c:ser>
          <c:idx val="1"/>
          <c:order val="1"/>
          <c:tx>
            <c:strRef>
              <c:f>Schedules!$E$298</c:f>
              <c:strCache>
                <c:ptCount val="1"/>
                <c:pt idx="0">
                  <c:v>Saturday</c:v>
                </c:pt>
              </c:strCache>
            </c:strRef>
          </c:tx>
          <c:spPr>
            <a:ln w="28575" cap="rnd">
              <a:solidFill>
                <a:schemeClr val="accent2"/>
              </a:solidFill>
              <a:round/>
            </a:ln>
            <a:effectLst/>
          </c:spPr>
          <c:marker>
            <c:symbol val="none"/>
          </c:marker>
          <c:val>
            <c:numRef>
              <c:f>Schedules!$F$298:$AC$298</c:f>
            </c:numRef>
          </c:val>
          <c:smooth val="0"/>
          <c:extLst>
            <c:ext xmlns:c16="http://schemas.microsoft.com/office/drawing/2014/chart" uri="{C3380CC4-5D6E-409C-BE32-E72D297353CC}">
              <c16:uniqueId val="{00000001-3840-451B-8F20-290A97B7972B}"/>
            </c:ext>
          </c:extLst>
        </c:ser>
        <c:ser>
          <c:idx val="2"/>
          <c:order val="2"/>
          <c:tx>
            <c:strRef>
              <c:f>Schedules!$E$299</c:f>
              <c:strCache>
                <c:ptCount val="1"/>
                <c:pt idx="0">
                  <c:v>Sunday</c:v>
                </c:pt>
              </c:strCache>
            </c:strRef>
          </c:tx>
          <c:spPr>
            <a:ln w="28575" cap="rnd">
              <a:solidFill>
                <a:schemeClr val="accent3"/>
              </a:solidFill>
              <a:round/>
            </a:ln>
            <a:effectLst/>
          </c:spPr>
          <c:marker>
            <c:symbol val="none"/>
          </c:marker>
          <c:val>
            <c:numRef>
              <c:f>Schedules!$F$299:$AC$299</c:f>
            </c:numRef>
          </c:val>
          <c:smooth val="0"/>
          <c:extLst>
            <c:ext xmlns:c16="http://schemas.microsoft.com/office/drawing/2014/chart" uri="{C3380CC4-5D6E-409C-BE32-E72D297353CC}">
              <c16:uniqueId val="{00000002-3840-451B-8F20-290A97B7972B}"/>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Schedules!$C$300</c:f>
          <c:strCache>
            <c:ptCount val="1"/>
            <c:pt idx="0">
              <c:v>ServiceHotWater</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Schedules!$E$300</c:f>
              <c:strCache>
                <c:ptCount val="1"/>
                <c:pt idx="0">
                  <c:v>Weekday</c:v>
                </c:pt>
              </c:strCache>
            </c:strRef>
          </c:tx>
          <c:spPr>
            <a:ln w="28575" cap="rnd">
              <a:solidFill>
                <a:schemeClr val="accent1"/>
              </a:solidFill>
              <a:round/>
            </a:ln>
            <a:effectLst/>
          </c:spPr>
          <c:marker>
            <c:symbol val="none"/>
          </c:marker>
          <c:val>
            <c:numRef>
              <c:f>Schedules!$F$300:$AC$300</c:f>
            </c:numRef>
          </c:val>
          <c:smooth val="0"/>
          <c:extLst>
            <c:ext xmlns:c16="http://schemas.microsoft.com/office/drawing/2014/chart" uri="{C3380CC4-5D6E-409C-BE32-E72D297353CC}">
              <c16:uniqueId val="{00000000-4E6E-42BE-B7AF-1827D11C8191}"/>
            </c:ext>
          </c:extLst>
        </c:ser>
        <c:ser>
          <c:idx val="1"/>
          <c:order val="1"/>
          <c:tx>
            <c:strRef>
              <c:f>Schedules!$E$301</c:f>
              <c:strCache>
                <c:ptCount val="1"/>
                <c:pt idx="0">
                  <c:v>Saturday</c:v>
                </c:pt>
              </c:strCache>
            </c:strRef>
          </c:tx>
          <c:spPr>
            <a:ln w="28575" cap="rnd">
              <a:solidFill>
                <a:schemeClr val="accent2"/>
              </a:solidFill>
              <a:round/>
            </a:ln>
            <a:effectLst/>
          </c:spPr>
          <c:marker>
            <c:symbol val="none"/>
          </c:marker>
          <c:val>
            <c:numRef>
              <c:f>Schedules!$F$301:$AC$301</c:f>
            </c:numRef>
          </c:val>
          <c:smooth val="0"/>
          <c:extLst>
            <c:ext xmlns:c16="http://schemas.microsoft.com/office/drawing/2014/chart" uri="{C3380CC4-5D6E-409C-BE32-E72D297353CC}">
              <c16:uniqueId val="{00000001-4E6E-42BE-B7AF-1827D11C8191}"/>
            </c:ext>
          </c:extLst>
        </c:ser>
        <c:ser>
          <c:idx val="2"/>
          <c:order val="2"/>
          <c:tx>
            <c:strRef>
              <c:f>Schedules!$E$302</c:f>
              <c:strCache>
                <c:ptCount val="1"/>
                <c:pt idx="0">
                  <c:v>Sunday</c:v>
                </c:pt>
              </c:strCache>
            </c:strRef>
          </c:tx>
          <c:spPr>
            <a:ln w="28575" cap="rnd">
              <a:solidFill>
                <a:schemeClr val="accent3"/>
              </a:solidFill>
              <a:round/>
            </a:ln>
            <a:effectLst/>
          </c:spPr>
          <c:marker>
            <c:symbol val="none"/>
          </c:marker>
          <c:val>
            <c:numRef>
              <c:f>Schedules!$F$302:$AC$302</c:f>
            </c:numRef>
          </c:val>
          <c:smooth val="0"/>
          <c:extLst>
            <c:ext xmlns:c16="http://schemas.microsoft.com/office/drawing/2014/chart" uri="{C3380CC4-5D6E-409C-BE32-E72D297353CC}">
              <c16:uniqueId val="{00000002-4E6E-42BE-B7AF-1827D11C8191}"/>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000" b="1" i="0" u="none" strike="noStrike" kern="1200" spc="0" baseline="0">
                <a:solidFill>
                  <a:sysClr val="windowText" lastClr="000000"/>
                </a:solidFill>
                <a:latin typeface="Arial" panose="020B0604020202020204" pitchFamily="34" charset="0"/>
                <a:cs typeface="Arial" panose="020B0604020202020204" pitchFamily="34" charset="0"/>
              </a:rPr>
              <a:t>Assembly Elevator</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spPr>
            <a:ln w="28575" cap="rnd">
              <a:solidFill>
                <a:schemeClr val="accent1"/>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0-907A-4C38-9FF2-52FB7151DAD3}"/>
            </c:ext>
          </c:extLst>
        </c:ser>
        <c:ser>
          <c:idx val="1"/>
          <c:order val="1"/>
          <c:spPr>
            <a:ln w="28575" cap="rnd">
              <a:solidFill>
                <a:schemeClr val="accent2"/>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1-907A-4C38-9FF2-52FB7151DAD3}"/>
            </c:ext>
          </c:extLst>
        </c:ser>
        <c:ser>
          <c:idx val="2"/>
          <c:order val="2"/>
          <c:spPr>
            <a:ln w="28575" cap="rnd">
              <a:solidFill>
                <a:schemeClr val="accent3"/>
              </a:solidFill>
              <a:round/>
            </a:ln>
            <a:effectLst/>
          </c:spPr>
          <c:marker>
            <c:symbol val="none"/>
          </c:marker>
          <c:val>
            <c:numRef>
              <c:f>Schedules!#REF!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Schedules!#REF!</c15:sqref>
                        </c15:formulaRef>
                      </c:ext>
                    </c:extLst>
                    <c:strCache>
                      <c:ptCount val="1"/>
                      <c:pt idx="0">
                        <c:v>#REF!</c:v>
                      </c:pt>
                    </c:strCache>
                  </c:strRef>
                </c15:tx>
              </c15:filteredSeriesTitle>
            </c:ext>
            <c:ext xmlns:c16="http://schemas.microsoft.com/office/drawing/2014/chart" uri="{C3380CC4-5D6E-409C-BE32-E72D297353CC}">
              <c16:uniqueId val="{00000002-907A-4C38-9FF2-52FB7151DAD3}"/>
            </c:ext>
          </c:extLst>
        </c:ser>
        <c:dLbls>
          <c:showLegendKey val="0"/>
          <c:showVal val="0"/>
          <c:showCatName val="0"/>
          <c:showSerName val="0"/>
          <c:showPercent val="0"/>
          <c:showBubbleSize val="0"/>
        </c:dLbls>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Schedules!$C$294</c:f>
          <c:strCache>
            <c:ptCount val="1"/>
            <c:pt idx="0">
              <c:v>ElecEquipment</c:v>
            </c:pt>
          </c:strCache>
        </c:strRef>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0301696646995022"/>
          <c:y val="0.21667624165005125"/>
          <c:w val="0.86296940073898609"/>
          <c:h val="0.51057641399975218"/>
        </c:manualLayout>
      </c:layout>
      <c:lineChart>
        <c:grouping val="standard"/>
        <c:varyColors val="0"/>
        <c:ser>
          <c:idx val="0"/>
          <c:order val="0"/>
          <c:tx>
            <c:strRef>
              <c:f>Schedules!$E$294</c:f>
              <c:strCache>
                <c:ptCount val="1"/>
                <c:pt idx="0">
                  <c:v>Weekday</c:v>
                </c:pt>
              </c:strCache>
            </c:strRef>
          </c:tx>
          <c:spPr>
            <a:ln w="28575" cap="rnd">
              <a:solidFill>
                <a:schemeClr val="accent1"/>
              </a:solidFill>
              <a:round/>
            </a:ln>
            <a:effectLst/>
          </c:spPr>
          <c:marker>
            <c:symbol val="none"/>
          </c:marker>
          <c:val>
            <c:numRef>
              <c:f>Schedules!$F$294:$AC$294</c:f>
            </c:numRef>
          </c:val>
          <c:smooth val="0"/>
          <c:extLst>
            <c:ext xmlns:c16="http://schemas.microsoft.com/office/drawing/2014/chart" uri="{C3380CC4-5D6E-409C-BE32-E72D297353CC}">
              <c16:uniqueId val="{00000000-D4AC-421D-8625-0B54D266C8C1}"/>
            </c:ext>
          </c:extLst>
        </c:ser>
        <c:ser>
          <c:idx val="1"/>
          <c:order val="1"/>
          <c:tx>
            <c:strRef>
              <c:f>Schedules!$E$295</c:f>
              <c:strCache>
                <c:ptCount val="1"/>
                <c:pt idx="0">
                  <c:v>Saturday</c:v>
                </c:pt>
              </c:strCache>
            </c:strRef>
          </c:tx>
          <c:spPr>
            <a:ln w="28575" cap="rnd">
              <a:solidFill>
                <a:schemeClr val="accent2"/>
              </a:solidFill>
              <a:round/>
            </a:ln>
            <a:effectLst/>
          </c:spPr>
          <c:marker>
            <c:symbol val="none"/>
          </c:marker>
          <c:val>
            <c:numRef>
              <c:f>Schedules!$F$295:$AC$295</c:f>
            </c:numRef>
          </c:val>
          <c:smooth val="0"/>
          <c:extLst>
            <c:ext xmlns:c16="http://schemas.microsoft.com/office/drawing/2014/chart" uri="{C3380CC4-5D6E-409C-BE32-E72D297353CC}">
              <c16:uniqueId val="{00000001-D4AC-421D-8625-0B54D266C8C1}"/>
            </c:ext>
          </c:extLst>
        </c:ser>
        <c:ser>
          <c:idx val="2"/>
          <c:order val="2"/>
          <c:tx>
            <c:strRef>
              <c:f>Schedules!$E$296</c:f>
              <c:strCache>
                <c:ptCount val="1"/>
                <c:pt idx="0">
                  <c:v>Sunday</c:v>
                </c:pt>
              </c:strCache>
            </c:strRef>
          </c:tx>
          <c:spPr>
            <a:ln w="28575" cap="rnd">
              <a:solidFill>
                <a:schemeClr val="accent3"/>
              </a:solidFill>
              <a:round/>
            </a:ln>
            <a:effectLst/>
          </c:spPr>
          <c:marker>
            <c:symbol val="none"/>
          </c:marker>
          <c:val>
            <c:numRef>
              <c:f>Schedules!$F$296:$AC$296</c:f>
            </c:numRef>
          </c:val>
          <c:smooth val="0"/>
          <c:extLst>
            <c:ext xmlns:c16="http://schemas.microsoft.com/office/drawing/2014/chart" uri="{C3380CC4-5D6E-409C-BE32-E72D297353CC}">
              <c16:uniqueId val="{00000002-D4AC-421D-8625-0B54D266C8C1}"/>
            </c:ext>
          </c:extLst>
        </c:ser>
        <c:dLbls>
          <c:showLegendKey val="0"/>
          <c:showVal val="0"/>
          <c:showCatName val="0"/>
          <c:showSerName val="0"/>
          <c:showPercent val="0"/>
          <c:showBubbleSize val="0"/>
        </c:dLbls>
        <c:marker val="1"/>
        <c:smooth val="0"/>
        <c:axId val="1801622976"/>
        <c:axId val="1801623456"/>
      </c:lineChart>
      <c:catAx>
        <c:axId val="18016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3456"/>
        <c:crosses val="autoZero"/>
        <c:auto val="1"/>
        <c:lblAlgn val="ctr"/>
        <c:lblOffset val="100"/>
        <c:noMultiLvlLbl val="0"/>
      </c:catAx>
      <c:valAx>
        <c:axId val="18016234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622976"/>
        <c:crosses val="autoZero"/>
        <c:crossBetween val="between"/>
        <c:majorUnit val="0.2"/>
        <c:minorUnit val="0.1"/>
      </c:valAx>
      <c:spPr>
        <a:noFill/>
        <a:ln>
          <a:noFill/>
        </a:ln>
        <a:effectLst/>
      </c:spPr>
    </c:plotArea>
    <c:legend>
      <c:legendPos val="b"/>
      <c:layout>
        <c:manualLayout>
          <c:xMode val="edge"/>
          <c:yMode val="edge"/>
          <c:x val="0.69237621385546944"/>
          <c:y val="3.6261079321075841E-2"/>
          <c:w val="0.28941482691935089"/>
          <c:h val="0.313989478160883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HotelLarge CalBEM Prototype vs. CEUS 2022</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1217396810105952E-2"/>
          <c:y val="0.11932366122078511"/>
          <c:w val="0.90542115949594548"/>
          <c:h val="0.65425117460190341"/>
        </c:manualLayout>
      </c:layout>
      <c:barChart>
        <c:barDir val="col"/>
        <c:grouping val="stacked"/>
        <c:varyColors val="0"/>
        <c:ser>
          <c:idx val="1"/>
          <c:order val="0"/>
          <c:tx>
            <c:strRef>
              <c:f>'Energy Usage'!$V$2</c:f>
              <c:strCache>
                <c:ptCount val="1"/>
                <c:pt idx="0">
                  <c:v>Acceptable Range (25% Lower)</c:v>
                </c:pt>
              </c:strCache>
            </c:strRef>
          </c:tx>
          <c:spPr>
            <a:noFill/>
            <a:ln>
              <a:noFill/>
            </a:ln>
            <a:effectLst/>
          </c:spPr>
          <c:invertIfNegative val="0"/>
          <c:val>
            <c:numRef>
              <c:f>'Energy Usage'!$V$3:$V$18</c:f>
              <c:numCache>
                <c:formatCode>General</c:formatCode>
                <c:ptCount val="16"/>
                <c:pt idx="0">
                  <c:v>42.2</c:v>
                </c:pt>
                <c:pt idx="1">
                  <c:v>37.200000000000003</c:v>
                </c:pt>
                <c:pt idx="2">
                  <c:v>42</c:v>
                </c:pt>
                <c:pt idx="3">
                  <c:v>40.4</c:v>
                </c:pt>
                <c:pt idx="4">
                  <c:v>50.7</c:v>
                </c:pt>
                <c:pt idx="5">
                  <c:v>50.2</c:v>
                </c:pt>
                <c:pt idx="6">
                  <c:v>52.9</c:v>
                </c:pt>
                <c:pt idx="7">
                  <c:v>49.4</c:v>
                </c:pt>
                <c:pt idx="8">
                  <c:v>48.4</c:v>
                </c:pt>
                <c:pt idx="9">
                  <c:v>60.5</c:v>
                </c:pt>
                <c:pt idx="10">
                  <c:v>65.2</c:v>
                </c:pt>
                <c:pt idx="11">
                  <c:v>59.6</c:v>
                </c:pt>
                <c:pt idx="12">
                  <c:v>53.3</c:v>
                </c:pt>
                <c:pt idx="13">
                  <c:v>59.8</c:v>
                </c:pt>
                <c:pt idx="14">
                  <c:v>58.1</c:v>
                </c:pt>
                <c:pt idx="15">
                  <c:v>66.3</c:v>
                </c:pt>
              </c:numCache>
            </c:numRef>
          </c:val>
          <c:extLst>
            <c:ext xmlns:c16="http://schemas.microsoft.com/office/drawing/2014/chart" uri="{C3380CC4-5D6E-409C-BE32-E72D297353CC}">
              <c16:uniqueId val="{00000000-61C8-4AF9-B68D-71772D12A5D9}"/>
            </c:ext>
          </c:extLst>
        </c:ser>
        <c:ser>
          <c:idx val="2"/>
          <c:order val="1"/>
          <c:tx>
            <c:strRef>
              <c:f>'Energy Usage'!$W$2</c:f>
              <c:strCache>
                <c:ptCount val="1"/>
                <c:pt idx="0">
                  <c:v>CEUS 2022 Acceptable EUI Range </c:v>
                </c:pt>
              </c:strCache>
            </c:strRef>
          </c:tx>
          <c:spPr>
            <a:solidFill>
              <a:schemeClr val="accent4">
                <a:lumMod val="20000"/>
                <a:lumOff val="80000"/>
              </a:schemeClr>
            </a:solidFill>
            <a:ln>
              <a:solidFill>
                <a:schemeClr val="accent4"/>
              </a:solidFill>
            </a:ln>
            <a:effectLst/>
          </c:spPr>
          <c:invertIfNegative val="0"/>
          <c:val>
            <c:numRef>
              <c:f>'Energy Usage'!$W$3:$W$18</c:f>
              <c:numCache>
                <c:formatCode>General</c:formatCode>
                <c:ptCount val="16"/>
                <c:pt idx="0">
                  <c:v>28.1</c:v>
                </c:pt>
                <c:pt idx="1">
                  <c:v>24.8</c:v>
                </c:pt>
                <c:pt idx="2">
                  <c:v>28</c:v>
                </c:pt>
                <c:pt idx="3">
                  <c:v>26.9</c:v>
                </c:pt>
                <c:pt idx="4">
                  <c:v>33.799999999999997</c:v>
                </c:pt>
                <c:pt idx="5">
                  <c:v>33.5</c:v>
                </c:pt>
                <c:pt idx="6">
                  <c:v>35.299999999999997</c:v>
                </c:pt>
                <c:pt idx="7">
                  <c:v>32.9</c:v>
                </c:pt>
                <c:pt idx="8">
                  <c:v>32.299999999999997</c:v>
                </c:pt>
                <c:pt idx="9">
                  <c:v>40.4</c:v>
                </c:pt>
                <c:pt idx="10">
                  <c:v>43.5</c:v>
                </c:pt>
                <c:pt idx="11">
                  <c:v>39.700000000000003</c:v>
                </c:pt>
                <c:pt idx="12">
                  <c:v>35.5</c:v>
                </c:pt>
                <c:pt idx="13">
                  <c:v>39.9</c:v>
                </c:pt>
                <c:pt idx="14">
                  <c:v>38.799999999999997</c:v>
                </c:pt>
                <c:pt idx="15">
                  <c:v>44.2</c:v>
                </c:pt>
              </c:numCache>
            </c:numRef>
          </c:val>
          <c:extLst>
            <c:ext xmlns:c16="http://schemas.microsoft.com/office/drawing/2014/chart" uri="{C3380CC4-5D6E-409C-BE32-E72D297353CC}">
              <c16:uniqueId val="{00000001-61C8-4AF9-B68D-71772D12A5D9}"/>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61C8-4AF9-B68D-71772D12A5D9}"/>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61C8-4AF9-B68D-71772D12A5D9}"/>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in val="2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r>
              <a:rPr lang="en-US"/>
              <a:t>HotelLarge CalBEM Prototype vs. National Average</a:t>
            </a:r>
          </a:p>
        </c:rich>
      </c:tx>
      <c:overlay val="0"/>
      <c:spPr>
        <a:noFill/>
        <a:ln>
          <a:noFill/>
        </a:ln>
        <a:effectLst/>
      </c:spPr>
      <c:txPr>
        <a:bodyPr rot="0" spcFirstLastPara="1" vertOverflow="ellipsis" vert="horz" wrap="square" anchor="ctr" anchorCtr="1"/>
        <a:lstStyle/>
        <a:p>
          <a:pPr>
            <a:defRPr sz="168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tx>
            <c:strRef>
              <c:f>'Energy Usage'!$K$2</c:f>
              <c:strCache>
                <c:ptCount val="1"/>
                <c:pt idx="0">
                  <c:v>Acceptable Range (25% Lower)</c:v>
                </c:pt>
              </c:strCache>
            </c:strRef>
          </c:tx>
          <c:spPr>
            <a:noFill/>
            <a:ln>
              <a:noFill/>
            </a:ln>
            <a:effectLst/>
          </c:spPr>
          <c:invertIfNegative val="0"/>
          <c:val>
            <c:numRef>
              <c:f>'Energy Usage'!$K$3:$K$18</c:f>
              <c:numCache>
                <c:formatCode>0.0</c:formatCode>
                <c:ptCount val="16"/>
                <c:pt idx="0">
                  <c:v>66.599999999999994</c:v>
                </c:pt>
                <c:pt idx="1">
                  <c:v>63.150000000000006</c:v>
                </c:pt>
                <c:pt idx="2">
                  <c:v>61.650000000000006</c:v>
                </c:pt>
                <c:pt idx="3">
                  <c:v>64.650000000000006</c:v>
                </c:pt>
                <c:pt idx="4">
                  <c:v>60.974999999999994</c:v>
                </c:pt>
                <c:pt idx="5">
                  <c:v>60.449999999999996</c:v>
                </c:pt>
                <c:pt idx="6">
                  <c:v>60.599999999999994</c:v>
                </c:pt>
                <c:pt idx="7">
                  <c:v>62.550000000000004</c:v>
                </c:pt>
                <c:pt idx="8">
                  <c:v>62.849999999999994</c:v>
                </c:pt>
                <c:pt idx="9">
                  <c:v>64.125</c:v>
                </c:pt>
                <c:pt idx="10">
                  <c:v>67.275000000000006</c:v>
                </c:pt>
                <c:pt idx="11">
                  <c:v>65.175000000000011</c:v>
                </c:pt>
                <c:pt idx="12">
                  <c:v>67.574999999999989</c:v>
                </c:pt>
                <c:pt idx="13">
                  <c:v>67.875</c:v>
                </c:pt>
                <c:pt idx="14">
                  <c:v>71.474999999999994</c:v>
                </c:pt>
                <c:pt idx="15">
                  <c:v>68.625</c:v>
                </c:pt>
              </c:numCache>
            </c:numRef>
          </c:val>
          <c:extLst>
            <c:ext xmlns:c16="http://schemas.microsoft.com/office/drawing/2014/chart" uri="{C3380CC4-5D6E-409C-BE32-E72D297353CC}">
              <c16:uniqueId val="{00000000-7D6E-436F-89D5-8B5566B3625E}"/>
            </c:ext>
          </c:extLst>
        </c:ser>
        <c:ser>
          <c:idx val="2"/>
          <c:order val="1"/>
          <c:tx>
            <c:strRef>
              <c:f>'Energy Usage'!$M$2</c:f>
              <c:strCache>
                <c:ptCount val="1"/>
                <c:pt idx="0">
                  <c:v>National Average Acceptable EUI Range</c:v>
                </c:pt>
              </c:strCache>
            </c:strRef>
          </c:tx>
          <c:spPr>
            <a:solidFill>
              <a:srgbClr val="CCCCFF"/>
            </a:solidFill>
            <a:ln>
              <a:solidFill>
                <a:srgbClr val="002F8E"/>
              </a:solidFill>
            </a:ln>
            <a:effectLst/>
          </c:spPr>
          <c:invertIfNegative val="0"/>
          <c:val>
            <c:numRef>
              <c:f>'Energy Usage'!$M$3:$M$18</c:f>
              <c:numCache>
                <c:formatCode>0.0</c:formatCode>
                <c:ptCount val="16"/>
                <c:pt idx="0">
                  <c:v>44.400000000000006</c:v>
                </c:pt>
                <c:pt idx="1">
                  <c:v>42.099999999999994</c:v>
                </c:pt>
                <c:pt idx="2">
                  <c:v>41.099999999999994</c:v>
                </c:pt>
                <c:pt idx="3">
                  <c:v>43.099999999999994</c:v>
                </c:pt>
                <c:pt idx="4">
                  <c:v>40.650000000000006</c:v>
                </c:pt>
                <c:pt idx="5">
                  <c:v>40.300000000000004</c:v>
                </c:pt>
                <c:pt idx="6">
                  <c:v>40.400000000000006</c:v>
                </c:pt>
                <c:pt idx="7">
                  <c:v>41.699999999999996</c:v>
                </c:pt>
                <c:pt idx="8">
                  <c:v>41.900000000000006</c:v>
                </c:pt>
                <c:pt idx="9">
                  <c:v>42.75</c:v>
                </c:pt>
                <c:pt idx="10">
                  <c:v>44.849999999999994</c:v>
                </c:pt>
                <c:pt idx="11">
                  <c:v>43.449999999999989</c:v>
                </c:pt>
                <c:pt idx="12">
                  <c:v>45.050000000000011</c:v>
                </c:pt>
                <c:pt idx="13">
                  <c:v>45.25</c:v>
                </c:pt>
                <c:pt idx="14">
                  <c:v>47.650000000000006</c:v>
                </c:pt>
                <c:pt idx="15">
                  <c:v>45.75</c:v>
                </c:pt>
              </c:numCache>
            </c:numRef>
          </c:val>
          <c:extLst>
            <c:ext xmlns:c16="http://schemas.microsoft.com/office/drawing/2014/chart" uri="{C3380CC4-5D6E-409C-BE32-E72D297353CC}">
              <c16:uniqueId val="{00000001-7D6E-436F-89D5-8B5566B3625E}"/>
            </c:ext>
          </c:extLst>
        </c:ser>
        <c:dLbls>
          <c:showLegendKey val="0"/>
          <c:showVal val="0"/>
          <c:showCatName val="0"/>
          <c:showSerName val="0"/>
          <c:showPercent val="0"/>
          <c:showBubbleSize val="0"/>
        </c:dLbls>
        <c:gapWidth val="150"/>
        <c:overlap val="100"/>
        <c:axId val="758910767"/>
        <c:axId val="758909327"/>
      </c:barChart>
      <c:scatterChart>
        <c:scatterStyle val="lineMarker"/>
        <c:varyColors val="0"/>
        <c:ser>
          <c:idx val="0"/>
          <c:order val="2"/>
          <c:tx>
            <c:strRef>
              <c:f>'Energy Usage'!$E$2</c:f>
              <c:strCache>
                <c:ptCount val="1"/>
                <c:pt idx="0">
                  <c:v>CalBEM Total  EUI (KBTU/ft²)</c:v>
                </c:pt>
              </c:strCache>
            </c:strRef>
          </c:tx>
          <c:spPr>
            <a:ln w="25400" cap="rnd">
              <a:noFill/>
              <a:round/>
            </a:ln>
            <a:effectLst/>
          </c:spPr>
          <c:marker>
            <c:symbol val="square"/>
            <c:size val="7"/>
            <c:spPr>
              <a:solidFill>
                <a:schemeClr val="accent1"/>
              </a:solidFill>
              <a:ln w="9525">
                <a:solidFill>
                  <a:srgbClr val="001132"/>
                </a:solidFill>
              </a:ln>
              <a:effectLst/>
            </c:spPr>
          </c:marker>
          <c:yVal>
            <c:numRef>
              <c:f>'Energy Usage'!$E$3:$E$18</c:f>
              <c:numCache>
                <c:formatCode>0.0</c:formatCode>
                <c:ptCount val="16"/>
              </c:numCache>
            </c:numRef>
          </c:yVal>
          <c:smooth val="0"/>
          <c:extLst>
            <c:ext xmlns:c16="http://schemas.microsoft.com/office/drawing/2014/chart" uri="{C3380CC4-5D6E-409C-BE32-E72D297353CC}">
              <c16:uniqueId val="{00000002-7D6E-436F-89D5-8B5566B3625E}"/>
            </c:ext>
          </c:extLst>
        </c:ser>
        <c:ser>
          <c:idx val="3"/>
          <c:order val="3"/>
          <c:tx>
            <c:strRef>
              <c:f>'Energy Usage'!$H$2</c:f>
              <c:strCache>
                <c:ptCount val="1"/>
                <c:pt idx="0">
                  <c:v>New Construction  Total EUI (KBTU/ft²)</c:v>
                </c:pt>
              </c:strCache>
            </c:strRef>
          </c:tx>
          <c:spPr>
            <a:ln w="25400" cap="rnd">
              <a:noFill/>
              <a:round/>
            </a:ln>
            <a:effectLst/>
          </c:spPr>
          <c:marker>
            <c:symbol val="diamond"/>
            <c:size val="7"/>
            <c:spPr>
              <a:solidFill>
                <a:srgbClr val="00B050"/>
              </a:solidFill>
              <a:ln w="9525">
                <a:solidFill>
                  <a:srgbClr val="001132"/>
                </a:solidFill>
              </a:ln>
              <a:effectLst/>
            </c:spPr>
          </c:marker>
          <c:yVal>
            <c:numRef>
              <c:f>'Energy Usage'!$H$3:$H$18</c:f>
              <c:numCache>
                <c:formatCode>General</c:formatCode>
                <c:ptCount val="16"/>
              </c:numCache>
            </c:numRef>
          </c:yVal>
          <c:smooth val="0"/>
          <c:extLst>
            <c:ext xmlns:c16="http://schemas.microsoft.com/office/drawing/2014/chart" uri="{C3380CC4-5D6E-409C-BE32-E72D297353CC}">
              <c16:uniqueId val="{00000003-7D6E-436F-89D5-8B5566B3625E}"/>
            </c:ext>
          </c:extLst>
        </c:ser>
        <c:dLbls>
          <c:showLegendKey val="0"/>
          <c:showVal val="0"/>
          <c:showCatName val="0"/>
          <c:showSerName val="0"/>
          <c:showPercent val="0"/>
          <c:showBubbleSize val="0"/>
        </c:dLbls>
        <c:axId val="758910767"/>
        <c:axId val="758909327"/>
      </c:scatterChart>
      <c:catAx>
        <c:axId val="758910767"/>
        <c:scaling>
          <c:orientation val="minMax"/>
        </c:scaling>
        <c:delete val="0"/>
        <c:axPos val="b"/>
        <c:title>
          <c:tx>
            <c:rich>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Climate Zone</a:t>
                </a:r>
              </a:p>
            </c:rich>
          </c:tx>
          <c:layout>
            <c:manualLayout>
              <c:xMode val="edge"/>
              <c:yMode val="edge"/>
              <c:x val="0.48255556526229237"/>
              <c:y val="0.840378058580560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09327"/>
        <c:crosses val="autoZero"/>
        <c:auto val="1"/>
        <c:lblAlgn val="ctr"/>
        <c:lblOffset val="100"/>
        <c:noMultiLvlLbl val="0"/>
      </c:catAx>
      <c:valAx>
        <c:axId val="758909327"/>
        <c:scaling>
          <c:orientation val="minMax"/>
          <c:max val="120"/>
          <c:min val="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r>
                  <a:rPr lang="en-US" b="1"/>
                  <a:t>Total EUI (kBtu/ft²)</a:t>
                </a:r>
              </a:p>
            </c:rich>
          </c:tx>
          <c:layout>
            <c:manualLayout>
              <c:xMode val="edge"/>
              <c:yMode val="edge"/>
              <c:x val="6.1162073619680356E-3"/>
              <c:y val="0.280266457662972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758910767"/>
        <c:crosses val="autoZero"/>
        <c:crossBetween val="between"/>
        <c:majorUnit val="1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aseline="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5" Type="http://schemas.openxmlformats.org/officeDocument/2006/relationships/image" Target="../media/image21.png"/><Relationship Id="rId4" Type="http://schemas.openxmlformats.org/officeDocument/2006/relationships/image" Target="../media/image20.png"/></Relationships>
</file>

<file path=xl/drawings/_rels/drawing6.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5" Type="http://schemas.openxmlformats.org/officeDocument/2006/relationships/image" Target="../media/image26.png"/><Relationship Id="rId4" Type="http://schemas.openxmlformats.org/officeDocument/2006/relationships/image" Target="../media/image25.png"/></Relationships>
</file>

<file path=xl/drawings/_rels/drawing7.xml.rels><?xml version="1.0" encoding="UTF-8" standalone="yes"?>
<Relationships xmlns="http://schemas.openxmlformats.org/package/2006/relationships"><Relationship Id="rId3" Type="http://schemas.openxmlformats.org/officeDocument/2006/relationships/image" Target="../media/image29.png"/><Relationship Id="rId7" Type="http://schemas.openxmlformats.org/officeDocument/2006/relationships/image" Target="../media/image33.png"/><Relationship Id="rId2" Type="http://schemas.openxmlformats.org/officeDocument/2006/relationships/image" Target="../media/image28.png"/><Relationship Id="rId1" Type="http://schemas.openxmlformats.org/officeDocument/2006/relationships/image" Target="../media/image27.png"/><Relationship Id="rId6" Type="http://schemas.openxmlformats.org/officeDocument/2006/relationships/image" Target="../media/image32.png"/><Relationship Id="rId5" Type="http://schemas.openxmlformats.org/officeDocument/2006/relationships/image" Target="../media/image31.png"/><Relationship Id="rId4" Type="http://schemas.openxmlformats.org/officeDocument/2006/relationships/image" Target="../media/image30.png"/></Relationships>
</file>

<file path=xl/drawings/_rels/drawing8.xml.rels><?xml version="1.0" encoding="UTF-8" standalone="yes"?>
<Relationships xmlns="http://schemas.openxmlformats.org/package/2006/relationships"><Relationship Id="rId1" Type="http://schemas.openxmlformats.org/officeDocument/2006/relationships/image" Target="../media/image34.png"/></Relationships>
</file>

<file path=xl/drawings/_rels/drawing9.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9" Type="http://schemas.openxmlformats.org/officeDocument/2006/relationships/chart" Target="../charts/chart39.xml"/><Relationship Id="rId21" Type="http://schemas.openxmlformats.org/officeDocument/2006/relationships/chart" Target="../charts/chart21.xml"/><Relationship Id="rId34" Type="http://schemas.openxmlformats.org/officeDocument/2006/relationships/chart" Target="../charts/chart34.xml"/><Relationship Id="rId42" Type="http://schemas.openxmlformats.org/officeDocument/2006/relationships/chart" Target="../charts/chart42.xml"/><Relationship Id="rId47" Type="http://schemas.openxmlformats.org/officeDocument/2006/relationships/chart" Target="../charts/chart47.xml"/><Relationship Id="rId50" Type="http://schemas.openxmlformats.org/officeDocument/2006/relationships/chart" Target="../charts/chart50.xml"/><Relationship Id="rId55" Type="http://schemas.openxmlformats.org/officeDocument/2006/relationships/chart" Target="../charts/chart55.xml"/><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chart" Target="../charts/chart29.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37" Type="http://schemas.openxmlformats.org/officeDocument/2006/relationships/chart" Target="../charts/chart37.xml"/><Relationship Id="rId40" Type="http://schemas.openxmlformats.org/officeDocument/2006/relationships/chart" Target="../charts/chart40.xml"/><Relationship Id="rId45" Type="http://schemas.openxmlformats.org/officeDocument/2006/relationships/chart" Target="../charts/chart45.xml"/><Relationship Id="rId53" Type="http://schemas.openxmlformats.org/officeDocument/2006/relationships/chart" Target="../charts/chart53.xml"/><Relationship Id="rId5" Type="http://schemas.openxmlformats.org/officeDocument/2006/relationships/chart" Target="../charts/chart5.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4" Type="http://schemas.openxmlformats.org/officeDocument/2006/relationships/chart" Target="../charts/chart44.xml"/><Relationship Id="rId52" Type="http://schemas.openxmlformats.org/officeDocument/2006/relationships/chart" Target="../charts/chart52.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43" Type="http://schemas.openxmlformats.org/officeDocument/2006/relationships/chart" Target="../charts/chart43.xml"/><Relationship Id="rId48" Type="http://schemas.openxmlformats.org/officeDocument/2006/relationships/chart" Target="../charts/chart48.xml"/><Relationship Id="rId56" Type="http://schemas.openxmlformats.org/officeDocument/2006/relationships/chart" Target="../charts/chart56.xml"/><Relationship Id="rId8" Type="http://schemas.openxmlformats.org/officeDocument/2006/relationships/chart" Target="../charts/chart8.xml"/><Relationship Id="rId51" Type="http://schemas.openxmlformats.org/officeDocument/2006/relationships/chart" Target="../charts/chart51.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38" Type="http://schemas.openxmlformats.org/officeDocument/2006/relationships/chart" Target="../charts/chart38.xml"/><Relationship Id="rId46" Type="http://schemas.openxmlformats.org/officeDocument/2006/relationships/chart" Target="../charts/chart46.xml"/><Relationship Id="rId20" Type="http://schemas.openxmlformats.org/officeDocument/2006/relationships/chart" Target="../charts/chart20.xml"/><Relationship Id="rId41" Type="http://schemas.openxmlformats.org/officeDocument/2006/relationships/chart" Target="../charts/chart41.xml"/><Relationship Id="rId54" Type="http://schemas.openxmlformats.org/officeDocument/2006/relationships/chart" Target="../charts/chart54.xml"/><Relationship Id="rId1" Type="http://schemas.openxmlformats.org/officeDocument/2006/relationships/chart" Target="../charts/chart1.xml"/><Relationship Id="rId6" Type="http://schemas.openxmlformats.org/officeDocument/2006/relationships/chart" Target="../charts/chart6.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36" Type="http://schemas.openxmlformats.org/officeDocument/2006/relationships/chart" Target="../charts/chart36.xml"/><Relationship Id="rId49" Type="http://schemas.openxmlformats.org/officeDocument/2006/relationships/chart" Target="../charts/chart49.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58.xml"/><Relationship Id="rId1" Type="http://schemas.openxmlformats.org/officeDocument/2006/relationships/chart" Target="../charts/chart57.xml"/></Relationships>
</file>

<file path=xl/drawings/drawing1.xml><?xml version="1.0" encoding="utf-8"?>
<xdr:wsDr xmlns:xdr="http://schemas.openxmlformats.org/drawingml/2006/spreadsheetDrawing" xmlns:a="http://schemas.openxmlformats.org/drawingml/2006/main">
  <xdr:twoCellAnchor editAs="oneCell">
    <xdr:from>
      <xdr:col>0</xdr:col>
      <xdr:colOff>840441</xdr:colOff>
      <xdr:row>31</xdr:row>
      <xdr:rowOff>68118</xdr:rowOff>
    </xdr:from>
    <xdr:to>
      <xdr:col>2</xdr:col>
      <xdr:colOff>1079118</xdr:colOff>
      <xdr:row>41</xdr:row>
      <xdr:rowOff>85941</xdr:rowOff>
    </xdr:to>
    <xdr:pic>
      <xdr:nvPicPr>
        <xdr:cNvPr id="3" name="Picture 1">
          <a:extLst>
            <a:ext uri="{FF2B5EF4-FFF2-40B4-BE49-F238E27FC236}">
              <a16:creationId xmlns:a16="http://schemas.microsoft.com/office/drawing/2014/main" id="{615AC678-2507-DD54-A2B1-3A22BB7D4B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0441" y="5346089"/>
          <a:ext cx="7576737" cy="16942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556591</xdr:colOff>
      <xdr:row>46</xdr:row>
      <xdr:rowOff>20873</xdr:rowOff>
    </xdr:from>
    <xdr:to>
      <xdr:col>2</xdr:col>
      <xdr:colOff>1235071</xdr:colOff>
      <xdr:row>61</xdr:row>
      <xdr:rowOff>28411</xdr:rowOff>
    </xdr:to>
    <xdr:pic>
      <xdr:nvPicPr>
        <xdr:cNvPr id="5" name="Picture 4">
          <a:extLst>
            <a:ext uri="{FF2B5EF4-FFF2-40B4-BE49-F238E27FC236}">
              <a16:creationId xmlns:a16="http://schemas.microsoft.com/office/drawing/2014/main" id="{C9D624EB-0590-712E-D702-AB73191E3D83}"/>
            </a:ext>
          </a:extLst>
        </xdr:cNvPr>
        <xdr:cNvPicPr>
          <a:picLocks noChangeAspect="1"/>
        </xdr:cNvPicPr>
      </xdr:nvPicPr>
      <xdr:blipFill rotWithShape="1">
        <a:blip xmlns:r="http://schemas.openxmlformats.org/officeDocument/2006/relationships" r:embed="rId2"/>
        <a:srcRect t="2412"/>
        <a:stretch/>
      </xdr:blipFill>
      <xdr:spPr>
        <a:xfrm>
          <a:off x="556591" y="9562438"/>
          <a:ext cx="8020184" cy="2492321"/>
        </a:xfrm>
        <a:prstGeom prst="rect">
          <a:avLst/>
        </a:prstGeom>
        <a:ln w="3175">
          <a:solidFill>
            <a:schemeClr val="tx1"/>
          </a:solidFill>
        </a:ln>
      </xdr:spPr>
    </xdr:pic>
    <xdr:clientData/>
  </xdr:twoCellAnchor>
  <xdr:twoCellAnchor editAs="oneCell">
    <xdr:from>
      <xdr:col>1</xdr:col>
      <xdr:colOff>516835</xdr:colOff>
      <xdr:row>62</xdr:row>
      <xdr:rowOff>70282</xdr:rowOff>
    </xdr:from>
    <xdr:to>
      <xdr:col>1</xdr:col>
      <xdr:colOff>5214731</xdr:colOff>
      <xdr:row>70</xdr:row>
      <xdr:rowOff>85477</xdr:rowOff>
    </xdr:to>
    <xdr:pic>
      <xdr:nvPicPr>
        <xdr:cNvPr id="10" name="Picture 9">
          <a:extLst>
            <a:ext uri="{FF2B5EF4-FFF2-40B4-BE49-F238E27FC236}">
              <a16:creationId xmlns:a16="http://schemas.microsoft.com/office/drawing/2014/main" id="{C1D513FF-711D-4D1A-82C5-EEFB0309D1CD}"/>
            </a:ext>
          </a:extLst>
        </xdr:cNvPr>
        <xdr:cNvPicPr>
          <a:picLocks noChangeAspect="1"/>
        </xdr:cNvPicPr>
      </xdr:nvPicPr>
      <xdr:blipFill>
        <a:blip xmlns:r="http://schemas.openxmlformats.org/officeDocument/2006/relationships" r:embed="rId3"/>
        <a:stretch>
          <a:fillRect/>
        </a:stretch>
      </xdr:blipFill>
      <xdr:spPr>
        <a:xfrm>
          <a:off x="1524000" y="12262282"/>
          <a:ext cx="4697896" cy="13404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628944</xdr:colOff>
      <xdr:row>39</xdr:row>
      <xdr:rowOff>62865</xdr:rowOff>
    </xdr:from>
    <xdr:to>
      <xdr:col>1</xdr:col>
      <xdr:colOff>2954394</xdr:colOff>
      <xdr:row>39</xdr:row>
      <xdr:rowOff>1422892</xdr:rowOff>
    </xdr:to>
    <xdr:pic>
      <xdr:nvPicPr>
        <xdr:cNvPr id="4" name="Picture 3">
          <a:extLst>
            <a:ext uri="{FF2B5EF4-FFF2-40B4-BE49-F238E27FC236}">
              <a16:creationId xmlns:a16="http://schemas.microsoft.com/office/drawing/2014/main" id="{456D4EE9-8F9D-4973-B230-5C69338447A9}"/>
            </a:ext>
          </a:extLst>
        </xdr:cNvPr>
        <xdr:cNvPicPr>
          <a:picLocks noChangeAspect="1"/>
        </xdr:cNvPicPr>
      </xdr:nvPicPr>
      <xdr:blipFill rotWithShape="1">
        <a:blip xmlns:r="http://schemas.openxmlformats.org/officeDocument/2006/relationships" r:embed="rId1"/>
        <a:srcRect t="6657"/>
        <a:stretch>
          <a:fillRect/>
        </a:stretch>
      </xdr:blipFill>
      <xdr:spPr>
        <a:xfrm>
          <a:off x="2514894" y="9740265"/>
          <a:ext cx="2325450" cy="1360027"/>
        </a:xfrm>
        <a:prstGeom prst="rect">
          <a:avLst/>
        </a:prstGeom>
      </xdr:spPr>
    </xdr:pic>
    <xdr:clientData/>
  </xdr:twoCellAnchor>
  <xdr:twoCellAnchor editAs="oneCell">
    <xdr:from>
      <xdr:col>1</xdr:col>
      <xdr:colOff>480647</xdr:colOff>
      <xdr:row>7</xdr:row>
      <xdr:rowOff>52983</xdr:rowOff>
    </xdr:from>
    <xdr:to>
      <xdr:col>1</xdr:col>
      <xdr:colOff>2647657</xdr:colOff>
      <xdr:row>7</xdr:row>
      <xdr:rowOff>1474120</xdr:rowOff>
    </xdr:to>
    <xdr:pic>
      <xdr:nvPicPr>
        <xdr:cNvPr id="15" name="Picture 14">
          <a:extLst>
            <a:ext uri="{FF2B5EF4-FFF2-40B4-BE49-F238E27FC236}">
              <a16:creationId xmlns:a16="http://schemas.microsoft.com/office/drawing/2014/main" id="{70FB1607-851D-2E9B-E7C8-8356673AB4DB}"/>
            </a:ext>
          </a:extLst>
        </xdr:cNvPr>
        <xdr:cNvPicPr>
          <a:picLocks noChangeAspect="1"/>
        </xdr:cNvPicPr>
      </xdr:nvPicPr>
      <xdr:blipFill>
        <a:blip xmlns:r="http://schemas.openxmlformats.org/officeDocument/2006/relationships" r:embed="rId2"/>
        <a:stretch>
          <a:fillRect/>
        </a:stretch>
      </xdr:blipFill>
      <xdr:spPr>
        <a:xfrm>
          <a:off x="2368062" y="1858337"/>
          <a:ext cx="2174630" cy="1424947"/>
        </a:xfrm>
        <a:prstGeom prst="rect">
          <a:avLst/>
        </a:prstGeom>
      </xdr:spPr>
    </xdr:pic>
    <xdr:clientData/>
  </xdr:twoCellAnchor>
  <xdr:twoCellAnchor editAs="oneCell">
    <xdr:from>
      <xdr:col>2</xdr:col>
      <xdr:colOff>114300</xdr:colOff>
      <xdr:row>39</xdr:row>
      <xdr:rowOff>95250</xdr:rowOff>
    </xdr:from>
    <xdr:to>
      <xdr:col>2</xdr:col>
      <xdr:colOff>2390775</xdr:colOff>
      <xdr:row>39</xdr:row>
      <xdr:rowOff>1409700</xdr:rowOff>
    </xdr:to>
    <xdr:pic>
      <xdr:nvPicPr>
        <xdr:cNvPr id="12" name="Picture 11">
          <a:extLst>
            <a:ext uri="{FF2B5EF4-FFF2-40B4-BE49-F238E27FC236}">
              <a16:creationId xmlns:a16="http://schemas.microsoft.com/office/drawing/2014/main" id="{E4D88AA8-197D-48AB-B7B9-23877E1CE4DD}"/>
            </a:ext>
            <a:ext uri="{147F2762-F138-4A5C-976F-8EAC2B608ADB}">
              <a16:predDERef xmlns:a16="http://schemas.microsoft.com/office/drawing/2014/main" pred="{70FB1607-851D-2E9B-E7C8-8356673AB4D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22639" t="22484" r="16667" b="27058"/>
        <a:stretch>
          <a:fillRect/>
        </a:stretch>
      </xdr:blipFill>
      <xdr:spPr bwMode="auto">
        <a:xfrm>
          <a:off x="5076825" y="11991975"/>
          <a:ext cx="2276475" cy="1314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758482</xdr:colOff>
      <xdr:row>14</xdr:row>
      <xdr:rowOff>414943</xdr:rowOff>
    </xdr:from>
    <xdr:to>
      <xdr:col>16</xdr:col>
      <xdr:colOff>659466</xdr:colOff>
      <xdr:row>17</xdr:row>
      <xdr:rowOff>152444</xdr:rowOff>
    </xdr:to>
    <xdr:pic>
      <xdr:nvPicPr>
        <xdr:cNvPr id="11" name="Picture 50">
          <a:extLst>
            <a:ext uri="{FF2B5EF4-FFF2-40B4-BE49-F238E27FC236}">
              <a16:creationId xmlns:a16="http://schemas.microsoft.com/office/drawing/2014/main" id="{D459A07F-2C72-E816-F773-6C35E59ADBAB}"/>
            </a:ext>
          </a:extLst>
        </xdr:cNvPr>
        <xdr:cNvPicPr>
          <a:picLocks noChangeAspect="1"/>
        </xdr:cNvPicPr>
      </xdr:nvPicPr>
      <xdr:blipFill>
        <a:blip xmlns:r="http://schemas.openxmlformats.org/officeDocument/2006/relationships" r:embed="rId1"/>
        <a:stretch>
          <a:fillRect/>
        </a:stretch>
      </xdr:blipFill>
      <xdr:spPr>
        <a:xfrm>
          <a:off x="20808607" y="5320318"/>
          <a:ext cx="4330109" cy="1328176"/>
        </a:xfrm>
        <a:prstGeom prst="rect">
          <a:avLst/>
        </a:prstGeom>
      </xdr:spPr>
    </xdr:pic>
    <xdr:clientData/>
  </xdr:twoCellAnchor>
  <xdr:twoCellAnchor editAs="oneCell">
    <xdr:from>
      <xdr:col>13</xdr:col>
      <xdr:colOff>720968</xdr:colOff>
      <xdr:row>22</xdr:row>
      <xdr:rowOff>180388</xdr:rowOff>
    </xdr:from>
    <xdr:to>
      <xdr:col>16</xdr:col>
      <xdr:colOff>579373</xdr:colOff>
      <xdr:row>28</xdr:row>
      <xdr:rowOff>148590</xdr:rowOff>
    </xdr:to>
    <xdr:pic>
      <xdr:nvPicPr>
        <xdr:cNvPr id="57" name="Picture 49">
          <a:extLst>
            <a:ext uri="{FF2B5EF4-FFF2-40B4-BE49-F238E27FC236}">
              <a16:creationId xmlns:a16="http://schemas.microsoft.com/office/drawing/2014/main" id="{011E17BE-006E-36C1-0263-A771508393F1}"/>
            </a:ext>
            <a:ext uri="{147F2762-F138-4A5C-976F-8EAC2B608ADB}">
              <a16:predDERef xmlns:a16="http://schemas.microsoft.com/office/drawing/2014/main" pred="{D459A07F-2C72-E816-F773-6C35E59ADBAB}"/>
            </a:ext>
          </a:extLst>
        </xdr:cNvPr>
        <xdr:cNvPicPr>
          <a:picLocks noChangeAspect="1"/>
        </xdr:cNvPicPr>
      </xdr:nvPicPr>
      <xdr:blipFill>
        <a:blip xmlns:r="http://schemas.openxmlformats.org/officeDocument/2006/relationships" r:embed="rId2"/>
        <a:stretch>
          <a:fillRect/>
        </a:stretch>
      </xdr:blipFill>
      <xdr:spPr>
        <a:xfrm>
          <a:off x="20746328" y="7602268"/>
          <a:ext cx="4415165" cy="1294082"/>
        </a:xfrm>
        <a:prstGeom prst="rect">
          <a:avLst/>
        </a:prstGeom>
      </xdr:spPr>
    </xdr:pic>
    <xdr:clientData/>
  </xdr:twoCellAnchor>
  <xdr:twoCellAnchor editAs="oneCell">
    <xdr:from>
      <xdr:col>13</xdr:col>
      <xdr:colOff>650629</xdr:colOff>
      <xdr:row>6</xdr:row>
      <xdr:rowOff>66951</xdr:rowOff>
    </xdr:from>
    <xdr:to>
      <xdr:col>16</xdr:col>
      <xdr:colOff>816289</xdr:colOff>
      <xdr:row>11</xdr:row>
      <xdr:rowOff>169759</xdr:rowOff>
    </xdr:to>
    <xdr:pic>
      <xdr:nvPicPr>
        <xdr:cNvPr id="46" name="Picture 45">
          <a:extLst>
            <a:ext uri="{FF2B5EF4-FFF2-40B4-BE49-F238E27FC236}">
              <a16:creationId xmlns:a16="http://schemas.microsoft.com/office/drawing/2014/main" id="{FC7378C4-57ED-B22D-E515-4D70EF26EC0E}"/>
            </a:ext>
          </a:extLst>
        </xdr:cNvPr>
        <xdr:cNvPicPr>
          <a:picLocks noChangeAspect="1"/>
        </xdr:cNvPicPr>
      </xdr:nvPicPr>
      <xdr:blipFill>
        <a:blip xmlns:r="http://schemas.openxmlformats.org/officeDocument/2006/relationships" r:embed="rId3"/>
        <a:stretch>
          <a:fillRect/>
        </a:stretch>
      </xdr:blipFill>
      <xdr:spPr>
        <a:xfrm>
          <a:off x="19468716" y="2697508"/>
          <a:ext cx="4706352" cy="1673273"/>
        </a:xfrm>
        <a:prstGeom prst="rect">
          <a:avLst/>
        </a:prstGeom>
      </xdr:spPr>
    </xdr:pic>
    <xdr:clientData/>
  </xdr:twoCellAnchor>
  <xdr:twoCellAnchor>
    <xdr:from>
      <xdr:col>14</xdr:col>
      <xdr:colOff>1282561</xdr:colOff>
      <xdr:row>0</xdr:row>
      <xdr:rowOff>35035</xdr:rowOff>
    </xdr:from>
    <xdr:to>
      <xdr:col>14</xdr:col>
      <xdr:colOff>1282561</xdr:colOff>
      <xdr:row>0</xdr:row>
      <xdr:rowOff>321779</xdr:rowOff>
    </xdr:to>
    <xdr:cxnSp macro="">
      <xdr:nvCxnSpPr>
        <xdr:cNvPr id="61" name="Straight Arrow Connector 3">
          <a:extLst>
            <a:ext uri="{FF2B5EF4-FFF2-40B4-BE49-F238E27FC236}">
              <a16:creationId xmlns:a16="http://schemas.microsoft.com/office/drawing/2014/main" id="{BB0EC946-BDB6-09C9-DB60-21B21720AE71}"/>
            </a:ext>
            <a:ext uri="{147F2762-F138-4A5C-976F-8EAC2B608ADB}">
              <a16:predDERef xmlns:a16="http://schemas.microsoft.com/office/drawing/2014/main" pred="{FC7378C4-57ED-B22D-E515-4D70EF26EC0E}"/>
            </a:ext>
          </a:extLst>
        </xdr:cNvPr>
        <xdr:cNvCxnSpPr/>
      </xdr:nvCxnSpPr>
      <xdr:spPr>
        <a:xfrm flipV="1">
          <a:off x="12000257" y="35035"/>
          <a:ext cx="0" cy="286744"/>
        </a:xfrm>
        <a:prstGeom prst="straightConnector1">
          <a:avLst/>
        </a:prstGeom>
        <a:ln w="381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584100</xdr:colOff>
      <xdr:row>1</xdr:row>
      <xdr:rowOff>395660</xdr:rowOff>
    </xdr:from>
    <xdr:to>
      <xdr:col>16</xdr:col>
      <xdr:colOff>781838</xdr:colOff>
      <xdr:row>4</xdr:row>
      <xdr:rowOff>362536</xdr:rowOff>
    </xdr:to>
    <xdr:pic>
      <xdr:nvPicPr>
        <xdr:cNvPr id="10" name="Picture 9">
          <a:extLst>
            <a:ext uri="{FF2B5EF4-FFF2-40B4-BE49-F238E27FC236}">
              <a16:creationId xmlns:a16="http://schemas.microsoft.com/office/drawing/2014/main" id="{BEAC2E7B-3470-8709-31D2-8649B0740C5D}"/>
            </a:ext>
          </a:extLst>
        </xdr:cNvPr>
        <xdr:cNvPicPr>
          <a:picLocks noChangeAspect="1"/>
        </xdr:cNvPicPr>
      </xdr:nvPicPr>
      <xdr:blipFill>
        <a:blip xmlns:r="http://schemas.openxmlformats.org/officeDocument/2006/relationships" r:embed="rId4"/>
        <a:stretch>
          <a:fillRect/>
        </a:stretch>
      </xdr:blipFill>
      <xdr:spPr>
        <a:xfrm>
          <a:off x="19402187" y="720338"/>
          <a:ext cx="4740335" cy="1483091"/>
        </a:xfrm>
        <a:prstGeom prst="rect">
          <a:avLst/>
        </a:prstGeom>
      </xdr:spPr>
    </xdr:pic>
    <xdr:clientData/>
  </xdr:twoCellAnchor>
  <xdr:twoCellAnchor>
    <xdr:from>
      <xdr:col>13</xdr:col>
      <xdr:colOff>861391</xdr:colOff>
      <xdr:row>7</xdr:row>
      <xdr:rowOff>291548</xdr:rowOff>
    </xdr:from>
    <xdr:to>
      <xdr:col>13</xdr:col>
      <xdr:colOff>1338470</xdr:colOff>
      <xdr:row>8</xdr:row>
      <xdr:rowOff>99392</xdr:rowOff>
    </xdr:to>
    <xdr:sp macro="" textlink="">
      <xdr:nvSpPr>
        <xdr:cNvPr id="14" name="Rectangle 13">
          <a:extLst>
            <a:ext uri="{FF2B5EF4-FFF2-40B4-BE49-F238E27FC236}">
              <a16:creationId xmlns:a16="http://schemas.microsoft.com/office/drawing/2014/main" id="{8E918D10-0EEA-9B6F-DE87-EBA2DF2A8BF2}"/>
            </a:ext>
          </a:extLst>
        </xdr:cNvPr>
        <xdr:cNvSpPr/>
      </xdr:nvSpPr>
      <xdr:spPr>
        <a:xfrm>
          <a:off x="19679478" y="3372678"/>
          <a:ext cx="477079" cy="25841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794625</xdr:colOff>
      <xdr:row>7</xdr:row>
      <xdr:rowOff>278296</xdr:rowOff>
    </xdr:from>
    <xdr:to>
      <xdr:col>13</xdr:col>
      <xdr:colOff>1371095</xdr:colOff>
      <xdr:row>8</xdr:row>
      <xdr:rowOff>79513</xdr:rowOff>
    </xdr:to>
    <xdr:sp macro="" textlink="">
      <xdr:nvSpPr>
        <xdr:cNvPr id="15" name="Rectangle 14">
          <a:extLst>
            <a:ext uri="{FF2B5EF4-FFF2-40B4-BE49-F238E27FC236}">
              <a16:creationId xmlns:a16="http://schemas.microsoft.com/office/drawing/2014/main" id="{6ED8B613-307C-D2FF-7B49-5B11D8D77CE7}"/>
            </a:ext>
            <a:ext uri="{147F2762-F138-4A5C-976F-8EAC2B608ADB}">
              <a16:predDERef xmlns:a16="http://schemas.microsoft.com/office/drawing/2014/main" pred="{8E918D10-0EEA-9B6F-DE87-EBA2DF2A8BF2}"/>
            </a:ext>
          </a:extLst>
        </xdr:cNvPr>
        <xdr:cNvSpPr/>
      </xdr:nvSpPr>
      <xdr:spPr>
        <a:xfrm>
          <a:off x="19633610" y="3367327"/>
          <a:ext cx="576470" cy="252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Retail 2</a:t>
          </a:r>
        </a:p>
      </xdr:txBody>
    </xdr:sp>
    <xdr:clientData/>
  </xdr:twoCellAnchor>
  <xdr:twoCellAnchor>
    <xdr:from>
      <xdr:col>13</xdr:col>
      <xdr:colOff>807877</xdr:colOff>
      <xdr:row>8</xdr:row>
      <xdr:rowOff>159027</xdr:rowOff>
    </xdr:from>
    <xdr:to>
      <xdr:col>13</xdr:col>
      <xdr:colOff>1384347</xdr:colOff>
      <xdr:row>9</xdr:row>
      <xdr:rowOff>192157</xdr:rowOff>
    </xdr:to>
    <xdr:sp macro="" textlink="">
      <xdr:nvSpPr>
        <xdr:cNvPr id="18" name="Rectangle 17">
          <a:extLst>
            <a:ext uri="{FF2B5EF4-FFF2-40B4-BE49-F238E27FC236}">
              <a16:creationId xmlns:a16="http://schemas.microsoft.com/office/drawing/2014/main" id="{4935F743-E1D0-432D-ACE5-413B9DB8CA5D}"/>
            </a:ext>
            <a:ext uri="{147F2762-F138-4A5C-976F-8EAC2B608ADB}">
              <a16:predDERef xmlns:a16="http://schemas.microsoft.com/office/drawing/2014/main" pred="{6ED8B613-307C-D2FF-7B49-5B11D8D77CE7}"/>
            </a:ext>
          </a:extLst>
        </xdr:cNvPr>
        <xdr:cNvSpPr/>
      </xdr:nvSpPr>
      <xdr:spPr>
        <a:xfrm>
          <a:off x="19646862" y="3699396"/>
          <a:ext cx="576470" cy="25586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Retail 1</a:t>
          </a:r>
        </a:p>
      </xdr:txBody>
    </xdr:sp>
    <xdr:clientData/>
  </xdr:twoCellAnchor>
  <xdr:twoCellAnchor>
    <xdr:from>
      <xdr:col>14</xdr:col>
      <xdr:colOff>253579</xdr:colOff>
      <xdr:row>7</xdr:row>
      <xdr:rowOff>177377</xdr:rowOff>
    </xdr:from>
    <xdr:to>
      <xdr:col>14</xdr:col>
      <xdr:colOff>830049</xdr:colOff>
      <xdr:row>7</xdr:row>
      <xdr:rowOff>429932</xdr:rowOff>
    </xdr:to>
    <xdr:sp macro="" textlink="">
      <xdr:nvSpPr>
        <xdr:cNvPr id="19" name="Rectangle 18">
          <a:extLst>
            <a:ext uri="{FF2B5EF4-FFF2-40B4-BE49-F238E27FC236}">
              <a16:creationId xmlns:a16="http://schemas.microsoft.com/office/drawing/2014/main" id="{33F9739D-D6C0-4C98-85FC-607BD531D829}"/>
            </a:ext>
            <a:ext uri="{147F2762-F138-4A5C-976F-8EAC2B608ADB}">
              <a16:predDERef xmlns:a16="http://schemas.microsoft.com/office/drawing/2014/main" pred="{4935F743-E1D0-432D-ACE5-413B9DB8CA5D}"/>
            </a:ext>
          </a:extLst>
        </xdr:cNvPr>
        <xdr:cNvSpPr/>
      </xdr:nvSpPr>
      <xdr:spPr>
        <a:xfrm>
          <a:off x="21044456" y="3266408"/>
          <a:ext cx="576470" cy="252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Lobby</a:t>
          </a:r>
        </a:p>
      </xdr:txBody>
    </xdr:sp>
    <xdr:clientData/>
  </xdr:twoCellAnchor>
  <xdr:twoCellAnchor>
    <xdr:from>
      <xdr:col>15</xdr:col>
      <xdr:colOff>1231946</xdr:colOff>
      <xdr:row>8</xdr:row>
      <xdr:rowOff>198785</xdr:rowOff>
    </xdr:from>
    <xdr:to>
      <xdr:col>16</xdr:col>
      <xdr:colOff>73401</xdr:colOff>
      <xdr:row>10</xdr:row>
      <xdr:rowOff>13254</xdr:rowOff>
    </xdr:to>
    <xdr:sp macro="" textlink="">
      <xdr:nvSpPr>
        <xdr:cNvPr id="20" name="Rectangle 19">
          <a:extLst>
            <a:ext uri="{FF2B5EF4-FFF2-40B4-BE49-F238E27FC236}">
              <a16:creationId xmlns:a16="http://schemas.microsoft.com/office/drawing/2014/main" id="{F93B09F4-2701-48DB-A620-5D4CC2C77830}"/>
            </a:ext>
            <a:ext uri="{147F2762-F138-4A5C-976F-8EAC2B608ADB}">
              <a16:predDERef xmlns:a16="http://schemas.microsoft.com/office/drawing/2014/main" pred="{33F9739D-D6C0-4C98-85FC-607BD531D829}"/>
            </a:ext>
          </a:extLst>
        </xdr:cNvPr>
        <xdr:cNvSpPr/>
      </xdr:nvSpPr>
      <xdr:spPr>
        <a:xfrm>
          <a:off x="22890331" y="3739154"/>
          <a:ext cx="576470" cy="25994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Cafe</a:t>
          </a:r>
        </a:p>
      </xdr:txBody>
    </xdr:sp>
    <xdr:clientData/>
  </xdr:twoCellAnchor>
  <xdr:twoCellAnchor>
    <xdr:from>
      <xdr:col>15</xdr:col>
      <xdr:colOff>821128</xdr:colOff>
      <xdr:row>6</xdr:row>
      <xdr:rowOff>357813</xdr:rowOff>
    </xdr:from>
    <xdr:to>
      <xdr:col>15</xdr:col>
      <xdr:colOff>1397598</xdr:colOff>
      <xdr:row>7</xdr:row>
      <xdr:rowOff>159031</xdr:rowOff>
    </xdr:to>
    <xdr:sp macro="" textlink="">
      <xdr:nvSpPr>
        <xdr:cNvPr id="27" name="Rectangle 26">
          <a:extLst>
            <a:ext uri="{FF2B5EF4-FFF2-40B4-BE49-F238E27FC236}">
              <a16:creationId xmlns:a16="http://schemas.microsoft.com/office/drawing/2014/main" id="{D1C3BD39-90CB-494F-9109-D78C7D031242}"/>
            </a:ext>
            <a:ext uri="{147F2762-F138-4A5C-976F-8EAC2B608ADB}">
              <a16:predDERef xmlns:a16="http://schemas.microsoft.com/office/drawing/2014/main" pred="{F93B09F4-2701-48DB-A620-5D4CC2C77830}"/>
            </a:ext>
          </a:extLst>
        </xdr:cNvPr>
        <xdr:cNvSpPr/>
      </xdr:nvSpPr>
      <xdr:spPr>
        <a:xfrm>
          <a:off x="22479513" y="2995505"/>
          <a:ext cx="576470" cy="2525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Office</a:t>
          </a:r>
        </a:p>
      </xdr:txBody>
    </xdr:sp>
    <xdr:clientData/>
  </xdr:twoCellAnchor>
  <xdr:twoCellAnchor>
    <xdr:from>
      <xdr:col>15</xdr:col>
      <xdr:colOff>1483734</xdr:colOff>
      <xdr:row>6</xdr:row>
      <xdr:rowOff>304807</xdr:rowOff>
    </xdr:from>
    <xdr:to>
      <xdr:col>16</xdr:col>
      <xdr:colOff>324169</xdr:colOff>
      <xdr:row>7</xdr:row>
      <xdr:rowOff>106025</xdr:rowOff>
    </xdr:to>
    <xdr:sp macro="" textlink="">
      <xdr:nvSpPr>
        <xdr:cNvPr id="28" name="Rectangle 27">
          <a:extLst>
            <a:ext uri="{FF2B5EF4-FFF2-40B4-BE49-F238E27FC236}">
              <a16:creationId xmlns:a16="http://schemas.microsoft.com/office/drawing/2014/main" id="{D3F128E6-9CDF-4FC2-9F9D-63D984360C3D}"/>
            </a:ext>
            <a:ext uri="{147F2762-F138-4A5C-976F-8EAC2B608ADB}">
              <a16:predDERef xmlns:a16="http://schemas.microsoft.com/office/drawing/2014/main" pred="{D1C3BD39-90CB-494F-9109-D78C7D031242}"/>
            </a:ext>
          </a:extLst>
        </xdr:cNvPr>
        <xdr:cNvSpPr/>
      </xdr:nvSpPr>
      <xdr:spPr>
        <a:xfrm>
          <a:off x="23142119" y="2942499"/>
          <a:ext cx="575450" cy="25255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Storage</a:t>
          </a:r>
        </a:p>
      </xdr:txBody>
    </xdr:sp>
    <xdr:clientData/>
  </xdr:twoCellAnchor>
  <xdr:twoCellAnchor>
    <xdr:from>
      <xdr:col>14</xdr:col>
      <xdr:colOff>799685</xdr:colOff>
      <xdr:row>3</xdr:row>
      <xdr:rowOff>371479</xdr:rowOff>
    </xdr:from>
    <xdr:to>
      <xdr:col>15</xdr:col>
      <xdr:colOff>1190625</xdr:colOff>
      <xdr:row>4</xdr:row>
      <xdr:rowOff>175595</xdr:rowOff>
    </xdr:to>
    <xdr:sp macro="" textlink="">
      <xdr:nvSpPr>
        <xdr:cNvPr id="7" name="Rectangle 29">
          <a:extLst>
            <a:ext uri="{FF2B5EF4-FFF2-40B4-BE49-F238E27FC236}">
              <a16:creationId xmlns:a16="http://schemas.microsoft.com/office/drawing/2014/main" id="{CCE21769-FB8B-49A6-8437-61976522E6FC}"/>
            </a:ext>
            <a:ext uri="{147F2762-F138-4A5C-976F-8EAC2B608ADB}">
              <a16:predDERef xmlns:a16="http://schemas.microsoft.com/office/drawing/2014/main" pred="{20A89C63-FDEE-4549-A3FC-294D9C6DD632}"/>
            </a:ext>
          </a:extLst>
        </xdr:cNvPr>
        <xdr:cNvSpPr/>
      </xdr:nvSpPr>
      <xdr:spPr>
        <a:xfrm>
          <a:off x="22173785" y="1743079"/>
          <a:ext cx="1238665" cy="251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BasementOffice</a:t>
          </a:r>
        </a:p>
      </xdr:txBody>
    </xdr:sp>
    <xdr:clientData/>
  </xdr:twoCellAnchor>
  <xdr:twoCellAnchor>
    <xdr:from>
      <xdr:col>15</xdr:col>
      <xdr:colOff>43483</xdr:colOff>
      <xdr:row>2</xdr:row>
      <xdr:rowOff>20293</xdr:rowOff>
    </xdr:from>
    <xdr:to>
      <xdr:col>15</xdr:col>
      <xdr:colOff>924753</xdr:colOff>
      <xdr:row>2</xdr:row>
      <xdr:rowOff>434838</xdr:rowOff>
    </xdr:to>
    <xdr:sp macro="" textlink="">
      <xdr:nvSpPr>
        <xdr:cNvPr id="6" name="Rectangle 30">
          <a:extLst>
            <a:ext uri="{FF2B5EF4-FFF2-40B4-BE49-F238E27FC236}">
              <a16:creationId xmlns:a16="http://schemas.microsoft.com/office/drawing/2014/main" id="{F159D9D7-7CAC-4275-87CF-A6908B3D8710}"/>
            </a:ext>
            <a:ext uri="{147F2762-F138-4A5C-976F-8EAC2B608ADB}">
              <a16:predDERef xmlns:a16="http://schemas.microsoft.com/office/drawing/2014/main" pred="{CCE21769-FB8B-49A6-8437-61976522E6FC}"/>
            </a:ext>
          </a:extLst>
        </xdr:cNvPr>
        <xdr:cNvSpPr/>
      </xdr:nvSpPr>
      <xdr:spPr>
        <a:xfrm>
          <a:off x="22265308" y="944218"/>
          <a:ext cx="881270" cy="41454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Basement-Mechanical</a:t>
          </a:r>
        </a:p>
      </xdr:txBody>
    </xdr:sp>
    <xdr:clientData/>
  </xdr:twoCellAnchor>
  <xdr:twoCellAnchor>
    <xdr:from>
      <xdr:col>14</xdr:col>
      <xdr:colOff>734281</xdr:colOff>
      <xdr:row>3</xdr:row>
      <xdr:rowOff>28993</xdr:rowOff>
    </xdr:from>
    <xdr:to>
      <xdr:col>15</xdr:col>
      <xdr:colOff>1125221</xdr:colOff>
      <xdr:row>3</xdr:row>
      <xdr:rowOff>280784</xdr:rowOff>
    </xdr:to>
    <xdr:sp macro="" textlink="">
      <xdr:nvSpPr>
        <xdr:cNvPr id="2" name="Rectangle 31">
          <a:extLst>
            <a:ext uri="{FF2B5EF4-FFF2-40B4-BE49-F238E27FC236}">
              <a16:creationId xmlns:a16="http://schemas.microsoft.com/office/drawing/2014/main" id="{DE1A7AAE-2DE7-4B01-BD0F-2B9E1CFE6447}"/>
            </a:ext>
            <a:ext uri="{147F2762-F138-4A5C-976F-8EAC2B608ADB}">
              <a16:predDERef xmlns:a16="http://schemas.microsoft.com/office/drawing/2014/main" pred="{F159D9D7-7CAC-4275-87CF-A6908B3D8710}"/>
            </a:ext>
          </a:extLst>
        </xdr:cNvPr>
        <xdr:cNvSpPr/>
      </xdr:nvSpPr>
      <xdr:spPr>
        <a:xfrm>
          <a:off x="22108381" y="1400593"/>
          <a:ext cx="1238665" cy="251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BasementLaundry</a:t>
          </a:r>
        </a:p>
      </xdr:txBody>
    </xdr:sp>
    <xdr:clientData/>
  </xdr:twoCellAnchor>
  <xdr:twoCellAnchor>
    <xdr:from>
      <xdr:col>15</xdr:col>
      <xdr:colOff>1000538</xdr:colOff>
      <xdr:row>3</xdr:row>
      <xdr:rowOff>125900</xdr:rowOff>
    </xdr:from>
    <xdr:to>
      <xdr:col>16</xdr:col>
      <xdr:colOff>523460</xdr:colOff>
      <xdr:row>3</xdr:row>
      <xdr:rowOff>377691</xdr:rowOff>
    </xdr:to>
    <xdr:sp macro="" textlink="">
      <xdr:nvSpPr>
        <xdr:cNvPr id="33" name="Rectangle 32">
          <a:extLst>
            <a:ext uri="{FF2B5EF4-FFF2-40B4-BE49-F238E27FC236}">
              <a16:creationId xmlns:a16="http://schemas.microsoft.com/office/drawing/2014/main" id="{B9A57854-DBE0-4C18-A40C-10A4A202829B}"/>
            </a:ext>
            <a:ext uri="{147F2762-F138-4A5C-976F-8EAC2B608ADB}">
              <a16:predDERef xmlns:a16="http://schemas.microsoft.com/office/drawing/2014/main" pred="{DE1A7AAE-2DE7-4B01-BD0F-2B9E1CFE6447}"/>
            </a:ext>
          </a:extLst>
        </xdr:cNvPr>
        <xdr:cNvSpPr/>
      </xdr:nvSpPr>
      <xdr:spPr>
        <a:xfrm>
          <a:off x="22634712" y="1404735"/>
          <a:ext cx="1258957" cy="251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BasementConference</a:t>
          </a:r>
        </a:p>
      </xdr:txBody>
    </xdr:sp>
    <xdr:clientData/>
  </xdr:twoCellAnchor>
  <xdr:twoCellAnchor>
    <xdr:from>
      <xdr:col>13</xdr:col>
      <xdr:colOff>1557129</xdr:colOff>
      <xdr:row>3</xdr:row>
      <xdr:rowOff>86143</xdr:rowOff>
    </xdr:from>
    <xdr:to>
      <xdr:col>14</xdr:col>
      <xdr:colOff>868016</xdr:colOff>
      <xdr:row>3</xdr:row>
      <xdr:rowOff>337934</xdr:rowOff>
    </xdr:to>
    <xdr:sp macro="" textlink="">
      <xdr:nvSpPr>
        <xdr:cNvPr id="34" name="Rectangle 33">
          <a:extLst>
            <a:ext uri="{FF2B5EF4-FFF2-40B4-BE49-F238E27FC236}">
              <a16:creationId xmlns:a16="http://schemas.microsoft.com/office/drawing/2014/main" id="{CE78420E-F6CA-47A5-A06A-56AED0BA3C7E}"/>
            </a:ext>
            <a:ext uri="{147F2762-F138-4A5C-976F-8EAC2B608ADB}">
              <a16:predDERef xmlns:a16="http://schemas.microsoft.com/office/drawing/2014/main" pred="{B9A57854-DBE0-4C18-A40C-10A4A202829B}"/>
            </a:ext>
          </a:extLst>
        </xdr:cNvPr>
        <xdr:cNvSpPr/>
      </xdr:nvSpPr>
      <xdr:spPr>
        <a:xfrm>
          <a:off x="20375216" y="1364978"/>
          <a:ext cx="1258957" cy="2517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BasementService</a:t>
          </a:r>
        </a:p>
      </xdr:txBody>
    </xdr:sp>
    <xdr:clientData/>
  </xdr:twoCellAnchor>
  <xdr:twoCellAnchor>
    <xdr:from>
      <xdr:col>13</xdr:col>
      <xdr:colOff>738805</xdr:colOff>
      <xdr:row>3</xdr:row>
      <xdr:rowOff>15452</xdr:rowOff>
    </xdr:from>
    <xdr:to>
      <xdr:col>13</xdr:col>
      <xdr:colOff>1527310</xdr:colOff>
      <xdr:row>4</xdr:row>
      <xdr:rowOff>6626</xdr:rowOff>
    </xdr:to>
    <xdr:sp macro="" textlink="">
      <xdr:nvSpPr>
        <xdr:cNvPr id="35" name="Rectangle 34">
          <a:extLst>
            <a:ext uri="{FF2B5EF4-FFF2-40B4-BE49-F238E27FC236}">
              <a16:creationId xmlns:a16="http://schemas.microsoft.com/office/drawing/2014/main" id="{3F749F23-1363-4A5C-9D03-A0D353F710F6}"/>
            </a:ext>
            <a:ext uri="{147F2762-F138-4A5C-976F-8EAC2B608ADB}">
              <a16:predDERef xmlns:a16="http://schemas.microsoft.com/office/drawing/2014/main" pred="{CE78420E-F6CA-47A5-A06A-56AED0BA3C7E}"/>
            </a:ext>
          </a:extLst>
        </xdr:cNvPr>
        <xdr:cNvSpPr/>
      </xdr:nvSpPr>
      <xdr:spPr>
        <a:xfrm>
          <a:off x="19577790" y="1299129"/>
          <a:ext cx="788505" cy="4425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Basement-Storage</a:t>
          </a:r>
        </a:p>
      </xdr:txBody>
    </xdr:sp>
    <xdr:clientData/>
  </xdr:twoCellAnchor>
  <xdr:twoCellAnchor>
    <xdr:from>
      <xdr:col>14</xdr:col>
      <xdr:colOff>726831</xdr:colOff>
      <xdr:row>9</xdr:row>
      <xdr:rowOff>199292</xdr:rowOff>
    </xdr:from>
    <xdr:to>
      <xdr:col>15</xdr:col>
      <xdr:colOff>597876</xdr:colOff>
      <xdr:row>11</xdr:row>
      <xdr:rowOff>175847</xdr:rowOff>
    </xdr:to>
    <xdr:sp macro="" textlink="">
      <xdr:nvSpPr>
        <xdr:cNvPr id="36" name="Rectangle 35">
          <a:extLst>
            <a:ext uri="{FF2B5EF4-FFF2-40B4-BE49-F238E27FC236}">
              <a16:creationId xmlns:a16="http://schemas.microsoft.com/office/drawing/2014/main" id="{EDE58743-E857-4402-8796-1E5519F2E885}"/>
            </a:ext>
            <a:ext uri="{147F2762-F138-4A5C-976F-8EAC2B608ADB}">
              <a16:predDERef xmlns:a16="http://schemas.microsoft.com/office/drawing/2014/main" pred="{3F749F23-1363-4A5C-9D03-A0D353F710F6}"/>
            </a:ext>
          </a:extLst>
        </xdr:cNvPr>
        <xdr:cNvSpPr/>
      </xdr:nvSpPr>
      <xdr:spPr>
        <a:xfrm>
          <a:off x="21517708" y="3962400"/>
          <a:ext cx="738553" cy="4220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900"/>
            <a:t>Canopy Shading</a:t>
          </a:r>
        </a:p>
      </xdr:txBody>
    </xdr:sp>
    <xdr:clientData/>
  </xdr:twoCellAnchor>
  <xdr:twoCellAnchor>
    <xdr:from>
      <xdr:col>15</xdr:col>
      <xdr:colOff>138106</xdr:colOff>
      <xdr:row>14</xdr:row>
      <xdr:rowOff>825284</xdr:rowOff>
    </xdr:from>
    <xdr:to>
      <xdr:col>15</xdr:col>
      <xdr:colOff>714576</xdr:colOff>
      <xdr:row>14</xdr:row>
      <xdr:rowOff>1076080</xdr:rowOff>
    </xdr:to>
    <xdr:sp macro="" textlink="">
      <xdr:nvSpPr>
        <xdr:cNvPr id="37" name="Rectangle 36">
          <a:extLst>
            <a:ext uri="{FF2B5EF4-FFF2-40B4-BE49-F238E27FC236}">
              <a16:creationId xmlns:a16="http://schemas.microsoft.com/office/drawing/2014/main" id="{324EBF79-D5EA-46BF-B8D3-C53FB5C79200}"/>
            </a:ext>
            <a:ext uri="{147F2762-F138-4A5C-976F-8EAC2B608ADB}">
              <a16:predDERef xmlns:a16="http://schemas.microsoft.com/office/drawing/2014/main" pred="{EDE58743-E857-4402-8796-1E5519F2E885}"/>
            </a:ext>
          </a:extLst>
        </xdr:cNvPr>
        <xdr:cNvSpPr/>
      </xdr:nvSpPr>
      <xdr:spPr>
        <a:xfrm>
          <a:off x="22931431" y="5730659"/>
          <a:ext cx="576470" cy="25079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Corridor</a:t>
          </a:r>
        </a:p>
      </xdr:txBody>
    </xdr:sp>
    <xdr:clientData/>
  </xdr:twoCellAnchor>
  <xdr:twoCellAnchor>
    <xdr:from>
      <xdr:col>15</xdr:col>
      <xdr:colOff>1529</xdr:colOff>
      <xdr:row>25</xdr:row>
      <xdr:rowOff>153932</xdr:rowOff>
    </xdr:from>
    <xdr:to>
      <xdr:col>15</xdr:col>
      <xdr:colOff>577999</xdr:colOff>
      <xdr:row>26</xdr:row>
      <xdr:rowOff>183748</xdr:rowOff>
    </xdr:to>
    <xdr:sp macro="" textlink="">
      <xdr:nvSpPr>
        <xdr:cNvPr id="38" name="Rectangle 37">
          <a:extLst>
            <a:ext uri="{FF2B5EF4-FFF2-40B4-BE49-F238E27FC236}">
              <a16:creationId xmlns:a16="http://schemas.microsoft.com/office/drawing/2014/main" id="{D62B252F-3B75-47A3-AC48-B13509C97F07}"/>
            </a:ext>
            <a:ext uri="{147F2762-F138-4A5C-976F-8EAC2B608ADB}">
              <a16:predDERef xmlns:a16="http://schemas.microsoft.com/office/drawing/2014/main" pred="{324EBF79-D5EA-46BF-B8D3-C53FB5C79200}"/>
            </a:ext>
          </a:extLst>
        </xdr:cNvPr>
        <xdr:cNvSpPr/>
      </xdr:nvSpPr>
      <xdr:spPr>
        <a:xfrm>
          <a:off x="21659914" y="7920470"/>
          <a:ext cx="576470" cy="252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Corridor</a:t>
          </a:r>
        </a:p>
      </xdr:txBody>
    </xdr:sp>
    <xdr:clientData/>
  </xdr:twoCellAnchor>
  <xdr:twoCellAnchor>
    <xdr:from>
      <xdr:col>15</xdr:col>
      <xdr:colOff>845591</xdr:colOff>
      <xdr:row>24</xdr:row>
      <xdr:rowOff>1531</xdr:rowOff>
    </xdr:from>
    <xdr:to>
      <xdr:col>15</xdr:col>
      <xdr:colOff>1422061</xdr:colOff>
      <xdr:row>25</xdr:row>
      <xdr:rowOff>31348</xdr:rowOff>
    </xdr:to>
    <xdr:sp macro="" textlink="">
      <xdr:nvSpPr>
        <xdr:cNvPr id="39" name="Rectangle 38">
          <a:extLst>
            <a:ext uri="{FF2B5EF4-FFF2-40B4-BE49-F238E27FC236}">
              <a16:creationId xmlns:a16="http://schemas.microsoft.com/office/drawing/2014/main" id="{7E761794-15DC-434F-8CFB-C107C7D278A7}"/>
            </a:ext>
            <a:ext uri="{147F2762-F138-4A5C-976F-8EAC2B608ADB}">
              <a16:predDERef xmlns:a16="http://schemas.microsoft.com/office/drawing/2014/main" pred="{D62B252F-3B75-47A3-AC48-B13509C97F07}"/>
            </a:ext>
          </a:extLst>
        </xdr:cNvPr>
        <xdr:cNvSpPr/>
      </xdr:nvSpPr>
      <xdr:spPr>
        <a:xfrm>
          <a:off x="22503976" y="7545331"/>
          <a:ext cx="576470" cy="252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Dining</a:t>
          </a:r>
        </a:p>
      </xdr:txBody>
    </xdr:sp>
    <xdr:clientData/>
  </xdr:twoCellAnchor>
  <xdr:twoCellAnchor>
    <xdr:from>
      <xdr:col>13</xdr:col>
      <xdr:colOff>1900667</xdr:colOff>
      <xdr:row>24</xdr:row>
      <xdr:rowOff>48423</xdr:rowOff>
    </xdr:from>
    <xdr:to>
      <xdr:col>14</xdr:col>
      <xdr:colOff>650630</xdr:colOff>
      <xdr:row>25</xdr:row>
      <xdr:rowOff>78240</xdr:rowOff>
    </xdr:to>
    <xdr:sp macro="" textlink="">
      <xdr:nvSpPr>
        <xdr:cNvPr id="40" name="Rectangle 39">
          <a:extLst>
            <a:ext uri="{FF2B5EF4-FFF2-40B4-BE49-F238E27FC236}">
              <a16:creationId xmlns:a16="http://schemas.microsoft.com/office/drawing/2014/main" id="{5924F52B-854E-4CDD-B696-A2A47E8C8C39}"/>
            </a:ext>
            <a:ext uri="{147F2762-F138-4A5C-976F-8EAC2B608ADB}">
              <a16:predDERef xmlns:a16="http://schemas.microsoft.com/office/drawing/2014/main" pred="{7E761794-15DC-434F-8CFB-C107C7D278A7}"/>
            </a:ext>
          </a:extLst>
        </xdr:cNvPr>
        <xdr:cNvSpPr/>
      </xdr:nvSpPr>
      <xdr:spPr>
        <a:xfrm>
          <a:off x="20739652" y="7592223"/>
          <a:ext cx="701855" cy="2525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Banquet</a:t>
          </a:r>
        </a:p>
      </xdr:txBody>
    </xdr:sp>
    <xdr:clientData/>
  </xdr:twoCellAnchor>
  <xdr:twoCellAnchor>
    <xdr:from>
      <xdr:col>16</xdr:col>
      <xdr:colOff>106891</xdr:colOff>
      <xdr:row>24</xdr:row>
      <xdr:rowOff>87695</xdr:rowOff>
    </xdr:from>
    <xdr:to>
      <xdr:col>16</xdr:col>
      <xdr:colOff>808746</xdr:colOff>
      <xdr:row>25</xdr:row>
      <xdr:rowOff>117512</xdr:rowOff>
    </xdr:to>
    <xdr:sp macro="" textlink="">
      <xdr:nvSpPr>
        <xdr:cNvPr id="59" name="Rectangle 40">
          <a:extLst>
            <a:ext uri="{FF2B5EF4-FFF2-40B4-BE49-F238E27FC236}">
              <a16:creationId xmlns:a16="http://schemas.microsoft.com/office/drawing/2014/main" id="{CECBD267-91A6-4DD2-BC46-6C7B634A2BE7}"/>
            </a:ext>
            <a:ext uri="{147F2762-F138-4A5C-976F-8EAC2B608ADB}">
              <a16:predDERef xmlns:a16="http://schemas.microsoft.com/office/drawing/2014/main" pred="{5924F52B-854E-4CDD-B696-A2A47E8C8C39}"/>
            </a:ext>
          </a:extLst>
        </xdr:cNvPr>
        <xdr:cNvSpPr/>
      </xdr:nvSpPr>
      <xdr:spPr>
        <a:xfrm>
          <a:off x="24689011" y="7951535"/>
          <a:ext cx="701855" cy="25079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Kitchen</a:t>
          </a:r>
        </a:p>
      </xdr:txBody>
    </xdr:sp>
    <xdr:clientData/>
  </xdr:twoCellAnchor>
  <xdr:twoCellAnchor>
    <xdr:from>
      <xdr:col>13</xdr:col>
      <xdr:colOff>1457325</xdr:colOff>
      <xdr:row>26</xdr:row>
      <xdr:rowOff>200025</xdr:rowOff>
    </xdr:from>
    <xdr:to>
      <xdr:col>14</xdr:col>
      <xdr:colOff>495300</xdr:colOff>
      <xdr:row>28</xdr:row>
      <xdr:rowOff>200025</xdr:rowOff>
    </xdr:to>
    <xdr:sp macro="" textlink="">
      <xdr:nvSpPr>
        <xdr:cNvPr id="52" name="Rectangle 42">
          <a:extLst>
            <a:ext uri="{FF2B5EF4-FFF2-40B4-BE49-F238E27FC236}">
              <a16:creationId xmlns:a16="http://schemas.microsoft.com/office/drawing/2014/main" id="{1BB0D22A-B46D-4B07-BB0D-7B43EDF3DF67}"/>
            </a:ext>
            <a:ext uri="{147F2762-F138-4A5C-976F-8EAC2B608ADB}">
              <a16:predDERef xmlns:a16="http://schemas.microsoft.com/office/drawing/2014/main" pred="{CECBD267-91A6-4DD2-BC46-6C7B634A2BE7}"/>
            </a:ext>
          </a:extLst>
        </xdr:cNvPr>
        <xdr:cNvSpPr/>
      </xdr:nvSpPr>
      <xdr:spPr>
        <a:xfrm>
          <a:off x="21507450" y="8886825"/>
          <a:ext cx="933450" cy="438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Guest Room with multiplier </a:t>
          </a:r>
        </a:p>
      </xdr:txBody>
    </xdr:sp>
    <xdr:clientData/>
  </xdr:twoCellAnchor>
  <xdr:twoCellAnchor>
    <xdr:from>
      <xdr:col>13</xdr:col>
      <xdr:colOff>1442085</xdr:colOff>
      <xdr:row>14</xdr:row>
      <xdr:rowOff>1127760</xdr:rowOff>
    </xdr:from>
    <xdr:to>
      <xdr:col>14</xdr:col>
      <xdr:colOff>470535</xdr:colOff>
      <xdr:row>17</xdr:row>
      <xdr:rowOff>81915</xdr:rowOff>
    </xdr:to>
    <xdr:sp macro="" textlink="">
      <xdr:nvSpPr>
        <xdr:cNvPr id="24" name="Rectangle 47">
          <a:extLst>
            <a:ext uri="{FF2B5EF4-FFF2-40B4-BE49-F238E27FC236}">
              <a16:creationId xmlns:a16="http://schemas.microsoft.com/office/drawing/2014/main" id="{E707FCB4-C4B8-4A8F-9DBD-C13EB3D823EE}"/>
            </a:ext>
            <a:ext uri="{147F2762-F138-4A5C-976F-8EAC2B608ADB}">
              <a16:predDERef xmlns:a16="http://schemas.microsoft.com/office/drawing/2014/main" pred="{1BB0D22A-B46D-4B07-BB0D-7B43EDF3DF67}"/>
            </a:ext>
          </a:extLst>
        </xdr:cNvPr>
        <xdr:cNvSpPr/>
      </xdr:nvSpPr>
      <xdr:spPr>
        <a:xfrm>
          <a:off x="21492210" y="6033135"/>
          <a:ext cx="923925" cy="5448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900">
              <a:solidFill>
                <a:schemeClr val="tx1"/>
              </a:solidFill>
              <a:latin typeface="+mn-lt"/>
              <a:ea typeface="+mn-lt"/>
              <a:cs typeface="+mn-lt"/>
            </a:rPr>
            <a:t>Guest Room with multiplier at FloorM</a:t>
          </a:r>
        </a:p>
      </xdr:txBody>
    </xdr:sp>
    <xdr:clientData/>
  </xdr:twoCellAnchor>
  <xdr:twoCellAnchor editAs="oneCell">
    <xdr:from>
      <xdr:col>17</xdr:col>
      <xdr:colOff>636106</xdr:colOff>
      <xdr:row>23</xdr:row>
      <xdr:rowOff>84719</xdr:rowOff>
    </xdr:from>
    <xdr:to>
      <xdr:col>20</xdr:col>
      <xdr:colOff>514268</xdr:colOff>
      <xdr:row>27</xdr:row>
      <xdr:rowOff>130574</xdr:rowOff>
    </xdr:to>
    <xdr:pic>
      <xdr:nvPicPr>
        <xdr:cNvPr id="3" name="Picture 2">
          <a:extLst>
            <a:ext uri="{FF2B5EF4-FFF2-40B4-BE49-F238E27FC236}">
              <a16:creationId xmlns:a16="http://schemas.microsoft.com/office/drawing/2014/main" id="{BEF6CBA7-9029-E742-45A4-F6143D1D2660}"/>
            </a:ext>
          </a:extLst>
        </xdr:cNvPr>
        <xdr:cNvPicPr>
          <a:picLocks noChangeAspect="1"/>
        </xdr:cNvPicPr>
      </xdr:nvPicPr>
      <xdr:blipFill>
        <a:blip xmlns:r="http://schemas.openxmlformats.org/officeDocument/2006/relationships" r:embed="rId5"/>
        <a:stretch>
          <a:fillRect/>
        </a:stretch>
      </xdr:blipFill>
      <xdr:spPr>
        <a:xfrm>
          <a:off x="25536941" y="7439676"/>
          <a:ext cx="4460598" cy="909068"/>
        </a:xfrm>
        <a:prstGeom prst="rect">
          <a:avLst/>
        </a:prstGeom>
      </xdr:spPr>
    </xdr:pic>
    <xdr:clientData/>
  </xdr:twoCellAnchor>
  <xdr:twoCellAnchor editAs="oneCell">
    <xdr:from>
      <xdr:col>17</xdr:col>
      <xdr:colOff>576979</xdr:colOff>
      <xdr:row>14</xdr:row>
      <xdr:rowOff>453851</xdr:rowOff>
    </xdr:from>
    <xdr:to>
      <xdr:col>20</xdr:col>
      <xdr:colOff>597714</xdr:colOff>
      <xdr:row>16</xdr:row>
      <xdr:rowOff>243</xdr:rowOff>
    </xdr:to>
    <xdr:pic>
      <xdr:nvPicPr>
        <xdr:cNvPr id="5" name="Picture 4">
          <a:extLst>
            <a:ext uri="{FF2B5EF4-FFF2-40B4-BE49-F238E27FC236}">
              <a16:creationId xmlns:a16="http://schemas.microsoft.com/office/drawing/2014/main" id="{BF3AD848-F082-03AE-92C3-684B70CD8250}"/>
            </a:ext>
          </a:extLst>
        </xdr:cNvPr>
        <xdr:cNvPicPr>
          <a:picLocks noChangeAspect="1"/>
        </xdr:cNvPicPr>
      </xdr:nvPicPr>
      <xdr:blipFill>
        <a:blip xmlns:r="http://schemas.openxmlformats.org/officeDocument/2006/relationships" r:embed="rId6"/>
        <a:stretch>
          <a:fillRect/>
        </a:stretch>
      </xdr:blipFill>
      <xdr:spPr>
        <a:xfrm>
          <a:off x="27109819" y="5368751"/>
          <a:ext cx="4592735" cy="925612"/>
        </a:xfrm>
        <a:prstGeom prst="rect">
          <a:avLst/>
        </a:prstGeom>
      </xdr:spPr>
    </xdr:pic>
    <xdr:clientData/>
  </xdr:twoCellAnchor>
  <xdr:twoCellAnchor>
    <xdr:from>
      <xdr:col>16</xdr:col>
      <xdr:colOff>407457</xdr:colOff>
      <xdr:row>6</xdr:row>
      <xdr:rowOff>221193</xdr:rowOff>
    </xdr:from>
    <xdr:to>
      <xdr:col>16</xdr:col>
      <xdr:colOff>656349</xdr:colOff>
      <xdr:row>8</xdr:row>
      <xdr:rowOff>27698</xdr:rowOff>
    </xdr:to>
    <xdr:sp macro="" textlink="">
      <xdr:nvSpPr>
        <xdr:cNvPr id="4" name="Rectangle 3">
          <a:extLst>
            <a:ext uri="{FF2B5EF4-FFF2-40B4-BE49-F238E27FC236}">
              <a16:creationId xmlns:a16="http://schemas.microsoft.com/office/drawing/2014/main" id="{EAF7211F-678B-4710-A298-550521E1EA4D}"/>
            </a:ext>
            <a:ext uri="{147F2762-F138-4A5C-976F-8EAC2B608ADB}">
              <a16:predDERef xmlns:a16="http://schemas.microsoft.com/office/drawing/2014/main" pred="{BF3AD848-F082-03AE-92C3-684B70CD8250}"/>
            </a:ext>
          </a:extLst>
        </xdr:cNvPr>
        <xdr:cNvSpPr/>
      </xdr:nvSpPr>
      <xdr:spPr>
        <a:xfrm rot="16111872">
          <a:off x="24660225" y="3162300"/>
          <a:ext cx="701855" cy="2488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a:solidFill>
                <a:schemeClr val="tx1"/>
              </a:solidFill>
              <a:latin typeface="+mn-lt"/>
              <a:ea typeface="+mn-lt"/>
              <a:cs typeface="+mn-lt"/>
            </a:rPr>
            <a:t>Kitchen</a:t>
          </a:r>
        </a:p>
      </xdr:txBody>
    </xdr:sp>
    <xdr:clientData/>
  </xdr:twoCellAnchor>
  <xdr:twoCellAnchor>
    <xdr:from>
      <xdr:col>16</xdr:col>
      <xdr:colOff>309563</xdr:colOff>
      <xdr:row>14</xdr:row>
      <xdr:rowOff>442912</xdr:rowOff>
    </xdr:from>
    <xdr:to>
      <xdr:col>16</xdr:col>
      <xdr:colOff>557213</xdr:colOff>
      <xdr:row>15</xdr:row>
      <xdr:rowOff>176212</xdr:rowOff>
    </xdr:to>
    <xdr:sp macro="" textlink="">
      <xdr:nvSpPr>
        <xdr:cNvPr id="8" name="Rectangle 7">
          <a:extLst>
            <a:ext uri="{FF2B5EF4-FFF2-40B4-BE49-F238E27FC236}">
              <a16:creationId xmlns:a16="http://schemas.microsoft.com/office/drawing/2014/main" id="{7E060C7A-9C8F-4A73-873C-E52021A85CB6}"/>
            </a:ext>
            <a:ext uri="{147F2762-F138-4A5C-976F-8EAC2B608ADB}">
              <a16:predDERef xmlns:a16="http://schemas.microsoft.com/office/drawing/2014/main" pred="{EAF7211F-678B-4710-A298-550521E1EA4D}"/>
            </a:ext>
          </a:extLst>
        </xdr:cNvPr>
        <xdr:cNvSpPr/>
      </xdr:nvSpPr>
      <xdr:spPr>
        <a:xfrm rot="16200000">
          <a:off x="24469725" y="5667375"/>
          <a:ext cx="8858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a:solidFill>
                <a:schemeClr val="tx1"/>
              </a:solidFill>
              <a:latin typeface="+mn-lt"/>
              <a:ea typeface="+mn-lt"/>
              <a:cs typeface="+mn-lt"/>
            </a:rPr>
            <a:t>Guest Rooms</a:t>
          </a:r>
        </a:p>
      </xdr:txBody>
    </xdr:sp>
    <xdr:clientData/>
  </xdr:twoCellAnchor>
  <xdr:twoCellAnchor>
    <xdr:from>
      <xdr:col>13</xdr:col>
      <xdr:colOff>866775</xdr:colOff>
      <xdr:row>14</xdr:row>
      <xdr:rowOff>447675</xdr:rowOff>
    </xdr:from>
    <xdr:to>
      <xdr:col>13</xdr:col>
      <xdr:colOff>1114425</xdr:colOff>
      <xdr:row>15</xdr:row>
      <xdr:rowOff>180975</xdr:rowOff>
    </xdr:to>
    <xdr:sp macro="" textlink="">
      <xdr:nvSpPr>
        <xdr:cNvPr id="9" name="Rectangle 8">
          <a:extLst>
            <a:ext uri="{FF2B5EF4-FFF2-40B4-BE49-F238E27FC236}">
              <a16:creationId xmlns:a16="http://schemas.microsoft.com/office/drawing/2014/main" id="{4F89163B-BFE6-4C12-B1E4-D72C387A236C}"/>
            </a:ext>
            <a:ext uri="{147F2762-F138-4A5C-976F-8EAC2B608ADB}">
              <a16:predDERef xmlns:a16="http://schemas.microsoft.com/office/drawing/2014/main" pred="{7E060C7A-9C8F-4A73-873C-E52021A85CB6}"/>
            </a:ext>
          </a:extLst>
        </xdr:cNvPr>
        <xdr:cNvSpPr/>
      </xdr:nvSpPr>
      <xdr:spPr>
        <a:xfrm rot="16200000">
          <a:off x="20597812" y="5672138"/>
          <a:ext cx="8858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a:solidFill>
                <a:schemeClr val="tx1"/>
              </a:solidFill>
              <a:latin typeface="+mn-lt"/>
              <a:ea typeface="+mn-lt"/>
              <a:cs typeface="+mn-lt"/>
            </a:rPr>
            <a:t>Guest Rooms</a:t>
          </a:r>
        </a:p>
      </xdr:txBody>
    </xdr:sp>
    <xdr:clientData/>
  </xdr:twoCellAnchor>
  <xdr:twoCellAnchor>
    <xdr:from>
      <xdr:col>13</xdr:col>
      <xdr:colOff>1638300</xdr:colOff>
      <xdr:row>14</xdr:row>
      <xdr:rowOff>285750</xdr:rowOff>
    </xdr:from>
    <xdr:to>
      <xdr:col>14</xdr:col>
      <xdr:colOff>666750</xdr:colOff>
      <xdr:row>14</xdr:row>
      <xdr:rowOff>830580</xdr:rowOff>
    </xdr:to>
    <xdr:sp macro="" textlink="">
      <xdr:nvSpPr>
        <xdr:cNvPr id="12" name="Rectangle 11">
          <a:extLst>
            <a:ext uri="{FF2B5EF4-FFF2-40B4-BE49-F238E27FC236}">
              <a16:creationId xmlns:a16="http://schemas.microsoft.com/office/drawing/2014/main" id="{66E0F352-72FA-48F4-B08C-0CC9160AFE3C}"/>
            </a:ext>
            <a:ext uri="{147F2762-F138-4A5C-976F-8EAC2B608ADB}">
              <a16:predDERef xmlns:a16="http://schemas.microsoft.com/office/drawing/2014/main" pred="{4F89163B-BFE6-4C12-B1E4-D72C387A236C}"/>
            </a:ext>
          </a:extLst>
        </xdr:cNvPr>
        <xdr:cNvSpPr/>
      </xdr:nvSpPr>
      <xdr:spPr>
        <a:xfrm>
          <a:off x="21688425" y="5191125"/>
          <a:ext cx="923925" cy="5448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a:solidFill>
                <a:schemeClr val="tx1"/>
              </a:solidFill>
              <a:latin typeface="+mn-lt"/>
              <a:ea typeface="+mn-lt"/>
              <a:cs typeface="+mn-lt"/>
            </a:rPr>
            <a:t>Guest Room with multiplier at FloorM</a:t>
          </a:r>
        </a:p>
      </xdr:txBody>
    </xdr:sp>
    <xdr:clientData/>
  </xdr:twoCellAnchor>
  <xdr:twoCellAnchor>
    <xdr:from>
      <xdr:col>13</xdr:col>
      <xdr:colOff>1266825</xdr:colOff>
      <xdr:row>15</xdr:row>
      <xdr:rowOff>76200</xdr:rowOff>
    </xdr:from>
    <xdr:to>
      <xdr:col>13</xdr:col>
      <xdr:colOff>1495425</xdr:colOff>
      <xdr:row>16</xdr:row>
      <xdr:rowOff>9525</xdr:rowOff>
    </xdr:to>
    <xdr:cxnSp macro="">
      <xdr:nvCxnSpPr>
        <xdr:cNvPr id="16" name="Straight Connector 15">
          <a:extLst>
            <a:ext uri="{FF2B5EF4-FFF2-40B4-BE49-F238E27FC236}">
              <a16:creationId xmlns:a16="http://schemas.microsoft.com/office/drawing/2014/main" id="{E32A6AE9-27AE-166D-BFD0-0624A740417E}"/>
            </a:ext>
            <a:ext uri="{147F2762-F138-4A5C-976F-8EAC2B608ADB}">
              <a16:predDERef xmlns:a16="http://schemas.microsoft.com/office/drawing/2014/main" pred="{66E0F352-72FA-48F4-B08C-0CC9160AFE3C}"/>
            </a:ext>
          </a:extLst>
        </xdr:cNvPr>
        <xdr:cNvCxnSpPr>
          <a:cxnSpLocks/>
          <a:extLst>
            <a:ext uri="{5F17804C-33F3-41E3-A699-7DCFA2EF7971}">
              <a16:cxnDERefs xmlns:a16="http://schemas.microsoft.com/office/drawing/2014/main" st="{00000000-0000-0000-0000-000000000000}" end="{E707FCB4-C4B8-4A8F-9DBD-C13EB3D823EE}"/>
            </a:ext>
          </a:extLst>
        </xdr:cNvCxnSpPr>
      </xdr:nvCxnSpPr>
      <xdr:spPr>
        <a:xfrm flipH="1" flipV="1">
          <a:off x="21316950" y="6134100"/>
          <a:ext cx="228600" cy="152400"/>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1371600</xdr:colOff>
      <xdr:row>14</xdr:row>
      <xdr:rowOff>558165</xdr:rowOff>
    </xdr:from>
    <xdr:to>
      <xdr:col>13</xdr:col>
      <xdr:colOff>1638300</xdr:colOff>
      <xdr:row>14</xdr:row>
      <xdr:rowOff>742950</xdr:rowOff>
    </xdr:to>
    <xdr:cxnSp macro="">
      <xdr:nvCxnSpPr>
        <xdr:cNvPr id="17" name="Straight Connector 16">
          <a:extLst>
            <a:ext uri="{FF2B5EF4-FFF2-40B4-BE49-F238E27FC236}">
              <a16:creationId xmlns:a16="http://schemas.microsoft.com/office/drawing/2014/main" id="{ED79158C-F7BB-42C6-B385-C5480958CDE6}"/>
            </a:ext>
            <a:ext uri="{147F2762-F138-4A5C-976F-8EAC2B608ADB}">
              <a16:predDERef xmlns:a16="http://schemas.microsoft.com/office/drawing/2014/main" pred="{E32A6AE9-27AE-166D-BFD0-0624A740417E}"/>
            </a:ext>
          </a:extLst>
        </xdr:cNvPr>
        <xdr:cNvCxnSpPr>
          <a:cxnSpLocks/>
          <a:stCxn id="12" idx="1"/>
          <a:extLst>
            <a:ext uri="{5F17804C-33F3-41E3-A699-7DCFA2EF7971}">
              <a16:cxnDERefs xmlns:a16="http://schemas.microsoft.com/office/drawing/2014/main" st="{66E0F352-72FA-48F4-B08C-0CC9160AFE3C}" end="{E707FCB4-C4B8-4A8F-9DBD-C13EB3D823EE}"/>
            </a:ext>
          </a:extLst>
        </xdr:cNvCxnSpPr>
      </xdr:nvCxnSpPr>
      <xdr:spPr>
        <a:xfrm flipH="1">
          <a:off x="21421725" y="5463540"/>
          <a:ext cx="266700" cy="18478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828675</xdr:colOff>
      <xdr:row>23</xdr:row>
      <xdr:rowOff>47625</xdr:rowOff>
    </xdr:from>
    <xdr:to>
      <xdr:col>13</xdr:col>
      <xdr:colOff>1076325</xdr:colOff>
      <xdr:row>27</xdr:row>
      <xdr:rowOff>57150</xdr:rowOff>
    </xdr:to>
    <xdr:sp macro="" textlink="">
      <xdr:nvSpPr>
        <xdr:cNvPr id="21" name="Rectangle 20">
          <a:extLst>
            <a:ext uri="{FF2B5EF4-FFF2-40B4-BE49-F238E27FC236}">
              <a16:creationId xmlns:a16="http://schemas.microsoft.com/office/drawing/2014/main" id="{44EF2212-34BA-4C6E-A06F-828062B57362}"/>
            </a:ext>
            <a:ext uri="{147F2762-F138-4A5C-976F-8EAC2B608ADB}">
              <a16:predDERef xmlns:a16="http://schemas.microsoft.com/office/drawing/2014/main" pred="{ED79158C-F7BB-42C6-B385-C5480958CDE6}"/>
            </a:ext>
          </a:extLst>
        </xdr:cNvPr>
        <xdr:cNvSpPr/>
      </xdr:nvSpPr>
      <xdr:spPr>
        <a:xfrm rot="16200000">
          <a:off x="20559712" y="8396288"/>
          <a:ext cx="885825" cy="2476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900">
              <a:solidFill>
                <a:schemeClr val="tx1"/>
              </a:solidFill>
              <a:latin typeface="+mn-lt"/>
              <a:ea typeface="+mn-lt"/>
              <a:cs typeface="+mn-lt"/>
            </a:rPr>
            <a:t>Guest Rooms</a:t>
          </a:r>
        </a:p>
      </xdr:txBody>
    </xdr:sp>
    <xdr:clientData/>
  </xdr:twoCellAnchor>
  <xdr:twoCellAnchor>
    <xdr:from>
      <xdr:col>13</xdr:col>
      <xdr:colOff>1095375</xdr:colOff>
      <xdr:row>27</xdr:row>
      <xdr:rowOff>0</xdr:rowOff>
    </xdr:from>
    <xdr:to>
      <xdr:col>13</xdr:col>
      <xdr:colOff>1447800</xdr:colOff>
      <xdr:row>28</xdr:row>
      <xdr:rowOff>0</xdr:rowOff>
    </xdr:to>
    <xdr:cxnSp macro="">
      <xdr:nvCxnSpPr>
        <xdr:cNvPr id="22" name="Straight Connector 21">
          <a:extLst>
            <a:ext uri="{FF2B5EF4-FFF2-40B4-BE49-F238E27FC236}">
              <a16:creationId xmlns:a16="http://schemas.microsoft.com/office/drawing/2014/main" id="{1FBB8A7D-568E-41AB-8158-955075193173}"/>
            </a:ext>
            <a:ext uri="{147F2762-F138-4A5C-976F-8EAC2B608ADB}">
              <a16:predDERef xmlns:a16="http://schemas.microsoft.com/office/drawing/2014/main" pred="{44EF2212-34BA-4C6E-A06F-828062B57362}"/>
            </a:ext>
          </a:extLst>
        </xdr:cNvPr>
        <xdr:cNvCxnSpPr>
          <a:cxnSpLocks/>
          <a:stCxn id="52" idx="1"/>
          <a:extLst>
            <a:ext uri="{5F17804C-33F3-41E3-A699-7DCFA2EF7971}">
              <a16:cxnDERefs xmlns:a16="http://schemas.microsoft.com/office/drawing/2014/main" st="{1BB0D22A-B46D-4B07-BB0D-7B43EDF3DF67}" end="{E707FCB4-C4B8-4A8F-9DBD-C13EB3D823EE}"/>
            </a:ext>
          </a:extLst>
        </xdr:cNvCxnSpPr>
      </xdr:nvCxnSpPr>
      <xdr:spPr>
        <a:xfrm flipH="1" flipV="1">
          <a:off x="21145500" y="8905875"/>
          <a:ext cx="352425" cy="219075"/>
        </a:xfrm>
        <a:prstGeom prst="line">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327660</xdr:colOff>
      <xdr:row>2</xdr:row>
      <xdr:rowOff>21305</xdr:rowOff>
    </xdr:from>
    <xdr:to>
      <xdr:col>10</xdr:col>
      <xdr:colOff>403044</xdr:colOff>
      <xdr:row>6</xdr:row>
      <xdr:rowOff>16873</xdr:rowOff>
    </xdr:to>
    <xdr:pic>
      <xdr:nvPicPr>
        <xdr:cNvPr id="14" name="Picture 13">
          <a:extLst>
            <a:ext uri="{FF2B5EF4-FFF2-40B4-BE49-F238E27FC236}">
              <a16:creationId xmlns:a16="http://schemas.microsoft.com/office/drawing/2014/main" id="{D43E273A-589A-4936-97C1-9BC36903F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65780" y="669005"/>
          <a:ext cx="5029200" cy="1950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887730</xdr:colOff>
      <xdr:row>16</xdr:row>
      <xdr:rowOff>1112369</xdr:rowOff>
    </xdr:from>
    <xdr:to>
      <xdr:col>12</xdr:col>
      <xdr:colOff>103064</xdr:colOff>
      <xdr:row>20</xdr:row>
      <xdr:rowOff>154592</xdr:rowOff>
    </xdr:to>
    <xdr:pic>
      <xdr:nvPicPr>
        <xdr:cNvPr id="21" name="Picture 20">
          <a:extLst>
            <a:ext uri="{FF2B5EF4-FFF2-40B4-BE49-F238E27FC236}">
              <a16:creationId xmlns:a16="http://schemas.microsoft.com/office/drawing/2014/main" id="{2E65A955-EA3C-CD1C-3606-B4A58B0D8E5C}"/>
            </a:ext>
          </a:extLst>
        </xdr:cNvPr>
        <xdr:cNvPicPr>
          <a:picLocks noChangeAspect="1"/>
        </xdr:cNvPicPr>
      </xdr:nvPicPr>
      <xdr:blipFill>
        <a:blip xmlns:r="http://schemas.openxmlformats.org/officeDocument/2006/relationships" r:embed="rId2"/>
        <a:stretch>
          <a:fillRect/>
        </a:stretch>
      </xdr:blipFill>
      <xdr:spPr>
        <a:xfrm>
          <a:off x="16337280" y="6560669"/>
          <a:ext cx="6082665" cy="1642548"/>
        </a:xfrm>
        <a:prstGeom prst="rect">
          <a:avLst/>
        </a:prstGeom>
      </xdr:spPr>
    </xdr:pic>
    <xdr:clientData/>
  </xdr:twoCellAnchor>
  <xdr:twoCellAnchor editAs="oneCell">
    <xdr:from>
      <xdr:col>8</xdr:col>
      <xdr:colOff>1142999</xdr:colOff>
      <xdr:row>10</xdr:row>
      <xdr:rowOff>102479</xdr:rowOff>
    </xdr:from>
    <xdr:to>
      <xdr:col>12</xdr:col>
      <xdr:colOff>544286</xdr:colOff>
      <xdr:row>14</xdr:row>
      <xdr:rowOff>152399</xdr:rowOff>
    </xdr:to>
    <xdr:pic>
      <xdr:nvPicPr>
        <xdr:cNvPr id="22" name="Picture 21">
          <a:extLst>
            <a:ext uri="{FF2B5EF4-FFF2-40B4-BE49-F238E27FC236}">
              <a16:creationId xmlns:a16="http://schemas.microsoft.com/office/drawing/2014/main" id="{E8170DA3-8588-C4D2-B430-FADCA4BB91D8}"/>
            </a:ext>
          </a:extLst>
        </xdr:cNvPr>
        <xdr:cNvPicPr>
          <a:picLocks noChangeAspect="1"/>
        </xdr:cNvPicPr>
      </xdr:nvPicPr>
      <xdr:blipFill>
        <a:blip xmlns:r="http://schemas.openxmlformats.org/officeDocument/2006/relationships" r:embed="rId3"/>
        <a:stretch>
          <a:fillRect/>
        </a:stretch>
      </xdr:blipFill>
      <xdr:spPr>
        <a:xfrm>
          <a:off x="16592549" y="3455279"/>
          <a:ext cx="6257972" cy="1411995"/>
        </a:xfrm>
        <a:prstGeom prst="rect">
          <a:avLst/>
        </a:prstGeom>
      </xdr:spPr>
    </xdr:pic>
    <xdr:clientData/>
  </xdr:twoCellAnchor>
  <xdr:twoCellAnchor editAs="oneCell">
    <xdr:from>
      <xdr:col>8</xdr:col>
      <xdr:colOff>1036320</xdr:colOff>
      <xdr:row>14</xdr:row>
      <xdr:rowOff>191293</xdr:rowOff>
    </xdr:from>
    <xdr:to>
      <xdr:col>12</xdr:col>
      <xdr:colOff>184195</xdr:colOff>
      <xdr:row>16</xdr:row>
      <xdr:rowOff>1107098</xdr:rowOff>
    </xdr:to>
    <xdr:pic>
      <xdr:nvPicPr>
        <xdr:cNvPr id="23" name="Picture 22">
          <a:extLst>
            <a:ext uri="{FF2B5EF4-FFF2-40B4-BE49-F238E27FC236}">
              <a16:creationId xmlns:a16="http://schemas.microsoft.com/office/drawing/2014/main" id="{4AF098B4-3CBB-8224-D7FE-4531ACADA11B}"/>
            </a:ext>
          </a:extLst>
        </xdr:cNvPr>
        <xdr:cNvPicPr>
          <a:picLocks noChangeAspect="1"/>
        </xdr:cNvPicPr>
      </xdr:nvPicPr>
      <xdr:blipFill>
        <a:blip xmlns:r="http://schemas.openxmlformats.org/officeDocument/2006/relationships" r:embed="rId4"/>
        <a:stretch>
          <a:fillRect/>
        </a:stretch>
      </xdr:blipFill>
      <xdr:spPr>
        <a:xfrm>
          <a:off x="16485870" y="4906168"/>
          <a:ext cx="6004560" cy="1649230"/>
        </a:xfrm>
        <a:prstGeom prst="rect">
          <a:avLst/>
        </a:prstGeom>
      </xdr:spPr>
    </xdr:pic>
    <xdr:clientData/>
  </xdr:twoCellAnchor>
  <xdr:oneCellAnchor>
    <xdr:from>
      <xdr:col>0</xdr:col>
      <xdr:colOff>211287</xdr:colOff>
      <xdr:row>48</xdr:row>
      <xdr:rowOff>174349</xdr:rowOff>
    </xdr:from>
    <xdr:ext cx="2486193" cy="365678"/>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0A04F215-84AE-4254-A2F8-0134C92BEECB}"/>
                </a:ext>
              </a:extLst>
            </xdr:cNvPr>
            <xdr:cNvSpPr txBox="1"/>
          </xdr:nvSpPr>
          <xdr:spPr>
            <a:xfrm>
              <a:off x="211287" y="1623910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𝑇𝑆𝑃</m:t>
                            </m:r>
                          </m:e>
                          <m:sub>
                            <m:r>
                              <a:rPr lang="en-US" sz="1100" b="0" i="1">
                                <a:solidFill>
                                  <a:srgbClr val="000000"/>
                                </a:solidFill>
                                <a:latin typeface="Cambria Math" panose="02040503050406030204" pitchFamily="18" charset="0"/>
                              </a:rPr>
                              <m:t>𝑖𝑛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m:t>
                            </m:r>
                          </m:sub>
                        </m:sSub>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6356∗</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𝑓𝑎𝑛</m:t>
                            </m:r>
                          </m:sub>
                        </m:sSub>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8" name="TextBox 7">
              <a:extLst>
                <a:ext uri="{FF2B5EF4-FFF2-40B4-BE49-F238E27FC236}">
                  <a16:creationId xmlns:a16="http://schemas.microsoft.com/office/drawing/2014/main" id="{0A04F215-84AE-4254-A2F8-0134C92BEECB}"/>
                </a:ext>
              </a:extLst>
            </xdr:cNvPr>
            <xdr:cNvSpPr txBox="1"/>
          </xdr:nvSpPr>
          <xdr:spPr>
            <a:xfrm>
              <a:off x="211287" y="16239102"/>
              <a:ext cx="2486193" cy="3656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𝑝𝑜𝑤𝑒𝑟〗_(𝑤/𝑐𝑓𝑚)=(〖𝑇𝑆𝑃〗_(𝑖𝑛 𝑤.𝑐)∗746)/(6356∗</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𝑓𝑎𝑛∗</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301495</xdr:colOff>
      <xdr:row>38</xdr:row>
      <xdr:rowOff>107577</xdr:rowOff>
    </xdr:from>
    <xdr:ext cx="1369028" cy="372025"/>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48A3F47C-157A-4D9E-B722-C6AFEC48E0EB}"/>
                </a:ext>
              </a:extLst>
            </xdr:cNvPr>
            <xdr:cNvSpPr txBox="1"/>
          </xdr:nvSpPr>
          <xdr:spPr>
            <a:xfrm>
              <a:off x="301495" y="1433456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𝑇𝑆𝑃</m:t>
                            </m:r>
                          </m:e>
                          <m:sub>
                            <m:r>
                              <a:rPr lang="en-US" sz="1100" b="0" i="1">
                                <a:solidFill>
                                  <a:srgbClr val="000000"/>
                                </a:solidFill>
                                <a:effectLst/>
                                <a:latin typeface="Cambria Math" panose="02040503050406030204" pitchFamily="18" charset="0"/>
                                <a:ea typeface="+mn-ea"/>
                                <a:cs typeface="+mn-cs"/>
                              </a:rPr>
                              <m:t>𝑖𝑛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m:t>
                            </m:r>
                            <m:r>
                              <a:rPr lang="en-US" sz="1100" b="0" i="1">
                                <a:solidFill>
                                  <a:srgbClr val="000000"/>
                                </a:solidFill>
                                <a:effectLst/>
                                <a:latin typeface="Cambria Math" panose="02040503050406030204" pitchFamily="18" charset="0"/>
                                <a:ea typeface="+mn-ea"/>
                                <a:cs typeface="+mn-cs"/>
                              </a:rPr>
                              <m:t>.</m:t>
                            </m:r>
                          </m:sub>
                        </m:sSub>
                      </m:num>
                      <m:den>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6356∗</m:t>
                            </m:r>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𝑓𝑎𝑛</m:t>
                            </m:r>
                          </m:sub>
                        </m:sSub>
                      </m:den>
                    </m:f>
                  </m:oMath>
                </m:oMathPara>
              </a14:m>
              <a:endParaRPr lang="en-US" sz="1100">
                <a:solidFill>
                  <a:srgbClr val="000000"/>
                </a:solidFill>
              </a:endParaRPr>
            </a:p>
          </xdr:txBody>
        </xdr:sp>
      </mc:Choice>
      <mc:Fallback xmlns="">
        <xdr:sp macro="" textlink="">
          <xdr:nvSpPr>
            <xdr:cNvPr id="24" name="TextBox 23">
              <a:extLst>
                <a:ext uri="{FF2B5EF4-FFF2-40B4-BE49-F238E27FC236}">
                  <a16:creationId xmlns:a16="http://schemas.microsoft.com/office/drawing/2014/main" id="{48A3F47C-157A-4D9E-B722-C6AFEC48E0EB}"/>
                </a:ext>
              </a:extLst>
            </xdr:cNvPr>
            <xdr:cNvSpPr txBox="1"/>
          </xdr:nvSpPr>
          <xdr:spPr>
            <a:xfrm>
              <a:off x="301495" y="14334565"/>
              <a:ext cx="1369028" cy="372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𝑐𝑓𝑚∗〖𝑇𝑆𝑃〗_(𝑖𝑛 𝑤.𝑐.))/〖6356∗𝜇〗_𝑓𝑎𝑛 </a:t>
              </a:r>
              <a:endParaRPr lang="en-US" sz="1100">
                <a:solidFill>
                  <a:srgbClr val="000000"/>
                </a:solidFill>
              </a:endParaRPr>
            </a:p>
          </xdr:txBody>
        </xdr:sp>
      </mc:Fallback>
    </mc:AlternateContent>
    <xdr:clientData/>
  </xdr:oneCellAnchor>
  <xdr:oneCellAnchor>
    <xdr:from>
      <xdr:col>0</xdr:col>
      <xdr:colOff>320044</xdr:colOff>
      <xdr:row>42</xdr:row>
      <xdr:rowOff>32219</xdr:rowOff>
    </xdr:from>
    <xdr:ext cx="2027222" cy="351058"/>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B2982205-6360-41B6-8D9E-94C8D7B0DFD5}"/>
                </a:ext>
              </a:extLst>
            </xdr:cNvPr>
            <xdr:cNvSpPr txBox="1"/>
          </xdr:nvSpPr>
          <xdr:spPr>
            <a:xfrm>
              <a:off x="320044" y="1502120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US" sz="1100" b="0" i="1">
                            <a:solidFill>
                              <a:srgbClr val="000000"/>
                            </a:solidFill>
                            <a:latin typeface="Cambria Math" panose="02040503050406030204" pitchFamily="18" charset="0"/>
                          </a:rPr>
                        </m:ctrlPr>
                      </m:sSubPr>
                      <m:e>
                        <m:r>
                          <a:rPr lang="en-US" sz="1100" b="0" i="1">
                            <a:solidFill>
                              <a:srgbClr val="000000"/>
                            </a:solidFill>
                            <a:latin typeface="Cambria Math" panose="02040503050406030204" pitchFamily="18" charset="0"/>
                          </a:rPr>
                          <m:t>𝐹𝑎𝑛</m:t>
                        </m:r>
                        <m:r>
                          <a:rPr lang="en-US" sz="1100" b="0" i="1">
                            <a:solidFill>
                              <a:srgbClr val="000000"/>
                            </a:solidFill>
                            <a:latin typeface="Cambria Math" panose="02040503050406030204" pitchFamily="18" charset="0"/>
                          </a:rPr>
                          <m:t> </m:t>
                        </m:r>
                        <m:r>
                          <a:rPr lang="en-US" sz="1100" b="0" i="1">
                            <a:solidFill>
                              <a:srgbClr val="000000"/>
                            </a:solidFill>
                            <a:latin typeface="Cambria Math" panose="02040503050406030204" pitchFamily="18" charset="0"/>
                          </a:rPr>
                          <m:t>𝑝𝑜𝑤𝑒𝑟</m:t>
                        </m:r>
                      </m:e>
                      <m:sub>
                        <m:r>
                          <a:rPr lang="en-US" sz="1100" b="0" i="1">
                            <a:solidFill>
                              <a:srgbClr val="000000"/>
                            </a:solidFill>
                            <a:latin typeface="Cambria Math" panose="02040503050406030204" pitchFamily="18" charset="0"/>
                          </a:rPr>
                          <m:t>𝑤</m:t>
                        </m:r>
                        <m:r>
                          <a:rPr lang="en-US" sz="1100" b="0" i="1">
                            <a:solidFill>
                              <a:srgbClr val="000000"/>
                            </a:solidFill>
                            <a:latin typeface="Cambria Math" panose="02040503050406030204" pitchFamily="18" charset="0"/>
                          </a:rPr>
                          <m:t>/</m:t>
                        </m:r>
                        <m:r>
                          <a:rPr lang="en-US" sz="1100" b="0" i="1">
                            <a:solidFill>
                              <a:srgbClr val="000000"/>
                            </a:solidFill>
                            <a:latin typeface="Cambria Math" panose="02040503050406030204" pitchFamily="18" charset="0"/>
                          </a:rPr>
                          <m:t>𝑐𝑓𝑚</m:t>
                        </m:r>
                      </m:sub>
                    </m:sSub>
                    <m:r>
                      <a:rPr lang="en-US" sz="1100" b="0" i="1">
                        <a:solidFill>
                          <a:srgbClr val="000000"/>
                        </a:solidFill>
                        <a:latin typeface="Cambria Math" panose="02040503050406030204" pitchFamily="18" charset="0"/>
                      </a:rPr>
                      <m:t>=</m:t>
                    </m:r>
                    <m:f>
                      <m:fPr>
                        <m:ctrlPr>
                          <a:rPr lang="en-US" sz="1100" b="0" i="1">
                            <a:solidFill>
                              <a:srgbClr val="000000"/>
                            </a:solidFill>
                            <a:latin typeface="Cambria Math" panose="02040503050406030204" pitchFamily="18" charset="0"/>
                          </a:rPr>
                        </m:ctrlPr>
                      </m:fPr>
                      <m:num>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∗746</m:t>
                        </m:r>
                      </m:num>
                      <m:den>
                        <m:r>
                          <a:rPr lang="en-US" sz="1100" b="0" i="1">
                            <a:solidFill>
                              <a:srgbClr val="000000"/>
                            </a:solidFill>
                            <a:latin typeface="Cambria Math" panose="02040503050406030204" pitchFamily="18" charset="0"/>
                          </a:rPr>
                          <m:t>𝑐𝑓𝑚</m:t>
                        </m:r>
                        <m:r>
                          <a:rPr lang="en-US" sz="1100" b="0" i="1">
                            <a:solidFill>
                              <a:srgbClr val="000000"/>
                            </a:solidFill>
                            <a:latin typeface="Cambria Math" panose="02040503050406030204" pitchFamily="18" charset="0"/>
                          </a:rPr>
                          <m:t>∗</m:t>
                        </m:r>
                        <m:sSub>
                          <m:sSubPr>
                            <m:ctrlPr>
                              <a:rPr lang="en-US" sz="1100" b="0" i="1">
                                <a:solidFill>
                                  <a:srgbClr val="000000"/>
                                </a:solidFill>
                                <a:latin typeface="Cambria Math" panose="02040503050406030204" pitchFamily="18" charset="0"/>
                                <a:ea typeface="Cambria Math" panose="02040503050406030204" pitchFamily="18" charset="0"/>
                              </a:rPr>
                            </m:ctrlPr>
                          </m:sSubPr>
                          <m:e>
                            <m:r>
                              <a:rPr lang="en-US" sz="1100" b="0" i="1">
                                <a:solidFill>
                                  <a:srgbClr val="000000"/>
                                </a:solidFill>
                                <a:latin typeface="Cambria Math" panose="02040503050406030204" pitchFamily="18" charset="0"/>
                                <a:ea typeface="Cambria Math" panose="02040503050406030204" pitchFamily="18" charset="0"/>
                              </a:rPr>
                              <m:t>𝜇</m:t>
                            </m:r>
                          </m:e>
                          <m:sub>
                            <m:r>
                              <a:rPr lang="en-US" sz="1100" b="0" i="1">
                                <a:solidFill>
                                  <a:srgbClr val="000000"/>
                                </a:solidFill>
                                <a:latin typeface="Cambria Math" panose="02040503050406030204" pitchFamily="18" charset="0"/>
                              </a:rPr>
                              <m:t>𝑚𝑜𝑡𝑜𝑟</m:t>
                            </m:r>
                          </m:sub>
                        </m:sSub>
                      </m:den>
                    </m:f>
                  </m:oMath>
                </m:oMathPara>
              </a14:m>
              <a:endParaRPr lang="en-US" sz="1100">
                <a:solidFill>
                  <a:srgbClr val="000000"/>
                </a:solidFill>
              </a:endParaRPr>
            </a:p>
          </xdr:txBody>
        </xdr:sp>
      </mc:Choice>
      <mc:Fallback xmlns="">
        <xdr:sp macro="" textlink="">
          <xdr:nvSpPr>
            <xdr:cNvPr id="25" name="TextBox 24">
              <a:extLst>
                <a:ext uri="{FF2B5EF4-FFF2-40B4-BE49-F238E27FC236}">
                  <a16:creationId xmlns:a16="http://schemas.microsoft.com/office/drawing/2014/main" id="{B2982205-6360-41B6-8D9E-94C8D7B0DFD5}"/>
                </a:ext>
              </a:extLst>
            </xdr:cNvPr>
            <xdr:cNvSpPr txBox="1"/>
          </xdr:nvSpPr>
          <xdr:spPr>
            <a:xfrm>
              <a:off x="320044" y="15021207"/>
              <a:ext cx="2027222" cy="3510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〖𝐹𝑎𝑛 𝑝𝑜𝑤𝑒𝑟〗_(𝑤/𝑐𝑓𝑚)=(𝑏ℎ𝑝∗746)/(𝑐𝑓𝑚∗</a:t>
              </a:r>
              <a:r>
                <a:rPr lang="en-US" sz="1100" b="0" i="0">
                  <a:solidFill>
                    <a:srgbClr val="000000"/>
                  </a:solidFill>
                  <a:latin typeface="Cambria Math" panose="02040503050406030204" pitchFamily="18" charset="0"/>
                  <a:ea typeface="Cambria Math" panose="02040503050406030204" pitchFamily="18" charset="0"/>
                </a:rPr>
                <a:t>𝜇_</a:t>
              </a:r>
              <a:r>
                <a:rPr lang="en-US" sz="1100" b="0" i="0">
                  <a:solidFill>
                    <a:srgbClr val="000000"/>
                  </a:solidFill>
                  <a:latin typeface="Cambria Math" panose="02040503050406030204" pitchFamily="18" charset="0"/>
                </a:rPr>
                <a:t>𝑚𝑜𝑡𝑜𝑟 )</a:t>
              </a:r>
              <a:endParaRPr lang="en-US" sz="1100">
                <a:solidFill>
                  <a:srgbClr val="000000"/>
                </a:solidFill>
              </a:endParaRPr>
            </a:p>
          </xdr:txBody>
        </xdr:sp>
      </mc:Fallback>
    </mc:AlternateContent>
    <xdr:clientData/>
  </xdr:oneCellAnchor>
  <xdr:oneCellAnchor>
    <xdr:from>
      <xdr:col>0</xdr:col>
      <xdr:colOff>215153</xdr:colOff>
      <xdr:row>46</xdr:row>
      <xdr:rowOff>9540</xdr:rowOff>
    </xdr:from>
    <xdr:ext cx="2360967" cy="32823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988CD65B-4FE6-4AA7-8A28-B886CD0B1140}"/>
                </a:ext>
              </a:extLst>
            </xdr:cNvPr>
            <xdr:cNvSpPr txBox="1"/>
          </xdr:nvSpPr>
          <xdr:spPr>
            <a:xfrm>
              <a:off x="215153" y="1571570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00" b="0" i="1">
                        <a:solidFill>
                          <a:srgbClr val="000000"/>
                        </a:solidFill>
                        <a:latin typeface="Cambria Math" panose="02040503050406030204" pitchFamily="18" charset="0"/>
                      </a:rPr>
                      <m:t>𝑏ℎ𝑝</m:t>
                    </m:r>
                    <m:r>
                      <a:rPr lang="en-US" sz="1100" b="0" i="1">
                        <a:solidFill>
                          <a:srgbClr val="000000"/>
                        </a:solidFill>
                        <a:latin typeface="Cambria Math" panose="02040503050406030204" pitchFamily="18" charset="0"/>
                      </a:rPr>
                      <m:t>=</m:t>
                    </m:r>
                    <m:f>
                      <m:fPr>
                        <m:ctrlPr>
                          <a:rPr lang="en-US" sz="1100" b="0" i="1">
                            <a:solidFill>
                              <a:srgbClr val="000000"/>
                            </a:solidFill>
                            <a:effectLst/>
                            <a:latin typeface="Cambria Math" panose="02040503050406030204" pitchFamily="18" charset="0"/>
                            <a:ea typeface="+mn-ea"/>
                            <a:cs typeface="+mn-cs"/>
                          </a:rPr>
                        </m:ctrlPr>
                      </m:fPr>
                      <m:num>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𝐹𝑎𝑛</m:t>
                            </m:r>
                            <m:r>
                              <a:rPr lang="en-US" sz="1100" b="0" i="1">
                                <a:solidFill>
                                  <a:srgbClr val="000000"/>
                                </a:solidFill>
                                <a:effectLst/>
                                <a:latin typeface="Cambria Math" panose="02040503050406030204" pitchFamily="18" charset="0"/>
                                <a:ea typeface="+mn-ea"/>
                                <a:cs typeface="+mn-cs"/>
                              </a:rPr>
                              <m:t> </m:t>
                            </m:r>
                            <m:r>
                              <a:rPr lang="en-US" sz="1100" b="0" i="1">
                                <a:solidFill>
                                  <a:srgbClr val="000000"/>
                                </a:solidFill>
                                <a:effectLst/>
                                <a:latin typeface="Cambria Math" panose="02040503050406030204" pitchFamily="18" charset="0"/>
                                <a:ea typeface="+mn-ea"/>
                                <a:cs typeface="+mn-cs"/>
                              </a:rPr>
                              <m:t>𝑝𝑜𝑤𝑒𝑟</m:t>
                            </m:r>
                          </m:e>
                          <m:sub>
                            <m:r>
                              <a:rPr lang="en-US" sz="1100" b="0" i="1">
                                <a:solidFill>
                                  <a:srgbClr val="000000"/>
                                </a:solidFill>
                                <a:effectLst/>
                                <a:latin typeface="Cambria Math" panose="02040503050406030204" pitchFamily="18" charset="0"/>
                                <a:ea typeface="+mn-ea"/>
                                <a:cs typeface="+mn-cs"/>
                              </a:rPr>
                              <m:t>𝑤</m:t>
                            </m:r>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sub>
                        </m:sSub>
                        <m:r>
                          <a:rPr lang="en-US" sz="1100" b="0" i="1">
                            <a:solidFill>
                              <a:srgbClr val="000000"/>
                            </a:solidFill>
                            <a:effectLst/>
                            <a:latin typeface="Cambria Math" panose="02040503050406030204" pitchFamily="18" charset="0"/>
                            <a:ea typeface="+mn-ea"/>
                            <a:cs typeface="+mn-cs"/>
                          </a:rPr>
                          <m:t>∗</m:t>
                        </m:r>
                        <m:r>
                          <a:rPr lang="en-US" sz="1100" b="0" i="1">
                            <a:solidFill>
                              <a:srgbClr val="000000"/>
                            </a:solidFill>
                            <a:effectLst/>
                            <a:latin typeface="Cambria Math" panose="02040503050406030204" pitchFamily="18" charset="0"/>
                            <a:ea typeface="+mn-ea"/>
                            <a:cs typeface="+mn-cs"/>
                          </a:rPr>
                          <m:t>𝑐𝑓𝑚</m:t>
                        </m:r>
                        <m:r>
                          <a:rPr lang="en-US" sz="1100" b="0" i="1">
                            <a:solidFill>
                              <a:srgbClr val="000000"/>
                            </a:solidFill>
                            <a:effectLst/>
                            <a:latin typeface="Cambria Math" panose="02040503050406030204" pitchFamily="18" charset="0"/>
                            <a:ea typeface="+mn-ea"/>
                            <a:cs typeface="+mn-cs"/>
                          </a:rPr>
                          <m:t>∗</m:t>
                        </m:r>
                        <m:sSub>
                          <m:sSubPr>
                            <m:ctrlPr>
                              <a:rPr lang="en-US" sz="1100" b="0" i="1">
                                <a:solidFill>
                                  <a:srgbClr val="000000"/>
                                </a:solidFill>
                                <a:effectLst/>
                                <a:latin typeface="Cambria Math" panose="02040503050406030204" pitchFamily="18" charset="0"/>
                                <a:ea typeface="+mn-ea"/>
                                <a:cs typeface="+mn-cs"/>
                              </a:rPr>
                            </m:ctrlPr>
                          </m:sSubPr>
                          <m:e>
                            <m:r>
                              <a:rPr lang="en-US" sz="1100" b="0" i="1">
                                <a:solidFill>
                                  <a:srgbClr val="000000"/>
                                </a:solidFill>
                                <a:effectLst/>
                                <a:latin typeface="Cambria Math" panose="02040503050406030204" pitchFamily="18" charset="0"/>
                                <a:ea typeface="+mn-ea"/>
                                <a:cs typeface="+mn-cs"/>
                              </a:rPr>
                              <m:t>𝜇</m:t>
                            </m:r>
                          </m:e>
                          <m:sub>
                            <m:r>
                              <a:rPr lang="en-US" sz="1100" b="0" i="1">
                                <a:solidFill>
                                  <a:srgbClr val="000000"/>
                                </a:solidFill>
                                <a:effectLst/>
                                <a:latin typeface="Cambria Math" panose="02040503050406030204" pitchFamily="18" charset="0"/>
                                <a:ea typeface="+mn-ea"/>
                                <a:cs typeface="+mn-cs"/>
                              </a:rPr>
                              <m:t>𝑚𝑜𝑡𝑜𝑟</m:t>
                            </m:r>
                          </m:sub>
                        </m:sSub>
                      </m:num>
                      <m:den>
                        <m:r>
                          <a:rPr lang="en-US" sz="1100" b="0" i="1">
                            <a:solidFill>
                              <a:srgbClr val="000000"/>
                            </a:solidFill>
                            <a:effectLst/>
                            <a:latin typeface="Cambria Math" panose="02040503050406030204" pitchFamily="18" charset="0"/>
                            <a:ea typeface="+mn-ea"/>
                            <a:cs typeface="+mn-cs"/>
                          </a:rPr>
                          <m:t>746</m:t>
                        </m:r>
                      </m:den>
                    </m:f>
                  </m:oMath>
                </m:oMathPara>
              </a14:m>
              <a:endParaRPr lang="en-US" sz="1100">
                <a:solidFill>
                  <a:srgbClr val="000000"/>
                </a:solidFill>
              </a:endParaRPr>
            </a:p>
          </xdr:txBody>
        </xdr:sp>
      </mc:Choice>
      <mc:Fallback xmlns="">
        <xdr:sp macro="" textlink="">
          <xdr:nvSpPr>
            <xdr:cNvPr id="26" name="TextBox 25">
              <a:extLst>
                <a:ext uri="{FF2B5EF4-FFF2-40B4-BE49-F238E27FC236}">
                  <a16:creationId xmlns:a16="http://schemas.microsoft.com/office/drawing/2014/main" id="{988CD65B-4FE6-4AA7-8A28-B886CD0B1140}"/>
                </a:ext>
              </a:extLst>
            </xdr:cNvPr>
            <xdr:cNvSpPr txBox="1"/>
          </xdr:nvSpPr>
          <xdr:spPr>
            <a:xfrm>
              <a:off x="215153" y="15715705"/>
              <a:ext cx="2360967" cy="328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rgbClr val="000000"/>
                  </a:solidFill>
                  <a:latin typeface="Cambria Math" panose="02040503050406030204" pitchFamily="18" charset="0"/>
                </a:rPr>
                <a:t>𝑏ℎ𝑝=</a:t>
              </a:r>
              <a:r>
                <a:rPr lang="en-US" sz="1100" b="0" i="0">
                  <a:solidFill>
                    <a:srgbClr val="000000"/>
                  </a:solidFill>
                  <a:effectLst/>
                  <a:latin typeface="Cambria Math" panose="02040503050406030204" pitchFamily="18" charset="0"/>
                  <a:ea typeface="+mn-ea"/>
                  <a:cs typeface="+mn-cs"/>
                </a:rPr>
                <a:t>(〖𝐹𝑎𝑛 𝑝𝑜𝑤𝑒𝑟〗_(𝑤/𝑐𝑓𝑚)∗𝑐𝑓𝑚∗𝜇_𝑚𝑜𝑡𝑜𝑟)/746</a:t>
              </a:r>
              <a:endParaRPr lang="en-US" sz="1100">
                <a:solidFill>
                  <a:srgbClr val="000000"/>
                </a:solidFill>
              </a:endParaRPr>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58</xdr:row>
      <xdr:rowOff>53863</xdr:rowOff>
    </xdr:from>
    <xdr:to>
      <xdr:col>2</xdr:col>
      <xdr:colOff>470671</xdr:colOff>
      <xdr:row>62</xdr:row>
      <xdr:rowOff>52816</xdr:rowOff>
    </xdr:to>
    <xdr:pic>
      <xdr:nvPicPr>
        <xdr:cNvPr id="2" name="Picture 1">
          <a:extLst>
            <a:ext uri="{FF2B5EF4-FFF2-40B4-BE49-F238E27FC236}">
              <a16:creationId xmlns:a16="http://schemas.microsoft.com/office/drawing/2014/main" id="{0B740DDE-41D0-4467-B0DC-3BAE203DB966}"/>
            </a:ext>
          </a:extLst>
        </xdr:cNvPr>
        <xdr:cNvPicPr>
          <a:picLocks noChangeAspect="1"/>
        </xdr:cNvPicPr>
      </xdr:nvPicPr>
      <xdr:blipFill>
        <a:blip xmlns:r="http://schemas.openxmlformats.org/officeDocument/2006/relationships" r:embed="rId1"/>
        <a:stretch>
          <a:fillRect/>
        </a:stretch>
      </xdr:blipFill>
      <xdr:spPr>
        <a:xfrm>
          <a:off x="0" y="12047743"/>
          <a:ext cx="5050291" cy="1096233"/>
        </a:xfrm>
        <a:prstGeom prst="rect">
          <a:avLst/>
        </a:prstGeom>
      </xdr:spPr>
    </xdr:pic>
    <xdr:clientData/>
  </xdr:twoCellAnchor>
  <xdr:twoCellAnchor>
    <xdr:from>
      <xdr:col>0</xdr:col>
      <xdr:colOff>1457</xdr:colOff>
      <xdr:row>69</xdr:row>
      <xdr:rowOff>7667</xdr:rowOff>
    </xdr:from>
    <xdr:to>
      <xdr:col>1</xdr:col>
      <xdr:colOff>565577</xdr:colOff>
      <xdr:row>72</xdr:row>
      <xdr:rowOff>140634</xdr:rowOff>
    </xdr:to>
    <xdr:pic>
      <xdr:nvPicPr>
        <xdr:cNvPr id="12" name="Picture 2">
          <a:extLst>
            <a:ext uri="{FF2B5EF4-FFF2-40B4-BE49-F238E27FC236}">
              <a16:creationId xmlns:a16="http://schemas.microsoft.com/office/drawing/2014/main" id="{5734A07A-6682-20F4-CBF8-1E6D0756BECA}"/>
            </a:ext>
            <a:ext uri="{147F2762-F138-4A5C-976F-8EAC2B608ADB}">
              <a16:predDERef xmlns:a16="http://schemas.microsoft.com/office/drawing/2014/main" pred="{0B740DDE-41D0-4467-B0DC-3BAE203DB966}"/>
            </a:ext>
          </a:extLst>
        </xdr:cNvPr>
        <xdr:cNvPicPr>
          <a:picLocks noChangeAspect="1"/>
        </xdr:cNvPicPr>
      </xdr:nvPicPr>
      <xdr:blipFill rotWithShape="1">
        <a:blip xmlns:r="http://schemas.openxmlformats.org/officeDocument/2006/relationships" r:embed="rId2"/>
        <a:srcRect l="8628"/>
        <a:stretch/>
      </xdr:blipFill>
      <xdr:spPr>
        <a:xfrm>
          <a:off x="1457" y="18981467"/>
          <a:ext cx="4421745" cy="675892"/>
        </a:xfrm>
        <a:prstGeom prst="rect">
          <a:avLst/>
        </a:prstGeom>
      </xdr:spPr>
    </xdr:pic>
    <xdr:clientData/>
  </xdr:twoCellAnchor>
  <xdr:twoCellAnchor>
    <xdr:from>
      <xdr:col>4</xdr:col>
      <xdr:colOff>266700</xdr:colOff>
      <xdr:row>55</xdr:row>
      <xdr:rowOff>149150</xdr:rowOff>
    </xdr:from>
    <xdr:to>
      <xdr:col>12</xdr:col>
      <xdr:colOff>444362</xdr:colOff>
      <xdr:row>71</xdr:row>
      <xdr:rowOff>11849</xdr:rowOff>
    </xdr:to>
    <xdr:pic>
      <xdr:nvPicPr>
        <xdr:cNvPr id="10" name="Picture 5">
          <a:extLst>
            <a:ext uri="{FF2B5EF4-FFF2-40B4-BE49-F238E27FC236}">
              <a16:creationId xmlns:a16="http://schemas.microsoft.com/office/drawing/2014/main" id="{805ED922-D228-96B0-8D61-B746D9AF82A4}"/>
            </a:ext>
            <a:ext uri="{147F2762-F138-4A5C-976F-8EAC2B608ADB}">
              <a16:predDERef xmlns:a16="http://schemas.microsoft.com/office/drawing/2014/main" pred="{C5F26EC7-DF9B-4CC4-B7A4-5D7A5EB23E44}"/>
            </a:ext>
          </a:extLst>
        </xdr:cNvPr>
        <xdr:cNvPicPr>
          <a:picLocks noChangeAspect="1"/>
        </xdr:cNvPicPr>
      </xdr:nvPicPr>
      <xdr:blipFill>
        <a:blip xmlns:r="http://schemas.openxmlformats.org/officeDocument/2006/relationships" r:embed="rId3"/>
        <a:stretch>
          <a:fillRect/>
        </a:stretch>
      </xdr:blipFill>
      <xdr:spPr>
        <a:xfrm>
          <a:off x="5953125" y="16036850"/>
          <a:ext cx="4997312" cy="3310749"/>
        </a:xfrm>
        <a:prstGeom prst="rect">
          <a:avLst/>
        </a:prstGeom>
      </xdr:spPr>
    </xdr:pic>
    <xdr:clientData/>
  </xdr:twoCellAnchor>
  <xdr:twoCellAnchor>
    <xdr:from>
      <xdr:col>4</xdr:col>
      <xdr:colOff>548640</xdr:colOff>
      <xdr:row>79</xdr:row>
      <xdr:rowOff>81915</xdr:rowOff>
    </xdr:from>
    <xdr:to>
      <xdr:col>12</xdr:col>
      <xdr:colOff>364943</xdr:colOff>
      <xdr:row>88</xdr:row>
      <xdr:rowOff>133744</xdr:rowOff>
    </xdr:to>
    <xdr:pic>
      <xdr:nvPicPr>
        <xdr:cNvPr id="7" name="Picture 6">
          <a:extLst>
            <a:ext uri="{FF2B5EF4-FFF2-40B4-BE49-F238E27FC236}">
              <a16:creationId xmlns:a16="http://schemas.microsoft.com/office/drawing/2014/main" id="{EF42B56F-29D4-E6D1-D52B-26679DECBFBD}"/>
            </a:ext>
          </a:extLst>
        </xdr:cNvPr>
        <xdr:cNvPicPr>
          <a:picLocks noChangeAspect="1"/>
        </xdr:cNvPicPr>
      </xdr:nvPicPr>
      <xdr:blipFill>
        <a:blip xmlns:r="http://schemas.openxmlformats.org/officeDocument/2006/relationships" r:embed="rId4"/>
        <a:stretch>
          <a:fillRect/>
        </a:stretch>
      </xdr:blipFill>
      <xdr:spPr>
        <a:xfrm>
          <a:off x="6349365" y="16045815"/>
          <a:ext cx="4689293" cy="1686319"/>
        </a:xfrm>
        <a:prstGeom prst="rect">
          <a:avLst/>
        </a:prstGeom>
      </xdr:spPr>
    </xdr:pic>
    <xdr:clientData/>
  </xdr:twoCellAnchor>
  <xdr:twoCellAnchor>
    <xdr:from>
      <xdr:col>5</xdr:col>
      <xdr:colOff>17145</xdr:colOff>
      <xdr:row>72</xdr:row>
      <xdr:rowOff>66430</xdr:rowOff>
    </xdr:from>
    <xdr:to>
      <xdr:col>12</xdr:col>
      <xdr:colOff>449758</xdr:colOff>
      <xdr:row>78</xdr:row>
      <xdr:rowOff>26912</xdr:rowOff>
    </xdr:to>
    <xdr:pic>
      <xdr:nvPicPr>
        <xdr:cNvPr id="11" name="Picture 7">
          <a:extLst>
            <a:ext uri="{FF2B5EF4-FFF2-40B4-BE49-F238E27FC236}">
              <a16:creationId xmlns:a16="http://schemas.microsoft.com/office/drawing/2014/main" id="{4286AA55-1F63-3C6A-0B06-B6330E5223B7}"/>
            </a:ext>
            <a:ext uri="{147F2762-F138-4A5C-976F-8EAC2B608ADB}">
              <a16:predDERef xmlns:a16="http://schemas.microsoft.com/office/drawing/2014/main" pred="{EF42B56F-29D4-E6D1-D52B-26679DECBFBD}"/>
            </a:ext>
          </a:extLst>
        </xdr:cNvPr>
        <xdr:cNvPicPr>
          <a:picLocks noChangeAspect="1"/>
        </xdr:cNvPicPr>
      </xdr:nvPicPr>
      <xdr:blipFill>
        <a:blip xmlns:r="http://schemas.openxmlformats.org/officeDocument/2006/relationships" r:embed="rId5"/>
        <a:stretch>
          <a:fillRect/>
        </a:stretch>
      </xdr:blipFill>
      <xdr:spPr>
        <a:xfrm>
          <a:off x="6303645" y="19583155"/>
          <a:ext cx="4652188" cy="10463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47</xdr:row>
      <xdr:rowOff>95250</xdr:rowOff>
    </xdr:from>
    <xdr:to>
      <xdr:col>3</xdr:col>
      <xdr:colOff>616323</xdr:colOff>
      <xdr:row>60</xdr:row>
      <xdr:rowOff>15744</xdr:rowOff>
    </xdr:to>
    <xdr:pic>
      <xdr:nvPicPr>
        <xdr:cNvPr id="2" name="Picture 1">
          <a:extLst>
            <a:ext uri="{FF2B5EF4-FFF2-40B4-BE49-F238E27FC236}">
              <a16:creationId xmlns:a16="http://schemas.microsoft.com/office/drawing/2014/main" id="{4AB6B590-8240-42B5-8713-89AF304C18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9340103"/>
          <a:ext cx="5636558" cy="2116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67</xdr:row>
      <xdr:rowOff>125506</xdr:rowOff>
    </xdr:from>
    <xdr:to>
      <xdr:col>3</xdr:col>
      <xdr:colOff>583576</xdr:colOff>
      <xdr:row>81</xdr:row>
      <xdr:rowOff>57754</xdr:rowOff>
    </xdr:to>
    <xdr:pic>
      <xdr:nvPicPr>
        <xdr:cNvPr id="3" name="Picture 2">
          <a:extLst>
            <a:ext uri="{FF2B5EF4-FFF2-40B4-BE49-F238E27FC236}">
              <a16:creationId xmlns:a16="http://schemas.microsoft.com/office/drawing/2014/main" id="{A1C8E9F4-3D13-898E-3FA9-D082AC080B02}"/>
            </a:ext>
          </a:extLst>
        </xdr:cNvPr>
        <xdr:cNvPicPr>
          <a:picLocks noChangeAspect="1"/>
        </xdr:cNvPicPr>
      </xdr:nvPicPr>
      <xdr:blipFill>
        <a:blip xmlns:r="http://schemas.openxmlformats.org/officeDocument/2006/relationships" r:embed="rId2"/>
        <a:stretch>
          <a:fillRect/>
        </a:stretch>
      </xdr:blipFill>
      <xdr:spPr>
        <a:xfrm>
          <a:off x="0" y="9206753"/>
          <a:ext cx="5594847" cy="2442366"/>
        </a:xfrm>
        <a:prstGeom prst="rect">
          <a:avLst/>
        </a:prstGeom>
      </xdr:spPr>
    </xdr:pic>
    <xdr:clientData/>
  </xdr:twoCellAnchor>
  <xdr:twoCellAnchor editAs="oneCell">
    <xdr:from>
      <xdr:col>0</xdr:col>
      <xdr:colOff>62644</xdr:colOff>
      <xdr:row>84</xdr:row>
      <xdr:rowOff>90055</xdr:rowOff>
    </xdr:from>
    <xdr:to>
      <xdr:col>3</xdr:col>
      <xdr:colOff>605381</xdr:colOff>
      <xdr:row>107</xdr:row>
      <xdr:rowOff>95201</xdr:rowOff>
    </xdr:to>
    <xdr:pic>
      <xdr:nvPicPr>
        <xdr:cNvPr id="4" name="Picture 3">
          <a:extLst>
            <a:ext uri="{FF2B5EF4-FFF2-40B4-BE49-F238E27FC236}">
              <a16:creationId xmlns:a16="http://schemas.microsoft.com/office/drawing/2014/main" id="{CAFDDE73-330B-2BEF-4826-D2688DDF3519}"/>
            </a:ext>
          </a:extLst>
        </xdr:cNvPr>
        <xdr:cNvPicPr>
          <a:picLocks noChangeAspect="1"/>
        </xdr:cNvPicPr>
      </xdr:nvPicPr>
      <xdr:blipFill rotWithShape="1">
        <a:blip xmlns:r="http://schemas.openxmlformats.org/officeDocument/2006/relationships" r:embed="rId3"/>
        <a:srcRect l="9699" r="5505"/>
        <a:stretch>
          <a:fillRect/>
        </a:stretch>
      </xdr:blipFill>
      <xdr:spPr>
        <a:xfrm>
          <a:off x="62644" y="11284528"/>
          <a:ext cx="5702826" cy="3988328"/>
        </a:xfrm>
        <a:prstGeom prst="rect">
          <a:avLst/>
        </a:prstGeom>
      </xdr:spPr>
    </xdr:pic>
    <xdr:clientData/>
  </xdr:twoCellAnchor>
  <xdr:twoCellAnchor editAs="oneCell">
    <xdr:from>
      <xdr:col>3</xdr:col>
      <xdr:colOff>1700462</xdr:colOff>
      <xdr:row>86</xdr:row>
      <xdr:rowOff>40105</xdr:rowOff>
    </xdr:from>
    <xdr:to>
      <xdr:col>7</xdr:col>
      <xdr:colOff>898283</xdr:colOff>
      <xdr:row>101</xdr:row>
      <xdr:rowOff>162721</xdr:rowOff>
    </xdr:to>
    <xdr:pic>
      <xdr:nvPicPr>
        <xdr:cNvPr id="7" name="Picture 6">
          <a:extLst>
            <a:ext uri="{FF2B5EF4-FFF2-40B4-BE49-F238E27FC236}">
              <a16:creationId xmlns:a16="http://schemas.microsoft.com/office/drawing/2014/main" id="{C18A6000-7B8F-8AE9-223D-68035552804B}"/>
            </a:ext>
          </a:extLst>
        </xdr:cNvPr>
        <xdr:cNvPicPr>
          <a:picLocks noChangeAspect="1"/>
        </xdr:cNvPicPr>
      </xdr:nvPicPr>
      <xdr:blipFill>
        <a:blip xmlns:r="http://schemas.openxmlformats.org/officeDocument/2006/relationships" r:embed="rId4"/>
        <a:stretch>
          <a:fillRect/>
        </a:stretch>
      </xdr:blipFill>
      <xdr:spPr>
        <a:xfrm>
          <a:off x="5999746" y="11678652"/>
          <a:ext cx="6735304" cy="2765753"/>
        </a:xfrm>
        <a:prstGeom prst="rect">
          <a:avLst/>
        </a:prstGeom>
      </xdr:spPr>
    </xdr:pic>
    <xdr:clientData/>
  </xdr:twoCellAnchor>
  <xdr:twoCellAnchor editAs="oneCell">
    <xdr:from>
      <xdr:col>8</xdr:col>
      <xdr:colOff>368685</xdr:colOff>
      <xdr:row>85</xdr:row>
      <xdr:rowOff>80212</xdr:rowOff>
    </xdr:from>
    <xdr:to>
      <xdr:col>11</xdr:col>
      <xdr:colOff>76622</xdr:colOff>
      <xdr:row>102</xdr:row>
      <xdr:rowOff>1806</xdr:rowOff>
    </xdr:to>
    <xdr:pic>
      <xdr:nvPicPr>
        <xdr:cNvPr id="8" name="Picture 7">
          <a:extLst>
            <a:ext uri="{FF2B5EF4-FFF2-40B4-BE49-F238E27FC236}">
              <a16:creationId xmlns:a16="http://schemas.microsoft.com/office/drawing/2014/main" id="{1D2EA92D-7B6D-4529-39E1-1CFDC46DFBA5}"/>
            </a:ext>
          </a:extLst>
        </xdr:cNvPr>
        <xdr:cNvPicPr>
          <a:picLocks noChangeAspect="1"/>
        </xdr:cNvPicPr>
      </xdr:nvPicPr>
      <xdr:blipFill rotWithShape="1">
        <a:blip xmlns:r="http://schemas.openxmlformats.org/officeDocument/2006/relationships" r:embed="rId5"/>
        <a:srcRect b="5989"/>
        <a:stretch>
          <a:fillRect/>
        </a:stretch>
      </xdr:blipFill>
      <xdr:spPr>
        <a:xfrm>
          <a:off x="13290601" y="11542296"/>
          <a:ext cx="6886780" cy="29116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815835</xdr:colOff>
      <xdr:row>118</xdr:row>
      <xdr:rowOff>114795</xdr:rowOff>
    </xdr:from>
    <xdr:to>
      <xdr:col>9</xdr:col>
      <xdr:colOff>323771</xdr:colOff>
      <xdr:row>132</xdr:row>
      <xdr:rowOff>85725</xdr:rowOff>
    </xdr:to>
    <xdr:pic>
      <xdr:nvPicPr>
        <xdr:cNvPr id="2" name="Picture 1">
          <a:extLst>
            <a:ext uri="{FF2B5EF4-FFF2-40B4-BE49-F238E27FC236}">
              <a16:creationId xmlns:a16="http://schemas.microsoft.com/office/drawing/2014/main" id="{EC5C7CFD-597B-499C-8EFF-64B3B7D68C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0860" y="25260795"/>
          <a:ext cx="10471211" cy="2237880"/>
        </a:xfrm>
        <a:prstGeom prst="rect">
          <a:avLst/>
        </a:prstGeom>
      </xdr:spPr>
    </xdr:pic>
    <xdr:clientData/>
  </xdr:twoCellAnchor>
  <xdr:twoCellAnchor>
    <xdr:from>
      <xdr:col>0</xdr:col>
      <xdr:colOff>0</xdr:colOff>
      <xdr:row>118</xdr:row>
      <xdr:rowOff>0</xdr:rowOff>
    </xdr:from>
    <xdr:to>
      <xdr:col>3</xdr:col>
      <xdr:colOff>362420</xdr:colOff>
      <xdr:row>152</xdr:row>
      <xdr:rowOff>131957</xdr:rowOff>
    </xdr:to>
    <xdr:pic>
      <xdr:nvPicPr>
        <xdr:cNvPr id="3" name="Picture 2">
          <a:extLst>
            <a:ext uri="{FF2B5EF4-FFF2-40B4-BE49-F238E27FC236}">
              <a16:creationId xmlns:a16="http://schemas.microsoft.com/office/drawing/2014/main" id="{A02EA090-9FCE-4195-B942-18B65B6AD1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6603325"/>
          <a:ext cx="6277445" cy="5637407"/>
        </a:xfrm>
        <a:prstGeom prst="rect">
          <a:avLst/>
        </a:prstGeom>
      </xdr:spPr>
    </xdr:pic>
    <xdr:clientData/>
  </xdr:twoCellAnchor>
  <xdr:twoCellAnchor>
    <xdr:from>
      <xdr:col>4</xdr:col>
      <xdr:colOff>60960</xdr:colOff>
      <xdr:row>134</xdr:row>
      <xdr:rowOff>105614</xdr:rowOff>
    </xdr:from>
    <xdr:to>
      <xdr:col>8</xdr:col>
      <xdr:colOff>439271</xdr:colOff>
      <xdr:row>155</xdr:row>
      <xdr:rowOff>63418</xdr:rowOff>
    </xdr:to>
    <xdr:pic>
      <xdr:nvPicPr>
        <xdr:cNvPr id="4" name="Picture 3">
          <a:extLst>
            <a:ext uri="{FF2B5EF4-FFF2-40B4-BE49-F238E27FC236}">
              <a16:creationId xmlns:a16="http://schemas.microsoft.com/office/drawing/2014/main" id="{2B77C84E-FDD3-4A2A-B6FE-7895359AB57F}"/>
            </a:ext>
          </a:extLst>
        </xdr:cNvPr>
        <xdr:cNvPicPr>
          <a:picLocks noChangeAspect="1"/>
        </xdr:cNvPicPr>
      </xdr:nvPicPr>
      <xdr:blipFill>
        <a:blip xmlns:r="http://schemas.openxmlformats.org/officeDocument/2006/relationships" r:embed="rId3"/>
        <a:stretch>
          <a:fillRect/>
        </a:stretch>
      </xdr:blipFill>
      <xdr:spPr>
        <a:xfrm>
          <a:off x="8176260" y="29299739"/>
          <a:ext cx="7607786" cy="3358229"/>
        </a:xfrm>
        <a:prstGeom prst="rect">
          <a:avLst/>
        </a:prstGeom>
      </xdr:spPr>
    </xdr:pic>
    <xdr:clientData/>
  </xdr:twoCellAnchor>
  <xdr:twoCellAnchor>
    <xdr:from>
      <xdr:col>0</xdr:col>
      <xdr:colOff>0</xdr:colOff>
      <xdr:row>156</xdr:row>
      <xdr:rowOff>106680</xdr:rowOff>
    </xdr:from>
    <xdr:to>
      <xdr:col>3</xdr:col>
      <xdr:colOff>1848919</xdr:colOff>
      <xdr:row>166</xdr:row>
      <xdr:rowOff>141338</xdr:rowOff>
    </xdr:to>
    <xdr:pic>
      <xdr:nvPicPr>
        <xdr:cNvPr id="5" name="Picture 4">
          <a:extLst>
            <a:ext uri="{FF2B5EF4-FFF2-40B4-BE49-F238E27FC236}">
              <a16:creationId xmlns:a16="http://schemas.microsoft.com/office/drawing/2014/main" id="{7D589B7F-FB74-4427-A573-2DD3F3706A99}"/>
            </a:ext>
          </a:extLst>
        </xdr:cNvPr>
        <xdr:cNvPicPr>
          <a:picLocks noChangeAspect="1"/>
        </xdr:cNvPicPr>
      </xdr:nvPicPr>
      <xdr:blipFill>
        <a:blip xmlns:r="http://schemas.openxmlformats.org/officeDocument/2006/relationships" r:embed="rId4"/>
        <a:stretch>
          <a:fillRect/>
        </a:stretch>
      </xdr:blipFill>
      <xdr:spPr>
        <a:xfrm>
          <a:off x="0" y="32863155"/>
          <a:ext cx="7763944" cy="1653908"/>
        </a:xfrm>
        <a:prstGeom prst="rect">
          <a:avLst/>
        </a:prstGeom>
      </xdr:spPr>
    </xdr:pic>
    <xdr:clientData/>
  </xdr:twoCellAnchor>
  <xdr:twoCellAnchor>
    <xdr:from>
      <xdr:col>4</xdr:col>
      <xdr:colOff>415291</xdr:colOff>
      <xdr:row>169</xdr:row>
      <xdr:rowOff>23431</xdr:rowOff>
    </xdr:from>
    <xdr:to>
      <xdr:col>6</xdr:col>
      <xdr:colOff>331471</xdr:colOff>
      <xdr:row>178</xdr:row>
      <xdr:rowOff>2260</xdr:rowOff>
    </xdr:to>
    <xdr:pic>
      <xdr:nvPicPr>
        <xdr:cNvPr id="6" name="Picture 5">
          <a:extLst>
            <a:ext uri="{FF2B5EF4-FFF2-40B4-BE49-F238E27FC236}">
              <a16:creationId xmlns:a16="http://schemas.microsoft.com/office/drawing/2014/main" id="{AD935C90-19DF-4CE2-9041-0F53BCFA3A25}"/>
            </a:ext>
          </a:extLst>
        </xdr:cNvPr>
        <xdr:cNvPicPr>
          <a:picLocks noChangeAspect="1"/>
        </xdr:cNvPicPr>
      </xdr:nvPicPr>
      <xdr:blipFill>
        <a:blip xmlns:r="http://schemas.openxmlformats.org/officeDocument/2006/relationships" r:embed="rId5"/>
        <a:stretch>
          <a:fillRect/>
        </a:stretch>
      </xdr:blipFill>
      <xdr:spPr>
        <a:xfrm>
          <a:off x="8530591" y="34884931"/>
          <a:ext cx="3783330" cy="1436154"/>
        </a:xfrm>
        <a:prstGeom prst="rect">
          <a:avLst/>
        </a:prstGeom>
      </xdr:spPr>
    </xdr:pic>
    <xdr:clientData/>
  </xdr:twoCellAnchor>
  <xdr:twoCellAnchor>
    <xdr:from>
      <xdr:col>0</xdr:col>
      <xdr:colOff>0</xdr:colOff>
      <xdr:row>171</xdr:row>
      <xdr:rowOff>11430</xdr:rowOff>
    </xdr:from>
    <xdr:to>
      <xdr:col>2</xdr:col>
      <xdr:colOff>17176</xdr:colOff>
      <xdr:row>178</xdr:row>
      <xdr:rowOff>47900</xdr:rowOff>
    </xdr:to>
    <xdr:pic>
      <xdr:nvPicPr>
        <xdr:cNvPr id="7" name="Picture 6">
          <a:extLst>
            <a:ext uri="{FF2B5EF4-FFF2-40B4-BE49-F238E27FC236}">
              <a16:creationId xmlns:a16="http://schemas.microsoft.com/office/drawing/2014/main" id="{2665CEC2-840A-45B5-ADD7-05259C7BFB31}"/>
            </a:ext>
          </a:extLst>
        </xdr:cNvPr>
        <xdr:cNvPicPr>
          <a:picLocks noChangeAspect="1"/>
        </xdr:cNvPicPr>
      </xdr:nvPicPr>
      <xdr:blipFill>
        <a:blip xmlns:r="http://schemas.openxmlformats.org/officeDocument/2006/relationships" r:embed="rId6"/>
        <a:stretch>
          <a:fillRect/>
        </a:stretch>
      </xdr:blipFill>
      <xdr:spPr>
        <a:xfrm>
          <a:off x="0" y="35196780"/>
          <a:ext cx="4389151" cy="1169945"/>
        </a:xfrm>
        <a:prstGeom prst="rect">
          <a:avLst/>
        </a:prstGeom>
      </xdr:spPr>
    </xdr:pic>
    <xdr:clientData/>
  </xdr:twoCellAnchor>
  <xdr:twoCellAnchor>
    <xdr:from>
      <xdr:col>2</xdr:col>
      <xdr:colOff>480060</xdr:colOff>
      <xdr:row>171</xdr:row>
      <xdr:rowOff>41321</xdr:rowOff>
    </xdr:from>
    <xdr:to>
      <xdr:col>4</xdr:col>
      <xdr:colOff>243840</xdr:colOff>
      <xdr:row>177</xdr:row>
      <xdr:rowOff>76445</xdr:rowOff>
    </xdr:to>
    <xdr:pic>
      <xdr:nvPicPr>
        <xdr:cNvPr id="8" name="Picture 7">
          <a:extLst>
            <a:ext uri="{FF2B5EF4-FFF2-40B4-BE49-F238E27FC236}">
              <a16:creationId xmlns:a16="http://schemas.microsoft.com/office/drawing/2014/main" id="{70A93ED3-F033-41BE-8BF8-AF23D0DC53E6}"/>
            </a:ext>
          </a:extLst>
        </xdr:cNvPr>
        <xdr:cNvPicPr>
          <a:picLocks noChangeAspect="1"/>
        </xdr:cNvPicPr>
      </xdr:nvPicPr>
      <xdr:blipFill>
        <a:blip xmlns:r="http://schemas.openxmlformats.org/officeDocument/2006/relationships" r:embed="rId7"/>
        <a:stretch>
          <a:fillRect/>
        </a:stretch>
      </xdr:blipFill>
      <xdr:spPr>
        <a:xfrm>
          <a:off x="4852035" y="35226671"/>
          <a:ext cx="3507105" cy="10066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27</xdr:row>
      <xdr:rowOff>0</xdr:rowOff>
    </xdr:from>
    <xdr:to>
      <xdr:col>2</xdr:col>
      <xdr:colOff>238125</xdr:colOff>
      <xdr:row>49</xdr:row>
      <xdr:rowOff>85725</xdr:rowOff>
    </xdr:to>
    <xdr:pic>
      <xdr:nvPicPr>
        <xdr:cNvPr id="5" name="Picture 4">
          <a:extLst>
            <a:ext uri="{FF2B5EF4-FFF2-40B4-BE49-F238E27FC236}">
              <a16:creationId xmlns:a16="http://schemas.microsoft.com/office/drawing/2014/main" id="{BCAF06EC-7F09-F2E7-5D65-CDC8FD2922C5}"/>
            </a:ext>
            <a:ext uri="{147F2762-F138-4A5C-976F-8EAC2B608ADB}">
              <a16:predDERef xmlns:a16="http://schemas.microsoft.com/office/drawing/2014/main" pred="{6F707CB1-F8CB-43AF-BF5C-B2838A512B71}"/>
            </a:ext>
          </a:extLst>
        </xdr:cNvPr>
        <xdr:cNvPicPr>
          <a:picLocks noChangeAspect="1"/>
        </xdr:cNvPicPr>
      </xdr:nvPicPr>
      <xdr:blipFill rotWithShape="1">
        <a:blip xmlns:r="http://schemas.openxmlformats.org/officeDocument/2006/relationships" r:embed="rId1"/>
        <a:srcRect l="13799" t="-3228" r="117" b="-662"/>
        <a:stretch>
          <a:fillRect/>
        </a:stretch>
      </xdr:blipFill>
      <xdr:spPr>
        <a:xfrm rot="5400000">
          <a:off x="819150" y="5876925"/>
          <a:ext cx="3648075" cy="51911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29</xdr:col>
      <xdr:colOff>236285</xdr:colOff>
      <xdr:row>28</xdr:row>
      <xdr:rowOff>22412</xdr:rowOff>
    </xdr:from>
    <xdr:to>
      <xdr:col>35</xdr:col>
      <xdr:colOff>587813</xdr:colOff>
      <xdr:row>30</xdr:row>
      <xdr:rowOff>429092</xdr:rowOff>
    </xdr:to>
    <xdr:graphicFrame macro="">
      <xdr:nvGraphicFramePr>
        <xdr:cNvPr id="9" name="Chart 5">
          <a:extLst>
            <a:ext uri="{FF2B5EF4-FFF2-40B4-BE49-F238E27FC236}">
              <a16:creationId xmlns:a16="http://schemas.microsoft.com/office/drawing/2014/main" id="{CBDA0656-8164-4FA8-8BE7-79F7FE5F5FB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246018</xdr:colOff>
      <xdr:row>31</xdr:row>
      <xdr:rowOff>32660</xdr:rowOff>
    </xdr:from>
    <xdr:to>
      <xdr:col>35</xdr:col>
      <xdr:colOff>598716</xdr:colOff>
      <xdr:row>33</xdr:row>
      <xdr:rowOff>424546</xdr:rowOff>
    </xdr:to>
    <xdr:graphicFrame macro="">
      <xdr:nvGraphicFramePr>
        <xdr:cNvPr id="18" name="Chart 5">
          <a:extLst>
            <a:ext uri="{FF2B5EF4-FFF2-40B4-BE49-F238E27FC236}">
              <a16:creationId xmlns:a16="http://schemas.microsoft.com/office/drawing/2014/main" id="{D1C87CF7-6396-404E-8ACD-112AC14A41D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315686</xdr:colOff>
      <xdr:row>46</xdr:row>
      <xdr:rowOff>0</xdr:rowOff>
    </xdr:from>
    <xdr:to>
      <xdr:col>36</xdr:col>
      <xdr:colOff>26126</xdr:colOff>
      <xdr:row>49</xdr:row>
      <xdr:rowOff>0</xdr:rowOff>
    </xdr:to>
    <xdr:graphicFrame macro="">
      <xdr:nvGraphicFramePr>
        <xdr:cNvPr id="19" name="Chart 5">
          <a:extLst>
            <a:ext uri="{FF2B5EF4-FFF2-40B4-BE49-F238E27FC236}">
              <a16:creationId xmlns:a16="http://schemas.microsoft.com/office/drawing/2014/main" id="{6467D4B0-6F0E-43CB-958A-F19CE6AFCF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289560</xdr:colOff>
      <xdr:row>43</xdr:row>
      <xdr:rowOff>0</xdr:rowOff>
    </xdr:from>
    <xdr:to>
      <xdr:col>36</xdr:col>
      <xdr:colOff>0</xdr:colOff>
      <xdr:row>45</xdr:row>
      <xdr:rowOff>391886</xdr:rowOff>
    </xdr:to>
    <xdr:graphicFrame macro="">
      <xdr:nvGraphicFramePr>
        <xdr:cNvPr id="4" name="Chart 5">
          <a:extLst>
            <a:ext uri="{FF2B5EF4-FFF2-40B4-BE49-F238E27FC236}">
              <a16:creationId xmlns:a16="http://schemas.microsoft.com/office/drawing/2014/main" id="{3276DD33-D44A-4033-8A9C-9DA4C45041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29</xdr:col>
      <xdr:colOff>289560</xdr:colOff>
      <xdr:row>37</xdr:row>
      <xdr:rowOff>0</xdr:rowOff>
    </xdr:from>
    <xdr:to>
      <xdr:col>36</xdr:col>
      <xdr:colOff>0</xdr:colOff>
      <xdr:row>39</xdr:row>
      <xdr:rowOff>391886</xdr:rowOff>
    </xdr:to>
    <xdr:graphicFrame macro="">
      <xdr:nvGraphicFramePr>
        <xdr:cNvPr id="5" name="Chart 5">
          <a:extLst>
            <a:ext uri="{FF2B5EF4-FFF2-40B4-BE49-F238E27FC236}">
              <a16:creationId xmlns:a16="http://schemas.microsoft.com/office/drawing/2014/main" id="{62336BB4-410A-4EE9-A99F-352F236F0B5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289560</xdr:colOff>
      <xdr:row>40</xdr:row>
      <xdr:rowOff>0</xdr:rowOff>
    </xdr:from>
    <xdr:to>
      <xdr:col>36</xdr:col>
      <xdr:colOff>0</xdr:colOff>
      <xdr:row>42</xdr:row>
      <xdr:rowOff>391886</xdr:rowOff>
    </xdr:to>
    <xdr:graphicFrame macro="">
      <xdr:nvGraphicFramePr>
        <xdr:cNvPr id="6" name="Chart 5">
          <a:extLst>
            <a:ext uri="{FF2B5EF4-FFF2-40B4-BE49-F238E27FC236}">
              <a16:creationId xmlns:a16="http://schemas.microsoft.com/office/drawing/2014/main" id="{8C67FDD8-C518-463D-9CF8-72D84E52F16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289560</xdr:colOff>
      <xdr:row>59</xdr:row>
      <xdr:rowOff>0</xdr:rowOff>
    </xdr:from>
    <xdr:to>
      <xdr:col>36</xdr:col>
      <xdr:colOff>0</xdr:colOff>
      <xdr:row>61</xdr:row>
      <xdr:rowOff>391886</xdr:rowOff>
    </xdr:to>
    <xdr:graphicFrame macro="">
      <xdr:nvGraphicFramePr>
        <xdr:cNvPr id="11" name="Chart 5">
          <a:extLst>
            <a:ext uri="{FF2B5EF4-FFF2-40B4-BE49-F238E27FC236}">
              <a16:creationId xmlns:a16="http://schemas.microsoft.com/office/drawing/2014/main" id="{5C5221C7-D7B4-4CDB-AC9A-E94DE9E9F45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277233</xdr:colOff>
      <xdr:row>70</xdr:row>
      <xdr:rowOff>468407</xdr:rowOff>
    </xdr:from>
    <xdr:to>
      <xdr:col>35</xdr:col>
      <xdr:colOff>609600</xdr:colOff>
      <xdr:row>71</xdr:row>
      <xdr:rowOff>0</xdr:rowOff>
    </xdr:to>
    <xdr:graphicFrame macro="">
      <xdr:nvGraphicFramePr>
        <xdr:cNvPr id="12" name="Chart 5">
          <a:extLst>
            <a:ext uri="{FF2B5EF4-FFF2-40B4-BE49-F238E27FC236}">
              <a16:creationId xmlns:a16="http://schemas.microsoft.com/office/drawing/2014/main" id="{E9CB1F1E-DF15-44A7-A484-E3F4D3785BB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29</xdr:col>
      <xdr:colOff>278355</xdr:colOff>
      <xdr:row>68</xdr:row>
      <xdr:rowOff>75079</xdr:rowOff>
    </xdr:from>
    <xdr:to>
      <xdr:col>35</xdr:col>
      <xdr:colOff>618566</xdr:colOff>
      <xdr:row>70</xdr:row>
      <xdr:rowOff>349624</xdr:rowOff>
    </xdr:to>
    <xdr:graphicFrame macro="">
      <xdr:nvGraphicFramePr>
        <xdr:cNvPr id="13" name="Chart 5">
          <a:extLst>
            <a:ext uri="{FF2B5EF4-FFF2-40B4-BE49-F238E27FC236}">
              <a16:creationId xmlns:a16="http://schemas.microsoft.com/office/drawing/2014/main" id="{56BF1BAA-3B9B-4245-9630-4748BC23506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285750</xdr:colOff>
      <xdr:row>55</xdr:row>
      <xdr:rowOff>163286</xdr:rowOff>
    </xdr:from>
    <xdr:to>
      <xdr:col>35</xdr:col>
      <xdr:colOff>636270</xdr:colOff>
      <xdr:row>58</xdr:row>
      <xdr:rowOff>345622</xdr:rowOff>
    </xdr:to>
    <xdr:graphicFrame macro="">
      <xdr:nvGraphicFramePr>
        <xdr:cNvPr id="14" name="Chart 5">
          <a:extLst>
            <a:ext uri="{FF2B5EF4-FFF2-40B4-BE49-F238E27FC236}">
              <a16:creationId xmlns:a16="http://schemas.microsoft.com/office/drawing/2014/main" id="{96F21BDD-BAD1-4B2E-A747-8A2C725A4A83}"/>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29</xdr:col>
      <xdr:colOff>284629</xdr:colOff>
      <xdr:row>61</xdr:row>
      <xdr:rowOff>433667</xdr:rowOff>
    </xdr:from>
    <xdr:to>
      <xdr:col>36</xdr:col>
      <xdr:colOff>6275</xdr:colOff>
      <xdr:row>68</xdr:row>
      <xdr:rowOff>31376</xdr:rowOff>
    </xdr:to>
    <xdr:graphicFrame macro="">
      <xdr:nvGraphicFramePr>
        <xdr:cNvPr id="15" name="Chart 5">
          <a:extLst>
            <a:ext uri="{FF2B5EF4-FFF2-40B4-BE49-F238E27FC236}">
              <a16:creationId xmlns:a16="http://schemas.microsoft.com/office/drawing/2014/main" id="{47775F09-56BF-4E1F-B44E-52B2390B09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278354</xdr:colOff>
      <xdr:row>71</xdr:row>
      <xdr:rowOff>57150</xdr:rowOff>
    </xdr:from>
    <xdr:to>
      <xdr:col>36</xdr:col>
      <xdr:colOff>0</xdr:colOff>
      <xdr:row>73</xdr:row>
      <xdr:rowOff>449036</xdr:rowOff>
    </xdr:to>
    <xdr:graphicFrame macro="">
      <xdr:nvGraphicFramePr>
        <xdr:cNvPr id="17" name="Chart 5">
          <a:extLst>
            <a:ext uri="{FF2B5EF4-FFF2-40B4-BE49-F238E27FC236}">
              <a16:creationId xmlns:a16="http://schemas.microsoft.com/office/drawing/2014/main" id="{E81D5F9C-0BC8-48B1-AA2D-5BE602D4AFD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29</xdr:col>
      <xdr:colOff>289560</xdr:colOff>
      <xdr:row>84</xdr:row>
      <xdr:rowOff>0</xdr:rowOff>
    </xdr:from>
    <xdr:to>
      <xdr:col>36</xdr:col>
      <xdr:colOff>0</xdr:colOff>
      <xdr:row>86</xdr:row>
      <xdr:rowOff>391886</xdr:rowOff>
    </xdr:to>
    <xdr:graphicFrame macro="">
      <xdr:nvGraphicFramePr>
        <xdr:cNvPr id="22" name="Chart 5">
          <a:extLst>
            <a:ext uri="{FF2B5EF4-FFF2-40B4-BE49-F238E27FC236}">
              <a16:creationId xmlns:a16="http://schemas.microsoft.com/office/drawing/2014/main" id="{DA3A4070-A25B-4C1C-AE37-D124A8935D1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232410</xdr:colOff>
      <xdr:row>93</xdr:row>
      <xdr:rowOff>38100</xdr:rowOff>
    </xdr:from>
    <xdr:to>
      <xdr:col>35</xdr:col>
      <xdr:colOff>590550</xdr:colOff>
      <xdr:row>96</xdr:row>
      <xdr:rowOff>0</xdr:rowOff>
    </xdr:to>
    <xdr:graphicFrame macro="">
      <xdr:nvGraphicFramePr>
        <xdr:cNvPr id="23" name="Chart 5">
          <a:extLst>
            <a:ext uri="{FF2B5EF4-FFF2-40B4-BE49-F238E27FC236}">
              <a16:creationId xmlns:a16="http://schemas.microsoft.com/office/drawing/2014/main" id="{564CB145-86A8-4F30-9AF8-085969CB0E3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29</xdr:col>
      <xdr:colOff>251460</xdr:colOff>
      <xdr:row>90</xdr:row>
      <xdr:rowOff>57150</xdr:rowOff>
    </xdr:from>
    <xdr:to>
      <xdr:col>35</xdr:col>
      <xdr:colOff>609600</xdr:colOff>
      <xdr:row>92</xdr:row>
      <xdr:rowOff>385482</xdr:rowOff>
    </xdr:to>
    <xdr:graphicFrame macro="">
      <xdr:nvGraphicFramePr>
        <xdr:cNvPr id="25" name="Chart 5">
          <a:extLst>
            <a:ext uri="{FF2B5EF4-FFF2-40B4-BE49-F238E27FC236}">
              <a16:creationId xmlns:a16="http://schemas.microsoft.com/office/drawing/2014/main" id="{1F24D7BA-70CD-446D-8581-D2FEC00CB76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285750</xdr:colOff>
      <xdr:row>80</xdr:row>
      <xdr:rowOff>152400</xdr:rowOff>
    </xdr:from>
    <xdr:to>
      <xdr:col>35</xdr:col>
      <xdr:colOff>643890</xdr:colOff>
      <xdr:row>83</xdr:row>
      <xdr:rowOff>334736</xdr:rowOff>
    </xdr:to>
    <xdr:graphicFrame macro="">
      <xdr:nvGraphicFramePr>
        <xdr:cNvPr id="26" name="Chart 5">
          <a:extLst>
            <a:ext uri="{FF2B5EF4-FFF2-40B4-BE49-F238E27FC236}">
              <a16:creationId xmlns:a16="http://schemas.microsoft.com/office/drawing/2014/main" id="{A0EC8E0E-0B92-461D-BC03-663FE7FF484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29</xdr:col>
      <xdr:colOff>275665</xdr:colOff>
      <xdr:row>87</xdr:row>
      <xdr:rowOff>21291</xdr:rowOff>
    </xdr:from>
    <xdr:to>
      <xdr:col>35</xdr:col>
      <xdr:colOff>633805</xdr:colOff>
      <xdr:row>89</xdr:row>
      <xdr:rowOff>385483</xdr:rowOff>
    </xdr:to>
    <xdr:graphicFrame macro="">
      <xdr:nvGraphicFramePr>
        <xdr:cNvPr id="27" name="Chart 5">
          <a:extLst>
            <a:ext uri="{FF2B5EF4-FFF2-40B4-BE49-F238E27FC236}">
              <a16:creationId xmlns:a16="http://schemas.microsoft.com/office/drawing/2014/main" id="{6AFCF6E6-DC11-452D-96B8-168B6E73D16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29</xdr:col>
      <xdr:colOff>224566</xdr:colOff>
      <xdr:row>96</xdr:row>
      <xdr:rowOff>48185</xdr:rowOff>
    </xdr:from>
    <xdr:to>
      <xdr:col>35</xdr:col>
      <xdr:colOff>582706</xdr:colOff>
      <xdr:row>98</xdr:row>
      <xdr:rowOff>440071</xdr:rowOff>
    </xdr:to>
    <xdr:graphicFrame macro="">
      <xdr:nvGraphicFramePr>
        <xdr:cNvPr id="29" name="Chart 5">
          <a:extLst>
            <a:ext uri="{FF2B5EF4-FFF2-40B4-BE49-F238E27FC236}">
              <a16:creationId xmlns:a16="http://schemas.microsoft.com/office/drawing/2014/main" id="{67401826-D9D1-4A5D-B655-FF2700CEC92F}"/>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286870</xdr:colOff>
      <xdr:row>42</xdr:row>
      <xdr:rowOff>466165</xdr:rowOff>
    </xdr:from>
    <xdr:to>
      <xdr:col>35</xdr:col>
      <xdr:colOff>633804</xdr:colOff>
      <xdr:row>43</xdr:row>
      <xdr:rowOff>0</xdr:rowOff>
    </xdr:to>
    <xdr:graphicFrame macro="">
      <xdr:nvGraphicFramePr>
        <xdr:cNvPr id="31" name="Chart 5">
          <a:extLst>
            <a:ext uri="{FF2B5EF4-FFF2-40B4-BE49-F238E27FC236}">
              <a16:creationId xmlns:a16="http://schemas.microsoft.com/office/drawing/2014/main" id="{75D80ACD-9CD3-4A55-802A-F97B314FE22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30</xdr:col>
      <xdr:colOff>473447</xdr:colOff>
      <xdr:row>217</xdr:row>
      <xdr:rowOff>328893</xdr:rowOff>
    </xdr:from>
    <xdr:to>
      <xdr:col>36</xdr:col>
      <xdr:colOff>577325</xdr:colOff>
      <xdr:row>220</xdr:row>
      <xdr:rowOff>332703</xdr:rowOff>
    </xdr:to>
    <xdr:graphicFrame macro="">
      <xdr:nvGraphicFramePr>
        <xdr:cNvPr id="33" name="Chart 5">
          <a:extLst>
            <a:ext uri="{FF2B5EF4-FFF2-40B4-BE49-F238E27FC236}">
              <a16:creationId xmlns:a16="http://schemas.microsoft.com/office/drawing/2014/main" id="{B3578099-94A6-4869-8EF1-3541D90D46BF}"/>
            </a:ext>
            <a:ext uri="{147F2762-F138-4A5C-976F-8EAC2B608ADB}">
              <a16:predDERef xmlns:a16="http://schemas.microsoft.com/office/drawing/2014/main" pred="{75D80ACD-9CD3-4A55-802A-F97B314FE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29</xdr:col>
      <xdr:colOff>272143</xdr:colOff>
      <xdr:row>34</xdr:row>
      <xdr:rowOff>0</xdr:rowOff>
    </xdr:from>
    <xdr:to>
      <xdr:col>35</xdr:col>
      <xdr:colOff>624841</xdr:colOff>
      <xdr:row>36</xdr:row>
      <xdr:rowOff>391887</xdr:rowOff>
    </xdr:to>
    <xdr:graphicFrame macro="">
      <xdr:nvGraphicFramePr>
        <xdr:cNvPr id="8" name="Chart 5">
          <a:extLst>
            <a:ext uri="{FF2B5EF4-FFF2-40B4-BE49-F238E27FC236}">
              <a16:creationId xmlns:a16="http://schemas.microsoft.com/office/drawing/2014/main" id="{5C82506D-AA6C-4D44-9AE7-70079C76F33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29</xdr:col>
      <xdr:colOff>313765</xdr:colOff>
      <xdr:row>49</xdr:row>
      <xdr:rowOff>33617</xdr:rowOff>
    </xdr:from>
    <xdr:to>
      <xdr:col>36</xdr:col>
      <xdr:colOff>18490</xdr:colOff>
      <xdr:row>52</xdr:row>
      <xdr:rowOff>33618</xdr:rowOff>
    </xdr:to>
    <xdr:graphicFrame macro="">
      <xdr:nvGraphicFramePr>
        <xdr:cNvPr id="21" name="Chart 5">
          <a:extLst>
            <a:ext uri="{FF2B5EF4-FFF2-40B4-BE49-F238E27FC236}">
              <a16:creationId xmlns:a16="http://schemas.microsoft.com/office/drawing/2014/main" id="{3DF6ECEF-8FFE-45DF-AFB8-66EB184D2A5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29</xdr:col>
      <xdr:colOff>323066</xdr:colOff>
      <xdr:row>52</xdr:row>
      <xdr:rowOff>102758</xdr:rowOff>
    </xdr:from>
    <xdr:to>
      <xdr:col>36</xdr:col>
      <xdr:colOff>27791</xdr:colOff>
      <xdr:row>55</xdr:row>
      <xdr:rowOff>102758</xdr:rowOff>
    </xdr:to>
    <xdr:graphicFrame macro="">
      <xdr:nvGraphicFramePr>
        <xdr:cNvPr id="24" name="Chart 5">
          <a:extLst>
            <a:ext uri="{FF2B5EF4-FFF2-40B4-BE49-F238E27FC236}">
              <a16:creationId xmlns:a16="http://schemas.microsoft.com/office/drawing/2014/main" id="{165C6C1A-290D-41A1-8C87-D4257AD35AC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29</xdr:col>
      <xdr:colOff>246530</xdr:colOff>
      <xdr:row>99</xdr:row>
      <xdr:rowOff>0</xdr:rowOff>
    </xdr:from>
    <xdr:to>
      <xdr:col>35</xdr:col>
      <xdr:colOff>591895</xdr:colOff>
      <xdr:row>102</xdr:row>
      <xdr:rowOff>0</xdr:rowOff>
    </xdr:to>
    <xdr:graphicFrame macro="">
      <xdr:nvGraphicFramePr>
        <xdr:cNvPr id="28" name="Chart 5">
          <a:extLst>
            <a:ext uri="{FF2B5EF4-FFF2-40B4-BE49-F238E27FC236}">
              <a16:creationId xmlns:a16="http://schemas.microsoft.com/office/drawing/2014/main" id="{BC519BF0-FF78-4ED7-8E9F-D2AB768C90B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29</xdr:col>
      <xdr:colOff>259641</xdr:colOff>
      <xdr:row>102</xdr:row>
      <xdr:rowOff>53788</xdr:rowOff>
    </xdr:from>
    <xdr:to>
      <xdr:col>35</xdr:col>
      <xdr:colOff>597386</xdr:colOff>
      <xdr:row>105</xdr:row>
      <xdr:rowOff>0</xdr:rowOff>
    </xdr:to>
    <xdr:graphicFrame macro="">
      <xdr:nvGraphicFramePr>
        <xdr:cNvPr id="30" name="Chart 5">
          <a:extLst>
            <a:ext uri="{FF2B5EF4-FFF2-40B4-BE49-F238E27FC236}">
              <a16:creationId xmlns:a16="http://schemas.microsoft.com/office/drawing/2014/main" id="{331A2C59-7D36-4C7A-9FF0-6A90CA3B6C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29</xdr:col>
      <xdr:colOff>272143</xdr:colOff>
      <xdr:row>74</xdr:row>
      <xdr:rowOff>27214</xdr:rowOff>
    </xdr:from>
    <xdr:to>
      <xdr:col>35</xdr:col>
      <xdr:colOff>607983</xdr:colOff>
      <xdr:row>76</xdr:row>
      <xdr:rowOff>436838</xdr:rowOff>
    </xdr:to>
    <xdr:graphicFrame macro="">
      <xdr:nvGraphicFramePr>
        <xdr:cNvPr id="32" name="Chart 5">
          <a:extLst>
            <a:ext uri="{FF2B5EF4-FFF2-40B4-BE49-F238E27FC236}">
              <a16:creationId xmlns:a16="http://schemas.microsoft.com/office/drawing/2014/main" id="{E18D335D-A904-4CA8-A92D-706E9C6A1D0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29</xdr:col>
      <xdr:colOff>281444</xdr:colOff>
      <xdr:row>77</xdr:row>
      <xdr:rowOff>14216</xdr:rowOff>
    </xdr:from>
    <xdr:to>
      <xdr:col>35</xdr:col>
      <xdr:colOff>615379</xdr:colOff>
      <xdr:row>79</xdr:row>
      <xdr:rowOff>411417</xdr:rowOff>
    </xdr:to>
    <xdr:graphicFrame macro="">
      <xdr:nvGraphicFramePr>
        <xdr:cNvPr id="34" name="Chart 5">
          <a:extLst>
            <a:ext uri="{FF2B5EF4-FFF2-40B4-BE49-F238E27FC236}">
              <a16:creationId xmlns:a16="http://schemas.microsoft.com/office/drawing/2014/main" id="{0DDF98D8-9D92-4163-8BA4-3A709C4D53B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29</xdr:col>
      <xdr:colOff>227928</xdr:colOff>
      <xdr:row>378</xdr:row>
      <xdr:rowOff>312965</xdr:rowOff>
    </xdr:from>
    <xdr:to>
      <xdr:col>35</xdr:col>
      <xdr:colOff>590886</xdr:colOff>
      <xdr:row>382</xdr:row>
      <xdr:rowOff>643</xdr:rowOff>
    </xdr:to>
    <xdr:graphicFrame macro="">
      <xdr:nvGraphicFramePr>
        <xdr:cNvPr id="35" name="Chart 5">
          <a:extLst>
            <a:ext uri="{FF2B5EF4-FFF2-40B4-BE49-F238E27FC236}">
              <a16:creationId xmlns:a16="http://schemas.microsoft.com/office/drawing/2014/main" id="{96902A3B-93CB-43C7-BC25-B22A5376FEE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29</xdr:col>
      <xdr:colOff>249828</xdr:colOff>
      <xdr:row>382</xdr:row>
      <xdr:rowOff>163285</xdr:rowOff>
    </xdr:from>
    <xdr:to>
      <xdr:col>35</xdr:col>
      <xdr:colOff>596811</xdr:colOff>
      <xdr:row>384</xdr:row>
      <xdr:rowOff>426450</xdr:rowOff>
    </xdr:to>
    <xdr:graphicFrame macro="">
      <xdr:nvGraphicFramePr>
        <xdr:cNvPr id="36" name="Chart 5">
          <a:extLst>
            <a:ext uri="{FF2B5EF4-FFF2-40B4-BE49-F238E27FC236}">
              <a16:creationId xmlns:a16="http://schemas.microsoft.com/office/drawing/2014/main" id="{FC82CB01-3BB7-4ED8-8A32-4A8F8D07234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29</xdr:col>
      <xdr:colOff>289560</xdr:colOff>
      <xdr:row>388</xdr:row>
      <xdr:rowOff>0</xdr:rowOff>
    </xdr:from>
    <xdr:to>
      <xdr:col>36</xdr:col>
      <xdr:colOff>0</xdr:colOff>
      <xdr:row>390</xdr:row>
      <xdr:rowOff>391886</xdr:rowOff>
    </xdr:to>
    <xdr:graphicFrame macro="">
      <xdr:nvGraphicFramePr>
        <xdr:cNvPr id="39" name="Chart 5">
          <a:extLst>
            <a:ext uri="{FF2B5EF4-FFF2-40B4-BE49-F238E27FC236}">
              <a16:creationId xmlns:a16="http://schemas.microsoft.com/office/drawing/2014/main" id="{C6D0B476-24AB-4352-BBEE-6F9484A0759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29</xdr:col>
      <xdr:colOff>289560</xdr:colOff>
      <xdr:row>391</xdr:row>
      <xdr:rowOff>0</xdr:rowOff>
    </xdr:from>
    <xdr:to>
      <xdr:col>36</xdr:col>
      <xdr:colOff>0</xdr:colOff>
      <xdr:row>393</xdr:row>
      <xdr:rowOff>391886</xdr:rowOff>
    </xdr:to>
    <xdr:graphicFrame macro="">
      <xdr:nvGraphicFramePr>
        <xdr:cNvPr id="40" name="Chart 39">
          <a:extLst>
            <a:ext uri="{FF2B5EF4-FFF2-40B4-BE49-F238E27FC236}">
              <a16:creationId xmlns:a16="http://schemas.microsoft.com/office/drawing/2014/main" id="{5ED62FFC-19D5-4419-B1AF-FE4125BFA229}"/>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29</xdr:col>
      <xdr:colOff>286870</xdr:colOff>
      <xdr:row>393</xdr:row>
      <xdr:rowOff>466165</xdr:rowOff>
    </xdr:from>
    <xdr:to>
      <xdr:col>35</xdr:col>
      <xdr:colOff>633804</xdr:colOff>
      <xdr:row>394</xdr:row>
      <xdr:rowOff>0</xdr:rowOff>
    </xdr:to>
    <xdr:graphicFrame macro="">
      <xdr:nvGraphicFramePr>
        <xdr:cNvPr id="41" name="Chart 5">
          <a:extLst>
            <a:ext uri="{FF2B5EF4-FFF2-40B4-BE49-F238E27FC236}">
              <a16:creationId xmlns:a16="http://schemas.microsoft.com/office/drawing/2014/main" id="{4CBAE075-8924-4A1E-AD96-71E632FA466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29</xdr:col>
      <xdr:colOff>272143</xdr:colOff>
      <xdr:row>385</xdr:row>
      <xdr:rowOff>0</xdr:rowOff>
    </xdr:from>
    <xdr:to>
      <xdr:col>35</xdr:col>
      <xdr:colOff>624841</xdr:colOff>
      <xdr:row>387</xdr:row>
      <xdr:rowOff>391887</xdr:rowOff>
    </xdr:to>
    <xdr:graphicFrame macro="">
      <xdr:nvGraphicFramePr>
        <xdr:cNvPr id="42" name="Chart 5">
          <a:extLst>
            <a:ext uri="{FF2B5EF4-FFF2-40B4-BE49-F238E27FC236}">
              <a16:creationId xmlns:a16="http://schemas.microsoft.com/office/drawing/2014/main" id="{DD073792-4407-47BF-9F3B-AD1C4848EF6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29</xdr:col>
      <xdr:colOff>313765</xdr:colOff>
      <xdr:row>394</xdr:row>
      <xdr:rowOff>33617</xdr:rowOff>
    </xdr:from>
    <xdr:to>
      <xdr:col>36</xdr:col>
      <xdr:colOff>18490</xdr:colOff>
      <xdr:row>397</xdr:row>
      <xdr:rowOff>33618</xdr:rowOff>
    </xdr:to>
    <xdr:graphicFrame macro="">
      <xdr:nvGraphicFramePr>
        <xdr:cNvPr id="43" name="Chart 5">
          <a:extLst>
            <a:ext uri="{FF2B5EF4-FFF2-40B4-BE49-F238E27FC236}">
              <a16:creationId xmlns:a16="http://schemas.microsoft.com/office/drawing/2014/main" id="{7CC19BB4-EBB1-495D-B1A3-34E7F752960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29</xdr:col>
      <xdr:colOff>323066</xdr:colOff>
      <xdr:row>397</xdr:row>
      <xdr:rowOff>102758</xdr:rowOff>
    </xdr:from>
    <xdr:to>
      <xdr:col>36</xdr:col>
      <xdr:colOff>27791</xdr:colOff>
      <xdr:row>400</xdr:row>
      <xdr:rowOff>0</xdr:rowOff>
    </xdr:to>
    <xdr:graphicFrame macro="">
      <xdr:nvGraphicFramePr>
        <xdr:cNvPr id="44" name="Chart 5">
          <a:extLst>
            <a:ext uri="{FF2B5EF4-FFF2-40B4-BE49-F238E27FC236}">
              <a16:creationId xmlns:a16="http://schemas.microsoft.com/office/drawing/2014/main" id="{315E52DB-8002-4702-BFF4-4A0ECBE1A8E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30</xdr:col>
      <xdr:colOff>463922</xdr:colOff>
      <xdr:row>220</xdr:row>
      <xdr:rowOff>405093</xdr:rowOff>
    </xdr:from>
    <xdr:to>
      <xdr:col>36</xdr:col>
      <xdr:colOff>567800</xdr:colOff>
      <xdr:row>223</xdr:row>
      <xdr:rowOff>351753</xdr:rowOff>
    </xdr:to>
    <xdr:graphicFrame macro="">
      <xdr:nvGraphicFramePr>
        <xdr:cNvPr id="2" name="Chart 5">
          <a:extLst>
            <a:ext uri="{FF2B5EF4-FFF2-40B4-BE49-F238E27FC236}">
              <a16:creationId xmlns:a16="http://schemas.microsoft.com/office/drawing/2014/main" id="{595D8722-8472-4FBA-A41F-5839C1F5CC6D}"/>
            </a:ext>
            <a:ext uri="{147F2762-F138-4A5C-976F-8EAC2B608ADB}">
              <a16:predDERef xmlns:a16="http://schemas.microsoft.com/office/drawing/2014/main" pred="{315E52DB-8002-4702-BFF4-4A0ECBE1A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29</xdr:col>
      <xdr:colOff>63500</xdr:colOff>
      <xdr:row>192</xdr:row>
      <xdr:rowOff>423332</xdr:rowOff>
    </xdr:from>
    <xdr:to>
      <xdr:col>35</xdr:col>
      <xdr:colOff>409394</xdr:colOff>
      <xdr:row>195</xdr:row>
      <xdr:rowOff>423997</xdr:rowOff>
    </xdr:to>
    <xdr:graphicFrame macro="">
      <xdr:nvGraphicFramePr>
        <xdr:cNvPr id="47" name="Chart 5">
          <a:extLst>
            <a:ext uri="{FF2B5EF4-FFF2-40B4-BE49-F238E27FC236}">
              <a16:creationId xmlns:a16="http://schemas.microsoft.com/office/drawing/2014/main" id="{7F8C8456-8C05-4D5A-95CC-98799A6716E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29</xdr:col>
      <xdr:colOff>63500</xdr:colOff>
      <xdr:row>196</xdr:row>
      <xdr:rowOff>21167</xdr:rowOff>
    </xdr:from>
    <xdr:to>
      <xdr:col>35</xdr:col>
      <xdr:colOff>413204</xdr:colOff>
      <xdr:row>199</xdr:row>
      <xdr:rowOff>21832</xdr:rowOff>
    </xdr:to>
    <xdr:graphicFrame macro="">
      <xdr:nvGraphicFramePr>
        <xdr:cNvPr id="48" name="Chart 5">
          <a:extLst>
            <a:ext uri="{FF2B5EF4-FFF2-40B4-BE49-F238E27FC236}">
              <a16:creationId xmlns:a16="http://schemas.microsoft.com/office/drawing/2014/main" id="{0F0A69FC-BDCE-47A5-9C2E-064E4292B481}"/>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29</xdr:col>
      <xdr:colOff>56727</xdr:colOff>
      <xdr:row>199</xdr:row>
      <xdr:rowOff>29845</xdr:rowOff>
    </xdr:from>
    <xdr:to>
      <xdr:col>35</xdr:col>
      <xdr:colOff>402621</xdr:colOff>
      <xdr:row>201</xdr:row>
      <xdr:rowOff>381000</xdr:rowOff>
    </xdr:to>
    <xdr:graphicFrame macro="">
      <xdr:nvGraphicFramePr>
        <xdr:cNvPr id="49" name="Chart 5">
          <a:extLst>
            <a:ext uri="{FF2B5EF4-FFF2-40B4-BE49-F238E27FC236}">
              <a16:creationId xmlns:a16="http://schemas.microsoft.com/office/drawing/2014/main" id="{42DF4A05-83DF-465C-B663-14D2DF3DDD6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29</xdr:col>
      <xdr:colOff>66131</xdr:colOff>
      <xdr:row>201</xdr:row>
      <xdr:rowOff>428721</xdr:rowOff>
    </xdr:from>
    <xdr:to>
      <xdr:col>35</xdr:col>
      <xdr:colOff>419645</xdr:colOff>
      <xdr:row>205</xdr:row>
      <xdr:rowOff>30215</xdr:rowOff>
    </xdr:to>
    <xdr:graphicFrame macro="">
      <xdr:nvGraphicFramePr>
        <xdr:cNvPr id="50" name="Chart 49">
          <a:extLst>
            <a:ext uri="{FF2B5EF4-FFF2-40B4-BE49-F238E27FC236}">
              <a16:creationId xmlns:a16="http://schemas.microsoft.com/office/drawing/2014/main" id="{B4E4F1CD-223F-40C4-A7B2-8CC24130A3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29</xdr:col>
      <xdr:colOff>64885</xdr:colOff>
      <xdr:row>205</xdr:row>
      <xdr:rowOff>60869</xdr:rowOff>
    </xdr:from>
    <xdr:to>
      <xdr:col>35</xdr:col>
      <xdr:colOff>408874</xdr:colOff>
      <xdr:row>207</xdr:row>
      <xdr:rowOff>415835</xdr:rowOff>
    </xdr:to>
    <xdr:graphicFrame macro="">
      <xdr:nvGraphicFramePr>
        <xdr:cNvPr id="51" name="Chart 5">
          <a:extLst>
            <a:ext uri="{FF2B5EF4-FFF2-40B4-BE49-F238E27FC236}">
              <a16:creationId xmlns:a16="http://schemas.microsoft.com/office/drawing/2014/main" id="{A62D4D59-8D38-4DDC-BECD-8A6B0B29C9D5}"/>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29</xdr:col>
      <xdr:colOff>62320</xdr:colOff>
      <xdr:row>208</xdr:row>
      <xdr:rowOff>55116</xdr:rowOff>
    </xdr:from>
    <xdr:to>
      <xdr:col>35</xdr:col>
      <xdr:colOff>406309</xdr:colOff>
      <xdr:row>210</xdr:row>
      <xdr:rowOff>434846</xdr:rowOff>
    </xdr:to>
    <xdr:graphicFrame macro="">
      <xdr:nvGraphicFramePr>
        <xdr:cNvPr id="52" name="Chart 5">
          <a:extLst>
            <a:ext uri="{FF2B5EF4-FFF2-40B4-BE49-F238E27FC236}">
              <a16:creationId xmlns:a16="http://schemas.microsoft.com/office/drawing/2014/main" id="{11BE8B3D-6CE5-4263-8EB7-00227A815CF7}"/>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29</xdr:col>
      <xdr:colOff>92657</xdr:colOff>
      <xdr:row>211</xdr:row>
      <xdr:rowOff>40821</xdr:rowOff>
    </xdr:from>
    <xdr:to>
      <xdr:col>35</xdr:col>
      <xdr:colOff>411816</xdr:colOff>
      <xdr:row>213</xdr:row>
      <xdr:rowOff>367889</xdr:rowOff>
    </xdr:to>
    <xdr:graphicFrame macro="">
      <xdr:nvGraphicFramePr>
        <xdr:cNvPr id="53" name="Chart 5">
          <a:extLst>
            <a:ext uri="{FF2B5EF4-FFF2-40B4-BE49-F238E27FC236}">
              <a16:creationId xmlns:a16="http://schemas.microsoft.com/office/drawing/2014/main" id="{345CB67F-9C9F-45F1-9DED-A2F8DE277210}"/>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29</xdr:col>
      <xdr:colOff>183986</xdr:colOff>
      <xdr:row>214</xdr:row>
      <xdr:rowOff>13110</xdr:rowOff>
    </xdr:from>
    <xdr:to>
      <xdr:col>35</xdr:col>
      <xdr:colOff>497430</xdr:colOff>
      <xdr:row>216</xdr:row>
      <xdr:rowOff>386715</xdr:rowOff>
    </xdr:to>
    <xdr:graphicFrame macro="">
      <xdr:nvGraphicFramePr>
        <xdr:cNvPr id="54" name="Chart 5">
          <a:extLst>
            <a:ext uri="{FF2B5EF4-FFF2-40B4-BE49-F238E27FC236}">
              <a16:creationId xmlns:a16="http://schemas.microsoft.com/office/drawing/2014/main" id="{DA1D5FD1-1026-45ED-B44C-006A4A11D00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29</xdr:col>
      <xdr:colOff>227928</xdr:colOff>
      <xdr:row>283</xdr:row>
      <xdr:rowOff>312965</xdr:rowOff>
    </xdr:from>
    <xdr:to>
      <xdr:col>35</xdr:col>
      <xdr:colOff>590886</xdr:colOff>
      <xdr:row>290</xdr:row>
      <xdr:rowOff>643</xdr:rowOff>
    </xdr:to>
    <xdr:graphicFrame macro="">
      <xdr:nvGraphicFramePr>
        <xdr:cNvPr id="55" name="Chart 5">
          <a:extLst>
            <a:ext uri="{FF2B5EF4-FFF2-40B4-BE49-F238E27FC236}">
              <a16:creationId xmlns:a16="http://schemas.microsoft.com/office/drawing/2014/main" id="{1E39836F-3085-4C61-ADDD-0979479DC2F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29</xdr:col>
      <xdr:colOff>249828</xdr:colOff>
      <xdr:row>290</xdr:row>
      <xdr:rowOff>163285</xdr:rowOff>
    </xdr:from>
    <xdr:to>
      <xdr:col>35</xdr:col>
      <xdr:colOff>596811</xdr:colOff>
      <xdr:row>292</xdr:row>
      <xdr:rowOff>426450</xdr:rowOff>
    </xdr:to>
    <xdr:graphicFrame macro="">
      <xdr:nvGraphicFramePr>
        <xdr:cNvPr id="56" name="Chart 5">
          <a:extLst>
            <a:ext uri="{FF2B5EF4-FFF2-40B4-BE49-F238E27FC236}">
              <a16:creationId xmlns:a16="http://schemas.microsoft.com/office/drawing/2014/main" id="{CC13D150-E3E7-427B-8656-0B700447D0ED}"/>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29</xdr:col>
      <xdr:colOff>289560</xdr:colOff>
      <xdr:row>296</xdr:row>
      <xdr:rowOff>0</xdr:rowOff>
    </xdr:from>
    <xdr:to>
      <xdr:col>36</xdr:col>
      <xdr:colOff>0</xdr:colOff>
      <xdr:row>298</xdr:row>
      <xdr:rowOff>391886</xdr:rowOff>
    </xdr:to>
    <xdr:graphicFrame macro="">
      <xdr:nvGraphicFramePr>
        <xdr:cNvPr id="57" name="Chart 5">
          <a:extLst>
            <a:ext uri="{FF2B5EF4-FFF2-40B4-BE49-F238E27FC236}">
              <a16:creationId xmlns:a16="http://schemas.microsoft.com/office/drawing/2014/main" id="{BDAEF1BF-9B33-4809-AB4E-C7BECA61787A}"/>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29</xdr:col>
      <xdr:colOff>289560</xdr:colOff>
      <xdr:row>299</xdr:row>
      <xdr:rowOff>0</xdr:rowOff>
    </xdr:from>
    <xdr:to>
      <xdr:col>36</xdr:col>
      <xdr:colOff>0</xdr:colOff>
      <xdr:row>301</xdr:row>
      <xdr:rowOff>391886</xdr:rowOff>
    </xdr:to>
    <xdr:graphicFrame macro="">
      <xdr:nvGraphicFramePr>
        <xdr:cNvPr id="58" name="Chart 57">
          <a:extLst>
            <a:ext uri="{FF2B5EF4-FFF2-40B4-BE49-F238E27FC236}">
              <a16:creationId xmlns:a16="http://schemas.microsoft.com/office/drawing/2014/main" id="{6A38FE63-C966-4492-88AB-6E732732C73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29</xdr:col>
      <xdr:colOff>286870</xdr:colOff>
      <xdr:row>301</xdr:row>
      <xdr:rowOff>466165</xdr:rowOff>
    </xdr:from>
    <xdr:to>
      <xdr:col>35</xdr:col>
      <xdr:colOff>633804</xdr:colOff>
      <xdr:row>302</xdr:row>
      <xdr:rowOff>0</xdr:rowOff>
    </xdr:to>
    <xdr:graphicFrame macro="">
      <xdr:nvGraphicFramePr>
        <xdr:cNvPr id="59" name="Chart 5">
          <a:extLst>
            <a:ext uri="{FF2B5EF4-FFF2-40B4-BE49-F238E27FC236}">
              <a16:creationId xmlns:a16="http://schemas.microsoft.com/office/drawing/2014/main" id="{141F3664-0CE5-4FA8-944E-4AA272A46CAB}"/>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29</xdr:col>
      <xdr:colOff>272143</xdr:colOff>
      <xdr:row>293</xdr:row>
      <xdr:rowOff>0</xdr:rowOff>
    </xdr:from>
    <xdr:to>
      <xdr:col>35</xdr:col>
      <xdr:colOff>624841</xdr:colOff>
      <xdr:row>295</xdr:row>
      <xdr:rowOff>391887</xdr:rowOff>
    </xdr:to>
    <xdr:graphicFrame macro="">
      <xdr:nvGraphicFramePr>
        <xdr:cNvPr id="60" name="Chart 5">
          <a:extLst>
            <a:ext uri="{FF2B5EF4-FFF2-40B4-BE49-F238E27FC236}">
              <a16:creationId xmlns:a16="http://schemas.microsoft.com/office/drawing/2014/main" id="{340BD91D-AC3B-4E0B-86D4-A6BDDE081B2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29</xdr:col>
      <xdr:colOff>227928</xdr:colOff>
      <xdr:row>2</xdr:row>
      <xdr:rowOff>312965</xdr:rowOff>
    </xdr:from>
    <xdr:to>
      <xdr:col>35</xdr:col>
      <xdr:colOff>590886</xdr:colOff>
      <xdr:row>6</xdr:row>
      <xdr:rowOff>643</xdr:rowOff>
    </xdr:to>
    <xdr:graphicFrame macro="">
      <xdr:nvGraphicFramePr>
        <xdr:cNvPr id="38" name="Chart 5">
          <a:extLst>
            <a:ext uri="{FF2B5EF4-FFF2-40B4-BE49-F238E27FC236}">
              <a16:creationId xmlns:a16="http://schemas.microsoft.com/office/drawing/2014/main" id="{9AA1E47E-C529-4B38-966E-33F8CA5B3CD2}"/>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29</xdr:col>
      <xdr:colOff>249828</xdr:colOff>
      <xdr:row>6</xdr:row>
      <xdr:rowOff>163285</xdr:rowOff>
    </xdr:from>
    <xdr:to>
      <xdr:col>35</xdr:col>
      <xdr:colOff>596811</xdr:colOff>
      <xdr:row>8</xdr:row>
      <xdr:rowOff>426450</xdr:rowOff>
    </xdr:to>
    <xdr:graphicFrame macro="">
      <xdr:nvGraphicFramePr>
        <xdr:cNvPr id="45" name="Chart 5">
          <a:extLst>
            <a:ext uri="{FF2B5EF4-FFF2-40B4-BE49-F238E27FC236}">
              <a16:creationId xmlns:a16="http://schemas.microsoft.com/office/drawing/2014/main" id="{BF6DB9E9-7AA3-497E-BB29-3C3AB148536E}"/>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29</xdr:col>
      <xdr:colOff>289560</xdr:colOff>
      <xdr:row>12</xdr:row>
      <xdr:rowOff>0</xdr:rowOff>
    </xdr:from>
    <xdr:to>
      <xdr:col>36</xdr:col>
      <xdr:colOff>0</xdr:colOff>
      <xdr:row>14</xdr:row>
      <xdr:rowOff>391886</xdr:rowOff>
    </xdr:to>
    <xdr:graphicFrame macro="">
      <xdr:nvGraphicFramePr>
        <xdr:cNvPr id="46" name="Chart 5">
          <a:extLst>
            <a:ext uri="{FF2B5EF4-FFF2-40B4-BE49-F238E27FC236}">
              <a16:creationId xmlns:a16="http://schemas.microsoft.com/office/drawing/2014/main" id="{9095EA28-8696-4AA0-9B45-A3E10DD591AC}"/>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29</xdr:col>
      <xdr:colOff>289560</xdr:colOff>
      <xdr:row>15</xdr:row>
      <xdr:rowOff>0</xdr:rowOff>
    </xdr:from>
    <xdr:to>
      <xdr:col>36</xdr:col>
      <xdr:colOff>0</xdr:colOff>
      <xdr:row>17</xdr:row>
      <xdr:rowOff>391886</xdr:rowOff>
    </xdr:to>
    <xdr:graphicFrame macro="">
      <xdr:nvGraphicFramePr>
        <xdr:cNvPr id="61" name="Chart 60">
          <a:extLst>
            <a:ext uri="{FF2B5EF4-FFF2-40B4-BE49-F238E27FC236}">
              <a16:creationId xmlns:a16="http://schemas.microsoft.com/office/drawing/2014/main" id="{EAFC9112-72B6-4A7E-926E-A2FED3195164}"/>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29</xdr:col>
      <xdr:colOff>286870</xdr:colOff>
      <xdr:row>17</xdr:row>
      <xdr:rowOff>466165</xdr:rowOff>
    </xdr:from>
    <xdr:to>
      <xdr:col>35</xdr:col>
      <xdr:colOff>633804</xdr:colOff>
      <xdr:row>18</xdr:row>
      <xdr:rowOff>0</xdr:rowOff>
    </xdr:to>
    <xdr:graphicFrame macro="">
      <xdr:nvGraphicFramePr>
        <xdr:cNvPr id="62" name="Chart 5">
          <a:extLst>
            <a:ext uri="{FF2B5EF4-FFF2-40B4-BE49-F238E27FC236}">
              <a16:creationId xmlns:a16="http://schemas.microsoft.com/office/drawing/2014/main" id="{9768FDFC-409E-4DD3-BFE7-3F01BBF25656}"/>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29</xdr:col>
      <xdr:colOff>272143</xdr:colOff>
      <xdr:row>9</xdr:row>
      <xdr:rowOff>0</xdr:rowOff>
    </xdr:from>
    <xdr:to>
      <xdr:col>35</xdr:col>
      <xdr:colOff>624841</xdr:colOff>
      <xdr:row>11</xdr:row>
      <xdr:rowOff>391887</xdr:rowOff>
    </xdr:to>
    <xdr:graphicFrame macro="">
      <xdr:nvGraphicFramePr>
        <xdr:cNvPr id="63" name="Chart 5">
          <a:extLst>
            <a:ext uri="{FF2B5EF4-FFF2-40B4-BE49-F238E27FC236}">
              <a16:creationId xmlns:a16="http://schemas.microsoft.com/office/drawing/2014/main" id="{08D0CEA3-6F2E-450B-A589-936641C951D8}"/>
            </a:ext>
            <a:ext uri="{147F2762-F138-4A5C-976F-8EAC2B608ADB}">
              <a16:predDERef xmlns:a16="http://schemas.microsoft.com/office/drawing/2014/main" pred="{DBBB3571-9962-4A3F-82BD-C5E363082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24</xdr:col>
      <xdr:colOff>22858</xdr:colOff>
      <xdr:row>0</xdr:row>
      <xdr:rowOff>0</xdr:rowOff>
    </xdr:from>
    <xdr:to>
      <xdr:col>39</xdr:col>
      <xdr:colOff>469445</xdr:colOff>
      <xdr:row>18</xdr:row>
      <xdr:rowOff>69940</xdr:rowOff>
    </xdr:to>
    <xdr:graphicFrame macro="">
      <xdr:nvGraphicFramePr>
        <xdr:cNvPr id="2" name="Chart 1">
          <a:extLst>
            <a:ext uri="{FF2B5EF4-FFF2-40B4-BE49-F238E27FC236}">
              <a16:creationId xmlns:a16="http://schemas.microsoft.com/office/drawing/2014/main" id="{BD5E8B3E-C2A1-4226-A246-D8C35FD186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19</xdr:row>
      <xdr:rowOff>56606</xdr:rowOff>
    </xdr:from>
    <xdr:to>
      <xdr:col>39</xdr:col>
      <xdr:colOff>383426</xdr:colOff>
      <xdr:row>48</xdr:row>
      <xdr:rowOff>59051</xdr:rowOff>
    </xdr:to>
    <xdr:graphicFrame macro="">
      <xdr:nvGraphicFramePr>
        <xdr:cNvPr id="3" name="Chart 5">
          <a:extLst>
            <a:ext uri="{FF2B5EF4-FFF2-40B4-BE49-F238E27FC236}">
              <a16:creationId xmlns:a16="http://schemas.microsoft.com/office/drawing/2014/main" id="{640A21FB-3DD5-4DE4-A573-D11473357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hla.com/sites/default/files/25_SOTI.pdf" TargetMode="External"/><Relationship Id="rId13" Type="http://schemas.openxmlformats.org/officeDocument/2006/relationships/hyperlink" Target="https://efiling.energy.ca.gov/GetDocument.aspx?tn=265693&amp;DocumentContentId=102545" TargetMode="External"/><Relationship Id="rId18" Type="http://schemas.openxmlformats.org/officeDocument/2006/relationships/hyperlink" Target="https://codes.iccsafe.org/codes/united-states/california" TargetMode="External"/><Relationship Id="rId26" Type="http://schemas.openxmlformats.org/officeDocument/2006/relationships/hyperlink" Target="https://www.grainger.com/category/plumbing/water-heaters/gas-tank-water-heaters" TargetMode="External"/><Relationship Id="rId3" Type="http://schemas.openxmlformats.org/officeDocument/2006/relationships/hyperlink" Target="https://github.com/sound-data/DEER-Prototypes-EnergyPlus" TargetMode="External"/><Relationship Id="rId21" Type="http://schemas.openxmlformats.org/officeDocument/2006/relationships/hyperlink" Target="https://www.energy.ca.gov/publications/2022/2022-nonresidential-and-multifamily-alternative-calculation-method-reference" TargetMode="External"/><Relationship Id="rId7" Type="http://schemas.openxmlformats.org/officeDocument/2006/relationships/hyperlink" Target="https://title24stakeholders.com/wp-content/uploads/2016/10/T24-2019-CASE-Study-Results-Report-Outdoor-Sources_Final_with-Attachments.pdf" TargetMode="External"/><Relationship Id="rId12" Type="http://schemas.openxmlformats.org/officeDocument/2006/relationships/hyperlink" Target="https://2050partners.sharepoint.com/:w:/r/sites/CalBEMCollaborativeEfforts/_layouts/15/Doc.aspx?sourcedoc=%7B3BEF8F74-7FAC-44F2-A70C-D76617660066%7D&amp;file=Infiltration_rate_report_14May2025-Short-Version.docx&amp;wdLOR=c494C5A60-5F8A-438B-874B-578DCB850072&amp;action=default&amp;mobileredirect=true" TargetMode="External"/><Relationship Id="rId17" Type="http://schemas.openxmlformats.org/officeDocument/2006/relationships/hyperlink" Target="https://www.energy.ca.gov/publications/2025/2025-building-energy-efficiency-standards-residential-and-nonresidential" TargetMode="External"/><Relationship Id="rId25" Type="http://schemas.openxmlformats.org/officeDocument/2006/relationships/hyperlink" Target="https://www.energystar.gov/productfinder/product/certified-commercial-water-heaters/results?fuel_filter=Gas&amp;markets_filter=United+States" TargetMode="External"/><Relationship Id="rId2" Type="http://schemas.openxmlformats.org/officeDocument/2006/relationships/hyperlink" Target="https://www.energycodes.gov/prototype-building-models" TargetMode="External"/><Relationship Id="rId16" Type="http://schemas.openxmlformats.org/officeDocument/2006/relationships/hyperlink" Target="https://www.eia.gov/consumption/commercial/data/2018/index.php?view=microdata" TargetMode="External"/><Relationship Id="rId20" Type="http://schemas.openxmlformats.org/officeDocument/2006/relationships/hyperlink" Target="https://govt.westlaw.com/calregs/Document/I270DCA634B4011EFA8F7F119BAF97AD6?viewType=FullText&amp;originationContext=documenttoc&amp;transitionType=CategoryPageItem&amp;contextData=(sc.Default)" TargetMode="External"/><Relationship Id="rId1" Type="http://schemas.openxmlformats.org/officeDocument/2006/relationships/hyperlink" Target="https://bees.noresco.com/software2022.html" TargetMode="External"/><Relationship Id="rId6" Type="http://schemas.openxmlformats.org/officeDocument/2006/relationships/hyperlink" Target="https://title24stakeholders.com/wp-content/uploads/2020/10/2022-T24-Final-CASE-Report_Reduce-Infiltration.pdf" TargetMode="External"/><Relationship Id="rId11" Type="http://schemas.openxmlformats.org/officeDocument/2006/relationships/hyperlink" Target="https://www.energycodes.gov/prototype-building-models" TargetMode="External"/><Relationship Id="rId24" Type="http://schemas.openxmlformats.org/officeDocument/2006/relationships/hyperlink" Target="https://www.thefreelibrary.com/Determining+Vintage+Bins+for+Prototype+Development%3a+An+Analysis+of...-a0879271125" TargetMode="External"/><Relationship Id="rId5" Type="http://schemas.openxmlformats.org/officeDocument/2006/relationships/hyperlink" Target="https://prod-edam.honeywell.com/content/dam/honeywell-edam/hbt/en-us/documents/manuals-and-guides/installation-guides/inncom/hbt-bms-INNCOM-e7-USER-GUIDE.pdf?download=false" TargetMode="External"/><Relationship Id="rId15" Type="http://schemas.openxmlformats.org/officeDocument/2006/relationships/hyperlink" Target="https://data.openei.org/s3_viewer?bucket=oedi-data-lake&amp;prefix=nrel-pds-building-stock%2Fend-use-load-profiles-for-us-building-stock%2F2023%2Fcomstock_amy2018_release_2%2Fmetadata_and_annual_results%2Fby_state%2Fstate%3DCA%2F" TargetMode="External"/><Relationship Id="rId23" Type="http://schemas.openxmlformats.org/officeDocument/2006/relationships/hyperlink" Target="https://www.energy.ca.gov/publications/2022/2022-nonresidential-and-multifamily-alternative-calculation-method-reference" TargetMode="External"/><Relationship Id="rId28" Type="http://schemas.openxmlformats.org/officeDocument/2006/relationships/drawing" Target="../drawings/drawing1.xml"/><Relationship Id="rId10" Type="http://schemas.openxmlformats.org/officeDocument/2006/relationships/hyperlink" Target="https://www.pnnl.gov/main/publications/external/technical_reports/PNNL-20405.pdf" TargetMode="External"/><Relationship Id="rId19" Type="http://schemas.openxmlformats.org/officeDocument/2006/relationships/hyperlink" Target="https://www.ashrae.org/technical-resources/standards-and-guidelines/read-only-versions-of-ashrae-standards" TargetMode="External"/><Relationship Id="rId4" Type="http://schemas.openxmlformats.org/officeDocument/2006/relationships/hyperlink" Target="https://www.energy.gov/eere/buildings/new-construction-commercial-reference-buildings" TargetMode="External"/><Relationship Id="rId9" Type="http://schemas.openxmlformats.org/officeDocument/2006/relationships/hyperlink" Target="https://assets.visitcalifornia.com/media/?mediaId=D0CF4716-DD37-4678-852AB388768DE451&amp;viewType=grid" TargetMode="External"/><Relationship Id="rId14" Type="http://schemas.openxmlformats.org/officeDocument/2006/relationships/hyperlink" Target="https://www.energy.ca.gov/publications/2023/2022-california-commercial-end-use-survey-ceus-final-report" TargetMode="External"/><Relationship Id="rId22" Type="http://schemas.openxmlformats.org/officeDocument/2006/relationships/hyperlink" Target="https://www.energy.ca.gov/publications/2025/2025-nonresidential-and-multifamily-alternative-calculation-method-reference" TargetMode="External"/><Relationship Id="rId27" Type="http://schemas.openxmlformats.org/officeDocument/2006/relationships/hyperlink" Target="https://www.grainger.com/category/plumbing/water-heaters/electric-tank-water-heater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ahla.com/sites/default/files/25_SOTI.pdf" TargetMode="External"/><Relationship Id="rId1" Type="http://schemas.openxmlformats.org/officeDocument/2006/relationships/hyperlink" Target="https://assets.visitcalifornia.com/media/?mediaId=D0CF4716-DD37-4678-852AB388768DE451&amp;viewType=grid"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2050partners.sharepoint.com/:w:/r/sites/CalBEMCollaborativeEfforts/Shared%20Documents/Working%20Group%201%20-%20Streamlined%20Process/D%20-%20Complexity%20of%20Compliance/Prototype%20Unification/Project%20Development/Phase%202%20(Collect%20Inputs)%20Development/NR/Air%20Leakage%20Memo/Infiltration_rate_report_14May2025-Short-Version.docx?d=w3bef8f747fac44f2a70cd76617660066&amp;csf=1&amp;web=1&amp;e=wh5Dm4" TargetMode="External"/><Relationship Id="rId2" Type="http://schemas.openxmlformats.org/officeDocument/2006/relationships/hyperlink" Target="https://title24stakeholders.com/wp-content/uploads/2020/10/2022-T24-Final-CASE-Report_Reduce-Infiltration.pdf" TargetMode="External"/><Relationship Id="rId1" Type="http://schemas.openxmlformats.org/officeDocument/2006/relationships/hyperlink" Target="https://title24stakeholders.com/wp-content/uploads/2020/10/2022-T24-Final-CASE-Report_Reduce-Infiltration.pdf"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1" Type="http://schemas.openxmlformats.org/officeDocument/2006/relationships/hyperlink" Target="https://www.pnnl.gov/main/publications/external/technical_reports/PNNL-20405.pdf?__hstc=249664665.fbb1d69ca5f15106a530bcaee71fdf4a.1743465130773.1743546227524.1752085571925.3&amp;__hssc=249664665.1.1752085571925&amp;__hsfp=2216781724"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65BDF-3C17-4869-B954-111AEEDC46EB}">
  <sheetPr codeName="Sheet4"/>
  <dimension ref="A1:K79"/>
  <sheetViews>
    <sheetView topLeftCell="B1" zoomScale="115" zoomScaleNormal="115" workbookViewId="0">
      <selection sqref="A1:C1"/>
    </sheetView>
  </sheetViews>
  <sheetFormatPr defaultColWidth="9.33203125" defaultRowHeight="13.2" x14ac:dyDescent="0.25"/>
  <cols>
    <col min="1" max="1" width="14.6640625" style="9" customWidth="1"/>
    <col min="2" max="2" width="92.33203125" style="9" customWidth="1"/>
    <col min="3" max="3" width="34" style="9" customWidth="1"/>
    <col min="4" max="5" width="9.33203125" style="9"/>
    <col min="6" max="6" width="46.6640625" style="9" customWidth="1"/>
    <col min="7" max="7" width="9.33203125" style="9"/>
    <col min="8" max="8" width="21.6640625" style="9" customWidth="1"/>
    <col min="9" max="9" width="10.6640625" style="9" customWidth="1"/>
    <col min="10" max="10" width="9.6640625" style="9" customWidth="1"/>
    <col min="11" max="11" width="9.6640625" style="9" bestFit="1" customWidth="1"/>
    <col min="12" max="16384" width="9.33203125" style="9"/>
  </cols>
  <sheetData>
    <row r="1" spans="1:6" ht="20.399999999999999" customHeight="1" x14ac:dyDescent="0.25">
      <c r="A1" s="883" t="s">
        <v>0</v>
      </c>
      <c r="B1" s="883"/>
      <c r="C1" s="883"/>
    </row>
    <row r="2" spans="1:6" x14ac:dyDescent="0.25">
      <c r="A2" s="899" t="s">
        <v>1</v>
      </c>
      <c r="B2" s="702" t="s">
        <v>2</v>
      </c>
      <c r="C2" s="763"/>
    </row>
    <row r="3" spans="1:6" ht="14.4" x14ac:dyDescent="0.25">
      <c r="A3" s="899"/>
      <c r="B3" s="702" t="s">
        <v>3</v>
      </c>
      <c r="C3" s="703" t="s">
        <v>4</v>
      </c>
      <c r="D3" s="9" t="s">
        <v>5</v>
      </c>
    </row>
    <row r="4" spans="1:6" ht="14.4" x14ac:dyDescent="0.25">
      <c r="A4" s="899"/>
      <c r="B4" s="702" t="s">
        <v>6</v>
      </c>
      <c r="C4" s="703" t="s">
        <v>7</v>
      </c>
      <c r="D4" s="9" t="s">
        <v>5</v>
      </c>
    </row>
    <row r="5" spans="1:6" ht="14.4" x14ac:dyDescent="0.25">
      <c r="A5" s="899"/>
      <c r="B5" s="702" t="s">
        <v>8</v>
      </c>
      <c r="C5" s="703" t="s">
        <v>9</v>
      </c>
      <c r="D5" s="9" t="s">
        <v>5</v>
      </c>
    </row>
    <row r="6" spans="1:6" ht="14.4" x14ac:dyDescent="0.3">
      <c r="A6" s="899" t="s">
        <v>10</v>
      </c>
      <c r="B6" s="9" t="s">
        <v>11</v>
      </c>
      <c r="C6" s="227" t="s">
        <v>12</v>
      </c>
      <c r="D6" s="9" t="s">
        <v>5</v>
      </c>
      <c r="E6" s="227"/>
      <c r="F6" s="227"/>
    </row>
    <row r="7" spans="1:6" ht="14.4" x14ac:dyDescent="0.3">
      <c r="A7" s="899"/>
      <c r="B7" s="9" t="s">
        <v>13</v>
      </c>
      <c r="C7" s="227" t="s">
        <v>14</v>
      </c>
      <c r="D7" s="9" t="s">
        <v>5</v>
      </c>
    </row>
    <row r="8" spans="1:6" ht="14.4" x14ac:dyDescent="0.3">
      <c r="A8" s="899"/>
      <c r="B8" s="9" t="s">
        <v>15</v>
      </c>
      <c r="C8" s="227" t="s">
        <v>16</v>
      </c>
      <c r="D8" s="9" t="s">
        <v>5</v>
      </c>
    </row>
    <row r="9" spans="1:6" ht="14.4" x14ac:dyDescent="0.3">
      <c r="A9" s="899"/>
      <c r="B9" s="9" t="s">
        <v>17</v>
      </c>
      <c r="C9" s="227" t="s">
        <v>18</v>
      </c>
      <c r="D9" s="9" t="s">
        <v>5</v>
      </c>
    </row>
    <row r="10" spans="1:6" ht="14.4" x14ac:dyDescent="0.25">
      <c r="A10" s="899" t="s">
        <v>19</v>
      </c>
      <c r="B10" s="900" t="s">
        <v>20</v>
      </c>
      <c r="C10" s="703" t="s">
        <v>21</v>
      </c>
      <c r="D10" s="827">
        <v>2025</v>
      </c>
    </row>
    <row r="11" spans="1:6" ht="14.4" x14ac:dyDescent="0.25">
      <c r="A11" s="899"/>
      <c r="B11" s="900"/>
      <c r="C11" s="703" t="s">
        <v>22</v>
      </c>
      <c r="D11" s="619" t="s">
        <v>23</v>
      </c>
    </row>
    <row r="12" spans="1:6" ht="14.4" x14ac:dyDescent="0.25">
      <c r="A12" s="899"/>
      <c r="B12" s="702" t="s">
        <v>24</v>
      </c>
      <c r="C12" s="368" t="s">
        <v>25</v>
      </c>
      <c r="D12" s="9" t="s">
        <v>5</v>
      </c>
    </row>
    <row r="13" spans="1:6" ht="14.4" x14ac:dyDescent="0.25">
      <c r="A13" s="899"/>
      <c r="B13" s="702" t="s">
        <v>26</v>
      </c>
      <c r="C13" s="368" t="s">
        <v>27</v>
      </c>
      <c r="D13" s="9" t="s">
        <v>5</v>
      </c>
    </row>
    <row r="14" spans="1:6" x14ac:dyDescent="0.25">
      <c r="A14" s="899"/>
      <c r="D14" s="9" t="s">
        <v>5</v>
      </c>
    </row>
    <row r="15" spans="1:6" ht="14.4" customHeight="1" x14ac:dyDescent="0.25">
      <c r="A15" s="899" t="s">
        <v>28</v>
      </c>
      <c r="B15" s="702" t="s">
        <v>29</v>
      </c>
      <c r="C15" s="703" t="s">
        <v>30</v>
      </c>
      <c r="D15" s="9" t="s">
        <v>5</v>
      </c>
    </row>
    <row r="16" spans="1:6" ht="14.4" customHeight="1" x14ac:dyDescent="0.25">
      <c r="A16" s="899"/>
      <c r="B16" s="702" t="s">
        <v>31</v>
      </c>
      <c r="C16" s="703" t="s">
        <v>32</v>
      </c>
      <c r="D16" s="9" t="s">
        <v>5</v>
      </c>
    </row>
    <row r="17" spans="1:7" ht="14.4" customHeight="1" x14ac:dyDescent="0.25">
      <c r="A17" s="899"/>
      <c r="B17" s="702" t="s">
        <v>33</v>
      </c>
      <c r="C17" s="703" t="s">
        <v>30</v>
      </c>
      <c r="D17" s="9" t="s">
        <v>5</v>
      </c>
      <c r="G17" s="9" t="s">
        <v>5</v>
      </c>
    </row>
    <row r="18" spans="1:7" ht="14.4" customHeight="1" x14ac:dyDescent="0.3">
      <c r="A18" s="899"/>
      <c r="B18" s="14" t="s">
        <v>34</v>
      </c>
      <c r="C18" s="227" t="s">
        <v>35</v>
      </c>
      <c r="D18" s="9" t="s">
        <v>5</v>
      </c>
    </row>
    <row r="19" spans="1:7" ht="14.4" customHeight="1" x14ac:dyDescent="0.3">
      <c r="A19" s="899"/>
      <c r="B19" s="9" t="s">
        <v>36</v>
      </c>
      <c r="C19" s="227" t="s">
        <v>37</v>
      </c>
      <c r="D19" s="9" t="s">
        <v>5</v>
      </c>
    </row>
    <row r="20" spans="1:7" ht="14.4" customHeight="1" x14ac:dyDescent="0.3">
      <c r="A20" s="899"/>
      <c r="B20" s="9" t="s">
        <v>38</v>
      </c>
      <c r="C20" s="227" t="s">
        <v>39</v>
      </c>
      <c r="D20" s="9" t="s">
        <v>5</v>
      </c>
    </row>
    <row r="21" spans="1:7" ht="14.4" customHeight="1" x14ac:dyDescent="0.3">
      <c r="A21" s="899"/>
      <c r="B21" s="9" t="s">
        <v>40</v>
      </c>
      <c r="C21" s="227" t="s">
        <v>41</v>
      </c>
      <c r="D21" s="9" t="s">
        <v>5</v>
      </c>
      <c r="E21" s="227"/>
      <c r="F21" s="227"/>
    </row>
    <row r="22" spans="1:7" ht="14.4" customHeight="1" x14ac:dyDescent="0.3">
      <c r="A22" s="899"/>
      <c r="B22" s="9" t="s">
        <v>42</v>
      </c>
      <c r="C22" s="227" t="s">
        <v>43</v>
      </c>
      <c r="D22" s="9" t="s">
        <v>5</v>
      </c>
      <c r="E22" s="227"/>
      <c r="F22" s="227"/>
    </row>
    <row r="23" spans="1:7" ht="14.4" customHeight="1" x14ac:dyDescent="0.3">
      <c r="A23" s="899"/>
      <c r="B23" s="9" t="s">
        <v>44</v>
      </c>
      <c r="C23" s="227" t="s">
        <v>45</v>
      </c>
      <c r="D23" s="9" t="s">
        <v>5</v>
      </c>
    </row>
    <row r="24" spans="1:7" ht="14.4" customHeight="1" x14ac:dyDescent="0.3">
      <c r="A24" s="899"/>
      <c r="B24" s="9" t="s">
        <v>46</v>
      </c>
      <c r="C24" s="227" t="s">
        <v>47</v>
      </c>
      <c r="D24" s="9" t="s">
        <v>5</v>
      </c>
      <c r="E24" s="227"/>
      <c r="F24" s="227"/>
    </row>
    <row r="25" spans="1:7" ht="26.4" customHeight="1" x14ac:dyDescent="0.3">
      <c r="A25" s="899"/>
      <c r="B25" s="704" t="s">
        <v>48</v>
      </c>
      <c r="C25" s="703" t="s">
        <v>49</v>
      </c>
      <c r="D25" s="9" t="s">
        <v>5</v>
      </c>
      <c r="E25" s="227"/>
      <c r="F25" s="227"/>
    </row>
    <row r="26" spans="1:7" ht="27" customHeight="1" x14ac:dyDescent="0.25">
      <c r="A26" s="899"/>
      <c r="B26" s="14" t="s">
        <v>50</v>
      </c>
      <c r="C26" s="368" t="s">
        <v>51</v>
      </c>
      <c r="D26" s="9" t="s">
        <v>5</v>
      </c>
    </row>
    <row r="27" spans="1:7" ht="14.4" customHeight="1" x14ac:dyDescent="0.25">
      <c r="A27" s="899"/>
      <c r="B27" s="702" t="s">
        <v>52</v>
      </c>
      <c r="C27" s="703" t="s">
        <v>53</v>
      </c>
      <c r="D27" s="9" t="s">
        <v>5</v>
      </c>
    </row>
    <row r="28" spans="1:7" ht="18.600000000000001" customHeight="1" x14ac:dyDescent="0.25">
      <c r="A28" s="899"/>
      <c r="B28" s="702" t="s">
        <v>54</v>
      </c>
      <c r="C28" s="703" t="s">
        <v>55</v>
      </c>
      <c r="D28" s="9" t="s">
        <v>5</v>
      </c>
    </row>
    <row r="29" spans="1:7" ht="14.4" customHeight="1" x14ac:dyDescent="0.25">
      <c r="A29" s="899"/>
      <c r="B29" s="702" t="s">
        <v>56</v>
      </c>
      <c r="C29" s="703" t="s">
        <v>57</v>
      </c>
      <c r="D29" s="9" t="s">
        <v>5</v>
      </c>
    </row>
    <row r="30" spans="1:7" ht="13.8" x14ac:dyDescent="0.3">
      <c r="A30" s="829"/>
      <c r="C30" s="662"/>
    </row>
    <row r="31" spans="1:7" ht="15.6" x14ac:dyDescent="0.25">
      <c r="A31" s="883" t="s">
        <v>58</v>
      </c>
      <c r="B31" s="883"/>
      <c r="C31" s="883"/>
    </row>
    <row r="32" spans="1:7" x14ac:dyDescent="0.25">
      <c r="C32" s="836"/>
      <c r="D32" s="836"/>
      <c r="E32" s="836"/>
      <c r="F32" s="836"/>
    </row>
    <row r="33" spans="1:11" x14ac:dyDescent="0.25">
      <c r="C33" s="836"/>
      <c r="D33" s="836"/>
      <c r="E33" s="836"/>
      <c r="F33" s="836"/>
    </row>
    <row r="34" spans="1:11" x14ac:dyDescent="0.25">
      <c r="C34" s="836"/>
      <c r="D34" s="836"/>
      <c r="E34" s="836"/>
      <c r="F34" s="836"/>
    </row>
    <row r="35" spans="1:11" x14ac:dyDescent="0.25">
      <c r="C35" s="836"/>
      <c r="D35" s="836"/>
      <c r="E35" s="836"/>
      <c r="F35" s="836"/>
    </row>
    <row r="36" spans="1:11" x14ac:dyDescent="0.25">
      <c r="C36" s="836"/>
      <c r="D36" s="836"/>
      <c r="E36" s="836"/>
      <c r="F36" s="836"/>
    </row>
    <row r="37" spans="1:11" x14ac:dyDescent="0.25">
      <c r="C37" s="836"/>
      <c r="D37" s="836"/>
      <c r="E37" s="836"/>
      <c r="F37" s="836"/>
    </row>
    <row r="38" spans="1:11" x14ac:dyDescent="0.25">
      <c r="C38" s="836"/>
      <c r="D38" s="836"/>
      <c r="E38" s="836"/>
      <c r="F38" s="836"/>
    </row>
    <row r="39" spans="1:11" x14ac:dyDescent="0.25">
      <c r="C39" s="836"/>
      <c r="D39" s="836"/>
      <c r="E39" s="836"/>
      <c r="F39" s="836"/>
    </row>
    <row r="40" spans="1:11" x14ac:dyDescent="0.25">
      <c r="C40" s="836"/>
      <c r="D40" s="836"/>
      <c r="E40" s="836"/>
      <c r="F40" s="836"/>
    </row>
    <row r="41" spans="1:11" x14ac:dyDescent="0.25">
      <c r="C41" s="836"/>
      <c r="D41" s="836"/>
      <c r="E41" s="836"/>
      <c r="F41" s="836"/>
    </row>
    <row r="42" spans="1:11" x14ac:dyDescent="0.25">
      <c r="C42" s="836"/>
      <c r="D42" s="836"/>
      <c r="E42" s="836"/>
      <c r="F42" s="836"/>
    </row>
    <row r="43" spans="1:11" x14ac:dyDescent="0.25">
      <c r="B43" s="9" t="s">
        <v>59</v>
      </c>
      <c r="C43" s="836"/>
      <c r="D43" s="836"/>
      <c r="E43" s="836"/>
      <c r="F43" s="836"/>
    </row>
    <row r="44" spans="1:11" ht="19.2" customHeight="1" x14ac:dyDescent="0.25">
      <c r="A44" s="883" t="s">
        <v>60</v>
      </c>
      <c r="B44" s="883"/>
      <c r="C44" s="883"/>
    </row>
    <row r="45" spans="1:11" ht="78" customHeight="1" x14ac:dyDescent="0.25">
      <c r="A45" s="13" t="s">
        <v>61</v>
      </c>
      <c r="B45" s="906" t="s">
        <v>62</v>
      </c>
      <c r="C45" s="907"/>
      <c r="H45" s="178"/>
      <c r="I45" s="11"/>
      <c r="J45" s="11"/>
      <c r="K45" s="11"/>
    </row>
    <row r="46" spans="1:11" x14ac:dyDescent="0.25">
      <c r="A46" s="707"/>
      <c r="B46" s="708"/>
      <c r="C46" s="709"/>
    </row>
    <row r="47" spans="1:11" x14ac:dyDescent="0.25">
      <c r="A47" s="705"/>
      <c r="B47" s="701"/>
      <c r="C47" s="706"/>
    </row>
    <row r="48" spans="1:11" x14ac:dyDescent="0.25">
      <c r="A48" s="705"/>
      <c r="B48" s="701"/>
      <c r="C48" s="706"/>
    </row>
    <row r="49" spans="1:3" x14ac:dyDescent="0.25">
      <c r="A49" s="705"/>
      <c r="B49" s="701"/>
      <c r="C49" s="706"/>
    </row>
    <row r="50" spans="1:3" x14ac:dyDescent="0.25">
      <c r="A50" s="705"/>
      <c r="B50" s="701"/>
      <c r="C50" s="706"/>
    </row>
    <row r="51" spans="1:3" x14ac:dyDescent="0.25">
      <c r="A51" s="705"/>
      <c r="B51" s="701"/>
      <c r="C51" s="706"/>
    </row>
    <row r="52" spans="1:3" x14ac:dyDescent="0.25">
      <c r="A52" s="705"/>
      <c r="B52" s="701"/>
      <c r="C52" s="706"/>
    </row>
    <row r="53" spans="1:3" x14ac:dyDescent="0.25">
      <c r="A53" s="705"/>
      <c r="B53" s="701"/>
      <c r="C53" s="706"/>
    </row>
    <row r="54" spans="1:3" x14ac:dyDescent="0.25">
      <c r="A54" s="705"/>
      <c r="B54" s="701"/>
      <c r="C54" s="706"/>
    </row>
    <row r="55" spans="1:3" x14ac:dyDescent="0.25">
      <c r="A55" s="705"/>
      <c r="B55" s="701"/>
      <c r="C55" s="706"/>
    </row>
    <row r="56" spans="1:3" x14ac:dyDescent="0.25">
      <c r="A56" s="705"/>
      <c r="B56" s="701"/>
      <c r="C56" s="706"/>
    </row>
    <row r="57" spans="1:3" x14ac:dyDescent="0.25">
      <c r="A57" s="705"/>
      <c r="B57" s="701"/>
      <c r="C57" s="706"/>
    </row>
    <row r="58" spans="1:3" x14ac:dyDescent="0.25">
      <c r="A58" s="705"/>
      <c r="B58" s="701"/>
      <c r="C58" s="706"/>
    </row>
    <row r="59" spans="1:3" x14ac:dyDescent="0.25">
      <c r="A59" s="705"/>
      <c r="B59" s="701"/>
      <c r="C59" s="706"/>
    </row>
    <row r="60" spans="1:3" x14ac:dyDescent="0.25">
      <c r="A60" s="705"/>
      <c r="B60" s="701"/>
      <c r="C60" s="706"/>
    </row>
    <row r="61" spans="1:3" x14ac:dyDescent="0.25">
      <c r="A61" s="705"/>
      <c r="B61" s="701"/>
      <c r="C61" s="706"/>
    </row>
    <row r="62" spans="1:3" x14ac:dyDescent="0.25">
      <c r="A62" s="705"/>
      <c r="B62" s="701"/>
      <c r="C62" s="706"/>
    </row>
    <row r="63" spans="1:3" x14ac:dyDescent="0.25">
      <c r="A63" s="705"/>
      <c r="B63" s="701"/>
      <c r="C63" s="706"/>
    </row>
    <row r="64" spans="1:3" x14ac:dyDescent="0.25">
      <c r="A64" s="705"/>
      <c r="B64" s="701"/>
      <c r="C64" s="706"/>
    </row>
    <row r="65" spans="1:6" x14ac:dyDescent="0.25">
      <c r="A65" s="705"/>
      <c r="B65" s="701"/>
      <c r="C65" s="706"/>
    </row>
    <row r="66" spans="1:6" x14ac:dyDescent="0.25">
      <c r="A66" s="705"/>
      <c r="B66" s="701"/>
      <c r="C66" s="706"/>
    </row>
    <row r="67" spans="1:6" x14ac:dyDescent="0.25">
      <c r="A67" s="705"/>
      <c r="B67" s="701"/>
      <c r="C67" s="706"/>
    </row>
    <row r="68" spans="1:6" x14ac:dyDescent="0.25">
      <c r="A68" s="705"/>
      <c r="B68" s="701"/>
      <c r="C68" s="706"/>
    </row>
    <row r="69" spans="1:6" x14ac:dyDescent="0.25">
      <c r="A69" s="705"/>
      <c r="B69" s="701"/>
      <c r="C69" s="706"/>
    </row>
    <row r="70" spans="1:6" x14ac:dyDescent="0.25">
      <c r="A70" s="705"/>
      <c r="B70" s="701"/>
      <c r="C70" s="706"/>
    </row>
    <row r="71" spans="1:6" x14ac:dyDescent="0.25">
      <c r="A71" s="705"/>
      <c r="B71" s="701"/>
      <c r="C71" s="706"/>
    </row>
    <row r="72" spans="1:6" x14ac:dyDescent="0.25">
      <c r="A72" s="716" t="s">
        <v>63</v>
      </c>
      <c r="B72" s="621"/>
      <c r="C72" s="706"/>
    </row>
    <row r="73" spans="1:6" x14ac:dyDescent="0.25">
      <c r="A73" s="705" t="s">
        <v>59</v>
      </c>
      <c r="B73" s="701"/>
      <c r="C73" s="706"/>
    </row>
    <row r="74" spans="1:6" ht="22.95" customHeight="1" x14ac:dyDescent="0.25">
      <c r="A74" s="901"/>
      <c r="B74" s="902"/>
      <c r="C74" s="903"/>
    </row>
    <row r="75" spans="1:6" ht="66" x14ac:dyDescent="0.25">
      <c r="A75" s="826" t="s">
        <v>64</v>
      </c>
      <c r="B75" s="905" t="s">
        <v>65</v>
      </c>
      <c r="C75" s="905"/>
      <c r="D75" s="178"/>
      <c r="E75" s="178"/>
      <c r="F75" s="178"/>
    </row>
    <row r="76" spans="1:6" ht="24.6" customHeight="1" x14ac:dyDescent="0.25">
      <c r="A76" s="904" t="s">
        <v>66</v>
      </c>
      <c r="B76" s="904" t="s">
        <v>67</v>
      </c>
      <c r="C76" s="904"/>
      <c r="D76" s="704"/>
      <c r="E76" s="704"/>
      <c r="F76" s="704"/>
    </row>
    <row r="77" spans="1:6" ht="34.950000000000003" customHeight="1" x14ac:dyDescent="0.25">
      <c r="A77" s="904"/>
      <c r="B77" s="904" t="s">
        <v>68</v>
      </c>
      <c r="C77" s="904"/>
      <c r="D77" s="704"/>
      <c r="E77" s="704"/>
      <c r="F77" s="704"/>
    </row>
    <row r="78" spans="1:6" ht="52.95" customHeight="1" x14ac:dyDescent="0.25">
      <c r="A78" s="904" t="s">
        <v>69</v>
      </c>
      <c r="B78" s="904" t="s">
        <v>70</v>
      </c>
      <c r="C78" s="904"/>
      <c r="D78" s="704"/>
      <c r="E78" s="704"/>
      <c r="F78" s="704"/>
    </row>
    <row r="79" spans="1:6" ht="40.950000000000003" customHeight="1" x14ac:dyDescent="0.25">
      <c r="A79" s="904"/>
      <c r="B79" s="904" t="s">
        <v>71</v>
      </c>
      <c r="C79" s="904"/>
      <c r="D79" s="704"/>
      <c r="E79" s="704"/>
      <c r="F79" s="704"/>
    </row>
  </sheetData>
  <mergeCells count="17">
    <mergeCell ref="B79:C79"/>
    <mergeCell ref="B76:C76"/>
    <mergeCell ref="A44:C44"/>
    <mergeCell ref="B75:C75"/>
    <mergeCell ref="A78:A79"/>
    <mergeCell ref="B45:C45"/>
    <mergeCell ref="B77:C77"/>
    <mergeCell ref="A15:A29"/>
    <mergeCell ref="A31:C31"/>
    <mergeCell ref="A74:C74"/>
    <mergeCell ref="A76:A77"/>
    <mergeCell ref="B78:C78"/>
    <mergeCell ref="A1:C1"/>
    <mergeCell ref="A2:A5"/>
    <mergeCell ref="A6:A9"/>
    <mergeCell ref="A10:A14"/>
    <mergeCell ref="B10:B11"/>
  </mergeCells>
  <hyperlinks>
    <hyperlink ref="C9" r:id="rId1" xr:uid="{BE11EEF8-3AF7-48F0-A38B-7309CE5A9491}"/>
    <hyperlink ref="C6" r:id="rId2" location="Commercial" xr:uid="{626A4776-C2FA-489E-88C0-BC9C7C8EA36F}"/>
    <hyperlink ref="C7" r:id="rId3" xr:uid="{0DEB00BB-3A26-4527-9ED4-40D17F93A579}"/>
    <hyperlink ref="C8" r:id="rId4" xr:uid="{4BC86F15-8C50-4742-8C71-A865BF5F11A2}"/>
    <hyperlink ref="C19" r:id="rId5" xr:uid="{04B214B0-D1EF-43D9-99EA-E2B5A58706FC}"/>
    <hyperlink ref="C18" r:id="rId6" xr:uid="{0A919F05-344F-4CD0-A992-BA1E6643949E}"/>
    <hyperlink ref="C20" r:id="rId7" xr:uid="{9A4DF7C8-064C-483B-81BE-83DC6EA85310}"/>
    <hyperlink ref="C22" r:id="rId8" xr:uid="{1B5F2BF4-D097-4159-8662-5B04A5E07B5E}"/>
    <hyperlink ref="C21" r:id="rId9" xr:uid="{C5B793FB-180C-4379-9E70-7CCCC1C8123E}"/>
    <hyperlink ref="C23" r:id="rId10" xr:uid="{6EE0B95B-118A-490E-8921-252C95E1AA67}"/>
    <hyperlink ref="C6:F6" r:id="rId11" location="Commercial" display="https://www.energycodes.gov/prototype-building-models#Commercial" xr:uid="{9A9C9132-1C0B-4D73-8E75-0A3F1F89AE2E}"/>
    <hyperlink ref="C24:F24" r:id="rId12" display="Infiltration_rate_report_14May2025-Short-Version.docx" xr:uid="{FF852F19-F2F1-48BA-816F-5FECE5DF9388}"/>
    <hyperlink ref="C26" r:id="rId13" xr:uid="{2E621127-16DF-4D45-A1AF-DB457B672E50}"/>
    <hyperlink ref="C3" r:id="rId14" xr:uid="{450DBA28-5FD8-4C6C-94B8-779EB502A882}"/>
    <hyperlink ref="C5" r:id="rId15" xr:uid="{757C6E60-513C-456D-BF0B-FC2407C7E7D8}"/>
    <hyperlink ref="C4" r:id="rId16" xr:uid="{2B26543F-63F3-41BC-833B-FF8825E20632}"/>
    <hyperlink ref="C10" r:id="rId17" xr:uid="{4CC41F99-A6B5-43A3-86F7-A18E8C9443E3}"/>
    <hyperlink ref="C11" r:id="rId18" xr:uid="{DCA26673-E0C5-4147-A43E-AED0C55E77DD}"/>
    <hyperlink ref="C12" r:id="rId19" xr:uid="{21555E3B-32AA-4E76-B10A-16424BF72D63}"/>
    <hyperlink ref="C13" r:id="rId20" xr:uid="{6E2E2F56-CE65-4210-BFFE-23DBAF03D606}"/>
    <hyperlink ref="C15" r:id="rId21" xr:uid="{C6519BCA-8C73-4B03-B79E-D9D92D73A272}"/>
    <hyperlink ref="C16" r:id="rId22" xr:uid="{E256A355-0F90-4DA8-A1FD-04FEBCDD0990}"/>
    <hyperlink ref="C17" r:id="rId23" xr:uid="{44B3AD63-4D08-4B6C-8243-4D54194AF68B}"/>
    <hyperlink ref="C25" r:id="rId24" xr:uid="{9A3FDBB6-19CA-44E5-A094-1A845839E59C}"/>
    <hyperlink ref="C27" r:id="rId25" xr:uid="{946D2445-266C-4DE2-965F-DD3FF510C690}"/>
    <hyperlink ref="C28" r:id="rId26" xr:uid="{F4E93849-DF6A-4C96-B20D-F9C24A9A17AE}"/>
    <hyperlink ref="C29" r:id="rId27" xr:uid="{CB6150A7-B400-491D-9CE0-2897CB0E5D64}"/>
  </hyperlinks>
  <pageMargins left="0.7" right="0.7" top="0.75" bottom="0.75" header="0.3" footer="0.3"/>
  <drawing r:id="rId2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2FF8-E67F-4AF9-A6F9-E2B7AE862021}">
  <sheetPr codeName="Sheet1"/>
  <dimension ref="A1:AF74"/>
  <sheetViews>
    <sheetView tabSelected="1" zoomScaleNormal="100" workbookViewId="0">
      <selection sqref="A1:C1"/>
    </sheetView>
  </sheetViews>
  <sheetFormatPr defaultColWidth="9.33203125" defaultRowHeight="13.8" x14ac:dyDescent="0.25"/>
  <cols>
    <col min="1" max="1" width="27.5546875" style="7" customWidth="1"/>
    <col min="2" max="2" width="46.88671875" style="7" customWidth="1"/>
    <col min="3" max="3" width="36.88671875" style="7" customWidth="1"/>
    <col min="4" max="4" width="44.44140625" style="7" customWidth="1"/>
    <col min="5" max="5" width="44.6640625" style="7" customWidth="1"/>
    <col min="6" max="6" width="6.33203125" style="7" customWidth="1"/>
    <col min="7" max="7" width="11.109375" style="7" customWidth="1"/>
    <col min="8" max="8" width="6.109375" style="7" customWidth="1"/>
    <col min="9" max="9" width="8.6640625" style="7" customWidth="1"/>
    <col min="10" max="11" width="7.6640625" style="7" customWidth="1"/>
    <col min="12" max="12" width="7.5546875" style="7" customWidth="1"/>
    <col min="13" max="13" width="10.44140625" style="7" customWidth="1"/>
    <col min="14" max="14" width="9.33203125" style="7" customWidth="1"/>
    <col min="15" max="15" width="7.5546875" style="7" customWidth="1"/>
    <col min="16" max="16" width="7.6640625" style="7" customWidth="1"/>
    <col min="17" max="17" width="7" style="7" customWidth="1"/>
    <col min="18" max="20" width="9.33203125" style="7"/>
    <col min="21" max="22" width="12.33203125" style="7" customWidth="1"/>
    <col min="23" max="16384" width="9.33203125" style="7"/>
  </cols>
  <sheetData>
    <row r="1" spans="1:9" ht="17.399999999999999" x14ac:dyDescent="0.25">
      <c r="A1" s="908" t="s">
        <v>72</v>
      </c>
      <c r="B1" s="908"/>
      <c r="C1" s="908"/>
      <c r="D1" s="15"/>
      <c r="E1" s="15"/>
      <c r="F1" s="15"/>
    </row>
    <row r="2" spans="1:9" ht="25.2" customHeight="1" x14ac:dyDescent="0.25">
      <c r="A2" s="909" t="s">
        <v>73</v>
      </c>
      <c r="B2" s="909"/>
      <c r="C2" s="909"/>
      <c r="D2" s="15"/>
      <c r="E2" s="15"/>
      <c r="F2" s="15"/>
    </row>
    <row r="3" spans="1:9" ht="20.399999999999999" customHeight="1" x14ac:dyDescent="0.25">
      <c r="A3" s="242" t="s">
        <v>74</v>
      </c>
      <c r="B3" s="842" t="s">
        <v>75</v>
      </c>
      <c r="C3" s="230" t="s">
        <v>0</v>
      </c>
    </row>
    <row r="4" spans="1:9" ht="17.399999999999999" customHeight="1" x14ac:dyDescent="0.25">
      <c r="A4" s="243" t="s">
        <v>76</v>
      </c>
      <c r="B4" s="833" t="s">
        <v>77</v>
      </c>
      <c r="C4" s="243"/>
    </row>
    <row r="5" spans="1:9" ht="21.6" customHeight="1" x14ac:dyDescent="0.25">
      <c r="A5" s="243" t="s">
        <v>78</v>
      </c>
      <c r="B5" s="833" t="s">
        <v>79</v>
      </c>
      <c r="C5" s="243"/>
    </row>
    <row r="6" spans="1:9" ht="21.6" customHeight="1" x14ac:dyDescent="0.25">
      <c r="A6" s="696" t="s">
        <v>80</v>
      </c>
      <c r="B6" s="843" t="s">
        <v>81</v>
      </c>
      <c r="C6" s="243"/>
    </row>
    <row r="7" spans="1:9" ht="114.75" customHeight="1" x14ac:dyDescent="0.25">
      <c r="A7" s="243" t="s">
        <v>82</v>
      </c>
      <c r="B7" s="821" t="s">
        <v>83</v>
      </c>
      <c r="C7" s="17" t="s">
        <v>84</v>
      </c>
      <c r="D7" s="150"/>
    </row>
    <row r="8" spans="1:9" ht="118.95" customHeight="1" x14ac:dyDescent="0.25">
      <c r="A8" s="243" t="s">
        <v>85</v>
      </c>
      <c r="B8" s="833"/>
      <c r="C8" s="366" t="s">
        <v>86</v>
      </c>
      <c r="I8" s="8"/>
    </row>
    <row r="9" spans="1:9" ht="26.4" x14ac:dyDescent="0.25">
      <c r="A9" s="244" t="s">
        <v>87</v>
      </c>
      <c r="B9" s="245" t="s">
        <v>88</v>
      </c>
      <c r="C9" s="819" t="s">
        <v>89</v>
      </c>
    </row>
    <row r="10" spans="1:9" ht="26.4" x14ac:dyDescent="0.25">
      <c r="A10" s="244" t="s">
        <v>90</v>
      </c>
      <c r="B10" s="246" t="s">
        <v>91</v>
      </c>
      <c r="C10" s="247" t="s">
        <v>92</v>
      </c>
    </row>
    <row r="11" spans="1:9" x14ac:dyDescent="0.25">
      <c r="A11" s="248" t="s">
        <v>93</v>
      </c>
      <c r="B11" s="833" t="s">
        <v>94</v>
      </c>
      <c r="C11" s="366" t="s">
        <v>95</v>
      </c>
    </row>
    <row r="12" spans="1:9" x14ac:dyDescent="0.25">
      <c r="A12" s="615" t="s">
        <v>96</v>
      </c>
      <c r="B12" s="843"/>
      <c r="C12" s="366"/>
    </row>
    <row r="13" spans="1:9" x14ac:dyDescent="0.25">
      <c r="A13" s="615" t="s">
        <v>97</v>
      </c>
      <c r="B13" s="843" t="s">
        <v>98</v>
      </c>
      <c r="C13" s="366"/>
    </row>
    <row r="14" spans="1:9" ht="18.600000000000001" customHeight="1" x14ac:dyDescent="0.25">
      <c r="A14" s="248" t="s">
        <v>99</v>
      </c>
      <c r="B14" s="833" t="s">
        <v>100</v>
      </c>
      <c r="C14" s="366"/>
    </row>
    <row r="15" spans="1:9" ht="43.5" customHeight="1" x14ac:dyDescent="0.25">
      <c r="A15" s="248" t="s">
        <v>101</v>
      </c>
      <c r="B15" s="249" t="s">
        <v>102</v>
      </c>
      <c r="C15" s="366" t="s">
        <v>92</v>
      </c>
    </row>
    <row r="16" spans="1:9" ht="21.6" customHeight="1" x14ac:dyDescent="0.25">
      <c r="A16" s="244" t="s">
        <v>103</v>
      </c>
      <c r="B16" s="250" t="s">
        <v>104</v>
      </c>
      <c r="C16" s="243"/>
      <c r="G16" s="108"/>
    </row>
    <row r="17" spans="1:32" ht="66.75" customHeight="1" x14ac:dyDescent="0.25">
      <c r="A17" s="244" t="s">
        <v>105</v>
      </c>
      <c r="B17" s="821" t="s">
        <v>106</v>
      </c>
      <c r="C17" s="366" t="s">
        <v>107</v>
      </c>
      <c r="G17" s="108"/>
      <c r="V17" s="291"/>
      <c r="W17" s="291"/>
      <c r="X17" s="291"/>
      <c r="Y17" s="291"/>
      <c r="Z17" s="291"/>
      <c r="AA17" s="291"/>
    </row>
    <row r="18" spans="1:32" ht="66" x14ac:dyDescent="0.25">
      <c r="A18" s="244" t="s">
        <v>108</v>
      </c>
      <c r="B18" s="821" t="s">
        <v>109</v>
      </c>
      <c r="C18" s="366" t="s">
        <v>107</v>
      </c>
      <c r="G18" s="108"/>
      <c r="U18" s="291"/>
      <c r="V18" s="291"/>
      <c r="W18" s="291"/>
      <c r="X18" s="291"/>
      <c r="Y18" s="291"/>
      <c r="Z18" s="291"/>
      <c r="AA18" s="291"/>
      <c r="AC18" s="169"/>
      <c r="AF18" s="292"/>
    </row>
    <row r="19" spans="1:32" ht="20.399999999999999" customHeight="1" x14ac:dyDescent="0.25">
      <c r="A19" s="244" t="s">
        <v>110</v>
      </c>
      <c r="B19" s="821" t="s">
        <v>111</v>
      </c>
      <c r="C19" s="243" t="s">
        <v>112</v>
      </c>
      <c r="G19" s="108"/>
      <c r="U19" s="291"/>
      <c r="V19" s="291"/>
      <c r="W19" s="291"/>
      <c r="X19" s="291"/>
      <c r="Y19" s="291"/>
      <c r="Z19" s="291"/>
      <c r="AA19" s="291"/>
      <c r="AC19" s="169"/>
      <c r="AF19" s="292"/>
    </row>
    <row r="20" spans="1:32" ht="14.4" customHeight="1" x14ac:dyDescent="0.25">
      <c r="A20" s="184"/>
      <c r="B20" s="13"/>
      <c r="C20" s="12"/>
      <c r="G20" s="108"/>
      <c r="U20" s="291"/>
      <c r="V20" s="291"/>
      <c r="W20" s="291"/>
      <c r="X20" s="291"/>
      <c r="Y20" s="291"/>
      <c r="Z20" s="291"/>
      <c r="AA20" s="291"/>
      <c r="AC20" s="169"/>
      <c r="AF20" s="292"/>
    </row>
    <row r="21" spans="1:32" ht="13.95" customHeight="1" x14ac:dyDescent="0.25">
      <c r="A21" s="184"/>
      <c r="B21" s="13"/>
      <c r="C21" s="12"/>
      <c r="G21" s="108"/>
      <c r="U21" s="291"/>
      <c r="V21" s="291"/>
      <c r="W21" s="291"/>
      <c r="X21" s="291"/>
      <c r="Y21" s="291"/>
      <c r="Z21" s="291"/>
      <c r="AA21" s="291"/>
      <c r="AC21" s="169"/>
      <c r="AF21" s="292"/>
    </row>
    <row r="22" spans="1:32" ht="18" x14ac:dyDescent="0.25">
      <c r="A22" s="185"/>
      <c r="B22" s="119"/>
      <c r="U22" s="291"/>
      <c r="V22" s="291"/>
      <c r="W22" s="291"/>
      <c r="X22" s="291"/>
      <c r="Y22" s="291"/>
      <c r="Z22" s="291"/>
      <c r="AA22" s="291"/>
      <c r="AC22" s="169"/>
      <c r="AF22" s="292"/>
    </row>
    <row r="23" spans="1:32" ht="18" x14ac:dyDescent="0.25">
      <c r="A23" s="182" t="s">
        <v>113</v>
      </c>
      <c r="B23" s="183">
        <v>43333.599999999999</v>
      </c>
      <c r="C23" s="186"/>
      <c r="U23" s="291"/>
      <c r="V23" s="291"/>
      <c r="W23" s="291"/>
      <c r="X23" s="291"/>
      <c r="Y23" s="291"/>
      <c r="Z23" s="291"/>
      <c r="AA23" s="291"/>
      <c r="AC23" s="169"/>
      <c r="AF23" s="292"/>
    </row>
    <row r="24" spans="1:32" ht="18" x14ac:dyDescent="0.25">
      <c r="A24" s="182" t="s">
        <v>114</v>
      </c>
      <c r="B24" s="183">
        <v>49079.02</v>
      </c>
      <c r="C24" s="187"/>
      <c r="U24" s="291"/>
      <c r="V24" s="291"/>
      <c r="W24" s="291"/>
      <c r="X24" s="291"/>
      <c r="Y24" s="291"/>
      <c r="Z24" s="291"/>
      <c r="AA24" s="291"/>
      <c r="AC24" s="169"/>
      <c r="AF24" s="292"/>
    </row>
    <row r="25" spans="1:32" ht="18" x14ac:dyDescent="0.25">
      <c r="A25" s="182" t="s">
        <v>115</v>
      </c>
      <c r="B25" s="183">
        <v>21300.06</v>
      </c>
      <c r="C25" s="186"/>
      <c r="U25" s="291"/>
      <c r="V25" s="291"/>
      <c r="W25" s="291"/>
      <c r="X25" s="291"/>
      <c r="Y25" s="291"/>
      <c r="Z25" s="291"/>
      <c r="AA25" s="291"/>
      <c r="AC25" s="169"/>
      <c r="AF25" s="292"/>
    </row>
    <row r="26" spans="1:32" ht="26.4" x14ac:dyDescent="0.25">
      <c r="A26" s="182" t="s">
        <v>116</v>
      </c>
      <c r="B26" s="183">
        <v>5745.5</v>
      </c>
      <c r="C26" s="186"/>
      <c r="U26" s="291"/>
      <c r="V26" s="291"/>
      <c r="W26" s="291"/>
      <c r="X26" s="291"/>
      <c r="Y26" s="291"/>
      <c r="Z26" s="291"/>
      <c r="AA26" s="291"/>
      <c r="AC26" s="169"/>
      <c r="AF26" s="292"/>
    </row>
    <row r="27" spans="1:32" ht="18" x14ac:dyDescent="0.25">
      <c r="A27" s="876"/>
      <c r="B27" s="877"/>
      <c r="C27" s="878"/>
      <c r="U27" s="291"/>
      <c r="V27" s="291"/>
      <c r="W27" s="291"/>
      <c r="X27" s="291"/>
      <c r="Y27" s="291"/>
      <c r="Z27" s="291"/>
      <c r="AA27" s="291"/>
      <c r="AC27" s="169"/>
      <c r="AF27" s="292"/>
    </row>
    <row r="28" spans="1:32" ht="18" x14ac:dyDescent="0.25">
      <c r="A28" s="876"/>
      <c r="B28" s="877"/>
      <c r="C28" s="878"/>
      <c r="U28" s="291"/>
      <c r="V28" s="291"/>
      <c r="W28" s="291"/>
      <c r="X28" s="291"/>
      <c r="Y28" s="291"/>
      <c r="Z28" s="291"/>
      <c r="AA28" s="291"/>
      <c r="AC28" s="169"/>
      <c r="AF28" s="292"/>
    </row>
    <row r="29" spans="1:32" ht="18" x14ac:dyDescent="0.25">
      <c r="A29" s="876"/>
      <c r="B29" s="877"/>
      <c r="C29" s="878"/>
      <c r="U29" s="291"/>
      <c r="V29" s="291"/>
      <c r="W29" s="291"/>
      <c r="X29" s="291"/>
      <c r="Y29" s="291"/>
      <c r="Z29" s="291"/>
      <c r="AA29" s="291"/>
      <c r="AC29" s="169"/>
      <c r="AF29" s="292"/>
    </row>
    <row r="30" spans="1:32" ht="18" x14ac:dyDescent="0.25">
      <c r="A30" s="876"/>
      <c r="B30" s="877"/>
      <c r="C30" s="878"/>
      <c r="U30" s="291"/>
      <c r="V30" s="291"/>
      <c r="W30" s="291"/>
      <c r="X30" s="291"/>
      <c r="Y30" s="291"/>
      <c r="Z30" s="291"/>
      <c r="AA30" s="291"/>
      <c r="AC30" s="169"/>
      <c r="AF30" s="292"/>
    </row>
    <row r="31" spans="1:32" ht="18" x14ac:dyDescent="0.25">
      <c r="A31" s="876"/>
      <c r="B31" s="877"/>
      <c r="C31" s="878"/>
      <c r="U31" s="291"/>
      <c r="V31" s="291"/>
      <c r="W31" s="291"/>
      <c r="X31" s="291"/>
      <c r="Y31" s="291"/>
      <c r="Z31" s="291"/>
      <c r="AA31" s="291"/>
      <c r="AC31" s="169"/>
      <c r="AF31" s="292"/>
    </row>
    <row r="32" spans="1:32" ht="18" x14ac:dyDescent="0.25">
      <c r="A32" s="876"/>
      <c r="B32" s="877"/>
      <c r="C32" s="878"/>
      <c r="U32" s="291"/>
      <c r="V32" s="291"/>
      <c r="W32" s="291"/>
      <c r="X32" s="291"/>
      <c r="Y32" s="291"/>
      <c r="Z32" s="291"/>
      <c r="AA32" s="291"/>
      <c r="AC32" s="169"/>
      <c r="AF32" s="292"/>
    </row>
    <row r="33" spans="1:29" ht="18" x14ac:dyDescent="0.25">
      <c r="B33" s="119"/>
      <c r="U33" s="291"/>
      <c r="V33" s="291"/>
      <c r="W33" s="291"/>
      <c r="X33" s="291"/>
      <c r="Y33" s="291"/>
      <c r="Z33" s="291"/>
      <c r="AA33" s="291"/>
      <c r="AC33" s="169"/>
    </row>
    <row r="34" spans="1:29" ht="18" x14ac:dyDescent="0.25">
      <c r="B34" s="119"/>
      <c r="U34" s="291"/>
      <c r="V34" s="291"/>
      <c r="W34" s="291"/>
      <c r="X34" s="291"/>
      <c r="Y34" s="291"/>
      <c r="Z34" s="291"/>
      <c r="AA34" s="291"/>
      <c r="AC34" s="169"/>
    </row>
    <row r="35" spans="1:29" s="23" customFormat="1" ht="13.2" x14ac:dyDescent="0.25">
      <c r="A35" s="110" t="s">
        <v>117</v>
      </c>
      <c r="G35" s="24"/>
      <c r="H35" s="26"/>
    </row>
    <row r="36" spans="1:29" ht="18" x14ac:dyDescent="0.3">
      <c r="U36" s="291"/>
      <c r="V36" s="291"/>
      <c r="W36" s="291"/>
      <c r="X36" s="291"/>
      <c r="Y36" s="291"/>
      <c r="Z36" s="291"/>
      <c r="AA36"/>
    </row>
    <row r="37" spans="1:29" ht="18" x14ac:dyDescent="0.3">
      <c r="U37" s="291"/>
      <c r="V37" s="291"/>
      <c r="W37" s="291"/>
      <c r="X37" s="291"/>
      <c r="Y37" s="291"/>
      <c r="Z37" s="291"/>
      <c r="AA37"/>
    </row>
    <row r="38" spans="1:29" ht="24" customHeight="1" x14ac:dyDescent="0.3">
      <c r="A38" s="910" t="s">
        <v>118</v>
      </c>
      <c r="B38" s="911"/>
      <c r="C38" s="911"/>
      <c r="D38" s="911"/>
      <c r="E38" s="911"/>
      <c r="F38" s="911"/>
      <c r="G38" s="911"/>
      <c r="H38" s="911"/>
      <c r="I38" s="911"/>
      <c r="J38" s="911"/>
      <c r="K38" s="911"/>
      <c r="L38" s="911"/>
      <c r="M38" s="911"/>
      <c r="N38" s="911"/>
      <c r="O38" s="911"/>
      <c r="P38" s="581"/>
      <c r="Q38" s="580"/>
      <c r="U38" s="291"/>
      <c r="V38" s="291"/>
      <c r="W38" s="291"/>
      <c r="X38" s="291"/>
      <c r="Y38" s="291"/>
      <c r="Z38" s="291"/>
      <c r="AA38" s="291"/>
      <c r="AB38"/>
      <c r="AC38" s="169"/>
    </row>
    <row r="39" spans="1:29" s="9" customFormat="1" ht="14.7" customHeight="1" x14ac:dyDescent="0.25">
      <c r="B39" s="282" t="s">
        <v>119</v>
      </c>
      <c r="C39" s="283" t="s">
        <v>120</v>
      </c>
      <c r="E39" s="577" t="s">
        <v>121</v>
      </c>
      <c r="F39" s="574" t="s">
        <v>119</v>
      </c>
      <c r="G39" s="575"/>
      <c r="H39" s="575"/>
      <c r="I39" s="576"/>
      <c r="J39" s="571" t="s">
        <v>120</v>
      </c>
      <c r="K39" s="572"/>
      <c r="L39" s="572"/>
      <c r="M39" s="572"/>
      <c r="N39" s="572"/>
      <c r="O39" s="573"/>
      <c r="U39" s="291"/>
      <c r="V39" s="291"/>
      <c r="W39" s="291"/>
      <c r="X39" s="291"/>
      <c r="Y39" s="291"/>
      <c r="Z39" s="291"/>
      <c r="AA39" s="291"/>
      <c r="AB39" s="291"/>
    </row>
    <row r="40" spans="1:29" s="9" customFormat="1" ht="114.6" customHeight="1" x14ac:dyDescent="0.25">
      <c r="A40" s="16" t="s">
        <v>122</v>
      </c>
      <c r="B40" s="846"/>
      <c r="C40" s="846"/>
      <c r="E40" s="578"/>
      <c r="F40" s="764" t="s">
        <v>123</v>
      </c>
      <c r="G40" s="764" t="s">
        <v>124</v>
      </c>
      <c r="H40" s="764" t="s">
        <v>125</v>
      </c>
      <c r="I40" s="764" t="s">
        <v>126</v>
      </c>
      <c r="J40" s="765" t="s">
        <v>127</v>
      </c>
      <c r="K40" s="765" t="s">
        <v>124</v>
      </c>
      <c r="L40" s="765" t="s">
        <v>125</v>
      </c>
      <c r="M40" s="765" t="s">
        <v>126</v>
      </c>
      <c r="N40" s="765" t="s">
        <v>128</v>
      </c>
      <c r="O40" s="765" t="s">
        <v>129</v>
      </c>
      <c r="S40" s="766"/>
      <c r="T40" s="766"/>
      <c r="U40" s="766"/>
      <c r="V40" s="766"/>
      <c r="W40" s="766"/>
      <c r="X40" s="766"/>
      <c r="Y40" s="766"/>
      <c r="Z40" s="766"/>
      <c r="AA40" s="766"/>
      <c r="AB40" s="291"/>
    </row>
    <row r="41" spans="1:29" s="9" customFormat="1" ht="18" customHeight="1" x14ac:dyDescent="0.25">
      <c r="A41" s="16" t="s">
        <v>130</v>
      </c>
      <c r="B41" s="27" t="s">
        <v>131</v>
      </c>
      <c r="C41" s="27" t="s">
        <v>132</v>
      </c>
      <c r="E41" s="130" t="s">
        <v>133</v>
      </c>
      <c r="F41" s="286">
        <v>0.15972920016077169</v>
      </c>
      <c r="G41" s="295">
        <v>399.98691108493324</v>
      </c>
      <c r="H41" s="287">
        <v>0.50000416128000003</v>
      </c>
      <c r="I41" s="287">
        <v>0.50000416128000003</v>
      </c>
      <c r="J41" s="288">
        <v>0.34809077279566075</v>
      </c>
      <c r="K41" s="767">
        <v>175.98993531320397</v>
      </c>
      <c r="L41" s="768">
        <v>0.40970240640000005</v>
      </c>
      <c r="M41" s="768">
        <v>0.97733998079999995</v>
      </c>
      <c r="N41" s="768">
        <v>0.97733998079999995</v>
      </c>
      <c r="O41" s="768">
        <v>0</v>
      </c>
      <c r="S41" s="45"/>
      <c r="T41" s="275"/>
      <c r="U41" s="275"/>
      <c r="V41" s="291"/>
      <c r="W41" s="45"/>
      <c r="X41" s="275"/>
      <c r="Y41" s="275"/>
      <c r="Z41" s="275"/>
      <c r="AA41" s="275"/>
      <c r="AB41" s="291"/>
    </row>
    <row r="42" spans="1:29" s="9" customFormat="1" ht="18" customHeight="1" x14ac:dyDescent="0.25">
      <c r="A42" s="16" t="s">
        <v>134</v>
      </c>
      <c r="B42" s="133">
        <f>CONVERT(6369.28,"m2","ft2")</f>
        <v>68558.359338940907</v>
      </c>
      <c r="C42" s="133">
        <f>CONVERT(11345.29,"m2","ft2")</f>
        <v>122119.68521159264</v>
      </c>
      <c r="E42" s="130" t="s">
        <v>135</v>
      </c>
      <c r="F42" s="289">
        <v>0.47920644091639869</v>
      </c>
      <c r="G42" s="295">
        <v>399.98691108493324</v>
      </c>
      <c r="H42" s="287">
        <v>0.50000416128000003</v>
      </c>
      <c r="I42" s="287">
        <v>0.50000416128000003</v>
      </c>
      <c r="J42" s="288">
        <v>6.1905446032810695E-2</v>
      </c>
      <c r="K42" s="767">
        <v>279.96930993861986</v>
      </c>
      <c r="L42" s="768">
        <v>0.40970240640000005</v>
      </c>
      <c r="M42" s="768">
        <v>0.62709552000000002</v>
      </c>
      <c r="N42" s="768">
        <v>0.62709552000000002</v>
      </c>
      <c r="O42" s="768">
        <v>0</v>
      </c>
      <c r="S42" s="294"/>
      <c r="T42" s="275"/>
      <c r="U42" s="275"/>
      <c r="V42" s="291"/>
      <c r="W42" s="294"/>
      <c r="X42" s="275"/>
      <c r="Y42" s="275"/>
      <c r="Z42" s="275"/>
      <c r="AA42" s="275"/>
      <c r="AB42" s="291"/>
    </row>
    <row r="43" spans="1:29" s="169" customFormat="1" ht="18" customHeight="1" x14ac:dyDescent="0.25">
      <c r="A43" s="27" t="s">
        <v>136</v>
      </c>
      <c r="B43" s="27" t="s">
        <v>137</v>
      </c>
      <c r="C43" s="27" t="s">
        <v>138</v>
      </c>
      <c r="E43" s="130" t="s">
        <v>139</v>
      </c>
      <c r="F43" s="290">
        <v>8.0467493971061094E-2</v>
      </c>
      <c r="G43" s="295">
        <v>199.99345554246662</v>
      </c>
      <c r="H43" s="287">
        <v>0.40000332902400004</v>
      </c>
      <c r="I43" s="287">
        <v>0</v>
      </c>
      <c r="J43" s="288">
        <v>0.17360953807128521</v>
      </c>
      <c r="K43" s="767">
        <v>199.99345554246662</v>
      </c>
      <c r="L43" s="768">
        <v>0.41806367999999999</v>
      </c>
      <c r="M43" s="768">
        <v>0</v>
      </c>
      <c r="N43" s="768">
        <v>0</v>
      </c>
      <c r="O43" s="768">
        <v>0</v>
      </c>
      <c r="S43" s="294"/>
      <c r="T43" s="275"/>
      <c r="U43" s="275"/>
      <c r="V43" s="291"/>
      <c r="W43" s="294"/>
      <c r="X43" s="275"/>
      <c r="Y43" s="275"/>
      <c r="Z43" s="275"/>
      <c r="AA43" s="275"/>
      <c r="AB43" s="291"/>
    </row>
    <row r="44" spans="1:29" s="9" customFormat="1" ht="18" customHeight="1" x14ac:dyDescent="0.25">
      <c r="A44" s="16" t="s">
        <v>140</v>
      </c>
      <c r="B44" s="27" t="s">
        <v>138</v>
      </c>
      <c r="C44" s="27" t="s">
        <v>141</v>
      </c>
      <c r="E44" s="130" t="s">
        <v>142</v>
      </c>
      <c r="F44" s="120">
        <v>1.1665368770096463E-2</v>
      </c>
      <c r="G44" s="767">
        <v>30.031310062620125</v>
      </c>
      <c r="H44" s="768">
        <v>0.40000332902400004</v>
      </c>
      <c r="I44" s="768">
        <v>0.50000416128000003</v>
      </c>
      <c r="J44" s="769">
        <v>2.9232245901307016E-2</v>
      </c>
      <c r="K44" s="767">
        <v>14.316000854223931</v>
      </c>
      <c r="L44" s="768">
        <v>0.72185662080000002</v>
      </c>
      <c r="M44" s="770">
        <v>6.3006841727999996</v>
      </c>
      <c r="N44" s="770">
        <v>6.3006841727999996</v>
      </c>
      <c r="O44" s="768">
        <v>0</v>
      </c>
      <c r="S44" s="294"/>
      <c r="T44" s="275"/>
      <c r="U44" s="275"/>
      <c r="V44" s="291"/>
      <c r="W44" s="294"/>
      <c r="X44" s="275"/>
      <c r="Y44" s="275"/>
      <c r="Z44" s="275"/>
      <c r="AA44" s="275"/>
      <c r="AB44" s="291"/>
    </row>
    <row r="45" spans="1:29" s="9" customFormat="1" ht="18" customHeight="1" x14ac:dyDescent="0.25">
      <c r="A45" s="16" t="s">
        <v>143</v>
      </c>
      <c r="B45" s="27">
        <v>12</v>
      </c>
      <c r="C45" s="27">
        <v>179</v>
      </c>
      <c r="E45" s="130" t="s">
        <v>144</v>
      </c>
      <c r="F45" s="120">
        <v>1.4568365655144697E-2</v>
      </c>
      <c r="G45" s="767">
        <v>399.98691108493324</v>
      </c>
      <c r="H45" s="768">
        <v>0.94999861612799996</v>
      </c>
      <c r="I45" s="768">
        <v>7.7591225462400004</v>
      </c>
      <c r="J45" s="769">
        <v>9.1047789953718102E-3</v>
      </c>
      <c r="K45" s="767">
        <v>50.052183437700208</v>
      </c>
      <c r="L45" s="768">
        <v>1.1305370937600001</v>
      </c>
      <c r="M45" s="770">
        <v>272.34526176000003</v>
      </c>
      <c r="N45" s="770">
        <v>47.588931918720007</v>
      </c>
      <c r="O45" s="770">
        <v>224.75660855040002</v>
      </c>
      <c r="S45" s="294"/>
      <c r="T45" s="275"/>
      <c r="U45" s="275"/>
      <c r="V45" s="291"/>
      <c r="W45" s="294"/>
      <c r="X45" s="275"/>
      <c r="Y45" s="275"/>
      <c r="Z45" s="275"/>
      <c r="AA45" s="275"/>
      <c r="AB45" s="291"/>
    </row>
    <row r="46" spans="1:29" s="9" customFormat="1" ht="18" customHeight="1" x14ac:dyDescent="0.25">
      <c r="A46" s="16" t="s">
        <v>145</v>
      </c>
      <c r="B46" s="171">
        <v>0.2228</v>
      </c>
      <c r="C46" s="171">
        <v>0.30149999999999999</v>
      </c>
      <c r="E46" s="130" t="s">
        <v>146</v>
      </c>
      <c r="F46" s="120">
        <v>0.11990366258038586</v>
      </c>
      <c r="G46" s="767">
        <v>30.031310062620125</v>
      </c>
      <c r="H46" s="768">
        <v>0.699996535488</v>
      </c>
      <c r="I46" s="768">
        <v>0.50000416128000003</v>
      </c>
      <c r="J46" s="769">
        <v>0.11530281543035285</v>
      </c>
      <c r="K46" s="767">
        <v>33.368122291800141</v>
      </c>
      <c r="L46" s="768">
        <v>0.75994686720000004</v>
      </c>
      <c r="M46" s="768">
        <v>0.74972753280000004</v>
      </c>
      <c r="N46" s="768">
        <v>0.74972753280000004</v>
      </c>
      <c r="O46" s="770">
        <v>0</v>
      </c>
      <c r="S46" s="294"/>
      <c r="T46" s="275"/>
      <c r="U46" s="275"/>
      <c r="V46" s="291"/>
      <c r="W46" s="294"/>
      <c r="X46" s="275"/>
      <c r="Y46" s="275"/>
      <c r="Z46" s="275"/>
      <c r="AA46" s="275"/>
      <c r="AB46" s="291"/>
    </row>
    <row r="47" spans="1:29" s="9" customFormat="1" ht="18" customHeight="1" x14ac:dyDescent="0.25">
      <c r="A47" s="301" t="s">
        <v>147</v>
      </c>
      <c r="E47" s="130" t="s">
        <v>148</v>
      </c>
      <c r="F47" s="120">
        <v>5.9948691217845657E-2</v>
      </c>
      <c r="G47" s="767">
        <v>199.99345554246662</v>
      </c>
      <c r="H47" s="768">
        <v>0.45000374515199998</v>
      </c>
      <c r="I47" s="768">
        <v>3.2200007857919997</v>
      </c>
      <c r="J47" s="771">
        <v>6.8783828925345226E-3</v>
      </c>
      <c r="K47" s="772">
        <v>99.99672777123331</v>
      </c>
      <c r="L47" s="773">
        <v>0.48402483839999999</v>
      </c>
      <c r="M47" s="774">
        <v>55.512353491200003</v>
      </c>
      <c r="N47" s="773">
        <v>5.7302595072000004</v>
      </c>
      <c r="O47" s="774">
        <v>49.782093984000007</v>
      </c>
      <c r="S47" s="294"/>
      <c r="T47" s="275"/>
      <c r="U47" s="275"/>
      <c r="V47" s="291"/>
      <c r="W47" s="294"/>
      <c r="X47" s="275"/>
      <c r="Y47" s="275"/>
      <c r="Z47" s="275"/>
      <c r="AA47" s="275"/>
      <c r="AB47" s="291"/>
    </row>
    <row r="48" spans="1:29" s="9" customFormat="1" ht="18" customHeight="1" x14ac:dyDescent="0.25">
      <c r="A48" s="16" t="s">
        <v>149</v>
      </c>
      <c r="B48" s="133">
        <v>6744.9891844228132</v>
      </c>
      <c r="C48" s="133">
        <v>13065.126824698093</v>
      </c>
      <c r="E48" s="130" t="s">
        <v>150</v>
      </c>
      <c r="F48" s="120">
        <v>5.9948691217845657E-2</v>
      </c>
      <c r="G48" s="767">
        <v>199.99345554246662</v>
      </c>
      <c r="H48" s="768">
        <v>0.59999570323200002</v>
      </c>
      <c r="I48" s="775">
        <v>1.5000031935360001</v>
      </c>
      <c r="J48" s="776"/>
      <c r="K48" s="296"/>
      <c r="L48" s="174"/>
      <c r="M48" s="174"/>
      <c r="N48" s="174"/>
      <c r="O48" s="174"/>
      <c r="S48" s="294"/>
      <c r="T48" s="275"/>
      <c r="U48" s="275"/>
      <c r="V48" s="291"/>
      <c r="W48" s="294"/>
      <c r="X48" s="275"/>
      <c r="Y48" s="275"/>
      <c r="Z48" s="275"/>
      <c r="AA48" s="275"/>
      <c r="AB48" s="291"/>
    </row>
    <row r="49" spans="1:30" s="173" customFormat="1" ht="18" customHeight="1" x14ac:dyDescent="0.25">
      <c r="A49" s="27" t="s">
        <v>151</v>
      </c>
      <c r="B49" s="172">
        <v>0</v>
      </c>
      <c r="C49" s="172">
        <v>0</v>
      </c>
      <c r="E49" s="130" t="s">
        <v>152</v>
      </c>
      <c r="F49" s="121">
        <v>1.4568365655144697E-2</v>
      </c>
      <c r="G49" s="772">
        <v>30.031310062620125</v>
      </c>
      <c r="H49" s="773">
        <v>0.40000332902400004</v>
      </c>
      <c r="I49" s="777">
        <v>0.50000416128000003</v>
      </c>
      <c r="J49" s="776"/>
      <c r="K49" s="297"/>
      <c r="L49" s="284"/>
      <c r="M49" s="284"/>
      <c r="N49" s="285"/>
      <c r="O49" s="285"/>
      <c r="S49" s="294"/>
      <c r="T49" s="275"/>
      <c r="U49" s="275"/>
      <c r="V49" s="291"/>
      <c r="W49" s="294"/>
      <c r="X49" s="275"/>
      <c r="Y49" s="275"/>
      <c r="Z49" s="275"/>
      <c r="AA49" s="275"/>
      <c r="AB49" s="291"/>
      <c r="AD49" s="9"/>
    </row>
    <row r="50" spans="1:30" s="9" customFormat="1" ht="18" customHeight="1" x14ac:dyDescent="0.25">
      <c r="A50" s="16" t="s">
        <v>153</v>
      </c>
      <c r="B50" s="133">
        <v>239.81992408429261</v>
      </c>
      <c r="C50" s="133">
        <v>21300.056489001865</v>
      </c>
      <c r="E50" s="176" t="s">
        <v>154</v>
      </c>
      <c r="F50" s="175"/>
      <c r="G50" s="174"/>
      <c r="H50" s="174"/>
      <c r="I50" s="174"/>
      <c r="J50" s="122">
        <v>0.17441248615112875</v>
      </c>
      <c r="K50" s="298">
        <v>199.99345554246662</v>
      </c>
      <c r="L50" s="299">
        <v>0.57599884800000001</v>
      </c>
      <c r="M50" s="299">
        <v>0.49981835520000001</v>
      </c>
      <c r="N50" s="299">
        <v>0.49981835520000001</v>
      </c>
      <c r="O50" s="299">
        <v>0</v>
      </c>
      <c r="S50" s="294"/>
      <c r="T50" s="275"/>
      <c r="U50" s="275"/>
      <c r="V50" s="291"/>
      <c r="W50" s="294"/>
      <c r="X50" s="275"/>
      <c r="Y50" s="275"/>
      <c r="Z50" s="275"/>
      <c r="AA50" s="275"/>
      <c r="AB50" s="291"/>
    </row>
    <row r="51" spans="1:30" s="9" customFormat="1" ht="18" customHeight="1" x14ac:dyDescent="0.25">
      <c r="A51" s="16" t="s">
        <v>155</v>
      </c>
      <c r="B51" s="133">
        <v>30277.695972058609</v>
      </c>
      <c r="C51" s="133">
        <v>49079.018296925489</v>
      </c>
      <c r="E51" s="176" t="s">
        <v>156</v>
      </c>
      <c r="F51" s="175"/>
      <c r="G51" s="174"/>
      <c r="H51" s="174"/>
      <c r="I51" s="174"/>
      <c r="J51" s="123">
        <v>1.2757267297096959E-2</v>
      </c>
      <c r="K51" s="767">
        <v>66.628605479433176</v>
      </c>
      <c r="L51" s="768">
        <v>0.70234698240000004</v>
      </c>
      <c r="M51" s="768">
        <v>0.99963671040000002</v>
      </c>
      <c r="N51" s="768">
        <v>0.49981835520000001</v>
      </c>
      <c r="O51" s="768">
        <v>0</v>
      </c>
      <c r="S51" s="294"/>
      <c r="T51" s="275"/>
      <c r="U51" s="275"/>
      <c r="V51" s="291"/>
      <c r="W51" s="294"/>
      <c r="X51" s="275"/>
      <c r="Y51" s="275"/>
      <c r="Z51" s="275"/>
      <c r="AA51" s="275"/>
      <c r="AB51" s="291"/>
    </row>
    <row r="52" spans="1:30" s="9" customFormat="1" ht="18" customHeight="1" x14ac:dyDescent="0.3">
      <c r="A52" s="16" t="s">
        <v>157</v>
      </c>
      <c r="B52" s="133">
        <v>30277.695972058609</v>
      </c>
      <c r="C52" s="133">
        <v>43333.565833798333</v>
      </c>
      <c r="E52" s="176" t="s">
        <v>158</v>
      </c>
      <c r="F52" s="175"/>
      <c r="G52" s="174"/>
      <c r="H52" s="174"/>
      <c r="I52" s="174"/>
      <c r="J52" s="123">
        <v>1.4475981628265888E-2</v>
      </c>
      <c r="K52" s="767">
        <v>666.60897210683311</v>
      </c>
      <c r="L52" s="768">
        <v>0.67447607040000002</v>
      </c>
      <c r="M52" s="768">
        <v>0.49981835520000001</v>
      </c>
      <c r="N52" s="768">
        <v>0.49981835520000001</v>
      </c>
      <c r="O52" s="768">
        <v>0</v>
      </c>
      <c r="S52" s="294"/>
      <c r="T52" s="275"/>
      <c r="U52" s="275"/>
      <c r="V52"/>
      <c r="W52" s="294"/>
      <c r="X52" s="275"/>
      <c r="Y52" s="275"/>
      <c r="Z52" s="275"/>
      <c r="AA52" s="275"/>
      <c r="AB52" s="291"/>
    </row>
    <row r="53" spans="1:30" s="9" customFormat="1" ht="18" customHeight="1" x14ac:dyDescent="0.3">
      <c r="A53" s="10" t="s">
        <v>159</v>
      </c>
      <c r="E53" s="176" t="s">
        <v>160</v>
      </c>
      <c r="F53" s="175"/>
      <c r="G53" s="174"/>
      <c r="H53" s="174"/>
      <c r="I53" s="174"/>
      <c r="J53" s="123">
        <v>8.3520702575162909E-3</v>
      </c>
      <c r="K53" s="767">
        <v>499.98363885616664</v>
      </c>
      <c r="L53" s="768">
        <v>0.35117349120000002</v>
      </c>
      <c r="M53" s="768">
        <v>0.2499091776</v>
      </c>
      <c r="N53" s="768">
        <v>0.2499091776</v>
      </c>
      <c r="O53" s="768">
        <v>0</v>
      </c>
      <c r="S53" s="294"/>
      <c r="T53" s="275"/>
      <c r="U53" s="275"/>
      <c r="V53"/>
      <c r="W53" s="294"/>
      <c r="X53" s="275"/>
      <c r="Y53" s="275"/>
      <c r="Z53" s="275"/>
      <c r="AA53" s="275"/>
      <c r="AB53" s="291"/>
    </row>
    <row r="54" spans="1:30" s="9" customFormat="1" ht="26.4" customHeight="1" x14ac:dyDescent="0.3">
      <c r="A54" s="16" t="s">
        <v>161</v>
      </c>
      <c r="B54" s="99" t="s">
        <v>162</v>
      </c>
      <c r="C54" s="99" t="s">
        <v>163</v>
      </c>
      <c r="E54" s="176" t="s">
        <v>164</v>
      </c>
      <c r="F54" s="175"/>
      <c r="G54" s="174"/>
      <c r="H54" s="174"/>
      <c r="I54" s="174"/>
      <c r="J54" s="123">
        <v>1.6645968645362247E-2</v>
      </c>
      <c r="K54" s="767">
        <v>14.316000854223931</v>
      </c>
      <c r="L54" s="768">
        <v>0.72185662080000002</v>
      </c>
      <c r="M54" s="768">
        <v>0.49981835520000001</v>
      </c>
      <c r="N54" s="768">
        <v>0.49981835520000001</v>
      </c>
      <c r="O54" s="768">
        <v>0</v>
      </c>
      <c r="S54" s="294"/>
      <c r="T54" s="275"/>
      <c r="U54" s="275"/>
      <c r="V54"/>
      <c r="W54" s="294"/>
      <c r="X54" s="275"/>
      <c r="Y54" s="275"/>
      <c r="Z54" s="275"/>
      <c r="AA54" s="275"/>
      <c r="AB54" s="291"/>
    </row>
    <row r="55" spans="1:30" s="9" customFormat="1" ht="16.2" customHeight="1" x14ac:dyDescent="0.3">
      <c r="A55" s="16" t="s">
        <v>165</v>
      </c>
      <c r="B55" s="99" t="s">
        <v>166</v>
      </c>
      <c r="C55" s="99" t="s">
        <v>167</v>
      </c>
      <c r="E55" s="176" t="s">
        <v>168</v>
      </c>
      <c r="F55" s="175"/>
      <c r="G55" s="174"/>
      <c r="H55" s="174"/>
      <c r="I55" s="174"/>
      <c r="J55" s="123">
        <v>2.9232245901307016E-2</v>
      </c>
      <c r="K55" s="767">
        <v>14.316000854223931</v>
      </c>
      <c r="L55" s="768">
        <v>0.72185662080000002</v>
      </c>
      <c r="M55" s="768">
        <v>6.3006841727999996</v>
      </c>
      <c r="N55" s="768">
        <v>6.3006841727999996</v>
      </c>
      <c r="O55" s="768">
        <v>0</v>
      </c>
      <c r="S55" s="294"/>
      <c r="T55" s="275"/>
      <c r="U55" s="275"/>
      <c r="V55"/>
      <c r="W55" s="294"/>
      <c r="X55" s="275"/>
      <c r="Y55" s="275"/>
      <c r="Z55" s="275"/>
      <c r="AA55" s="275"/>
      <c r="AB55" s="291"/>
    </row>
    <row r="56" spans="1:30" s="9" customFormat="1" ht="24.6" customHeight="1" x14ac:dyDescent="0.3">
      <c r="A56" s="16" t="s">
        <v>169</v>
      </c>
      <c r="B56" s="99" t="s">
        <v>170</v>
      </c>
      <c r="C56" s="99" t="s">
        <v>171</v>
      </c>
      <c r="U56" s="293"/>
      <c r="V56" s="291"/>
      <c r="W56" s="291"/>
      <c r="X56" s="291"/>
      <c r="Y56" s="291"/>
      <c r="Z56" s="291"/>
      <c r="AA56"/>
      <c r="AB56" s="291"/>
    </row>
    <row r="57" spans="1:30" s="9" customFormat="1" ht="18" x14ac:dyDescent="0.3">
      <c r="A57" s="16" t="s">
        <v>172</v>
      </c>
      <c r="B57" s="27" t="s">
        <v>173</v>
      </c>
      <c r="C57" s="99" t="s">
        <v>174</v>
      </c>
      <c r="U57" s="291"/>
      <c r="V57" s="291"/>
      <c r="W57" s="291"/>
      <c r="X57" s="291"/>
      <c r="Y57" s="291"/>
      <c r="Z57" s="291"/>
      <c r="AA57"/>
      <c r="AB57" s="291"/>
    </row>
    <row r="58" spans="1:30" s="9" customFormat="1" ht="18" x14ac:dyDescent="0.3">
      <c r="A58" s="16" t="s">
        <v>175</v>
      </c>
      <c r="B58" s="99" t="s">
        <v>138</v>
      </c>
      <c r="C58" s="99" t="s">
        <v>141</v>
      </c>
      <c r="U58" s="291"/>
      <c r="V58" s="291"/>
      <c r="W58" s="291"/>
      <c r="X58" s="291"/>
      <c r="Y58" s="291"/>
      <c r="Z58" s="291"/>
      <c r="AA58"/>
      <c r="AB58" s="291"/>
    </row>
    <row r="59" spans="1:30" s="9" customFormat="1" ht="18" x14ac:dyDescent="0.3">
      <c r="A59" s="16" t="s">
        <v>176</v>
      </c>
      <c r="B59" s="99" t="s">
        <v>138</v>
      </c>
      <c r="C59" s="99" t="s">
        <v>138</v>
      </c>
      <c r="U59" s="291"/>
      <c r="V59" s="291"/>
      <c r="W59" s="291"/>
      <c r="X59" s="291"/>
      <c r="Y59" s="291"/>
      <c r="Z59" s="291"/>
      <c r="AA59"/>
      <c r="AB59" s="291"/>
    </row>
    <row r="60" spans="1:30" s="9" customFormat="1" ht="18" x14ac:dyDescent="0.3">
      <c r="A60" s="16" t="s">
        <v>177</v>
      </c>
      <c r="B60" s="99" t="s">
        <v>138</v>
      </c>
      <c r="C60" s="99" t="s">
        <v>138</v>
      </c>
      <c r="U60" s="291"/>
      <c r="V60" s="291"/>
      <c r="W60" s="291"/>
      <c r="X60" s="291"/>
      <c r="Y60" s="291"/>
      <c r="Z60" s="291"/>
      <c r="AA60"/>
      <c r="AB60" s="291"/>
    </row>
    <row r="61" spans="1:30" s="9" customFormat="1" ht="18" x14ac:dyDescent="0.3">
      <c r="A61" s="16" t="s">
        <v>178</v>
      </c>
      <c r="B61" s="99" t="s">
        <v>138</v>
      </c>
      <c r="C61" s="99" t="s">
        <v>138</v>
      </c>
      <c r="U61" s="291"/>
      <c r="V61" s="291"/>
      <c r="W61" s="291"/>
      <c r="X61" s="291"/>
      <c r="Y61" s="291"/>
      <c r="Z61" s="291"/>
      <c r="AA61"/>
      <c r="AB61" s="291"/>
    </row>
    <row r="62" spans="1:30" s="9" customFormat="1" ht="18" x14ac:dyDescent="0.3">
      <c r="A62" s="16" t="s">
        <v>179</v>
      </c>
      <c r="B62" s="99" t="s">
        <v>138</v>
      </c>
      <c r="C62" s="99" t="s">
        <v>138</v>
      </c>
      <c r="U62" s="291"/>
      <c r="V62" s="291"/>
      <c r="W62" s="291"/>
      <c r="X62" s="291"/>
      <c r="Y62" s="291"/>
      <c r="Z62" s="291"/>
      <c r="AA62"/>
      <c r="AB62" s="291"/>
    </row>
    <row r="63" spans="1:30" s="9" customFormat="1" ht="18" x14ac:dyDescent="0.3">
      <c r="A63" s="12"/>
      <c r="B63" s="12"/>
      <c r="C63" s="12"/>
      <c r="U63" s="291"/>
      <c r="V63" s="291"/>
      <c r="W63" s="291"/>
      <c r="X63" s="291"/>
      <c r="Y63" s="291"/>
      <c r="Z63" s="291"/>
      <c r="AA63"/>
      <c r="AB63" s="291"/>
    </row>
    <row r="64" spans="1:30" ht="100.2" customHeight="1" x14ac:dyDescent="0.3">
      <c r="A64" s="16" t="s">
        <v>180</v>
      </c>
      <c r="B64" s="177" t="s">
        <v>181</v>
      </c>
      <c r="C64" s="177" t="s">
        <v>182</v>
      </c>
      <c r="D64" s="188"/>
      <c r="E64" s="14"/>
      <c r="F64" s="14"/>
      <c r="G64" s="9"/>
      <c r="U64" s="291"/>
      <c r="V64" s="291"/>
      <c r="W64" s="291"/>
      <c r="X64" s="291"/>
      <c r="Y64" s="291"/>
      <c r="Z64" s="291"/>
      <c r="AA64"/>
      <c r="AB64" s="291"/>
    </row>
    <row r="65" spans="1:27" ht="27" x14ac:dyDescent="0.3">
      <c r="A65" s="107" t="s">
        <v>183</v>
      </c>
      <c r="B65" s="17" t="s">
        <v>184</v>
      </c>
      <c r="C65" s="129" t="s">
        <v>185</v>
      </c>
      <c r="D65" s="9"/>
      <c r="E65" s="9"/>
      <c r="F65" s="9"/>
      <c r="G65" s="9"/>
      <c r="U65" s="291"/>
      <c r="V65" s="291"/>
      <c r="W65" s="291"/>
      <c r="X65" s="291"/>
      <c r="Y65" s="291"/>
      <c r="Z65" s="291"/>
      <c r="AA65"/>
    </row>
    <row r="66" spans="1:27" ht="18" x14ac:dyDescent="0.3">
      <c r="A66" s="107" t="s">
        <v>186</v>
      </c>
      <c r="B66" s="107"/>
      <c r="C66" s="129" t="s">
        <v>187</v>
      </c>
      <c r="D66" s="9"/>
      <c r="E66" s="9"/>
      <c r="F66" s="9"/>
      <c r="G66" s="9"/>
      <c r="U66" s="291"/>
      <c r="V66" s="291"/>
      <c r="W66" s="291"/>
      <c r="X66" s="291"/>
      <c r="Y66" s="291"/>
      <c r="Z66" s="291"/>
      <c r="AA66"/>
    </row>
    <row r="67" spans="1:27" ht="18" x14ac:dyDescent="0.3">
      <c r="U67" s="291"/>
      <c r="V67" s="291"/>
      <c r="W67" s="291"/>
      <c r="X67" s="291"/>
      <c r="Y67" s="291"/>
      <c r="Z67" s="291"/>
      <c r="AA67"/>
    </row>
    <row r="68" spans="1:27" ht="18" x14ac:dyDescent="0.3">
      <c r="U68" s="291"/>
      <c r="V68" s="291"/>
      <c r="W68" s="291"/>
      <c r="X68" s="291"/>
      <c r="Y68" s="291"/>
      <c r="Z68" s="291"/>
      <c r="AA68"/>
    </row>
    <row r="69" spans="1:27" ht="18" x14ac:dyDescent="0.3">
      <c r="U69" s="291"/>
      <c r="V69" s="291"/>
      <c r="W69" s="291"/>
      <c r="X69" s="291"/>
      <c r="Y69" s="291"/>
      <c r="Z69" s="291"/>
      <c r="AA69"/>
    </row>
    <row r="70" spans="1:27" ht="18" x14ac:dyDescent="0.3">
      <c r="U70" s="291"/>
      <c r="V70" s="291"/>
      <c r="W70" s="291"/>
      <c r="X70" s="291"/>
      <c r="Y70" s="291"/>
      <c r="Z70" s="291"/>
      <c r="AA70"/>
    </row>
    <row r="71" spans="1:27" ht="18" x14ac:dyDescent="0.3">
      <c r="U71" s="291"/>
      <c r="V71" s="291"/>
      <c r="W71" s="291"/>
      <c r="X71" s="291"/>
      <c r="Y71" s="291"/>
      <c r="Z71" s="291"/>
      <c r="AA71"/>
    </row>
    <row r="72" spans="1:27" ht="18" x14ac:dyDescent="0.3">
      <c r="U72" s="291"/>
      <c r="V72" s="291"/>
      <c r="W72" s="291"/>
      <c r="X72" s="291"/>
      <c r="Y72" s="291"/>
      <c r="Z72" s="291"/>
      <c r="AA72"/>
    </row>
    <row r="73" spans="1:27" ht="18" x14ac:dyDescent="0.3">
      <c r="U73" s="291"/>
      <c r="V73" s="291"/>
      <c r="W73" s="291"/>
      <c r="X73" s="291"/>
      <c r="Y73" s="291"/>
      <c r="Z73" s="291"/>
      <c r="AA73"/>
    </row>
    <row r="74" spans="1:27" ht="18" x14ac:dyDescent="0.3">
      <c r="U74" s="291"/>
      <c r="V74" s="291"/>
      <c r="W74" s="291"/>
      <c r="X74" s="291"/>
      <c r="Y74" s="291"/>
      <c r="Z74"/>
      <c r="AA74"/>
    </row>
  </sheetData>
  <mergeCells count="3">
    <mergeCell ref="A1:C1"/>
    <mergeCell ref="A2:C2"/>
    <mergeCell ref="A38:O38"/>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DC9C1-ABE9-4C74-8C0A-F769CBEC5074}">
  <sheetPr codeName="Sheet5"/>
  <dimension ref="A1:S56"/>
  <sheetViews>
    <sheetView zoomScaleNormal="100" workbookViewId="0">
      <selection sqref="A1:M1"/>
    </sheetView>
  </sheetViews>
  <sheetFormatPr defaultColWidth="8.6640625" defaultRowHeight="12.75" customHeight="1" x14ac:dyDescent="0.25"/>
  <cols>
    <col min="1" max="1" width="15.6640625" style="9" customWidth="1"/>
    <col min="2" max="2" width="35.6640625" style="9" customWidth="1"/>
    <col min="3" max="3" width="51.109375" style="9" customWidth="1"/>
    <col min="4" max="4" width="17" style="9" customWidth="1"/>
    <col min="5" max="5" width="23.88671875" style="9" customWidth="1"/>
    <col min="6" max="6" width="19.6640625" style="9" customWidth="1"/>
    <col min="7" max="7" width="13.5546875" style="9" customWidth="1"/>
    <col min="8" max="8" width="13.88671875" style="9" customWidth="1"/>
    <col min="9" max="9" width="12.6640625" style="9" customWidth="1"/>
    <col min="10" max="10" width="12" style="9" bestFit="1" customWidth="1"/>
    <col min="11" max="11" width="11.33203125" style="9" customWidth="1"/>
    <col min="12" max="12" width="30.6640625" style="9" customWidth="1"/>
    <col min="13" max="13" width="47.109375" style="9" customWidth="1"/>
    <col min="14" max="14" width="28.44140625" style="9" customWidth="1"/>
    <col min="15" max="15" width="12.6640625" style="9" customWidth="1"/>
    <col min="16" max="16" width="25.33203125" style="9" customWidth="1"/>
    <col min="17" max="17" width="22.33203125" style="9" bestFit="1" customWidth="1"/>
    <col min="18" max="18" width="18.33203125" style="9" customWidth="1"/>
    <col min="19" max="19" width="25.6640625" style="9" customWidth="1"/>
    <col min="20" max="20" width="22.6640625" style="9" customWidth="1"/>
    <col min="21" max="21" width="16.33203125" style="9" customWidth="1"/>
    <col min="22" max="22" width="6.6640625" style="9" bestFit="1" customWidth="1"/>
    <col min="23" max="27" width="17.33203125" style="9" customWidth="1"/>
    <col min="28" max="16384" width="8.6640625" style="9"/>
  </cols>
  <sheetData>
    <row r="1" spans="1:18" ht="25.95" customHeight="1" thickBot="1" x14ac:dyDescent="0.3">
      <c r="A1" s="883" t="str">
        <f>"Proposed Layout - "&amp;Prototype!A2</f>
        <v>Proposed Layout - HotelLarge</v>
      </c>
      <c r="B1" s="883"/>
      <c r="C1" s="883"/>
      <c r="D1" s="883"/>
      <c r="E1" s="883"/>
      <c r="F1" s="883"/>
      <c r="G1" s="883"/>
      <c r="H1" s="883"/>
      <c r="I1" s="883"/>
      <c r="J1" s="883"/>
      <c r="K1" s="883"/>
      <c r="L1" s="883"/>
      <c r="M1" s="883"/>
      <c r="N1" s="898"/>
      <c r="O1" s="898"/>
      <c r="P1" s="616" t="s">
        <v>188</v>
      </c>
    </row>
    <row r="2" spans="1:18" ht="47.25" customHeight="1" x14ac:dyDescent="0.25">
      <c r="A2" s="778" t="s">
        <v>189</v>
      </c>
      <c r="B2" s="229" t="s">
        <v>190</v>
      </c>
      <c r="C2" s="229" t="s">
        <v>191</v>
      </c>
      <c r="D2" s="229" t="s">
        <v>192</v>
      </c>
      <c r="E2" s="229" t="s">
        <v>193</v>
      </c>
      <c r="F2" s="229" t="s">
        <v>194</v>
      </c>
      <c r="G2" s="822" t="s">
        <v>195</v>
      </c>
      <c r="H2" s="231" t="s">
        <v>196</v>
      </c>
      <c r="I2" s="229" t="s">
        <v>197</v>
      </c>
      <c r="J2" s="229" t="s">
        <v>198</v>
      </c>
      <c r="K2" s="200" t="s">
        <v>199</v>
      </c>
      <c r="L2" s="831" t="s">
        <v>200</v>
      </c>
      <c r="M2" s="630" t="s">
        <v>60</v>
      </c>
      <c r="N2" s="636"/>
      <c r="O2" s="779"/>
      <c r="P2" s="779"/>
      <c r="Q2" s="780"/>
    </row>
    <row r="3" spans="1:18" ht="35.4" customHeight="1" x14ac:dyDescent="0.25">
      <c r="A3" s="682" t="s">
        <v>73</v>
      </c>
      <c r="B3" s="437" t="s">
        <v>201</v>
      </c>
      <c r="C3" s="437" t="s">
        <v>202</v>
      </c>
      <c r="D3" s="317"/>
      <c r="E3" s="233" t="s">
        <v>150</v>
      </c>
      <c r="F3" s="597" t="s">
        <v>141</v>
      </c>
      <c r="G3" s="252">
        <f>H3/$H$30</f>
        <v>4.8433613360755655E-2</v>
      </c>
      <c r="H3" s="233">
        <v>7454.9371290799945</v>
      </c>
      <c r="I3" s="233">
        <f>H3*13</f>
        <v>96914.182678039928</v>
      </c>
      <c r="J3" s="234">
        <v>1</v>
      </c>
      <c r="K3" s="233">
        <f t="shared" ref="K3:K8" si="0">L3*H3/1000</f>
        <v>246.01292525963984</v>
      </c>
      <c r="L3" s="622">
        <v>33</v>
      </c>
      <c r="M3" s="631"/>
      <c r="N3" s="781"/>
      <c r="O3" s="782"/>
      <c r="P3" s="782"/>
      <c r="Q3" s="783"/>
    </row>
    <row r="4" spans="1:18" ht="35.4" customHeight="1" x14ac:dyDescent="0.25">
      <c r="A4" s="682" t="s">
        <v>73</v>
      </c>
      <c r="B4" s="594" t="s">
        <v>203</v>
      </c>
      <c r="C4" s="594" t="s">
        <v>204</v>
      </c>
      <c r="D4" s="595"/>
      <c r="E4" s="596" t="s">
        <v>150</v>
      </c>
      <c r="F4" s="597" t="s">
        <v>141</v>
      </c>
      <c r="G4" s="598">
        <f>H4/$H$30</f>
        <v>1.0733444337294487E-2</v>
      </c>
      <c r="H4" s="596">
        <v>1652.0995887093086</v>
      </c>
      <c r="I4" s="596">
        <f>H4*13</f>
        <v>21477.294653221012</v>
      </c>
      <c r="J4" s="818">
        <v>1</v>
      </c>
      <c r="K4" s="596">
        <f t="shared" si="0"/>
        <v>8.2604979435465431</v>
      </c>
      <c r="L4" s="623">
        <v>5</v>
      </c>
      <c r="M4" s="631"/>
      <c r="N4" s="781"/>
      <c r="O4" s="782"/>
      <c r="P4" s="782"/>
      <c r="Q4" s="783"/>
    </row>
    <row r="5" spans="1:18" ht="35.4" customHeight="1" x14ac:dyDescent="0.25">
      <c r="A5" s="682" t="s">
        <v>73</v>
      </c>
      <c r="B5" s="594" t="s">
        <v>205</v>
      </c>
      <c r="C5" s="594" t="s">
        <v>206</v>
      </c>
      <c r="D5" s="595"/>
      <c r="E5" s="596" t="s">
        <v>207</v>
      </c>
      <c r="F5" s="597" t="s">
        <v>141</v>
      </c>
      <c r="G5" s="598">
        <f t="shared" ref="G5:G6" si="1">H5/$H$30</f>
        <v>1.1485483353252043E-2</v>
      </c>
      <c r="H5" s="596">
        <v>1767.853983096936</v>
      </c>
      <c r="I5" s="596">
        <f t="shared" ref="I5:I8" si="2">H5*13</f>
        <v>22982.101780260167</v>
      </c>
      <c r="J5" s="818">
        <v>1</v>
      </c>
      <c r="K5" s="596">
        <f t="shared" ref="K5:K6" si="3">L5*H5/1000</f>
        <v>0</v>
      </c>
      <c r="L5" s="623">
        <v>0</v>
      </c>
      <c r="M5" s="631"/>
      <c r="N5" s="781"/>
      <c r="O5" s="782"/>
      <c r="P5" s="782"/>
      <c r="Q5" s="783"/>
    </row>
    <row r="6" spans="1:18" ht="35.4" customHeight="1" x14ac:dyDescent="0.25">
      <c r="A6" s="682" t="s">
        <v>73</v>
      </c>
      <c r="B6" s="594" t="s">
        <v>208</v>
      </c>
      <c r="C6" s="594" t="s">
        <v>209</v>
      </c>
      <c r="D6" s="595"/>
      <c r="E6" s="596" t="s">
        <v>210</v>
      </c>
      <c r="F6" s="597" t="s">
        <v>141</v>
      </c>
      <c r="G6" s="598">
        <f t="shared" si="1"/>
        <v>5.4574228013138668E-3</v>
      </c>
      <c r="H6" s="596">
        <v>840.01050195375603</v>
      </c>
      <c r="I6" s="596">
        <f t="shared" si="2"/>
        <v>10920.136525398828</v>
      </c>
      <c r="J6" s="818">
        <v>1</v>
      </c>
      <c r="K6" s="596">
        <f t="shared" si="3"/>
        <v>4.2000525097687804</v>
      </c>
      <c r="L6" s="623">
        <v>5</v>
      </c>
      <c r="M6" s="631"/>
      <c r="N6" s="891" t="s">
        <v>211</v>
      </c>
      <c r="O6" s="892"/>
      <c r="P6" s="892"/>
      <c r="Q6" s="893"/>
    </row>
    <row r="7" spans="1:18" ht="35.4" customHeight="1" x14ac:dyDescent="0.25">
      <c r="A7" s="682" t="s">
        <v>73</v>
      </c>
      <c r="B7" s="27" t="s">
        <v>212</v>
      </c>
      <c r="C7" s="27" t="s">
        <v>213</v>
      </c>
      <c r="D7" s="317"/>
      <c r="E7" s="233" t="s">
        <v>214</v>
      </c>
      <c r="F7" s="597" t="s">
        <v>141</v>
      </c>
      <c r="G7" s="252">
        <f>H7/$H$30</f>
        <v>4.1514525737790554E-2</v>
      </c>
      <c r="H7" s="233">
        <v>6389.9461106399949</v>
      </c>
      <c r="I7" s="596">
        <f t="shared" si="2"/>
        <v>83069.29943831994</v>
      </c>
      <c r="J7" s="234">
        <v>1</v>
      </c>
      <c r="K7" s="233">
        <f t="shared" si="0"/>
        <v>19.169838331919987</v>
      </c>
      <c r="L7" s="622">
        <v>3</v>
      </c>
      <c r="M7" s="631"/>
      <c r="N7" s="781"/>
      <c r="O7" s="782"/>
      <c r="P7" s="782"/>
      <c r="Q7" s="783"/>
      <c r="R7" s="619"/>
    </row>
    <row r="8" spans="1:18" ht="35.4" customHeight="1" x14ac:dyDescent="0.25">
      <c r="A8" s="682" t="s">
        <v>73</v>
      </c>
      <c r="B8" s="27" t="s">
        <v>215</v>
      </c>
      <c r="C8" s="27" t="s">
        <v>216</v>
      </c>
      <c r="D8" s="317"/>
      <c r="E8" s="233" t="s">
        <v>210</v>
      </c>
      <c r="F8" s="597" t="s">
        <v>141</v>
      </c>
      <c r="G8" s="252">
        <f>H8/$H$30</f>
        <v>2.0757262868895277E-2</v>
      </c>
      <c r="H8" s="233">
        <v>3194.9730553199975</v>
      </c>
      <c r="I8" s="596">
        <f t="shared" si="2"/>
        <v>41534.64971915997</v>
      </c>
      <c r="J8" s="234">
        <v>1</v>
      </c>
      <c r="K8" s="233">
        <f t="shared" si="0"/>
        <v>0</v>
      </c>
      <c r="L8" s="622">
        <v>0</v>
      </c>
      <c r="M8" s="631"/>
      <c r="N8" s="781"/>
      <c r="O8" s="782"/>
      <c r="P8" s="782"/>
      <c r="Q8" s="783"/>
    </row>
    <row r="9" spans="1:18" ht="17.7" customHeight="1" x14ac:dyDescent="0.25">
      <c r="A9" s="682" t="s">
        <v>73</v>
      </c>
      <c r="B9" s="232" t="s">
        <v>217</v>
      </c>
      <c r="C9" s="253" t="s">
        <v>218</v>
      </c>
      <c r="D9" s="317"/>
      <c r="E9" s="233" t="s">
        <v>156</v>
      </c>
      <c r="F9" s="597" t="s">
        <v>141</v>
      </c>
      <c r="G9" s="252">
        <f t="shared" ref="G9:G29" si="4">H9/$H$30</f>
        <v>4.6902786684279978E-3</v>
      </c>
      <c r="H9" s="233">
        <v>721.93111694052288</v>
      </c>
      <c r="I9" s="233">
        <f t="shared" ref="I9:I15" si="5">H9*13</f>
        <v>9385.1045202267978</v>
      </c>
      <c r="J9" s="234">
        <v>1</v>
      </c>
      <c r="K9" s="233">
        <f>L9*H9/1000</f>
        <v>12.272828987988889</v>
      </c>
      <c r="L9" s="622">
        <v>17</v>
      </c>
      <c r="M9" s="631"/>
      <c r="N9" s="781"/>
      <c r="O9" s="782"/>
      <c r="P9" s="782"/>
      <c r="Q9" s="783"/>
    </row>
    <row r="10" spans="1:18" ht="17.7" customHeight="1" x14ac:dyDescent="0.25">
      <c r="A10" s="682" t="s">
        <v>73</v>
      </c>
      <c r="B10" s="232" t="s">
        <v>219</v>
      </c>
      <c r="C10" s="253" t="s">
        <v>218</v>
      </c>
      <c r="D10" s="317"/>
      <c r="E10" s="233" t="s">
        <v>156</v>
      </c>
      <c r="F10" s="597" t="s">
        <v>141</v>
      </c>
      <c r="G10" s="252">
        <f t="shared" si="4"/>
        <v>5.4315482954644797E-3</v>
      </c>
      <c r="H10" s="233">
        <v>836.02787912286294</v>
      </c>
      <c r="I10" s="233">
        <f t="shared" si="5"/>
        <v>10868.362428597218</v>
      </c>
      <c r="J10" s="234">
        <v>1</v>
      </c>
      <c r="K10" s="233">
        <f>L10*H10/1000</f>
        <v>14.21247394508867</v>
      </c>
      <c r="L10" s="622">
        <v>17</v>
      </c>
      <c r="M10" s="631"/>
      <c r="N10" s="781"/>
      <c r="O10" s="782"/>
      <c r="P10" s="782"/>
      <c r="Q10" s="783"/>
    </row>
    <row r="11" spans="1:18" ht="17.399999999999999" customHeight="1" x14ac:dyDescent="0.25">
      <c r="A11" s="682" t="s">
        <v>73</v>
      </c>
      <c r="B11" s="599" t="s">
        <v>220</v>
      </c>
      <c r="C11" s="600" t="s">
        <v>204</v>
      </c>
      <c r="D11" s="601"/>
      <c r="E11" s="596" t="s">
        <v>150</v>
      </c>
      <c r="F11" s="597" t="s">
        <v>141</v>
      </c>
      <c r="G11" s="598">
        <f t="shared" si="4"/>
        <v>1.1485483353252043E-2</v>
      </c>
      <c r="H11" s="596">
        <v>1767.853983096936</v>
      </c>
      <c r="I11" s="596">
        <f t="shared" si="5"/>
        <v>22982.101780260167</v>
      </c>
      <c r="J11" s="818">
        <v>1</v>
      </c>
      <c r="K11" s="596">
        <f t="shared" ref="K11:K16" si="6">L11*H11/1000</f>
        <v>8.8392699154846799</v>
      </c>
      <c r="L11" s="623">
        <v>5</v>
      </c>
      <c r="M11" s="631"/>
      <c r="N11" s="781"/>
      <c r="O11" s="782"/>
      <c r="P11" s="782"/>
      <c r="Q11" s="783"/>
    </row>
    <row r="12" spans="1:18" ht="16.5" customHeight="1" x14ac:dyDescent="0.25">
      <c r="A12" s="682" t="s">
        <v>73</v>
      </c>
      <c r="B12" s="235" t="s">
        <v>221</v>
      </c>
      <c r="C12" s="253" t="s">
        <v>216</v>
      </c>
      <c r="D12" s="318"/>
      <c r="E12" s="233" t="s">
        <v>210</v>
      </c>
      <c r="F12" s="597" t="s">
        <v>141</v>
      </c>
      <c r="G12" s="252">
        <f t="shared" si="4"/>
        <v>6.6266707413185806E-3</v>
      </c>
      <c r="H12" s="233">
        <v>1019.981998528164</v>
      </c>
      <c r="I12" s="233">
        <f t="shared" si="5"/>
        <v>13259.765980866132</v>
      </c>
      <c r="J12" s="234">
        <v>1</v>
      </c>
      <c r="K12" s="233">
        <f t="shared" si="6"/>
        <v>0</v>
      </c>
      <c r="L12" s="624">
        <v>0</v>
      </c>
      <c r="M12" s="632"/>
      <c r="N12" s="781"/>
      <c r="O12" s="782"/>
      <c r="P12" s="782"/>
      <c r="Q12" s="783"/>
    </row>
    <row r="13" spans="1:18" ht="16.5" customHeight="1" x14ac:dyDescent="0.25">
      <c r="A13" s="682" t="s">
        <v>73</v>
      </c>
      <c r="B13" s="600" t="s">
        <v>222</v>
      </c>
      <c r="C13" s="600" t="s">
        <v>223</v>
      </c>
      <c r="D13" s="595"/>
      <c r="E13" s="596" t="s">
        <v>144</v>
      </c>
      <c r="F13" s="597" t="s">
        <v>141</v>
      </c>
      <c r="G13" s="598">
        <f t="shared" si="4"/>
        <v>5.4574228013138668E-3</v>
      </c>
      <c r="H13" s="596">
        <v>840.01050195375603</v>
      </c>
      <c r="I13" s="596">
        <f t="shared" si="5"/>
        <v>10920.136525398828</v>
      </c>
      <c r="J13" s="818">
        <v>1</v>
      </c>
      <c r="K13" s="596">
        <f t="shared" si="6"/>
        <v>2.5200315058612683</v>
      </c>
      <c r="L13" s="625">
        <v>3</v>
      </c>
      <c r="M13" s="633"/>
      <c r="N13" s="884" t="s">
        <v>224</v>
      </c>
      <c r="O13" s="885"/>
      <c r="P13" s="885"/>
      <c r="Q13" s="886"/>
    </row>
    <row r="14" spans="1:18" ht="17.399999999999999" customHeight="1" x14ac:dyDescent="0.25">
      <c r="A14" s="682" t="s">
        <v>73</v>
      </c>
      <c r="B14" s="232" t="s">
        <v>225</v>
      </c>
      <c r="C14" s="253" t="s">
        <v>226</v>
      </c>
      <c r="D14" s="317"/>
      <c r="E14" s="233" t="str">
        <f>E27</f>
        <v>Restaurant</v>
      </c>
      <c r="F14" s="597" t="s">
        <v>141</v>
      </c>
      <c r="G14" s="252">
        <f t="shared" si="4"/>
        <v>1.3207186958689606E-2</v>
      </c>
      <c r="H14" s="233">
        <v>2032.8598590336539</v>
      </c>
      <c r="I14" s="233">
        <f t="shared" si="5"/>
        <v>26427.178167437502</v>
      </c>
      <c r="J14" s="234">
        <v>1</v>
      </c>
      <c r="K14" s="233">
        <f t="shared" si="6"/>
        <v>67.084375348110584</v>
      </c>
      <c r="L14" s="626">
        <v>33</v>
      </c>
      <c r="M14" s="634"/>
      <c r="N14" s="781"/>
      <c r="O14" s="782"/>
      <c r="P14" s="782"/>
      <c r="Q14" s="783"/>
    </row>
    <row r="15" spans="1:18" ht="91.2" customHeight="1" x14ac:dyDescent="0.25">
      <c r="A15" s="682" t="s">
        <v>73</v>
      </c>
      <c r="B15" s="236" t="s">
        <v>227</v>
      </c>
      <c r="C15" s="236" t="s">
        <v>228</v>
      </c>
      <c r="D15" s="319"/>
      <c r="E15" s="233" t="s">
        <v>229</v>
      </c>
      <c r="F15" s="597" t="s">
        <v>141</v>
      </c>
      <c r="G15" s="252">
        <f t="shared" si="4"/>
        <v>9.1483161640835309E-2</v>
      </c>
      <c r="H15" s="233">
        <v>14081.155030124091</v>
      </c>
      <c r="I15" s="233">
        <f t="shared" si="5"/>
        <v>183055.01539161318</v>
      </c>
      <c r="J15" s="233">
        <v>1</v>
      </c>
      <c r="K15" s="233">
        <f t="shared" si="6"/>
        <v>140.81155030124091</v>
      </c>
      <c r="L15" s="627">
        <v>10</v>
      </c>
      <c r="M15" s="710" t="s">
        <v>230</v>
      </c>
      <c r="N15" s="781"/>
      <c r="O15" s="782"/>
      <c r="P15" s="782"/>
      <c r="Q15" s="783"/>
    </row>
    <row r="16" spans="1:18" ht="17.7" customHeight="1" x14ac:dyDescent="0.25">
      <c r="A16" s="682" t="s">
        <v>73</v>
      </c>
      <c r="B16" s="237" t="s">
        <v>231</v>
      </c>
      <c r="C16" s="254" t="s">
        <v>232</v>
      </c>
      <c r="D16" s="320"/>
      <c r="E16" s="238" t="s">
        <v>233</v>
      </c>
      <c r="F16" s="322" t="s">
        <v>141</v>
      </c>
      <c r="G16" s="251">
        <f>H16/$H$30</f>
        <v>2.7287114006569334E-3</v>
      </c>
      <c r="H16" s="238">
        <v>420.00525097687802</v>
      </c>
      <c r="I16" s="238">
        <f>H16*10</f>
        <v>4200.0525097687805</v>
      </c>
      <c r="J16" s="239">
        <v>6</v>
      </c>
      <c r="K16" s="238">
        <f t="shared" si="6"/>
        <v>1.2600157529306342</v>
      </c>
      <c r="L16" s="628">
        <v>3</v>
      </c>
      <c r="M16" s="635"/>
      <c r="N16" s="781"/>
      <c r="O16" s="782"/>
      <c r="P16" s="782"/>
      <c r="Q16" s="783"/>
    </row>
    <row r="17" spans="1:19" ht="17.7" customHeight="1" x14ac:dyDescent="0.25">
      <c r="A17" s="682" t="s">
        <v>73</v>
      </c>
      <c r="B17" s="237" t="s">
        <v>234</v>
      </c>
      <c r="C17" s="254" t="s">
        <v>232</v>
      </c>
      <c r="D17" s="320"/>
      <c r="E17" s="238" t="str">
        <f>E16</f>
        <v>ResidentialLiving</v>
      </c>
      <c r="F17" s="322" t="s">
        <v>141</v>
      </c>
      <c r="G17" s="251">
        <f t="shared" si="4"/>
        <v>2.7287114006569334E-3</v>
      </c>
      <c r="H17" s="238">
        <v>420.00525097687802</v>
      </c>
      <c r="I17" s="238">
        <f t="shared" ref="I17:I29" si="7">H17*10</f>
        <v>4200.0525097687805</v>
      </c>
      <c r="J17" s="239">
        <v>6</v>
      </c>
      <c r="K17" s="238">
        <f t="shared" ref="K17:K27" si="8">L17*H17/1000</f>
        <v>1.2600157529306342</v>
      </c>
      <c r="L17" s="629">
        <v>3</v>
      </c>
      <c r="M17" s="635"/>
      <c r="N17" s="637"/>
      <c r="O17" s="620"/>
      <c r="P17" s="620"/>
      <c r="Q17" s="638"/>
    </row>
    <row r="18" spans="1:19" ht="17.7" customHeight="1" x14ac:dyDescent="0.25">
      <c r="A18" s="682" t="s">
        <v>73</v>
      </c>
      <c r="B18" s="237" t="s">
        <v>235</v>
      </c>
      <c r="C18" s="254" t="s">
        <v>232</v>
      </c>
      <c r="D18" s="320"/>
      <c r="E18" s="238" t="str">
        <f t="shared" ref="E18" si="9">E16</f>
        <v>ResidentialLiving</v>
      </c>
      <c r="F18" s="322" t="s">
        <v>141</v>
      </c>
      <c r="G18" s="251">
        <f t="shared" si="4"/>
        <v>1.7147104957485392E-3</v>
      </c>
      <c r="H18" s="238">
        <v>263.92949138782797</v>
      </c>
      <c r="I18" s="238">
        <f t="shared" si="7"/>
        <v>2639.2949138782797</v>
      </c>
      <c r="J18" s="239">
        <f>6*19</f>
        <v>114</v>
      </c>
      <c r="K18" s="238">
        <f t="shared" si="8"/>
        <v>0.79178847416348386</v>
      </c>
      <c r="L18" s="629">
        <v>3</v>
      </c>
      <c r="M18" s="635"/>
      <c r="N18" s="637"/>
      <c r="O18" s="620"/>
      <c r="P18" s="620"/>
      <c r="Q18" s="638"/>
    </row>
    <row r="19" spans="1:19" ht="17.7" customHeight="1" x14ac:dyDescent="0.25">
      <c r="A19" s="682" t="s">
        <v>73</v>
      </c>
      <c r="B19" s="237" t="s">
        <v>236</v>
      </c>
      <c r="C19" s="254" t="s">
        <v>232</v>
      </c>
      <c r="D19" s="320"/>
      <c r="E19" s="238" t="str">
        <f>E16</f>
        <v>ResidentialLiving</v>
      </c>
      <c r="F19" s="322" t="s">
        <v>141</v>
      </c>
      <c r="G19" s="251">
        <f t="shared" si="4"/>
        <v>1.7154098067174415E-3</v>
      </c>
      <c r="H19" s="238">
        <v>264.03712984271698</v>
      </c>
      <c r="I19" s="238">
        <f t="shared" si="7"/>
        <v>2640.3712984271697</v>
      </c>
      <c r="J19" s="239">
        <f>6*19</f>
        <v>114</v>
      </c>
      <c r="K19" s="238">
        <f t="shared" si="8"/>
        <v>0.79211138952815097</v>
      </c>
      <c r="L19" s="629">
        <v>3</v>
      </c>
      <c r="M19" s="635"/>
      <c r="N19" s="637"/>
      <c r="O19" s="620"/>
      <c r="P19" s="620"/>
      <c r="Q19" s="638"/>
      <c r="S19" s="618" t="s">
        <v>237</v>
      </c>
    </row>
    <row r="20" spans="1:19" ht="21" customHeight="1" x14ac:dyDescent="0.25">
      <c r="A20" s="682" t="s">
        <v>73</v>
      </c>
      <c r="B20" s="237" t="s">
        <v>238</v>
      </c>
      <c r="C20" s="254" t="s">
        <v>232</v>
      </c>
      <c r="D20" s="320"/>
      <c r="E20" s="238" t="str">
        <f>E16</f>
        <v>ResidentialLiving</v>
      </c>
      <c r="F20" s="322" t="s">
        <v>141</v>
      </c>
      <c r="G20" s="251">
        <f t="shared" si="4"/>
        <v>2.7287114006569334E-3</v>
      </c>
      <c r="H20" s="238">
        <v>420.00525097687802</v>
      </c>
      <c r="I20" s="238">
        <f t="shared" si="7"/>
        <v>4200.0525097687805</v>
      </c>
      <c r="J20" s="239">
        <v>6</v>
      </c>
      <c r="K20" s="238">
        <f t="shared" si="8"/>
        <v>1.2600157529306342</v>
      </c>
      <c r="L20" s="629">
        <v>3</v>
      </c>
      <c r="M20" s="635"/>
      <c r="N20" s="884" t="s">
        <v>239</v>
      </c>
      <c r="O20" s="885"/>
      <c r="P20" s="885"/>
      <c r="Q20" s="886"/>
    </row>
    <row r="21" spans="1:19" ht="24" customHeight="1" x14ac:dyDescent="0.25">
      <c r="A21" s="682" t="s">
        <v>73</v>
      </c>
      <c r="B21" s="237" t="s">
        <v>240</v>
      </c>
      <c r="C21" s="254" t="s">
        <v>232</v>
      </c>
      <c r="D21" s="320"/>
      <c r="E21" s="238" t="str">
        <f>E16</f>
        <v>ResidentialLiving</v>
      </c>
      <c r="F21" s="322" t="s">
        <v>141</v>
      </c>
      <c r="G21" s="251">
        <f t="shared" si="4"/>
        <v>2.7287114006569334E-3</v>
      </c>
      <c r="H21" s="238">
        <v>420.00525097687802</v>
      </c>
      <c r="I21" s="238">
        <f t="shared" si="7"/>
        <v>4200.0525097687805</v>
      </c>
      <c r="J21" s="239">
        <v>6</v>
      </c>
      <c r="K21" s="238">
        <f t="shared" si="8"/>
        <v>1.2600157529306342</v>
      </c>
      <c r="L21" s="629">
        <v>3</v>
      </c>
      <c r="M21" s="711"/>
    </row>
    <row r="22" spans="1:19" ht="24.6" customHeight="1" x14ac:dyDescent="0.25">
      <c r="A22" s="682" t="s">
        <v>73</v>
      </c>
      <c r="B22" s="232" t="s">
        <v>241</v>
      </c>
      <c r="C22" s="253" t="s">
        <v>242</v>
      </c>
      <c r="D22" s="317"/>
      <c r="E22" s="233" t="s">
        <v>229</v>
      </c>
      <c r="F22" s="321" t="s">
        <v>141</v>
      </c>
      <c r="G22" s="252">
        <f t="shared" si="4"/>
        <v>2.7231169129057143E-2</v>
      </c>
      <c r="H22" s="233">
        <v>4191.4414333776595</v>
      </c>
      <c r="I22" s="233">
        <f>H22*10</f>
        <v>41914.414333776593</v>
      </c>
      <c r="J22" s="234">
        <v>6</v>
      </c>
      <c r="K22" s="233">
        <f t="shared" si="8"/>
        <v>20.957207166888296</v>
      </c>
      <c r="L22" s="622">
        <v>5</v>
      </c>
      <c r="M22" s="635"/>
      <c r="N22" s="895"/>
      <c r="O22" s="896"/>
      <c r="P22" s="896"/>
      <c r="Q22" s="897"/>
    </row>
    <row r="23" spans="1:19" ht="17.7" customHeight="1" x14ac:dyDescent="0.25">
      <c r="A23" s="682" t="s">
        <v>73</v>
      </c>
      <c r="B23" s="237" t="s">
        <v>243</v>
      </c>
      <c r="C23" s="254" t="s">
        <v>232</v>
      </c>
      <c r="D23" s="320"/>
      <c r="E23" s="238" t="str">
        <f>E16</f>
        <v>ResidentialLiving</v>
      </c>
      <c r="F23" s="322" t="s">
        <v>141</v>
      </c>
      <c r="G23" s="251">
        <f t="shared" si="4"/>
        <v>2.7287114006569334E-3</v>
      </c>
      <c r="H23" s="238">
        <v>420.00525097687802</v>
      </c>
      <c r="I23" s="238">
        <f t="shared" si="7"/>
        <v>4200.0525097687805</v>
      </c>
      <c r="J23" s="239">
        <v>1</v>
      </c>
      <c r="K23" s="569">
        <f t="shared" si="8"/>
        <v>1.2600157529306342</v>
      </c>
      <c r="L23" s="629">
        <v>3</v>
      </c>
      <c r="M23" s="635"/>
      <c r="N23" s="639"/>
      <c r="O23" s="621"/>
      <c r="P23" s="621"/>
      <c r="Q23" s="640"/>
    </row>
    <row r="24" spans="1:19" ht="17.7" customHeight="1" x14ac:dyDescent="0.25">
      <c r="A24" s="682" t="s">
        <v>73</v>
      </c>
      <c r="B24" s="237" t="s">
        <v>244</v>
      </c>
      <c r="C24" s="254" t="s">
        <v>232</v>
      </c>
      <c r="D24" s="320"/>
      <c r="E24" s="238" t="str">
        <f>E16</f>
        <v>ResidentialLiving</v>
      </c>
      <c r="F24" s="322" t="s">
        <v>141</v>
      </c>
      <c r="G24" s="251">
        <f t="shared" si="4"/>
        <v>2.7287114006569334E-3</v>
      </c>
      <c r="H24" s="238">
        <v>420.00525097687802</v>
      </c>
      <c r="I24" s="238">
        <f t="shared" si="7"/>
        <v>4200.0525097687805</v>
      </c>
      <c r="J24" s="239">
        <v>1</v>
      </c>
      <c r="K24" s="569">
        <f t="shared" si="8"/>
        <v>1.2600157529306342</v>
      </c>
      <c r="L24" s="629">
        <v>3</v>
      </c>
      <c r="M24" s="635"/>
      <c r="N24" s="639"/>
      <c r="O24" s="621"/>
      <c r="P24" s="621"/>
      <c r="Q24" s="640"/>
    </row>
    <row r="25" spans="1:19" ht="17.7" customHeight="1" x14ac:dyDescent="0.25">
      <c r="A25" s="682" t="s">
        <v>73</v>
      </c>
      <c r="B25" s="237" t="s">
        <v>245</v>
      </c>
      <c r="C25" s="254" t="s">
        <v>232</v>
      </c>
      <c r="D25" s="320"/>
      <c r="E25" s="238" t="str">
        <f>E16</f>
        <v>ResidentialLiving</v>
      </c>
      <c r="F25" s="322" t="s">
        <v>141</v>
      </c>
      <c r="G25" s="251">
        <f t="shared" si="4"/>
        <v>1.7154098067174415E-3</v>
      </c>
      <c r="H25" s="238">
        <v>264.03712984271698</v>
      </c>
      <c r="I25" s="238">
        <f t="shared" si="7"/>
        <v>2640.3712984271697</v>
      </c>
      <c r="J25" s="239">
        <v>9</v>
      </c>
      <c r="K25" s="238">
        <f t="shared" si="8"/>
        <v>0.79211138952815097</v>
      </c>
      <c r="L25" s="629">
        <v>3</v>
      </c>
      <c r="M25" s="635"/>
      <c r="N25" s="637"/>
      <c r="O25" s="620"/>
      <c r="P25" s="620"/>
      <c r="Q25" s="638"/>
    </row>
    <row r="26" spans="1:19" ht="17.7" customHeight="1" x14ac:dyDescent="0.25">
      <c r="A26" s="682" t="s">
        <v>73</v>
      </c>
      <c r="B26" s="232" t="s">
        <v>246</v>
      </c>
      <c r="C26" s="253" t="s">
        <v>247</v>
      </c>
      <c r="D26" s="317"/>
      <c r="E26" s="233" t="s">
        <v>210</v>
      </c>
      <c r="F26" s="321" t="s">
        <v>141</v>
      </c>
      <c r="G26" s="252">
        <f t="shared" si="4"/>
        <v>2.3193347594615034E-2</v>
      </c>
      <c r="H26" s="233">
        <v>3569.9369948485742</v>
      </c>
      <c r="I26" s="233">
        <f t="shared" si="7"/>
        <v>35699.369948485742</v>
      </c>
      <c r="J26" s="234">
        <v>1</v>
      </c>
      <c r="K26" s="233">
        <f t="shared" si="8"/>
        <v>117.80792083000294</v>
      </c>
      <c r="L26" s="622">
        <v>33</v>
      </c>
      <c r="M26" s="894" t="s">
        <v>248</v>
      </c>
      <c r="N26" s="637"/>
      <c r="O26" s="620"/>
      <c r="P26" s="620"/>
      <c r="Q26" s="638"/>
    </row>
    <row r="27" spans="1:19" ht="17.7" customHeight="1" x14ac:dyDescent="0.25">
      <c r="A27" s="682" t="s">
        <v>73</v>
      </c>
      <c r="B27" s="232" t="s">
        <v>249</v>
      </c>
      <c r="C27" s="253" t="s">
        <v>250</v>
      </c>
      <c r="D27" s="317"/>
      <c r="E27" s="233" t="s">
        <v>251</v>
      </c>
      <c r="F27" s="321" t="s">
        <v>141</v>
      </c>
      <c r="G27" s="252">
        <f t="shared" si="4"/>
        <v>2.3193347594615034E-2</v>
      </c>
      <c r="H27" s="233">
        <v>3569.9369948485742</v>
      </c>
      <c r="I27" s="233">
        <f t="shared" si="7"/>
        <v>35699.369948485742</v>
      </c>
      <c r="J27" s="234">
        <v>1</v>
      </c>
      <c r="K27" s="233">
        <f t="shared" si="8"/>
        <v>117.80792083000294</v>
      </c>
      <c r="L27" s="622">
        <v>33</v>
      </c>
      <c r="M27" s="894"/>
      <c r="N27" s="637"/>
      <c r="O27" s="620"/>
      <c r="P27" s="620"/>
      <c r="Q27" s="638"/>
    </row>
    <row r="28" spans="1:19" ht="17.7" customHeight="1" x14ac:dyDescent="0.25">
      <c r="A28" s="682" t="s">
        <v>73</v>
      </c>
      <c r="B28" s="232" t="s">
        <v>252</v>
      </c>
      <c r="C28" s="253" t="s">
        <v>223</v>
      </c>
      <c r="D28" s="317"/>
      <c r="E28" s="233" t="s">
        <v>144</v>
      </c>
      <c r="F28" s="321" t="s">
        <v>141</v>
      </c>
      <c r="G28" s="252">
        <f t="shared" si="4"/>
        <v>7.2238823087611781E-3</v>
      </c>
      <c r="H28" s="233">
        <v>1111.9052390033698</v>
      </c>
      <c r="I28" s="233">
        <f t="shared" si="7"/>
        <v>11119.052390033699</v>
      </c>
      <c r="J28" s="234">
        <v>1</v>
      </c>
      <c r="K28" s="233">
        <f t="shared" ref="K28:K29" si="10">L28*H28/1000</f>
        <v>3.3357157170101095</v>
      </c>
      <c r="L28" s="622">
        <v>3</v>
      </c>
      <c r="M28" s="635"/>
      <c r="N28" s="637"/>
      <c r="O28" s="620"/>
      <c r="P28" s="620"/>
      <c r="Q28" s="638"/>
    </row>
    <row r="29" spans="1:19" ht="17.7" customHeight="1" x14ac:dyDescent="0.25">
      <c r="A29" s="682" t="s">
        <v>73</v>
      </c>
      <c r="B29" s="235" t="s">
        <v>253</v>
      </c>
      <c r="C29" s="253" t="s">
        <v>242</v>
      </c>
      <c r="D29" s="318"/>
      <c r="E29" s="233" t="str">
        <f>E22</f>
        <v>ResidentialCommon</v>
      </c>
      <c r="F29" s="321" t="s">
        <v>141</v>
      </c>
      <c r="G29" s="233">
        <f t="shared" si="4"/>
        <v>2.8820003650403263E-2</v>
      </c>
      <c r="H29" s="233">
        <v>4435.9960028854675</v>
      </c>
      <c r="I29" s="233">
        <f t="shared" si="7"/>
        <v>44359.960028854679</v>
      </c>
      <c r="J29" s="234">
        <v>1</v>
      </c>
      <c r="K29" s="233">
        <f t="shared" si="10"/>
        <v>22.17998001442734</v>
      </c>
      <c r="L29" s="622">
        <v>5</v>
      </c>
      <c r="M29" s="635"/>
      <c r="N29" s="637"/>
      <c r="O29" s="620"/>
      <c r="P29" s="620"/>
      <c r="Q29" s="638"/>
      <c r="S29" s="618" t="s">
        <v>254</v>
      </c>
    </row>
    <row r="30" spans="1:19" ht="39.6" customHeight="1" x14ac:dyDescent="0.25">
      <c r="A30" s="681" t="s">
        <v>255</v>
      </c>
      <c r="B30" s="323" t="s">
        <v>1132</v>
      </c>
      <c r="C30" s="833" t="s">
        <v>1131</v>
      </c>
      <c r="D30" s="323"/>
      <c r="E30" s="240" t="s">
        <v>1133</v>
      </c>
      <c r="F30" s="240" t="s">
        <v>1130</v>
      </c>
      <c r="G30" s="274">
        <f>SUMPRODUCT(G3:G29,J3:J29)</f>
        <v>1</v>
      </c>
      <c r="H30" s="241">
        <f>SUMPRODUCT(H3:H29,J3:J29)</f>
        <v>153920.7300837173</v>
      </c>
      <c r="I30" s="233">
        <f>SUMPRODUCT(I3:I29,J3:J29)</f>
        <v>1667006.2230499734</v>
      </c>
      <c r="J30" s="273"/>
      <c r="K30" s="233"/>
      <c r="L30" s="622"/>
      <c r="M30" s="635"/>
      <c r="N30" s="884" t="s">
        <v>256</v>
      </c>
      <c r="O30" s="885"/>
      <c r="P30" s="885"/>
      <c r="Q30" s="886"/>
    </row>
    <row r="31" spans="1:19" ht="13.2" x14ac:dyDescent="0.25">
      <c r="C31" s="169"/>
      <c r="D31" s="137"/>
      <c r="E31" s="137"/>
      <c r="F31" s="137"/>
      <c r="G31" s="138"/>
      <c r="H31" s="139"/>
      <c r="I31" s="140"/>
      <c r="J31" s="49"/>
      <c r="K31" s="49"/>
      <c r="L31" s="49"/>
      <c r="M31" s="141"/>
      <c r="N31" s="141"/>
      <c r="O31" s="586"/>
      <c r="P31" s="586"/>
      <c r="Q31" s="586"/>
    </row>
    <row r="32" spans="1:19" ht="13.2" x14ac:dyDescent="0.25">
      <c r="B32" s="9" t="s">
        <v>257</v>
      </c>
      <c r="H32" s="19"/>
      <c r="I32" s="20"/>
      <c r="J32" s="20"/>
      <c r="K32" s="20"/>
    </row>
    <row r="33" spans="2:11" ht="13.2" x14ac:dyDescent="0.25">
      <c r="H33" s="19"/>
      <c r="I33" s="20"/>
      <c r="J33" s="20"/>
      <c r="K33" s="20"/>
    </row>
    <row r="34" spans="2:11" ht="13.8" x14ac:dyDescent="0.25">
      <c r="B34" s="74"/>
      <c r="G34" s="19"/>
      <c r="H34" s="20"/>
      <c r="I34" s="20"/>
      <c r="J34" s="20"/>
    </row>
    <row r="35" spans="2:11" ht="17.25" customHeight="1" x14ac:dyDescent="0.25">
      <c r="B35" s="890" t="s">
        <v>258</v>
      </c>
      <c r="C35" s="890"/>
      <c r="D35" s="890"/>
      <c r="E35" s="48"/>
      <c r="H35" s="20"/>
      <c r="I35" s="20"/>
    </row>
    <row r="36" spans="2:11" ht="21" customHeight="1" x14ac:dyDescent="0.25">
      <c r="B36" s="831" t="s">
        <v>259</v>
      </c>
      <c r="C36" s="887" t="s">
        <v>260</v>
      </c>
      <c r="D36" s="887"/>
      <c r="E36" s="316"/>
      <c r="H36" s="20"/>
      <c r="I36" s="20"/>
    </row>
    <row r="37" spans="2:11" ht="26.25" customHeight="1" x14ac:dyDescent="0.25">
      <c r="B37" s="889">
        <v>0.65</v>
      </c>
      <c r="C37" s="888" t="s">
        <v>261</v>
      </c>
      <c r="D37" s="888"/>
      <c r="E37" s="881"/>
      <c r="H37" s="20"/>
      <c r="I37" s="20"/>
    </row>
    <row r="38" spans="2:11" ht="14.4" customHeight="1" x14ac:dyDescent="0.25">
      <c r="B38" s="889"/>
      <c r="C38" s="888" t="s">
        <v>262</v>
      </c>
      <c r="D38" s="888"/>
      <c r="H38" s="20"/>
      <c r="I38" s="20"/>
    </row>
    <row r="39" spans="2:11" ht="13.2" x14ac:dyDescent="0.25"/>
    <row r="40" spans="2:11" ht="13.2" x14ac:dyDescent="0.25">
      <c r="F40" s="19"/>
      <c r="G40" s="20"/>
      <c r="H40" s="20"/>
      <c r="I40" s="20"/>
      <c r="J40" s="20"/>
      <c r="K40" s="20"/>
    </row>
    <row r="41" spans="2:11" ht="24.6" customHeight="1" x14ac:dyDescent="0.25">
      <c r="C41" s="125" t="s">
        <v>143</v>
      </c>
      <c r="D41" s="159">
        <f>SUM(J16:J21,J23:J25)</f>
        <v>263</v>
      </c>
      <c r="E41" s="10"/>
      <c r="F41" s="21"/>
      <c r="G41" s="22"/>
      <c r="I41" s="20"/>
      <c r="J41" s="20"/>
      <c r="K41" s="20"/>
    </row>
    <row r="42" spans="2:11" ht="18.600000000000001" customHeight="1" x14ac:dyDescent="0.25">
      <c r="C42" s="125" t="s">
        <v>263</v>
      </c>
      <c r="D42" s="160">
        <f>SUMPRODUCT(H16:H21,J16:J21)+SUMPRODUCT(H23:H25,J23:J25)</f>
        <v>73484.665514265391</v>
      </c>
      <c r="I42" s="20"/>
    </row>
    <row r="43" spans="2:11" ht="17.399999999999999" customHeight="1" x14ac:dyDescent="0.25">
      <c r="C43" s="125" t="s">
        <v>264</v>
      </c>
      <c r="D43" s="161">
        <f>D42/(H30-SUM(H3:H8))</f>
        <v>0.55409562241903232</v>
      </c>
      <c r="E43" s="104"/>
      <c r="I43" s="20"/>
    </row>
    <row r="44" spans="2:11" ht="13.2" customHeight="1" x14ac:dyDescent="0.25">
      <c r="C44" s="125" t="s">
        <v>265</v>
      </c>
      <c r="D44" s="161">
        <f>D42/H30</f>
        <v>0.47741889915865893</v>
      </c>
      <c r="E44" s="20"/>
      <c r="F44" s="19"/>
      <c r="G44" s="20"/>
      <c r="I44" s="20"/>
    </row>
    <row r="45" spans="2:11" ht="22.95" customHeight="1" x14ac:dyDescent="0.25">
      <c r="F45" s="19"/>
      <c r="G45" s="20"/>
      <c r="H45" s="20"/>
      <c r="I45" s="20"/>
    </row>
    <row r="46" spans="2:11" ht="13.2" x14ac:dyDescent="0.25">
      <c r="H46" s="20"/>
      <c r="I46" s="20"/>
      <c r="J46" s="20"/>
      <c r="K46" s="20"/>
    </row>
    <row r="47" spans="2:11" ht="13.2" x14ac:dyDescent="0.25">
      <c r="J47" s="20"/>
      <c r="K47" s="20"/>
    </row>
    <row r="48" spans="2:11" ht="13.2" x14ac:dyDescent="0.25">
      <c r="H48" s="20"/>
      <c r="I48" s="105"/>
      <c r="J48" s="20"/>
      <c r="K48" s="20"/>
    </row>
    <row r="49" spans="2:11" ht="13.2" x14ac:dyDescent="0.25">
      <c r="G49" s="20"/>
      <c r="H49" s="20"/>
      <c r="I49" s="105"/>
      <c r="J49" s="20"/>
      <c r="K49" s="20"/>
    </row>
    <row r="50" spans="2:11" ht="13.2" x14ac:dyDescent="0.25">
      <c r="G50" s="20"/>
      <c r="H50" s="20"/>
      <c r="I50" s="105"/>
      <c r="J50" s="20"/>
      <c r="K50" s="20"/>
    </row>
    <row r="51" spans="2:11" ht="13.2" x14ac:dyDescent="0.25">
      <c r="B51" s="828"/>
      <c r="C51" s="439"/>
      <c r="F51" s="19"/>
      <c r="G51" s="20"/>
      <c r="H51" s="20"/>
      <c r="I51" s="105"/>
      <c r="J51" s="20"/>
      <c r="K51" s="20"/>
    </row>
    <row r="52" spans="2:11" ht="13.2" x14ac:dyDescent="0.25">
      <c r="B52" s="828"/>
      <c r="C52" s="439"/>
      <c r="F52" s="19"/>
      <c r="G52" s="20"/>
      <c r="H52" s="20"/>
      <c r="I52" s="105"/>
      <c r="J52" s="20"/>
      <c r="K52" s="20"/>
    </row>
    <row r="54" spans="2:11" ht="13.2" x14ac:dyDescent="0.25">
      <c r="B54" s="118"/>
      <c r="G54" s="101"/>
    </row>
    <row r="55" spans="2:11" ht="13.2" x14ac:dyDescent="0.25">
      <c r="B55" s="169"/>
      <c r="C55" s="20"/>
    </row>
    <row r="56" spans="2:11" ht="13.8" x14ac:dyDescent="0.25">
      <c r="B56" s="74"/>
      <c r="C56" s="105"/>
    </row>
  </sheetData>
  <autoFilter ref="A2:AA2" xr:uid="{2E9DC9C1-ABE9-4C74-8C0A-F769CBEC5074}"/>
  <mergeCells count="13">
    <mergeCell ref="A1:M1"/>
    <mergeCell ref="N20:Q20"/>
    <mergeCell ref="C36:D36"/>
    <mergeCell ref="C37:D37"/>
    <mergeCell ref="C38:D38"/>
    <mergeCell ref="B37:B38"/>
    <mergeCell ref="B35:D35"/>
    <mergeCell ref="N13:Q13"/>
    <mergeCell ref="N6:Q6"/>
    <mergeCell ref="M26:M27"/>
    <mergeCell ref="N30:Q30"/>
    <mergeCell ref="N22:Q22"/>
    <mergeCell ref="N1:O1"/>
  </mergeCells>
  <phoneticPr fontId="6" type="noConversion"/>
  <hyperlinks>
    <hyperlink ref="C37" r:id="rId1" xr:uid="{5FA60184-D9EA-48A4-9F78-7685A9187A33}"/>
    <hyperlink ref="C38" r:id="rId2" xr:uid="{E15EF86C-A4C3-435A-83B4-DE08C2C5926B}"/>
  </hyperlinks>
  <pageMargins left="0.7" right="0.7" top="0.75" bottom="0.75" header="0.3" footer="0.3"/>
  <pageSetup orientation="portrait" r:id="rId3"/>
  <drawing r:id="rId4"/>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37584425-7451-4A9F-86DE-DEB5D4EB9191}">
          <x14:formula1>
            <xm:f>Data!$A$2:$A$200</xm:f>
          </x14:formula1>
          <xm:sqref>C3:C29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093AA-CE58-48DD-B4C9-82527CB4498E}">
  <sheetPr codeName="Sheet2"/>
  <dimension ref="A1:BL253"/>
  <sheetViews>
    <sheetView zoomScale="70" zoomScaleNormal="70" workbookViewId="0">
      <selection sqref="A1:X1"/>
    </sheetView>
  </sheetViews>
  <sheetFormatPr defaultColWidth="9.33203125" defaultRowHeight="13.8" x14ac:dyDescent="0.25"/>
  <cols>
    <col min="1" max="1" width="16.109375" style="50" customWidth="1"/>
    <col min="2" max="2" width="13.5546875" style="54" customWidth="1"/>
    <col min="3" max="3" width="18.6640625" style="50" customWidth="1"/>
    <col min="4" max="4" width="42.5546875" style="50" customWidth="1"/>
    <col min="5" max="5" width="13.33203125" style="50" customWidth="1"/>
    <col min="6" max="6" width="26.33203125" style="50" customWidth="1"/>
    <col min="7" max="7" width="20.5546875" style="55" customWidth="1"/>
    <col min="8" max="8" width="44.5546875" style="50" customWidth="1"/>
    <col min="9" max="9" width="6.88671875" style="50" customWidth="1"/>
    <col min="10" max="12" width="7" style="50" customWidth="1"/>
    <col min="13" max="13" width="7.88671875" style="50" customWidth="1"/>
    <col min="14" max="14" width="8.6640625" style="50" customWidth="1"/>
    <col min="15" max="15" width="7" style="50" customWidth="1"/>
    <col min="16" max="16" width="7.109375" style="50" customWidth="1"/>
    <col min="17" max="17" width="7.5546875" style="50" customWidth="1"/>
    <col min="18" max="21" width="7" style="50" customWidth="1"/>
    <col min="22" max="22" width="7.6640625" style="50" customWidth="1"/>
    <col min="23" max="24" width="7" style="50" customWidth="1"/>
    <col min="25" max="25" width="24" style="50" customWidth="1"/>
    <col min="26" max="26" width="27.44140625" style="50" customWidth="1"/>
    <col min="27" max="27" width="10" style="50" customWidth="1"/>
    <col min="28" max="32" width="7.6640625" style="50" customWidth="1"/>
    <col min="33" max="45" width="6.5546875" style="50" customWidth="1"/>
    <col min="46" max="48" width="5.44140625" style="50" customWidth="1"/>
    <col min="49" max="49" width="9.88671875" style="50" customWidth="1"/>
    <col min="50" max="50" width="10.44140625" style="50" customWidth="1"/>
    <col min="51" max="51" width="21.6640625" style="50" customWidth="1"/>
    <col min="52" max="52" width="10.44140625" style="50" customWidth="1"/>
    <col min="53" max="53" width="7.44140625" style="50" customWidth="1"/>
    <col min="54" max="54" width="22.33203125" style="50" customWidth="1"/>
    <col min="55" max="55" width="7.44140625" style="50" customWidth="1"/>
    <col min="56" max="56" width="7.6640625" style="50" customWidth="1"/>
    <col min="57" max="57" width="7.44140625" style="50" customWidth="1"/>
    <col min="58" max="58" width="13.6640625" style="50" customWidth="1"/>
    <col min="59" max="62" width="7.44140625" style="50" customWidth="1"/>
    <col min="63" max="64" width="9.6640625" style="50" bestFit="1" customWidth="1"/>
    <col min="65" max="16384" width="9.33203125" style="50"/>
  </cols>
  <sheetData>
    <row r="1" spans="1:64" ht="31.95" customHeight="1" x14ac:dyDescent="0.25">
      <c r="A1" s="922" t="str">
        <f>"Envelope - "&amp;Prototype!A2</f>
        <v>Envelope - HotelLarge</v>
      </c>
      <c r="B1" s="922"/>
      <c r="C1" s="922"/>
      <c r="D1" s="922"/>
      <c r="E1" s="922"/>
      <c r="F1" s="922"/>
      <c r="G1" s="922"/>
      <c r="H1" s="922"/>
      <c r="I1" s="922"/>
      <c r="J1" s="922"/>
      <c r="K1" s="922"/>
      <c r="L1" s="922"/>
      <c r="M1" s="922"/>
      <c r="N1" s="922"/>
      <c r="O1" s="922"/>
      <c r="P1" s="922"/>
      <c r="Q1" s="922"/>
      <c r="R1" s="922"/>
      <c r="S1" s="922"/>
      <c r="T1" s="922"/>
      <c r="U1" s="922"/>
      <c r="V1" s="922"/>
      <c r="W1" s="922"/>
      <c r="X1" s="922"/>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row>
    <row r="2" spans="1:64" ht="30.6" customHeight="1" x14ac:dyDescent="0.3">
      <c r="A2" s="842" t="s">
        <v>266</v>
      </c>
      <c r="B2" s="842" t="s">
        <v>10</v>
      </c>
      <c r="C2" s="842" t="s">
        <v>267</v>
      </c>
      <c r="D2" s="842" t="s">
        <v>268</v>
      </c>
      <c r="E2" s="844" t="s">
        <v>269</v>
      </c>
      <c r="F2" s="842" t="s">
        <v>270</v>
      </c>
      <c r="G2" s="844" t="s">
        <v>271</v>
      </c>
      <c r="H2" s="842" t="s">
        <v>60</v>
      </c>
      <c r="I2" s="842" t="s">
        <v>272</v>
      </c>
      <c r="J2" s="842" t="s">
        <v>273</v>
      </c>
      <c r="K2" s="842" t="s">
        <v>274</v>
      </c>
      <c r="L2" s="842" t="s">
        <v>275</v>
      </c>
      <c r="M2" s="842" t="s">
        <v>276</v>
      </c>
      <c r="N2" s="842" t="s">
        <v>277</v>
      </c>
      <c r="O2" s="842" t="s">
        <v>278</v>
      </c>
      <c r="P2" s="842" t="s">
        <v>279</v>
      </c>
      <c r="Q2" s="842" t="s">
        <v>280</v>
      </c>
      <c r="R2" s="842" t="s">
        <v>281</v>
      </c>
      <c r="S2" s="842" t="s">
        <v>282</v>
      </c>
      <c r="T2" s="842" t="s">
        <v>283</v>
      </c>
      <c r="U2" s="842" t="s">
        <v>284</v>
      </c>
      <c r="V2" s="842" t="s">
        <v>285</v>
      </c>
      <c r="W2" s="842" t="s">
        <v>286</v>
      </c>
      <c r="X2" s="842" t="s">
        <v>287</v>
      </c>
      <c r="Y2" s="7"/>
      <c r="Z2" s="7"/>
      <c r="AA2" s="7"/>
      <c r="AB2" s="7"/>
      <c r="AC2" s="7"/>
      <c r="AD2" s="7"/>
      <c r="AE2" s="7"/>
      <c r="AF2" s="7"/>
      <c r="AG2" s="7"/>
      <c r="AH2" s="7"/>
      <c r="AI2" s="7"/>
      <c r="AJ2" s="7"/>
      <c r="AK2" s="7"/>
      <c r="AL2" s="7"/>
      <c r="AM2" s="7"/>
      <c r="AN2" s="7"/>
      <c r="AO2" s="7"/>
      <c r="AP2" s="7"/>
      <c r="AQ2" s="7"/>
      <c r="AR2" s="7"/>
      <c r="AS2" s="7"/>
      <c r="AT2" s="7"/>
      <c r="AU2" s="593"/>
      <c r="AV2" s="7"/>
      <c r="AW2" s="7"/>
      <c r="AX2" s="7"/>
      <c r="AY2" s="7"/>
      <c r="AZ2" s="7"/>
      <c r="BA2" s="7"/>
      <c r="BB2" s="7"/>
      <c r="BC2" s="7"/>
      <c r="BD2" s="7"/>
      <c r="BE2" s="7"/>
      <c r="BF2" s="7"/>
      <c r="BG2" s="7"/>
      <c r="BH2" s="7"/>
      <c r="BI2" s="7"/>
      <c r="BJ2" s="7"/>
      <c r="BK2" s="7"/>
      <c r="BL2" s="7"/>
    </row>
    <row r="3" spans="1:64" ht="18.600000000000001" customHeight="1" x14ac:dyDescent="0.3">
      <c r="A3" s="916" t="s">
        <v>288</v>
      </c>
      <c r="B3" s="915" t="s">
        <v>73</v>
      </c>
      <c r="C3" s="916" t="s">
        <v>289</v>
      </c>
      <c r="D3" s="916" t="s">
        <v>290</v>
      </c>
      <c r="E3" s="915" t="s">
        <v>291</v>
      </c>
      <c r="F3" s="835" t="s">
        <v>292</v>
      </c>
      <c r="G3" s="835" t="s">
        <v>293</v>
      </c>
      <c r="H3" s="835" t="s">
        <v>294</v>
      </c>
      <c r="I3" s="729">
        <v>0.35199999999999998</v>
      </c>
      <c r="J3" s="729">
        <v>0.35199999999999998</v>
      </c>
      <c r="K3" s="729">
        <v>0.35199999999999998</v>
      </c>
      <c r="L3" s="729">
        <v>0.35199999999999998</v>
      </c>
      <c r="M3" s="729">
        <v>0.35199999999999998</v>
      </c>
      <c r="N3" s="729">
        <v>0.35199999999999998</v>
      </c>
      <c r="O3" s="729">
        <v>0.35199999999999998</v>
      </c>
      <c r="P3" s="729">
        <v>0.35199999999999998</v>
      </c>
      <c r="Q3" s="729">
        <v>0.35199999999999998</v>
      </c>
      <c r="R3" s="729">
        <v>0.35199999999999998</v>
      </c>
      <c r="S3" s="729">
        <v>0.35199999999999998</v>
      </c>
      <c r="T3" s="729">
        <v>0.35199999999999998</v>
      </c>
      <c r="U3" s="729">
        <v>0.35199999999999998</v>
      </c>
      <c r="V3" s="729">
        <v>0.35199999999999998</v>
      </c>
      <c r="W3" s="729">
        <v>0.35199999999999998</v>
      </c>
      <c r="X3" s="729">
        <v>0.35199999999999998</v>
      </c>
      <c r="Y3" s="7"/>
      <c r="Z3" s="7"/>
      <c r="AA3" s="7"/>
      <c r="AB3" s="7"/>
      <c r="AC3" s="7"/>
      <c r="AD3" s="7"/>
      <c r="AE3" s="7"/>
      <c r="AF3" s="7"/>
      <c r="AG3" s="7"/>
      <c r="AH3" s="7"/>
      <c r="AI3" s="7"/>
      <c r="AJ3" s="7"/>
      <c r="AK3" s="7"/>
      <c r="AL3" s="7"/>
      <c r="AM3" s="7"/>
      <c r="AN3" s="7"/>
      <c r="AO3" s="7"/>
      <c r="AP3" s="7"/>
      <c r="AQ3" s="7"/>
      <c r="AR3" s="7"/>
      <c r="AS3" s="7"/>
      <c r="AT3" s="7"/>
      <c r="AU3" s="593"/>
      <c r="AV3" s="7"/>
      <c r="AW3" s="7"/>
      <c r="AX3" s="7"/>
      <c r="AY3" s="7"/>
      <c r="AZ3" s="7"/>
      <c r="BA3" s="7"/>
      <c r="BB3" s="7"/>
      <c r="BC3" s="7"/>
      <c r="BD3" s="7"/>
      <c r="BE3" s="7"/>
      <c r="BF3" s="7"/>
      <c r="BG3" s="7"/>
      <c r="BH3" s="7"/>
      <c r="BI3" s="7"/>
      <c r="BJ3" s="7"/>
      <c r="BK3" s="7"/>
      <c r="BL3" s="7"/>
    </row>
    <row r="4" spans="1:64" ht="81" customHeight="1" x14ac:dyDescent="0.3">
      <c r="A4" s="916"/>
      <c r="B4" s="915"/>
      <c r="C4" s="916"/>
      <c r="D4" s="916"/>
      <c r="E4" s="915"/>
      <c r="F4" s="730" t="s">
        <v>295</v>
      </c>
      <c r="G4" s="730">
        <v>1986</v>
      </c>
      <c r="H4" s="731" t="s">
        <v>296</v>
      </c>
      <c r="I4" s="732">
        <f>1/4.7</f>
        <v>0.21276595744680851</v>
      </c>
      <c r="J4" s="732">
        <f>1/4.4</f>
        <v>0.22727272727272727</v>
      </c>
      <c r="K4" s="732">
        <f>1/4.4</f>
        <v>0.22727272727272727</v>
      </c>
      <c r="L4" s="732">
        <f>1/4.6</f>
        <v>0.21739130434782611</v>
      </c>
      <c r="M4" s="732">
        <f>1/4.6</f>
        <v>0.21739130434782611</v>
      </c>
      <c r="N4" s="732">
        <f t="shared" ref="N4:R4" si="0">1/3.9</f>
        <v>0.25641025641025644</v>
      </c>
      <c r="O4" s="732">
        <f t="shared" si="0"/>
        <v>0.25641025641025644</v>
      </c>
      <c r="P4" s="732">
        <f t="shared" si="0"/>
        <v>0.25641025641025644</v>
      </c>
      <c r="Q4" s="732">
        <f t="shared" si="0"/>
        <v>0.25641025641025644</v>
      </c>
      <c r="R4" s="732">
        <f t="shared" si="0"/>
        <v>0.25641025641025644</v>
      </c>
      <c r="S4" s="732">
        <f>1/4.2</f>
        <v>0.23809523809523808</v>
      </c>
      <c r="T4" s="732">
        <f>1/4.2</f>
        <v>0.23809523809523808</v>
      </c>
      <c r="U4" s="732">
        <f>1/4.2</f>
        <v>0.23809523809523808</v>
      </c>
      <c r="V4" s="732">
        <f>1/4.8</f>
        <v>0.20833333333333334</v>
      </c>
      <c r="W4" s="732">
        <f>1/4.8</f>
        <v>0.20833333333333334</v>
      </c>
      <c r="X4" s="732">
        <f>1/4.7</f>
        <v>0.21276595744680851</v>
      </c>
      <c r="Y4" s="905" t="s">
        <v>297</v>
      </c>
      <c r="Z4" s="905"/>
      <c r="AA4" s="905"/>
      <c r="AB4" s="905"/>
      <c r="AC4" s="905"/>
      <c r="AD4" s="905"/>
      <c r="AE4" s="905"/>
      <c r="AF4" s="905"/>
      <c r="AG4" s="135"/>
      <c r="AH4" s="135"/>
      <c r="AI4" s="135"/>
      <c r="AJ4" s="135"/>
      <c r="AK4" s="135"/>
      <c r="AL4" s="135"/>
      <c r="AM4" s="135"/>
      <c r="AN4" s="135"/>
      <c r="AO4" s="135"/>
      <c r="AP4" s="135"/>
      <c r="AQ4" s="135"/>
      <c r="AR4" s="135"/>
      <c r="AS4" s="135"/>
      <c r="AT4" s="135"/>
      <c r="AU4" s="593"/>
      <c r="AV4" s="135"/>
      <c r="AW4" s="7"/>
      <c r="AX4" s="7"/>
      <c r="AY4" s="7"/>
      <c r="AZ4" s="7"/>
      <c r="BA4" s="7"/>
      <c r="BB4" s="7"/>
      <c r="BC4" s="7"/>
      <c r="BD4" s="7"/>
      <c r="BE4" s="7"/>
      <c r="BF4" s="7"/>
      <c r="BG4" s="7"/>
      <c r="BH4" s="7"/>
      <c r="BI4" s="7"/>
      <c r="BJ4" s="7"/>
      <c r="BK4" s="7"/>
      <c r="BL4" s="7"/>
    </row>
    <row r="5" spans="1:64" ht="13.95" customHeight="1" x14ac:dyDescent="0.3">
      <c r="A5" s="916"/>
      <c r="B5" s="915"/>
      <c r="C5" s="916"/>
      <c r="D5" s="916"/>
      <c r="E5" s="915"/>
      <c r="F5" s="733" t="s">
        <v>298</v>
      </c>
      <c r="G5" s="733">
        <v>2001</v>
      </c>
      <c r="H5" s="733" t="s">
        <v>299</v>
      </c>
      <c r="I5" s="734">
        <v>0.14000000000000001</v>
      </c>
      <c r="J5" s="734">
        <v>0.17499999999999999</v>
      </c>
      <c r="K5" s="734">
        <v>0.18099999999999999</v>
      </c>
      <c r="L5" s="734">
        <v>0.18099999999999999</v>
      </c>
      <c r="M5" s="734">
        <v>0.18099999999999999</v>
      </c>
      <c r="N5" s="734">
        <v>0.18099999999999999</v>
      </c>
      <c r="O5" s="734">
        <v>0.18099999999999999</v>
      </c>
      <c r="P5" s="734">
        <v>0.18099999999999999</v>
      </c>
      <c r="Q5" s="734">
        <v>0.18099999999999999</v>
      </c>
      <c r="R5" s="734">
        <v>0.17499999999999999</v>
      </c>
      <c r="S5" s="734">
        <v>0.17499999999999999</v>
      </c>
      <c r="T5" s="734">
        <v>0.17499999999999999</v>
      </c>
      <c r="U5" s="734">
        <v>0.17499999999999999</v>
      </c>
      <c r="V5" s="734">
        <v>0.17499999999999999</v>
      </c>
      <c r="W5" s="734">
        <v>0.17499999999999999</v>
      </c>
      <c r="X5" s="734">
        <v>0.14000000000000001</v>
      </c>
      <c r="Y5" s="7"/>
      <c r="Z5" s="7"/>
      <c r="AA5" s="7"/>
      <c r="AB5" s="7"/>
      <c r="AC5" s="7"/>
      <c r="AD5" s="7"/>
      <c r="AE5" s="7"/>
      <c r="AF5" s="7"/>
      <c r="AG5" s="7"/>
      <c r="AH5" s="7"/>
      <c r="AI5" s="7"/>
      <c r="AJ5" s="7"/>
      <c r="AK5" s="7"/>
      <c r="AL5" s="7"/>
      <c r="AM5" s="7"/>
      <c r="AN5" s="7"/>
      <c r="AO5" s="7"/>
      <c r="AP5" s="7"/>
      <c r="AQ5" s="7"/>
      <c r="AR5" s="7"/>
      <c r="AS5" s="7"/>
      <c r="AT5" s="7"/>
      <c r="AU5" s="593"/>
      <c r="AV5" s="7"/>
      <c r="AW5" s="7"/>
      <c r="AX5" s="7"/>
      <c r="AY5" s="7"/>
      <c r="AZ5" s="7"/>
      <c r="BA5" s="7"/>
      <c r="BB5" s="7"/>
      <c r="BC5" s="7"/>
      <c r="BD5" s="7"/>
      <c r="BE5" s="7"/>
      <c r="BF5" s="7"/>
      <c r="BG5" s="7"/>
      <c r="BH5" s="7"/>
      <c r="BI5" s="7"/>
      <c r="BJ5" s="7"/>
      <c r="BK5" s="7"/>
      <c r="BL5" s="7"/>
    </row>
    <row r="6" spans="1:64" ht="13.95" customHeight="1" x14ac:dyDescent="0.3">
      <c r="A6" s="916"/>
      <c r="B6" s="915"/>
      <c r="C6" s="916"/>
      <c r="D6" s="916"/>
      <c r="E6" s="915"/>
      <c r="F6" s="735" t="s">
        <v>300</v>
      </c>
      <c r="G6" s="735">
        <v>2013</v>
      </c>
      <c r="H6" s="735" t="s">
        <v>301</v>
      </c>
      <c r="I6" s="736">
        <v>0.105</v>
      </c>
      <c r="J6" s="736">
        <v>0.105</v>
      </c>
      <c r="K6" s="736">
        <v>0.105</v>
      </c>
      <c r="L6" s="736">
        <v>0.105</v>
      </c>
      <c r="M6" s="736">
        <v>0.105</v>
      </c>
      <c r="N6" s="736">
        <v>0.105</v>
      </c>
      <c r="O6" s="736">
        <v>0.105</v>
      </c>
      <c r="P6" s="736">
        <v>0.105</v>
      </c>
      <c r="Q6" s="736">
        <v>0.105</v>
      </c>
      <c r="R6" s="736">
        <v>0.105</v>
      </c>
      <c r="S6" s="736">
        <v>0.105</v>
      </c>
      <c r="T6" s="736">
        <v>0.105</v>
      </c>
      <c r="U6" s="736">
        <v>0.105</v>
      </c>
      <c r="V6" s="736">
        <v>0.105</v>
      </c>
      <c r="W6" s="736">
        <v>0.105</v>
      </c>
      <c r="X6" s="736">
        <v>0.105</v>
      </c>
      <c r="Y6" s="7"/>
      <c r="Z6" s="7"/>
      <c r="AA6" s="7"/>
      <c r="AB6" s="7"/>
      <c r="AC6" s="7"/>
      <c r="AD6" s="7"/>
      <c r="AE6" s="7"/>
      <c r="AF6" s="7"/>
      <c r="AG6" s="7"/>
      <c r="AH6" s="7"/>
      <c r="AI6" s="7"/>
      <c r="AJ6" s="7"/>
      <c r="AK6" s="7"/>
      <c r="AL6" s="7"/>
      <c r="AM6" s="7"/>
      <c r="AN6" s="7"/>
      <c r="AO6" s="7"/>
      <c r="AP6" s="7"/>
      <c r="AQ6" s="7"/>
      <c r="AR6" s="7"/>
      <c r="AS6" s="7"/>
      <c r="AT6" s="7"/>
      <c r="AU6" s="593"/>
      <c r="AV6" s="7"/>
      <c r="AW6" s="7"/>
      <c r="AX6" s="7"/>
      <c r="AY6" s="7"/>
      <c r="AZ6" s="7"/>
      <c r="BA6" s="7"/>
      <c r="BB6" s="7"/>
      <c r="BC6" s="7"/>
      <c r="BD6" s="7"/>
      <c r="BE6" s="7"/>
      <c r="BF6" s="7"/>
      <c r="BG6" s="7"/>
      <c r="BH6" s="7"/>
      <c r="BI6" s="7"/>
      <c r="BJ6" s="7"/>
      <c r="BK6" s="7"/>
      <c r="BL6" s="7"/>
    </row>
    <row r="7" spans="1:64" ht="13.95" customHeight="1" x14ac:dyDescent="0.3">
      <c r="A7" s="916"/>
      <c r="B7" s="915"/>
      <c r="C7" s="916"/>
      <c r="D7" s="916"/>
      <c r="E7" s="915"/>
      <c r="F7" s="737" t="s">
        <v>303</v>
      </c>
      <c r="G7" s="738">
        <v>2025</v>
      </c>
      <c r="H7" s="738" t="s">
        <v>301</v>
      </c>
      <c r="I7" s="739">
        <v>6.9000000000000006E-2</v>
      </c>
      <c r="J7" s="739">
        <v>6.9000000000000006E-2</v>
      </c>
      <c r="K7" s="739">
        <v>6.9000000000000006E-2</v>
      </c>
      <c r="L7" s="739">
        <v>6.9000000000000006E-2</v>
      </c>
      <c r="M7" s="739">
        <v>6.9000000000000006E-2</v>
      </c>
      <c r="N7" s="739">
        <v>6.9000000000000006E-2</v>
      </c>
      <c r="O7" s="739">
        <v>0.105</v>
      </c>
      <c r="P7" s="739">
        <v>6.9000000000000006E-2</v>
      </c>
      <c r="Q7" s="739">
        <v>6.9000000000000006E-2</v>
      </c>
      <c r="R7" s="739">
        <v>6.9000000000000006E-2</v>
      </c>
      <c r="S7" s="739">
        <v>6.9000000000000006E-2</v>
      </c>
      <c r="T7" s="739">
        <v>6.9000000000000006E-2</v>
      </c>
      <c r="U7" s="739">
        <v>6.9000000000000006E-2</v>
      </c>
      <c r="V7" s="739">
        <v>6.9000000000000006E-2</v>
      </c>
      <c r="W7" s="739">
        <v>4.8000000000000001E-2</v>
      </c>
      <c r="X7" s="739">
        <v>6.9000000000000006E-2</v>
      </c>
      <c r="Y7" s="7"/>
      <c r="Z7" s="7"/>
      <c r="AA7" s="7"/>
      <c r="AB7" s="7"/>
      <c r="AC7" s="7"/>
      <c r="AD7" s="7"/>
      <c r="AE7" s="7"/>
      <c r="AF7" s="7"/>
      <c r="AG7" s="7"/>
      <c r="AH7" s="7"/>
      <c r="AI7" s="7"/>
      <c r="AJ7" s="7"/>
      <c r="AK7" s="7"/>
      <c r="AL7" s="7"/>
      <c r="AM7" s="7"/>
      <c r="AN7" s="7"/>
      <c r="AO7" s="7"/>
      <c r="AP7" s="7"/>
      <c r="AQ7" s="7"/>
      <c r="AR7" s="7"/>
      <c r="AS7" s="7"/>
      <c r="AT7" s="7"/>
      <c r="AU7" s="593"/>
      <c r="AV7" s="7"/>
      <c r="AW7" s="7"/>
      <c r="AX7" s="7"/>
      <c r="AY7" s="7"/>
      <c r="AZ7" s="7"/>
      <c r="BA7" s="7"/>
      <c r="BB7" s="7"/>
      <c r="BC7" s="7"/>
      <c r="BD7" s="7"/>
      <c r="BE7" s="7"/>
      <c r="BF7" s="7"/>
      <c r="BG7" s="7"/>
      <c r="BH7" s="7"/>
      <c r="BI7" s="7"/>
      <c r="BJ7" s="7"/>
      <c r="BK7" s="7"/>
      <c r="BL7" s="7"/>
    </row>
    <row r="8" spans="1:64" ht="14.25" customHeight="1" x14ac:dyDescent="0.3">
      <c r="A8" s="914" t="s">
        <v>304</v>
      </c>
      <c r="B8" s="917" t="s">
        <v>73</v>
      </c>
      <c r="C8" s="923" t="s">
        <v>305</v>
      </c>
      <c r="D8" s="914" t="s">
        <v>306</v>
      </c>
      <c r="E8" s="917" t="s">
        <v>291</v>
      </c>
      <c r="F8" s="833" t="s">
        <v>292</v>
      </c>
      <c r="G8" s="833" t="s">
        <v>293</v>
      </c>
      <c r="H8" s="821" t="s">
        <v>307</v>
      </c>
      <c r="I8" s="740">
        <v>0.74</v>
      </c>
      <c r="J8" s="740">
        <v>0.74</v>
      </c>
      <c r="K8" s="740">
        <v>0.74</v>
      </c>
      <c r="L8" s="740">
        <v>0.74</v>
      </c>
      <c r="M8" s="740">
        <v>0.74</v>
      </c>
      <c r="N8" s="740">
        <v>0.74</v>
      </c>
      <c r="O8" s="740">
        <v>0.74</v>
      </c>
      <c r="P8" s="740">
        <v>0.74</v>
      </c>
      <c r="Q8" s="740">
        <v>0.74</v>
      </c>
      <c r="R8" s="740">
        <v>0.74</v>
      </c>
      <c r="S8" s="740">
        <v>0.74</v>
      </c>
      <c r="T8" s="740">
        <v>0.74</v>
      </c>
      <c r="U8" s="740">
        <v>0.74</v>
      </c>
      <c r="V8" s="740">
        <v>0.74</v>
      </c>
      <c r="W8" s="740">
        <v>0.74</v>
      </c>
      <c r="X8" s="740">
        <v>0.74</v>
      </c>
      <c r="Y8" s="7"/>
      <c r="Z8" s="7"/>
      <c r="AA8" s="7"/>
      <c r="AB8" s="7"/>
      <c r="AC8" s="7"/>
      <c r="AD8" s="7"/>
      <c r="AE8" s="7"/>
      <c r="AF8" s="7"/>
      <c r="AG8" s="7"/>
      <c r="AH8" s="7"/>
      <c r="AI8" s="7"/>
      <c r="AJ8" s="7"/>
      <c r="AK8" s="7"/>
      <c r="AL8" s="7"/>
      <c r="AM8" s="7"/>
      <c r="AN8" s="7"/>
      <c r="AO8" s="7"/>
      <c r="AP8" s="7"/>
      <c r="AQ8" s="7"/>
      <c r="AR8" s="7"/>
      <c r="AS8" s="7"/>
      <c r="AT8" s="7"/>
      <c r="AU8" s="593"/>
      <c r="AV8" s="7"/>
      <c r="AW8" s="7"/>
      <c r="AX8" s="7"/>
      <c r="AY8" s="7"/>
      <c r="AZ8" s="7"/>
      <c r="BA8" s="7"/>
      <c r="BB8" s="7"/>
      <c r="BC8" s="7"/>
      <c r="BD8" s="7"/>
      <c r="BE8" s="7"/>
      <c r="BF8" s="7"/>
      <c r="BG8" s="7"/>
      <c r="BH8" s="7"/>
      <c r="BI8" s="7"/>
      <c r="BJ8" s="7"/>
      <c r="BK8" s="7"/>
      <c r="BL8" s="7"/>
    </row>
    <row r="9" spans="1:64" ht="39.6" customHeight="1" x14ac:dyDescent="0.3">
      <c r="A9" s="914"/>
      <c r="B9" s="917"/>
      <c r="C9" s="923"/>
      <c r="D9" s="914"/>
      <c r="E9" s="917"/>
      <c r="F9" s="741" t="s">
        <v>295</v>
      </c>
      <c r="G9" s="742">
        <v>1992</v>
      </c>
      <c r="H9" s="743" t="s">
        <v>308</v>
      </c>
      <c r="I9" s="744">
        <v>0.36</v>
      </c>
      <c r="J9" s="744">
        <v>0.65</v>
      </c>
      <c r="K9" s="744">
        <v>0.65</v>
      </c>
      <c r="L9" s="744">
        <v>0.65</v>
      </c>
      <c r="M9" s="744">
        <v>0.65</v>
      </c>
      <c r="N9" s="744">
        <v>0.69</v>
      </c>
      <c r="O9" s="744">
        <v>0.69</v>
      </c>
      <c r="P9" s="744">
        <v>0.69</v>
      </c>
      <c r="Q9" s="744">
        <v>0.69</v>
      </c>
      <c r="R9" s="744">
        <v>0.69</v>
      </c>
      <c r="S9" s="744">
        <v>0.65</v>
      </c>
      <c r="T9" s="744">
        <v>0.65</v>
      </c>
      <c r="U9" s="744">
        <v>0.65</v>
      </c>
      <c r="V9" s="744">
        <v>0.4</v>
      </c>
      <c r="W9" s="744">
        <v>0.4</v>
      </c>
      <c r="X9" s="744">
        <v>0.36</v>
      </c>
      <c r="Y9" s="12"/>
      <c r="Z9" s="7"/>
      <c r="AA9" s="7"/>
      <c r="AB9" s="7"/>
      <c r="AC9" s="7"/>
      <c r="AD9" s="7"/>
      <c r="AE9" s="7"/>
      <c r="AF9" s="7"/>
      <c r="AG9" s="7"/>
      <c r="AH9" s="7"/>
      <c r="AI9" s="7"/>
      <c r="AJ9" s="7"/>
      <c r="AK9" s="7"/>
      <c r="AL9" s="7"/>
      <c r="AM9" s="7"/>
      <c r="AN9" s="7"/>
      <c r="AO9" s="7"/>
      <c r="AP9" s="7"/>
      <c r="AQ9" s="7"/>
      <c r="AR9" s="7"/>
      <c r="AS9" s="7"/>
      <c r="AT9" s="7"/>
      <c r="AU9" s="593"/>
      <c r="AV9" s="7"/>
      <c r="AW9" s="7"/>
      <c r="AX9" s="7"/>
      <c r="AY9" s="7"/>
      <c r="AZ9" s="7"/>
      <c r="BA9" s="7"/>
      <c r="BB9" s="7"/>
      <c r="BC9" s="7"/>
      <c r="BD9" s="7"/>
      <c r="BE9" s="7"/>
      <c r="BF9" s="7"/>
      <c r="BG9" s="7"/>
      <c r="BH9" s="7"/>
      <c r="BI9" s="7"/>
      <c r="BJ9" s="7"/>
      <c r="BK9" s="7"/>
      <c r="BL9" s="7"/>
    </row>
    <row r="10" spans="1:64" ht="13.95" customHeight="1" x14ac:dyDescent="0.3">
      <c r="A10" s="914"/>
      <c r="B10" s="917"/>
      <c r="C10" s="923"/>
      <c r="D10" s="914"/>
      <c r="E10" s="917"/>
      <c r="F10" s="745" t="s">
        <v>298</v>
      </c>
      <c r="G10" s="745">
        <v>2001</v>
      </c>
      <c r="H10" s="745" t="s">
        <v>309</v>
      </c>
      <c r="I10" s="744">
        <v>0.36</v>
      </c>
      <c r="J10" s="744">
        <v>0.65</v>
      </c>
      <c r="K10" s="744">
        <v>0.65</v>
      </c>
      <c r="L10" s="744">
        <v>0.65</v>
      </c>
      <c r="M10" s="744">
        <v>0.65</v>
      </c>
      <c r="N10" s="744">
        <v>0.69</v>
      </c>
      <c r="O10" s="744">
        <v>0.69</v>
      </c>
      <c r="P10" s="744">
        <v>0.69</v>
      </c>
      <c r="Q10" s="744">
        <v>0.69</v>
      </c>
      <c r="R10" s="744">
        <v>0.65</v>
      </c>
      <c r="S10" s="744">
        <v>0.65</v>
      </c>
      <c r="T10" s="744">
        <v>0.65</v>
      </c>
      <c r="U10" s="744">
        <v>0.65</v>
      </c>
      <c r="V10" s="744">
        <v>0.4</v>
      </c>
      <c r="W10" s="744">
        <v>0.4</v>
      </c>
      <c r="X10" s="744">
        <v>0.36</v>
      </c>
      <c r="Y10" s="106"/>
      <c r="Z10" s="7"/>
      <c r="AA10" s="7"/>
      <c r="AB10" s="7"/>
      <c r="AC10" s="7"/>
      <c r="AD10" s="7"/>
      <c r="AE10" s="7"/>
      <c r="AF10" s="7"/>
      <c r="AG10" s="7"/>
      <c r="AH10" s="7"/>
      <c r="AI10" s="7"/>
      <c r="AJ10" s="7"/>
      <c r="AK10" s="7"/>
      <c r="AL10" s="7"/>
      <c r="AM10" s="7"/>
      <c r="AN10" s="7"/>
      <c r="AO10" s="7"/>
      <c r="AP10" s="7"/>
      <c r="AQ10" s="7"/>
      <c r="AR10" s="7"/>
      <c r="AS10" s="7"/>
      <c r="AT10" s="7"/>
      <c r="AU10" s="593"/>
      <c r="AV10" s="7"/>
      <c r="AW10" s="7"/>
      <c r="AX10" s="7"/>
      <c r="AY10" s="7"/>
      <c r="AZ10" s="7"/>
      <c r="BA10" s="7"/>
      <c r="BB10" s="7"/>
      <c r="BC10" s="7"/>
      <c r="BD10" s="7"/>
      <c r="BE10" s="7"/>
      <c r="BF10" s="7"/>
      <c r="BG10" s="7"/>
      <c r="BH10" s="7"/>
      <c r="BI10" s="7"/>
      <c r="BJ10" s="7"/>
      <c r="BK10" s="7"/>
      <c r="BL10" s="7"/>
    </row>
    <row r="11" spans="1:64" ht="14.4" x14ac:dyDescent="0.3">
      <c r="A11" s="914"/>
      <c r="B11" s="917"/>
      <c r="C11" s="923"/>
      <c r="D11" s="914"/>
      <c r="E11" s="917"/>
      <c r="F11" s="746" t="s">
        <v>300</v>
      </c>
      <c r="G11" s="746">
        <v>2013</v>
      </c>
      <c r="H11" s="746" t="s">
        <v>310</v>
      </c>
      <c r="I11" s="747">
        <v>0.253</v>
      </c>
      <c r="J11" s="747">
        <v>0.65</v>
      </c>
      <c r="K11" s="747">
        <v>0.65</v>
      </c>
      <c r="L11" s="747">
        <v>0.65</v>
      </c>
      <c r="M11" s="747">
        <v>0.65</v>
      </c>
      <c r="N11" s="747">
        <v>0.69</v>
      </c>
      <c r="O11" s="747">
        <v>0.69</v>
      </c>
      <c r="P11" s="747">
        <v>0.69</v>
      </c>
      <c r="Q11" s="747">
        <v>0.69</v>
      </c>
      <c r="R11" s="747">
        <v>0.65</v>
      </c>
      <c r="S11" s="747">
        <v>0.184</v>
      </c>
      <c r="T11" s="747">
        <v>0.253</v>
      </c>
      <c r="U11" s="747">
        <v>0.21099999999999999</v>
      </c>
      <c r="V11" s="747">
        <v>0.184</v>
      </c>
      <c r="W11" s="747">
        <v>0.184</v>
      </c>
      <c r="X11" s="747">
        <v>0.16</v>
      </c>
      <c r="Y11" s="192"/>
      <c r="Z11" s="7"/>
      <c r="AA11" s="664"/>
      <c r="AB11" s="664"/>
      <c r="AC11" s="664"/>
      <c r="AD11" s="664"/>
      <c r="AE11" s="664"/>
      <c r="AF11" s="664"/>
      <c r="AG11" s="664"/>
      <c r="AH11" s="664"/>
      <c r="AI11" s="664"/>
      <c r="AJ11" s="664"/>
      <c r="AK11" s="664"/>
      <c r="AL11" s="664"/>
      <c r="AM11" s="664"/>
      <c r="AN11" s="664"/>
      <c r="AO11" s="664"/>
      <c r="AP11" s="665"/>
      <c r="AQ11" s="7"/>
      <c r="AR11" s="7"/>
      <c r="AS11" s="7"/>
      <c r="AT11" s="7"/>
      <c r="AU11" s="593"/>
      <c r="AV11" s="7"/>
      <c r="AW11" s="7"/>
      <c r="AX11" s="7"/>
      <c r="AY11" s="7"/>
      <c r="AZ11" s="7"/>
      <c r="BA11" s="7"/>
      <c r="BB11" s="7"/>
      <c r="BC11" s="7"/>
      <c r="BD11" s="7"/>
      <c r="BE11" s="7"/>
      <c r="BF11" s="7"/>
      <c r="BG11" s="7"/>
      <c r="BH11" s="7"/>
      <c r="BI11" s="7"/>
      <c r="BJ11" s="7"/>
      <c r="BK11" s="7"/>
      <c r="BL11" s="7"/>
    </row>
    <row r="12" spans="1:64" ht="14.4" x14ac:dyDescent="0.3">
      <c r="A12" s="914"/>
      <c r="B12" s="917"/>
      <c r="C12" s="923"/>
      <c r="D12" s="914"/>
      <c r="E12" s="917"/>
      <c r="F12" s="737" t="s">
        <v>303</v>
      </c>
      <c r="G12" s="738">
        <v>2025</v>
      </c>
      <c r="H12" s="737" t="s">
        <v>311</v>
      </c>
      <c r="I12" s="784">
        <v>0.21099999999999999</v>
      </c>
      <c r="J12" s="784">
        <v>0.65</v>
      </c>
      <c r="K12" s="784">
        <v>0.65</v>
      </c>
      <c r="L12" s="784">
        <v>0.65</v>
      </c>
      <c r="M12" s="784">
        <v>0.65</v>
      </c>
      <c r="N12" s="784">
        <v>0.69</v>
      </c>
      <c r="O12" s="784">
        <v>0.69</v>
      </c>
      <c r="P12" s="784">
        <v>0.69</v>
      </c>
      <c r="Q12" s="784">
        <v>0.69</v>
      </c>
      <c r="R12" s="784">
        <v>0.65</v>
      </c>
      <c r="S12" s="784">
        <v>0.16</v>
      </c>
      <c r="T12" s="784">
        <v>0.21099999999999999</v>
      </c>
      <c r="U12" s="784">
        <v>0.184</v>
      </c>
      <c r="V12" s="784">
        <v>0.16</v>
      </c>
      <c r="W12" s="784">
        <v>0.16</v>
      </c>
      <c r="X12" s="784">
        <v>0.153</v>
      </c>
      <c r="Y12" s="192"/>
      <c r="Z12" s="7"/>
      <c r="AA12" s="664"/>
      <c r="AB12" s="664"/>
      <c r="AC12" s="664"/>
      <c r="AD12" s="664"/>
      <c r="AE12" s="664"/>
      <c r="AF12" s="664"/>
      <c r="AG12" s="664"/>
      <c r="AH12" s="664"/>
      <c r="AI12" s="664"/>
      <c r="AJ12" s="664"/>
      <c r="AK12" s="664"/>
      <c r="AL12" s="664"/>
      <c r="AM12" s="664"/>
      <c r="AN12" s="664"/>
      <c r="AO12" s="664"/>
      <c r="AP12" s="665"/>
      <c r="AQ12" s="163"/>
      <c r="AR12" s="7"/>
      <c r="AS12" s="7"/>
      <c r="AT12" s="7"/>
      <c r="AU12" s="593"/>
      <c r="AV12" s="7"/>
      <c r="AW12" s="7"/>
      <c r="AX12" s="7"/>
      <c r="AY12" s="7"/>
      <c r="AZ12" s="7"/>
      <c r="BA12" s="7"/>
      <c r="BB12" s="7"/>
      <c r="BC12" s="7"/>
      <c r="BD12" s="7"/>
      <c r="BE12" s="7"/>
      <c r="BF12" s="7"/>
      <c r="BG12" s="7"/>
      <c r="BH12" s="7"/>
      <c r="BI12" s="7"/>
      <c r="BJ12" s="7"/>
      <c r="BK12" s="7"/>
      <c r="BL12" s="7"/>
    </row>
    <row r="13" spans="1:64" ht="14.4" x14ac:dyDescent="0.3">
      <c r="A13" s="914" t="s">
        <v>312</v>
      </c>
      <c r="B13" s="917" t="s">
        <v>73</v>
      </c>
      <c r="C13" s="914" t="s">
        <v>313</v>
      </c>
      <c r="D13" s="916" t="s">
        <v>314</v>
      </c>
      <c r="E13" s="917" t="s">
        <v>291</v>
      </c>
      <c r="F13" s="833" t="s">
        <v>292</v>
      </c>
      <c r="G13" s="833" t="s">
        <v>293</v>
      </c>
      <c r="H13" s="914" t="s">
        <v>315</v>
      </c>
      <c r="I13" s="729">
        <f>I14</f>
        <v>3.6999999999999998E-2</v>
      </c>
      <c r="J13" s="729">
        <f t="shared" ref="J13:X13" si="1">J14</f>
        <v>5.0999999999999997E-2</v>
      </c>
      <c r="K13" s="729">
        <f t="shared" si="1"/>
        <v>5.0999999999999997E-2</v>
      </c>
      <c r="L13" s="729">
        <f t="shared" si="1"/>
        <v>5.0999999999999997E-2</v>
      </c>
      <c r="M13" s="729">
        <f t="shared" si="1"/>
        <v>5.0999999999999997E-2</v>
      </c>
      <c r="N13" s="729">
        <f t="shared" si="1"/>
        <v>5.0999999999999997E-2</v>
      </c>
      <c r="O13" s="729">
        <f t="shared" si="1"/>
        <v>5.0999999999999997E-2</v>
      </c>
      <c r="P13" s="729">
        <f t="shared" si="1"/>
        <v>5.0999999999999997E-2</v>
      </c>
      <c r="Q13" s="729">
        <f t="shared" si="1"/>
        <v>5.0999999999999997E-2</v>
      </c>
      <c r="R13" s="729">
        <f t="shared" si="1"/>
        <v>5.0999999999999997E-2</v>
      </c>
      <c r="S13" s="729">
        <f t="shared" si="1"/>
        <v>3.6999999999999998E-2</v>
      </c>
      <c r="T13" s="729">
        <f t="shared" si="1"/>
        <v>3.6999999999999998E-2</v>
      </c>
      <c r="U13" s="729">
        <f t="shared" si="1"/>
        <v>3.6999999999999998E-2</v>
      </c>
      <c r="V13" s="729">
        <f t="shared" si="1"/>
        <v>3.6999999999999998E-2</v>
      </c>
      <c r="W13" s="729">
        <f t="shared" si="1"/>
        <v>3.6999999999999998E-2</v>
      </c>
      <c r="X13" s="729">
        <f t="shared" si="1"/>
        <v>3.6999999999999998E-2</v>
      </c>
      <c r="Y13" s="192"/>
      <c r="Z13" s="192"/>
      <c r="AA13" s="664"/>
      <c r="AB13" s="664"/>
      <c r="AC13" s="664"/>
      <c r="AD13" s="664"/>
      <c r="AE13" s="664"/>
      <c r="AF13" s="664"/>
      <c r="AG13" s="664"/>
      <c r="AH13" s="664"/>
      <c r="AI13" s="664"/>
      <c r="AJ13" s="664"/>
      <c r="AK13" s="664"/>
      <c r="AL13" s="664"/>
      <c r="AM13" s="664"/>
      <c r="AN13" s="664"/>
      <c r="AO13" s="664"/>
      <c r="AP13" s="665"/>
      <c r="AQ13" s="192"/>
      <c r="AR13" s="192"/>
      <c r="AS13" s="192"/>
      <c r="AT13" s="192"/>
      <c r="AU13" s="593"/>
      <c r="AV13" s="7"/>
      <c r="AW13" s="7"/>
      <c r="AX13" s="7"/>
      <c r="AY13" s="7"/>
      <c r="AZ13" s="7"/>
      <c r="BA13" s="7"/>
      <c r="BB13" s="7"/>
      <c r="BC13" s="7"/>
      <c r="BD13" s="7"/>
      <c r="BE13" s="7"/>
      <c r="BF13" s="7"/>
      <c r="BG13" s="7"/>
      <c r="BH13" s="7"/>
      <c r="BI13" s="7"/>
      <c r="BJ13" s="7"/>
      <c r="BK13" s="7"/>
      <c r="BL13" s="7"/>
    </row>
    <row r="14" spans="1:64" ht="14.4" x14ac:dyDescent="0.3">
      <c r="A14" s="914"/>
      <c r="B14" s="917"/>
      <c r="C14" s="914"/>
      <c r="D14" s="916"/>
      <c r="E14" s="917"/>
      <c r="F14" s="741" t="s">
        <v>295</v>
      </c>
      <c r="G14" s="741">
        <v>1992</v>
      </c>
      <c r="H14" s="914"/>
      <c r="I14" s="732">
        <v>3.6999999999999998E-2</v>
      </c>
      <c r="J14" s="732">
        <v>5.0999999999999997E-2</v>
      </c>
      <c r="K14" s="732">
        <v>5.0999999999999997E-2</v>
      </c>
      <c r="L14" s="732">
        <v>5.0999999999999997E-2</v>
      </c>
      <c r="M14" s="732">
        <v>5.0999999999999997E-2</v>
      </c>
      <c r="N14" s="732">
        <v>5.0999999999999997E-2</v>
      </c>
      <c r="O14" s="732">
        <v>5.0999999999999997E-2</v>
      </c>
      <c r="P14" s="732">
        <v>5.0999999999999997E-2</v>
      </c>
      <c r="Q14" s="732">
        <v>5.0999999999999997E-2</v>
      </c>
      <c r="R14" s="732">
        <v>5.0999999999999997E-2</v>
      </c>
      <c r="S14" s="732">
        <v>3.6999999999999998E-2</v>
      </c>
      <c r="T14" s="732">
        <v>3.6999999999999998E-2</v>
      </c>
      <c r="U14" s="732">
        <v>3.6999999999999998E-2</v>
      </c>
      <c r="V14" s="732">
        <v>3.6999999999999998E-2</v>
      </c>
      <c r="W14" s="732">
        <v>3.6999999999999998E-2</v>
      </c>
      <c r="X14" s="732">
        <v>3.6999999999999998E-2</v>
      </c>
      <c r="Y14" s="163"/>
      <c r="Z14" s="192"/>
      <c r="AA14" s="664"/>
      <c r="AB14" s="664"/>
      <c r="AC14" s="664"/>
      <c r="AD14" s="664"/>
      <c r="AE14" s="664"/>
      <c r="AF14" s="664"/>
      <c r="AG14" s="664"/>
      <c r="AH14" s="664"/>
      <c r="AI14" s="664"/>
      <c r="AJ14" s="664"/>
      <c r="AK14" s="664"/>
      <c r="AL14" s="664"/>
      <c r="AM14" s="664"/>
      <c r="AN14" s="664"/>
      <c r="AO14" s="664"/>
      <c r="AP14" s="665"/>
      <c r="AQ14" s="192"/>
      <c r="AR14" s="192"/>
      <c r="AS14" s="192"/>
      <c r="AT14" s="192"/>
      <c r="AU14" s="593"/>
      <c r="AV14" s="7"/>
      <c r="AW14" s="7"/>
      <c r="AX14" s="7"/>
      <c r="AY14" s="7"/>
      <c r="AZ14" s="7"/>
      <c r="BA14" s="7"/>
      <c r="BB14" s="7"/>
      <c r="BC14" s="7"/>
      <c r="BD14" s="7"/>
      <c r="BE14" s="7"/>
      <c r="BF14" s="7"/>
      <c r="BG14" s="7"/>
      <c r="BH14" s="7"/>
      <c r="BI14" s="7"/>
      <c r="BJ14" s="7"/>
      <c r="BK14" s="7"/>
      <c r="BL14" s="7"/>
    </row>
    <row r="15" spans="1:64" ht="26.4" x14ac:dyDescent="0.3">
      <c r="A15" s="914"/>
      <c r="B15" s="917"/>
      <c r="C15" s="914"/>
      <c r="D15" s="916"/>
      <c r="E15" s="917"/>
      <c r="F15" s="745" t="s">
        <v>298</v>
      </c>
      <c r="G15" s="745">
        <v>2001</v>
      </c>
      <c r="H15" s="748" t="s">
        <v>316</v>
      </c>
      <c r="I15" s="734">
        <v>3.6999999999999998E-2</v>
      </c>
      <c r="J15" s="734">
        <v>3.6999999999999998E-2</v>
      </c>
      <c r="K15" s="734">
        <v>5.0999999999999997E-2</v>
      </c>
      <c r="L15" s="734">
        <v>5.0999999999999997E-2</v>
      </c>
      <c r="M15" s="734">
        <v>5.0999999999999997E-2</v>
      </c>
      <c r="N15" s="734">
        <v>5.0999999999999997E-2</v>
      </c>
      <c r="O15" s="734">
        <v>5.0999999999999997E-2</v>
      </c>
      <c r="P15" s="734">
        <v>5.0999999999999997E-2</v>
      </c>
      <c r="Q15" s="734">
        <v>5.0999999999999997E-2</v>
      </c>
      <c r="R15" s="734">
        <v>3.6999999999999998E-2</v>
      </c>
      <c r="S15" s="734">
        <v>3.6999999999999998E-2</v>
      </c>
      <c r="T15" s="734">
        <v>3.6999999999999998E-2</v>
      </c>
      <c r="U15" s="734">
        <v>3.6999999999999998E-2</v>
      </c>
      <c r="V15" s="734">
        <v>3.6999999999999998E-2</v>
      </c>
      <c r="W15" s="734">
        <v>3.6999999999999998E-2</v>
      </c>
      <c r="X15" s="734">
        <v>3.6999999999999998E-2</v>
      </c>
      <c r="Y15" s="163"/>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593"/>
      <c r="AV15" s="7"/>
      <c r="AW15" s="7"/>
      <c r="AX15" s="7"/>
      <c r="AY15" s="7"/>
      <c r="AZ15" s="7"/>
      <c r="BA15" s="7"/>
      <c r="BB15" s="7"/>
      <c r="BC15" s="7"/>
      <c r="BD15" s="7"/>
      <c r="BE15" s="7"/>
      <c r="BF15" s="7"/>
      <c r="BG15" s="7"/>
      <c r="BH15" s="7"/>
      <c r="BI15" s="7"/>
      <c r="BJ15" s="7"/>
      <c r="BK15" s="7"/>
      <c r="BL15" s="7"/>
    </row>
    <row r="16" spans="1:64" ht="26.4" x14ac:dyDescent="0.25">
      <c r="A16" s="914"/>
      <c r="B16" s="917"/>
      <c r="C16" s="914"/>
      <c r="D16" s="916"/>
      <c r="E16" s="917"/>
      <c r="F16" s="746" t="s">
        <v>300</v>
      </c>
      <c r="G16" s="746">
        <v>2013</v>
      </c>
      <c r="H16" s="749" t="s">
        <v>317</v>
      </c>
      <c r="I16" s="736">
        <v>3.4000000000000002E-2</v>
      </c>
      <c r="J16" s="736">
        <v>2.8000000000000001E-2</v>
      </c>
      <c r="K16" s="736">
        <v>3.9E-2</v>
      </c>
      <c r="L16" s="736">
        <v>2.8000000000000001E-2</v>
      </c>
      <c r="M16" s="736">
        <v>3.9E-2</v>
      </c>
      <c r="N16" s="736">
        <v>3.9E-2</v>
      </c>
      <c r="O16" s="736">
        <v>3.9E-2</v>
      </c>
      <c r="P16" s="736">
        <v>2.8000000000000001E-2</v>
      </c>
      <c r="Q16" s="736">
        <v>2.8000000000000001E-2</v>
      </c>
      <c r="R16" s="736">
        <v>2.8000000000000001E-2</v>
      </c>
      <c r="S16" s="736">
        <v>2.8000000000000001E-2</v>
      </c>
      <c r="T16" s="736">
        <v>2.8000000000000001E-2</v>
      </c>
      <c r="U16" s="736">
        <v>2.8000000000000001E-2</v>
      </c>
      <c r="V16" s="736">
        <v>2.8000000000000001E-2</v>
      </c>
      <c r="W16" s="736">
        <v>2.8000000000000001E-2</v>
      </c>
      <c r="X16" s="736">
        <v>2.8000000000000001E-2</v>
      </c>
      <c r="Y16" s="163"/>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row>
    <row r="17" spans="1:64" ht="26.4" x14ac:dyDescent="0.25">
      <c r="A17" s="914"/>
      <c r="B17" s="917"/>
      <c r="C17" s="914"/>
      <c r="D17" s="916"/>
      <c r="E17" s="917"/>
      <c r="F17" s="737" t="s">
        <v>303</v>
      </c>
      <c r="G17" s="738">
        <v>2025</v>
      </c>
      <c r="H17" s="750" t="s">
        <v>317</v>
      </c>
      <c r="I17" s="739">
        <v>2.8000000000000001E-2</v>
      </c>
      <c r="J17" s="739">
        <v>2.8000000000000001E-2</v>
      </c>
      <c r="K17" s="739">
        <v>2.8000000000000001E-2</v>
      </c>
      <c r="L17" s="739">
        <v>2.8000000000000001E-2</v>
      </c>
      <c r="M17" s="739">
        <v>3.4000000000000002E-2</v>
      </c>
      <c r="N17" s="739">
        <v>3.4000000000000002E-2</v>
      </c>
      <c r="O17" s="739">
        <v>3.9E-2</v>
      </c>
      <c r="P17" s="739">
        <v>2.8000000000000001E-2</v>
      </c>
      <c r="Q17" s="739">
        <v>2.8000000000000001E-2</v>
      </c>
      <c r="R17" s="739">
        <v>2.8000000000000001E-2</v>
      </c>
      <c r="S17" s="739">
        <v>2.8000000000000001E-2</v>
      </c>
      <c r="T17" s="739">
        <v>2.8000000000000001E-2</v>
      </c>
      <c r="U17" s="739">
        <v>2.8000000000000001E-2</v>
      </c>
      <c r="V17" s="739">
        <v>2.8000000000000001E-2</v>
      </c>
      <c r="W17" s="739">
        <v>2.8000000000000001E-2</v>
      </c>
      <c r="X17" s="739">
        <v>2.8000000000000001E-2</v>
      </c>
      <c r="Y17" s="162"/>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row>
    <row r="18" spans="1:64" x14ac:dyDescent="0.25">
      <c r="A18" s="914" t="s">
        <v>318</v>
      </c>
      <c r="B18" s="917" t="s">
        <v>73</v>
      </c>
      <c r="C18" s="914" t="s">
        <v>319</v>
      </c>
      <c r="D18" s="916" t="s">
        <v>314</v>
      </c>
      <c r="E18" s="917" t="s">
        <v>291</v>
      </c>
      <c r="F18" s="833" t="s">
        <v>292</v>
      </c>
      <c r="G18" s="833" t="s">
        <v>293</v>
      </c>
      <c r="H18" s="914" t="s">
        <v>315</v>
      </c>
      <c r="I18" s="729">
        <v>5.7000000000000002E-2</v>
      </c>
      <c r="J18" s="729">
        <v>5.7000000000000002E-2</v>
      </c>
      <c r="K18" s="729">
        <v>5.7000000000000002E-2</v>
      </c>
      <c r="L18" s="729">
        <v>5.7000000000000002E-2</v>
      </c>
      <c r="M18" s="729">
        <v>5.7000000000000002E-2</v>
      </c>
      <c r="N18" s="729">
        <v>7.8E-2</v>
      </c>
      <c r="O18" s="729">
        <v>7.8E-2</v>
      </c>
      <c r="P18" s="729">
        <v>7.8E-2</v>
      </c>
      <c r="Q18" s="729">
        <v>7.8E-2</v>
      </c>
      <c r="R18" s="729">
        <v>7.8E-2</v>
      </c>
      <c r="S18" s="729">
        <v>5.7000000000000002E-2</v>
      </c>
      <c r="T18" s="729">
        <v>5.7000000000000002E-2</v>
      </c>
      <c r="U18" s="729">
        <v>5.7000000000000002E-2</v>
      </c>
      <c r="V18" s="729">
        <v>5.7000000000000002E-2</v>
      </c>
      <c r="W18" s="729">
        <v>5.7000000000000002E-2</v>
      </c>
      <c r="X18" s="729">
        <v>5.7000000000000002E-2</v>
      </c>
      <c r="Y18" s="162"/>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row>
    <row r="19" spans="1:64" x14ac:dyDescent="0.25">
      <c r="A19" s="914"/>
      <c r="B19" s="917"/>
      <c r="C19" s="914"/>
      <c r="D19" s="916"/>
      <c r="E19" s="917"/>
      <c r="F19" s="741" t="s">
        <v>295</v>
      </c>
      <c r="G19" s="741">
        <v>1992</v>
      </c>
      <c r="H19" s="914"/>
      <c r="I19" s="732">
        <v>5.7000000000000002E-2</v>
      </c>
      <c r="J19" s="732">
        <v>5.7000000000000002E-2</v>
      </c>
      <c r="K19" s="732">
        <v>5.7000000000000002E-2</v>
      </c>
      <c r="L19" s="732">
        <v>5.7000000000000002E-2</v>
      </c>
      <c r="M19" s="732">
        <v>5.7000000000000002E-2</v>
      </c>
      <c r="N19" s="732">
        <v>7.8E-2</v>
      </c>
      <c r="O19" s="732">
        <v>7.8E-2</v>
      </c>
      <c r="P19" s="732">
        <v>7.8E-2</v>
      </c>
      <c r="Q19" s="732">
        <v>7.8E-2</v>
      </c>
      <c r="R19" s="732">
        <v>7.8E-2</v>
      </c>
      <c r="S19" s="732">
        <v>5.7000000000000002E-2</v>
      </c>
      <c r="T19" s="732">
        <v>5.7000000000000002E-2</v>
      </c>
      <c r="U19" s="732">
        <v>5.7000000000000002E-2</v>
      </c>
      <c r="V19" s="732">
        <v>5.7000000000000002E-2</v>
      </c>
      <c r="W19" s="732">
        <v>5.7000000000000002E-2</v>
      </c>
      <c r="X19" s="732">
        <v>5.7000000000000002E-2</v>
      </c>
      <c r="Y19" s="162"/>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row>
    <row r="20" spans="1:64" x14ac:dyDescent="0.25">
      <c r="A20" s="914"/>
      <c r="B20" s="917"/>
      <c r="C20" s="914"/>
      <c r="D20" s="916"/>
      <c r="E20" s="917"/>
      <c r="F20" s="745" t="s">
        <v>298</v>
      </c>
      <c r="G20" s="745">
        <v>2001</v>
      </c>
      <c r="H20" s="748" t="s">
        <v>309</v>
      </c>
      <c r="I20" s="734">
        <v>5.7000000000000002E-2</v>
      </c>
      <c r="J20" s="734">
        <v>5.7000000000000002E-2</v>
      </c>
      <c r="K20" s="734">
        <v>5.7000000000000002E-2</v>
      </c>
      <c r="L20" s="734">
        <v>5.7000000000000002E-2</v>
      </c>
      <c r="M20" s="734">
        <v>5.7000000000000002E-2</v>
      </c>
      <c r="N20" s="734">
        <v>7.8E-2</v>
      </c>
      <c r="O20" s="734">
        <v>7.8E-2</v>
      </c>
      <c r="P20" s="734">
        <v>7.8E-2</v>
      </c>
      <c r="Q20" s="734">
        <v>7.8E-2</v>
      </c>
      <c r="R20" s="734">
        <v>5.7000000000000002E-2</v>
      </c>
      <c r="S20" s="734">
        <v>5.7000000000000002E-2</v>
      </c>
      <c r="T20" s="734">
        <v>5.7000000000000002E-2</v>
      </c>
      <c r="U20" s="734">
        <v>5.7000000000000002E-2</v>
      </c>
      <c r="V20" s="734">
        <v>5.7000000000000002E-2</v>
      </c>
      <c r="W20" s="734">
        <v>5.7000000000000002E-2</v>
      </c>
      <c r="X20" s="734">
        <v>5.7000000000000002E-2</v>
      </c>
      <c r="Y20" s="162"/>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row>
    <row r="21" spans="1:64" x14ac:dyDescent="0.25">
      <c r="A21" s="914"/>
      <c r="B21" s="917"/>
      <c r="C21" s="914"/>
      <c r="D21" s="916"/>
      <c r="E21" s="917"/>
      <c r="F21" s="746" t="s">
        <v>300</v>
      </c>
      <c r="G21" s="746">
        <v>2013</v>
      </c>
      <c r="H21" s="749" t="s">
        <v>320</v>
      </c>
      <c r="I21" s="736">
        <v>4.9000000000000002E-2</v>
      </c>
      <c r="J21" s="736">
        <v>3.9E-2</v>
      </c>
      <c r="K21" s="736">
        <v>3.9E-2</v>
      </c>
      <c r="L21" s="736">
        <v>3.9E-2</v>
      </c>
      <c r="M21" s="736">
        <v>4.9000000000000002E-2</v>
      </c>
      <c r="N21" s="736">
        <v>7.4999999999999997E-2</v>
      </c>
      <c r="O21" s="736">
        <v>6.7000000000000004E-2</v>
      </c>
      <c r="P21" s="736">
        <v>6.7000000000000004E-2</v>
      </c>
      <c r="Q21" s="736">
        <v>3.9E-2</v>
      </c>
      <c r="R21" s="736">
        <v>3.9E-2</v>
      </c>
      <c r="S21" s="736">
        <v>3.9E-2</v>
      </c>
      <c r="T21" s="736">
        <v>3.9E-2</v>
      </c>
      <c r="U21" s="736">
        <v>3.9E-2</v>
      </c>
      <c r="V21" s="736">
        <v>3.9E-2</v>
      </c>
      <c r="W21" s="736">
        <v>3.9E-2</v>
      </c>
      <c r="X21" s="736">
        <v>3.9E-2</v>
      </c>
      <c r="Y21" s="162"/>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64" x14ac:dyDescent="0.25">
      <c r="A22" s="914"/>
      <c r="B22" s="917"/>
      <c r="C22" s="914"/>
      <c r="D22" s="916"/>
      <c r="E22" s="917"/>
      <c r="F22" s="737" t="s">
        <v>303</v>
      </c>
      <c r="G22" s="738">
        <v>2025</v>
      </c>
      <c r="H22" s="750" t="s">
        <v>310</v>
      </c>
      <c r="I22" s="739">
        <v>2.8000000000000001E-2</v>
      </c>
      <c r="J22" s="739">
        <v>2.8000000000000001E-2</v>
      </c>
      <c r="K22" s="739">
        <v>2.8000000000000001E-2</v>
      </c>
      <c r="L22" s="739">
        <v>2.8000000000000001E-2</v>
      </c>
      <c r="M22" s="739">
        <v>2.8000000000000001E-2</v>
      </c>
      <c r="N22" s="739">
        <v>4.7E-2</v>
      </c>
      <c r="O22" s="739">
        <v>4.7E-2</v>
      </c>
      <c r="P22" s="739">
        <v>4.7E-2</v>
      </c>
      <c r="Q22" s="739">
        <v>2.8000000000000001E-2</v>
      </c>
      <c r="R22" s="739">
        <v>2.8000000000000001E-2</v>
      </c>
      <c r="S22" s="739">
        <v>2.8000000000000001E-2</v>
      </c>
      <c r="T22" s="739">
        <v>2.8000000000000001E-2</v>
      </c>
      <c r="U22" s="739">
        <v>2.8000000000000001E-2</v>
      </c>
      <c r="V22" s="739">
        <v>2.8000000000000001E-2</v>
      </c>
      <c r="W22" s="739">
        <v>2.8000000000000001E-2</v>
      </c>
      <c r="X22" s="739">
        <v>2.8000000000000001E-2</v>
      </c>
      <c r="Y22" s="162"/>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row>
    <row r="23" spans="1:64" ht="20.25" customHeight="1" x14ac:dyDescent="0.25">
      <c r="A23" s="914" t="s">
        <v>321</v>
      </c>
      <c r="B23" s="917" t="s">
        <v>73</v>
      </c>
      <c r="C23" s="914" t="s">
        <v>322</v>
      </c>
      <c r="D23" s="914" t="s">
        <v>323</v>
      </c>
      <c r="E23" s="917" t="s">
        <v>291</v>
      </c>
      <c r="F23" s="833" t="s">
        <v>292</v>
      </c>
      <c r="G23" s="833" t="s">
        <v>293</v>
      </c>
      <c r="H23" s="914" t="s">
        <v>324</v>
      </c>
      <c r="I23" s="756">
        <v>0.68679999999999997</v>
      </c>
      <c r="J23" s="756">
        <v>0.68679999999999997</v>
      </c>
      <c r="K23" s="756">
        <v>0.68679999999999997</v>
      </c>
      <c r="L23" s="756">
        <v>0.68679999999999997</v>
      </c>
      <c r="M23" s="756">
        <v>0.68679999999999997</v>
      </c>
      <c r="N23" s="756">
        <v>0.68679999999999997</v>
      </c>
      <c r="O23" s="756">
        <v>0.68679999999999997</v>
      </c>
      <c r="P23" s="756">
        <v>0.68679999999999997</v>
      </c>
      <c r="Q23" s="756">
        <v>0.68679999999999997</v>
      </c>
      <c r="R23" s="756">
        <v>0.68679999999999997</v>
      </c>
      <c r="S23" s="756">
        <v>0.68679999999999997</v>
      </c>
      <c r="T23" s="756">
        <v>0.68679999999999997</v>
      </c>
      <c r="U23" s="756">
        <v>0.68679999999999997</v>
      </c>
      <c r="V23" s="756">
        <v>0.68679999999999997</v>
      </c>
      <c r="W23" s="756">
        <v>0.68679999999999997</v>
      </c>
      <c r="X23" s="756">
        <v>0.68679999999999997</v>
      </c>
      <c r="Y23" s="106"/>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row>
    <row r="24" spans="1:64" x14ac:dyDescent="0.25">
      <c r="A24" s="914"/>
      <c r="B24" s="917"/>
      <c r="C24" s="914"/>
      <c r="D24" s="914"/>
      <c r="E24" s="917"/>
      <c r="F24" s="741" t="s">
        <v>295</v>
      </c>
      <c r="G24" s="741" t="s">
        <v>293</v>
      </c>
      <c r="H24" s="914"/>
      <c r="I24" s="757">
        <v>0.68679999999999997</v>
      </c>
      <c r="J24" s="757">
        <v>0.68679999999999997</v>
      </c>
      <c r="K24" s="757">
        <v>0.68679999999999997</v>
      </c>
      <c r="L24" s="757">
        <v>0.68679999999999997</v>
      </c>
      <c r="M24" s="757">
        <v>0.68679999999999997</v>
      </c>
      <c r="N24" s="757">
        <v>0.68679999999999997</v>
      </c>
      <c r="O24" s="757">
        <v>0.68679999999999997</v>
      </c>
      <c r="P24" s="757">
        <v>0.68679999999999997</v>
      </c>
      <c r="Q24" s="757">
        <v>0.68679999999999997</v>
      </c>
      <c r="R24" s="757">
        <v>0.68679999999999997</v>
      </c>
      <c r="S24" s="757">
        <v>0.68679999999999997</v>
      </c>
      <c r="T24" s="757">
        <v>0.68679999999999997</v>
      </c>
      <c r="U24" s="757">
        <v>0.68679999999999997</v>
      </c>
      <c r="V24" s="757">
        <v>0.68679999999999997</v>
      </c>
      <c r="W24" s="757">
        <v>0.68679999999999997</v>
      </c>
      <c r="X24" s="757">
        <v>0.68679999999999997</v>
      </c>
      <c r="Y24" s="106"/>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row>
    <row r="25" spans="1:64" x14ac:dyDescent="0.25">
      <c r="A25" s="914"/>
      <c r="B25" s="917"/>
      <c r="C25" s="914"/>
      <c r="D25" s="917" t="s">
        <v>325</v>
      </c>
      <c r="E25" s="917"/>
      <c r="F25" s="745" t="s">
        <v>298</v>
      </c>
      <c r="G25" s="745">
        <v>2001</v>
      </c>
      <c r="H25" s="751" t="s">
        <v>326</v>
      </c>
      <c r="I25" s="758">
        <v>0.49</v>
      </c>
      <c r="J25" s="758">
        <v>0.49</v>
      </c>
      <c r="K25" s="758">
        <v>0.49</v>
      </c>
      <c r="L25" s="758">
        <v>0.49</v>
      </c>
      <c r="M25" s="758">
        <v>0.49</v>
      </c>
      <c r="N25" s="758">
        <v>0.49</v>
      </c>
      <c r="O25" s="758">
        <v>0.49</v>
      </c>
      <c r="P25" s="758">
        <v>0.49</v>
      </c>
      <c r="Q25" s="758">
        <v>0.49</v>
      </c>
      <c r="R25" s="758">
        <v>0.49</v>
      </c>
      <c r="S25" s="758">
        <v>0.49</v>
      </c>
      <c r="T25" s="758">
        <v>0.49</v>
      </c>
      <c r="U25" s="758">
        <v>0.49</v>
      </c>
      <c r="V25" s="758">
        <v>0.49</v>
      </c>
      <c r="W25" s="758">
        <v>0.49</v>
      </c>
      <c r="X25" s="758">
        <v>0.49</v>
      </c>
      <c r="Y25" s="106"/>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row>
    <row r="26" spans="1:64" x14ac:dyDescent="0.25">
      <c r="A26" s="914"/>
      <c r="B26" s="917"/>
      <c r="C26" s="914"/>
      <c r="D26" s="917"/>
      <c r="E26" s="917"/>
      <c r="F26" s="746" t="s">
        <v>300</v>
      </c>
      <c r="G26" s="746">
        <v>2013</v>
      </c>
      <c r="H26" s="752" t="s">
        <v>327</v>
      </c>
      <c r="I26" s="759">
        <v>0.36</v>
      </c>
      <c r="J26" s="759">
        <v>0.36</v>
      </c>
      <c r="K26" s="759">
        <v>0.36</v>
      </c>
      <c r="L26" s="759">
        <v>0.36</v>
      </c>
      <c r="M26" s="759">
        <v>0.36</v>
      </c>
      <c r="N26" s="759">
        <v>0.36</v>
      </c>
      <c r="O26" s="759">
        <v>0.36</v>
      </c>
      <c r="P26" s="759">
        <v>0.36</v>
      </c>
      <c r="Q26" s="759">
        <v>0.36</v>
      </c>
      <c r="R26" s="759">
        <v>0.36</v>
      </c>
      <c r="S26" s="759">
        <v>0.36</v>
      </c>
      <c r="T26" s="759">
        <v>0.36</v>
      </c>
      <c r="U26" s="759">
        <v>0.36</v>
      </c>
      <c r="V26" s="759">
        <v>0.36</v>
      </c>
      <c r="W26" s="759">
        <v>0.36</v>
      </c>
      <c r="X26" s="759">
        <v>0.36</v>
      </c>
      <c r="Y26" s="106"/>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row>
    <row r="27" spans="1:64" x14ac:dyDescent="0.25">
      <c r="A27" s="914"/>
      <c r="B27" s="917"/>
      <c r="C27" s="914"/>
      <c r="D27" s="917"/>
      <c r="E27" s="917"/>
      <c r="F27" s="737" t="s">
        <v>303</v>
      </c>
      <c r="G27" s="738">
        <v>2025</v>
      </c>
      <c r="H27" s="753" t="s">
        <v>301</v>
      </c>
      <c r="I27" s="760">
        <v>0.36</v>
      </c>
      <c r="J27" s="760">
        <v>0.36</v>
      </c>
      <c r="K27" s="760">
        <v>0.36</v>
      </c>
      <c r="L27" s="760">
        <v>0.36</v>
      </c>
      <c r="M27" s="760">
        <v>0.36</v>
      </c>
      <c r="N27" s="760">
        <v>0.36</v>
      </c>
      <c r="O27" s="760">
        <v>0.36</v>
      </c>
      <c r="P27" s="760">
        <v>0.36</v>
      </c>
      <c r="Q27" s="760">
        <v>0.36</v>
      </c>
      <c r="R27" s="760">
        <v>0.36</v>
      </c>
      <c r="S27" s="760">
        <v>0.36</v>
      </c>
      <c r="T27" s="760">
        <v>0.36</v>
      </c>
      <c r="U27" s="760">
        <v>0.36</v>
      </c>
      <c r="V27" s="760">
        <v>0.36</v>
      </c>
      <c r="W27" s="760">
        <v>0.36</v>
      </c>
      <c r="X27" s="760">
        <v>0.36</v>
      </c>
      <c r="Y27" s="106"/>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row>
    <row r="28" spans="1:64" ht="18" customHeight="1" x14ac:dyDescent="0.25">
      <c r="A28" s="914"/>
      <c r="B28" s="917"/>
      <c r="C28" s="914"/>
      <c r="D28" s="914" t="s">
        <v>323</v>
      </c>
      <c r="E28" s="917" t="s">
        <v>328</v>
      </c>
      <c r="F28" s="833" t="s">
        <v>292</v>
      </c>
      <c r="G28" s="833" t="s">
        <v>293</v>
      </c>
      <c r="H28" s="914" t="s">
        <v>329</v>
      </c>
      <c r="I28" s="756">
        <v>0.48219999999999996</v>
      </c>
      <c r="J28" s="756">
        <v>0.48219999999999996</v>
      </c>
      <c r="K28" s="756">
        <v>0.48219999999999996</v>
      </c>
      <c r="L28" s="756">
        <v>0.48219999999999996</v>
      </c>
      <c r="M28" s="756">
        <v>0.48219999999999996</v>
      </c>
      <c r="N28" s="756">
        <v>0.48219999999999996</v>
      </c>
      <c r="O28" s="756">
        <v>0.48219999999999996</v>
      </c>
      <c r="P28" s="756">
        <v>0.48219999999999996</v>
      </c>
      <c r="Q28" s="756">
        <v>0.48219999999999996</v>
      </c>
      <c r="R28" s="756">
        <v>0.48219999999999996</v>
      </c>
      <c r="S28" s="756">
        <v>0.48219999999999996</v>
      </c>
      <c r="T28" s="756">
        <v>0.48219999999999996</v>
      </c>
      <c r="U28" s="756">
        <v>0.48219999999999996</v>
      </c>
      <c r="V28" s="756">
        <v>0.48219999999999996</v>
      </c>
      <c r="W28" s="756">
        <v>0.48219999999999996</v>
      </c>
      <c r="X28" s="756">
        <v>0.48219999999999996</v>
      </c>
      <c r="Y28" s="106"/>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row>
    <row r="29" spans="1:64" ht="13.95" customHeight="1" x14ac:dyDescent="0.25">
      <c r="A29" s="914"/>
      <c r="B29" s="917"/>
      <c r="C29" s="914"/>
      <c r="D29" s="914"/>
      <c r="E29" s="917"/>
      <c r="F29" s="741" t="s">
        <v>295</v>
      </c>
      <c r="G29" s="741" t="s">
        <v>293</v>
      </c>
      <c r="H29" s="914"/>
      <c r="I29" s="757">
        <v>0.48219999999999996</v>
      </c>
      <c r="J29" s="757">
        <v>0.48219999999999996</v>
      </c>
      <c r="K29" s="757">
        <v>0.48219999999999996</v>
      </c>
      <c r="L29" s="757">
        <v>0.48219999999999996</v>
      </c>
      <c r="M29" s="757">
        <v>0.48219999999999996</v>
      </c>
      <c r="N29" s="757">
        <v>0.48219999999999996</v>
      </c>
      <c r="O29" s="757">
        <v>0.48219999999999996</v>
      </c>
      <c r="P29" s="757">
        <v>0.48219999999999996</v>
      </c>
      <c r="Q29" s="757">
        <v>0.48219999999999996</v>
      </c>
      <c r="R29" s="757">
        <v>0.48219999999999996</v>
      </c>
      <c r="S29" s="757">
        <v>0.48219999999999996</v>
      </c>
      <c r="T29" s="757">
        <v>0.48219999999999996</v>
      </c>
      <c r="U29" s="757">
        <v>0.48219999999999996</v>
      </c>
      <c r="V29" s="757">
        <v>0.48219999999999996</v>
      </c>
      <c r="W29" s="757">
        <v>0.48219999999999996</v>
      </c>
      <c r="X29" s="757">
        <v>0.48219999999999996</v>
      </c>
      <c r="Y29" s="106"/>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row>
    <row r="30" spans="1:64" ht="22.5" customHeight="1" x14ac:dyDescent="0.25">
      <c r="A30" s="914"/>
      <c r="B30" s="917"/>
      <c r="C30" s="914"/>
      <c r="D30" s="917" t="s">
        <v>325</v>
      </c>
      <c r="E30" s="917"/>
      <c r="F30" s="745" t="s">
        <v>298</v>
      </c>
      <c r="G30" s="745">
        <v>2001</v>
      </c>
      <c r="H30" s="751" t="s">
        <v>330</v>
      </c>
      <c r="I30" s="758">
        <v>0.3</v>
      </c>
      <c r="J30" s="758">
        <v>0.26</v>
      </c>
      <c r="K30" s="758">
        <v>0.26</v>
      </c>
      <c r="L30" s="758">
        <v>0.26</v>
      </c>
      <c r="M30" s="758">
        <v>0.26</v>
      </c>
      <c r="N30" s="758">
        <v>0.31</v>
      </c>
      <c r="O30" s="758">
        <v>0.31</v>
      </c>
      <c r="P30" s="758">
        <v>0.31</v>
      </c>
      <c r="Q30" s="758">
        <v>0.31</v>
      </c>
      <c r="R30" s="758">
        <v>0.26</v>
      </c>
      <c r="S30" s="758">
        <v>0.26</v>
      </c>
      <c r="T30" s="758">
        <v>0.26</v>
      </c>
      <c r="U30" s="758">
        <v>0.26</v>
      </c>
      <c r="V30" s="758">
        <v>0.26</v>
      </c>
      <c r="W30" s="758">
        <v>0.26</v>
      </c>
      <c r="X30" s="758">
        <v>0.3</v>
      </c>
      <c r="Y30" s="106"/>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row>
    <row r="31" spans="1:64" x14ac:dyDescent="0.25">
      <c r="A31" s="914"/>
      <c r="B31" s="917"/>
      <c r="C31" s="914"/>
      <c r="D31" s="917"/>
      <c r="E31" s="917"/>
      <c r="F31" s="746" t="s">
        <v>300</v>
      </c>
      <c r="G31" s="746">
        <v>2013</v>
      </c>
      <c r="H31" s="752" t="s">
        <v>331</v>
      </c>
      <c r="I31" s="761">
        <v>0.25</v>
      </c>
      <c r="J31" s="761">
        <v>0.25</v>
      </c>
      <c r="K31" s="761">
        <v>0.25</v>
      </c>
      <c r="L31" s="761">
        <v>0.25</v>
      </c>
      <c r="M31" s="761">
        <v>0.25</v>
      </c>
      <c r="N31" s="761">
        <v>0.25</v>
      </c>
      <c r="O31" s="761">
        <v>0.25</v>
      </c>
      <c r="P31" s="761">
        <v>0.25</v>
      </c>
      <c r="Q31" s="761">
        <v>0.25</v>
      </c>
      <c r="R31" s="761">
        <v>0.25</v>
      </c>
      <c r="S31" s="761">
        <v>0.25</v>
      </c>
      <c r="T31" s="761">
        <v>0.25</v>
      </c>
      <c r="U31" s="761">
        <v>0.25</v>
      </c>
      <c r="V31" s="761">
        <v>0.25</v>
      </c>
      <c r="W31" s="761">
        <v>0.25</v>
      </c>
      <c r="X31" s="761">
        <v>0.25</v>
      </c>
      <c r="Y31" s="106"/>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row>
    <row r="32" spans="1:64" x14ac:dyDescent="0.25">
      <c r="A32" s="914"/>
      <c r="B32" s="917"/>
      <c r="C32" s="914"/>
      <c r="D32" s="917"/>
      <c r="E32" s="917"/>
      <c r="F32" s="737" t="s">
        <v>303</v>
      </c>
      <c r="G32" s="738">
        <v>2025</v>
      </c>
      <c r="H32" s="753" t="s">
        <v>327</v>
      </c>
      <c r="I32" s="762">
        <v>0.25</v>
      </c>
      <c r="J32" s="762">
        <v>0.25</v>
      </c>
      <c r="K32" s="762">
        <v>0.25</v>
      </c>
      <c r="L32" s="762">
        <v>0.25</v>
      </c>
      <c r="M32" s="762">
        <v>0.25</v>
      </c>
      <c r="N32" s="762">
        <v>0.25</v>
      </c>
      <c r="O32" s="762">
        <v>0.25</v>
      </c>
      <c r="P32" s="762">
        <v>0.25</v>
      </c>
      <c r="Q32" s="762">
        <v>0.25</v>
      </c>
      <c r="R32" s="762">
        <v>0.25</v>
      </c>
      <c r="S32" s="762">
        <v>0.25</v>
      </c>
      <c r="T32" s="762">
        <v>0.25</v>
      </c>
      <c r="U32" s="762">
        <v>0.25</v>
      </c>
      <c r="V32" s="762">
        <v>0.25</v>
      </c>
      <c r="W32" s="762">
        <v>0.25</v>
      </c>
      <c r="X32" s="762">
        <v>0.25</v>
      </c>
      <c r="Y32" s="106"/>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row>
    <row r="33" spans="1:64" ht="17.25" customHeight="1" x14ac:dyDescent="0.25">
      <c r="A33" s="914" t="s">
        <v>332</v>
      </c>
      <c r="B33" s="917" t="s">
        <v>73</v>
      </c>
      <c r="C33" s="914" t="s">
        <v>333</v>
      </c>
      <c r="D33" s="914" t="s">
        <v>323</v>
      </c>
      <c r="E33" s="917" t="s">
        <v>291</v>
      </c>
      <c r="F33" s="833" t="s">
        <v>292</v>
      </c>
      <c r="G33" s="833" t="s">
        <v>293</v>
      </c>
      <c r="H33" s="914" t="s">
        <v>324</v>
      </c>
      <c r="I33" s="756">
        <v>0.68679999999999997</v>
      </c>
      <c r="J33" s="756">
        <v>0.68679999999999997</v>
      </c>
      <c r="K33" s="756">
        <v>0.68679999999999997</v>
      </c>
      <c r="L33" s="756">
        <v>0.68679999999999997</v>
      </c>
      <c r="M33" s="756">
        <v>0.68679999999999997</v>
      </c>
      <c r="N33" s="756">
        <v>0.68679999999999997</v>
      </c>
      <c r="O33" s="756">
        <v>0.68679999999999997</v>
      </c>
      <c r="P33" s="756">
        <v>0.68679999999999997</v>
      </c>
      <c r="Q33" s="756">
        <v>0.68679999999999997</v>
      </c>
      <c r="R33" s="756">
        <v>0.68679999999999997</v>
      </c>
      <c r="S33" s="756">
        <v>0.68679999999999997</v>
      </c>
      <c r="T33" s="756">
        <v>0.68679999999999997</v>
      </c>
      <c r="U33" s="756">
        <v>0.68679999999999997</v>
      </c>
      <c r="V33" s="756">
        <v>0.68679999999999997</v>
      </c>
      <c r="W33" s="756">
        <v>0.68679999999999997</v>
      </c>
      <c r="X33" s="756">
        <v>0.68679999999999997</v>
      </c>
      <c r="Y33" s="106"/>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row>
    <row r="34" spans="1:64" ht="13.95" customHeight="1" x14ac:dyDescent="0.25">
      <c r="A34" s="914"/>
      <c r="B34" s="917"/>
      <c r="C34" s="914"/>
      <c r="D34" s="914"/>
      <c r="E34" s="917"/>
      <c r="F34" s="754" t="s">
        <v>295</v>
      </c>
      <c r="G34" s="755" t="s">
        <v>293</v>
      </c>
      <c r="H34" s="914"/>
      <c r="I34" s="757">
        <v>0.68679999999999997</v>
      </c>
      <c r="J34" s="757">
        <v>0.68679999999999997</v>
      </c>
      <c r="K34" s="757">
        <v>0.68679999999999997</v>
      </c>
      <c r="L34" s="757">
        <v>0.68679999999999997</v>
      </c>
      <c r="M34" s="757">
        <v>0.68679999999999997</v>
      </c>
      <c r="N34" s="757">
        <v>0.68679999999999997</v>
      </c>
      <c r="O34" s="757">
        <v>0.68679999999999997</v>
      </c>
      <c r="P34" s="757">
        <v>0.68679999999999997</v>
      </c>
      <c r="Q34" s="757">
        <v>0.68679999999999997</v>
      </c>
      <c r="R34" s="757">
        <v>0.68679999999999997</v>
      </c>
      <c r="S34" s="757">
        <v>0.68679999999999997</v>
      </c>
      <c r="T34" s="757">
        <v>0.68679999999999997</v>
      </c>
      <c r="U34" s="757">
        <v>0.68679999999999997</v>
      </c>
      <c r="V34" s="757">
        <v>0.68679999999999997</v>
      </c>
      <c r="W34" s="757">
        <v>0.68679999999999997</v>
      </c>
      <c r="X34" s="757">
        <v>0.68679999999999997</v>
      </c>
      <c r="Y34" s="106"/>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row>
    <row r="35" spans="1:64" x14ac:dyDescent="0.25">
      <c r="A35" s="914"/>
      <c r="B35" s="917"/>
      <c r="C35" s="914"/>
      <c r="D35" s="917" t="s">
        <v>325</v>
      </c>
      <c r="E35" s="917"/>
      <c r="F35" s="745" t="s">
        <v>298</v>
      </c>
      <c r="G35" s="745">
        <v>2001</v>
      </c>
      <c r="H35" s="745" t="s">
        <v>334</v>
      </c>
      <c r="I35" s="758">
        <v>0.49</v>
      </c>
      <c r="J35" s="758">
        <v>0.49</v>
      </c>
      <c r="K35" s="758">
        <v>0.81</v>
      </c>
      <c r="L35" s="758">
        <v>0.81</v>
      </c>
      <c r="M35" s="758">
        <v>0.81</v>
      </c>
      <c r="N35" s="758">
        <v>0.81</v>
      </c>
      <c r="O35" s="758">
        <v>0.81</v>
      </c>
      <c r="P35" s="758">
        <v>0.81</v>
      </c>
      <c r="Q35" s="758">
        <v>0.81</v>
      </c>
      <c r="R35" s="758">
        <v>0.49</v>
      </c>
      <c r="S35" s="758">
        <v>0.49</v>
      </c>
      <c r="T35" s="758">
        <v>0.49</v>
      </c>
      <c r="U35" s="758">
        <v>0.49</v>
      </c>
      <c r="V35" s="758">
        <v>0.49</v>
      </c>
      <c r="W35" s="758">
        <v>0.49</v>
      </c>
      <c r="X35" s="758">
        <v>0.49</v>
      </c>
      <c r="Y35" s="106"/>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row>
    <row r="36" spans="1:64" x14ac:dyDescent="0.25">
      <c r="A36" s="914"/>
      <c r="B36" s="917"/>
      <c r="C36" s="914"/>
      <c r="D36" s="917"/>
      <c r="E36" s="917"/>
      <c r="F36" s="746" t="s">
        <v>300</v>
      </c>
      <c r="G36" s="746">
        <v>2013</v>
      </c>
      <c r="H36" s="746" t="s">
        <v>320</v>
      </c>
      <c r="I36" s="761">
        <v>0.36</v>
      </c>
      <c r="J36" s="761">
        <v>0.36</v>
      </c>
      <c r="K36" s="761">
        <v>0.36</v>
      </c>
      <c r="L36" s="761">
        <v>0.36</v>
      </c>
      <c r="M36" s="761">
        <v>0.36</v>
      </c>
      <c r="N36" s="761">
        <v>0.36</v>
      </c>
      <c r="O36" s="761">
        <v>0.36</v>
      </c>
      <c r="P36" s="761">
        <v>0.36</v>
      </c>
      <c r="Q36" s="761">
        <v>0.36</v>
      </c>
      <c r="R36" s="761">
        <v>0.36</v>
      </c>
      <c r="S36" s="761">
        <v>0.36</v>
      </c>
      <c r="T36" s="761">
        <v>0.36</v>
      </c>
      <c r="U36" s="761">
        <v>0.36</v>
      </c>
      <c r="V36" s="761">
        <v>0.36</v>
      </c>
      <c r="W36" s="761">
        <v>0.36</v>
      </c>
      <c r="X36" s="761">
        <v>0.36</v>
      </c>
      <c r="Y36" s="106"/>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row>
    <row r="37" spans="1:64" x14ac:dyDescent="0.25">
      <c r="A37" s="914"/>
      <c r="B37" s="917"/>
      <c r="C37" s="914"/>
      <c r="D37" s="917"/>
      <c r="E37" s="917"/>
      <c r="F37" s="737" t="s">
        <v>303</v>
      </c>
      <c r="G37" s="738">
        <v>2025</v>
      </c>
      <c r="H37" s="737" t="s">
        <v>310</v>
      </c>
      <c r="I37" s="762">
        <v>0.36</v>
      </c>
      <c r="J37" s="762">
        <v>0.36</v>
      </c>
      <c r="K37" s="762">
        <v>0.36</v>
      </c>
      <c r="L37" s="762">
        <v>0.36</v>
      </c>
      <c r="M37" s="762">
        <v>0.36</v>
      </c>
      <c r="N37" s="762">
        <v>0.36</v>
      </c>
      <c r="O37" s="762">
        <v>0.36</v>
      </c>
      <c r="P37" s="762">
        <v>0.36</v>
      </c>
      <c r="Q37" s="762">
        <v>0.34</v>
      </c>
      <c r="R37" s="762">
        <v>0.36</v>
      </c>
      <c r="S37" s="762">
        <v>0.34</v>
      </c>
      <c r="T37" s="762">
        <v>0.34</v>
      </c>
      <c r="U37" s="762">
        <v>0.34</v>
      </c>
      <c r="V37" s="762">
        <v>0.34</v>
      </c>
      <c r="W37" s="762">
        <v>0.34</v>
      </c>
      <c r="X37" s="762">
        <v>0.36</v>
      </c>
      <c r="Y37" s="106"/>
      <c r="Z37" s="7"/>
      <c r="AA37" s="7"/>
      <c r="AB37" s="7"/>
      <c r="AC37" s="7"/>
      <c r="AD37" s="7"/>
      <c r="AE37" s="704"/>
      <c r="AF37" s="704"/>
      <c r="AG37" s="704"/>
      <c r="AH37" s="704"/>
      <c r="AI37" s="704"/>
      <c r="AJ37" s="704"/>
      <c r="AK37" s="704"/>
      <c r="AL37" s="704"/>
      <c r="AM37" s="704"/>
      <c r="AN37" s="704"/>
      <c r="AO37" s="704"/>
      <c r="AP37" s="704"/>
      <c r="AQ37" s="704"/>
      <c r="AR37" s="704"/>
      <c r="AS37" s="704"/>
      <c r="AT37" s="704"/>
      <c r="AU37" s="7"/>
      <c r="AV37" s="7"/>
      <c r="AW37" s="7"/>
      <c r="AX37" s="7"/>
      <c r="AY37" s="7"/>
      <c r="AZ37" s="7"/>
      <c r="BA37" s="7"/>
      <c r="BB37" s="7"/>
      <c r="BC37" s="7"/>
      <c r="BD37" s="7"/>
      <c r="BE37" s="7"/>
      <c r="BF37" s="7"/>
      <c r="BG37" s="7"/>
      <c r="BH37" s="7"/>
      <c r="BI37" s="7"/>
      <c r="BJ37" s="7"/>
      <c r="BK37" s="7"/>
      <c r="BL37" s="7"/>
    </row>
    <row r="38" spans="1:64" ht="18.75" customHeight="1" x14ac:dyDescent="0.25">
      <c r="A38" s="914"/>
      <c r="B38" s="917"/>
      <c r="C38" s="914"/>
      <c r="D38" s="914" t="s">
        <v>323</v>
      </c>
      <c r="E38" s="917" t="s">
        <v>328</v>
      </c>
      <c r="F38" s="833" t="s">
        <v>292</v>
      </c>
      <c r="G38" s="833" t="s">
        <v>293</v>
      </c>
      <c r="H38" s="914" t="s">
        <v>329</v>
      </c>
      <c r="I38" s="756">
        <v>0.48219999999999996</v>
      </c>
      <c r="J38" s="756">
        <v>0.48219999999999996</v>
      </c>
      <c r="K38" s="756">
        <v>0.48219999999999996</v>
      </c>
      <c r="L38" s="756">
        <v>0.48219999999999996</v>
      </c>
      <c r="M38" s="756">
        <v>0.48219999999999996</v>
      </c>
      <c r="N38" s="756">
        <v>0.48219999999999996</v>
      </c>
      <c r="O38" s="756">
        <v>0.48219999999999996</v>
      </c>
      <c r="P38" s="756">
        <v>0.48219999999999996</v>
      </c>
      <c r="Q38" s="756">
        <v>0.48219999999999996</v>
      </c>
      <c r="R38" s="756">
        <v>0.48219999999999996</v>
      </c>
      <c r="S38" s="756">
        <v>0.48219999999999996</v>
      </c>
      <c r="T38" s="756">
        <v>0.48219999999999996</v>
      </c>
      <c r="U38" s="756">
        <v>0.48219999999999996</v>
      </c>
      <c r="V38" s="756">
        <v>0.48219999999999996</v>
      </c>
      <c r="W38" s="756">
        <v>0.48219999999999996</v>
      </c>
      <c r="X38" s="756">
        <v>0.48219999999999996</v>
      </c>
      <c r="Y38" s="106"/>
      <c r="Z38" s="7"/>
      <c r="AA38" s="7"/>
      <c r="AB38" s="7"/>
      <c r="AC38" s="7"/>
      <c r="AD38" s="7"/>
      <c r="AE38" s="704"/>
      <c r="AF38" s="704"/>
      <c r="AG38" s="704"/>
      <c r="AH38" s="704"/>
      <c r="AI38" s="704"/>
      <c r="AJ38" s="704"/>
      <c r="AK38" s="704"/>
      <c r="AL38" s="704"/>
      <c r="AM38" s="704"/>
      <c r="AN38" s="704"/>
      <c r="AO38" s="704"/>
      <c r="AP38" s="704"/>
      <c r="AQ38" s="704"/>
      <c r="AR38" s="704"/>
      <c r="AS38" s="704"/>
      <c r="AT38" s="704"/>
      <c r="AU38" s="7"/>
      <c r="AV38" s="7"/>
      <c r="AW38" s="7"/>
      <c r="AX38" s="7"/>
      <c r="AY38" s="7"/>
      <c r="AZ38" s="7"/>
      <c r="BA38" s="7"/>
      <c r="BB38" s="7"/>
      <c r="BC38" s="7"/>
      <c r="BD38" s="7"/>
      <c r="BE38" s="7"/>
      <c r="BF38" s="7"/>
      <c r="BG38" s="7"/>
      <c r="BH38" s="7"/>
      <c r="BI38" s="7"/>
      <c r="BJ38" s="7"/>
      <c r="BK38" s="7"/>
      <c r="BL38" s="7"/>
    </row>
    <row r="39" spans="1:64" ht="20.25" customHeight="1" x14ac:dyDescent="0.25">
      <c r="A39" s="914"/>
      <c r="B39" s="917"/>
      <c r="C39" s="914"/>
      <c r="D39" s="914"/>
      <c r="E39" s="917"/>
      <c r="F39" s="741" t="s">
        <v>295</v>
      </c>
      <c r="G39" s="741" t="s">
        <v>293</v>
      </c>
      <c r="H39" s="914"/>
      <c r="I39" s="757">
        <v>0.48219999999999996</v>
      </c>
      <c r="J39" s="757">
        <v>0.48219999999999996</v>
      </c>
      <c r="K39" s="757">
        <v>0.48219999999999996</v>
      </c>
      <c r="L39" s="757">
        <v>0.48219999999999996</v>
      </c>
      <c r="M39" s="757">
        <v>0.48219999999999996</v>
      </c>
      <c r="N39" s="757">
        <v>0.48219999999999996</v>
      </c>
      <c r="O39" s="757">
        <v>0.48219999999999996</v>
      </c>
      <c r="P39" s="757">
        <v>0.48219999999999996</v>
      </c>
      <c r="Q39" s="757">
        <v>0.48219999999999996</v>
      </c>
      <c r="R39" s="757">
        <v>0.48219999999999996</v>
      </c>
      <c r="S39" s="757">
        <v>0.48219999999999996</v>
      </c>
      <c r="T39" s="757">
        <v>0.48219999999999996</v>
      </c>
      <c r="U39" s="757">
        <v>0.48219999999999996</v>
      </c>
      <c r="V39" s="757">
        <v>0.48219999999999996</v>
      </c>
      <c r="W39" s="757">
        <v>0.48219999999999996</v>
      </c>
      <c r="X39" s="757">
        <v>0.48219999999999996</v>
      </c>
      <c r="Y39" s="106"/>
      <c r="Z39" s="7"/>
      <c r="AA39" s="7"/>
      <c r="AB39" s="7"/>
      <c r="AC39" s="7"/>
      <c r="AD39" s="7"/>
      <c r="AE39" s="704"/>
      <c r="AF39" s="704"/>
      <c r="AG39" s="704"/>
      <c r="AH39" s="704"/>
      <c r="AI39" s="704"/>
      <c r="AJ39" s="704"/>
      <c r="AK39" s="704"/>
      <c r="AL39" s="704"/>
      <c r="AM39" s="704"/>
      <c r="AN39" s="704"/>
      <c r="AO39" s="704"/>
      <c r="AP39" s="704"/>
      <c r="AQ39" s="704"/>
      <c r="AR39" s="704"/>
      <c r="AS39" s="704"/>
      <c r="AT39" s="704"/>
      <c r="AU39" s="7"/>
      <c r="AV39" s="7"/>
      <c r="AW39" s="7"/>
      <c r="AX39" s="7"/>
      <c r="AY39" s="7"/>
      <c r="AZ39" s="7"/>
      <c r="BA39" s="7"/>
      <c r="BB39" s="7"/>
      <c r="BC39" s="7"/>
      <c r="BD39" s="7"/>
      <c r="BE39" s="7"/>
      <c r="BF39" s="7"/>
      <c r="BG39" s="7"/>
      <c r="BH39" s="7"/>
      <c r="BI39" s="7"/>
      <c r="BJ39" s="7"/>
      <c r="BK39" s="7"/>
      <c r="BL39" s="7"/>
    </row>
    <row r="40" spans="1:64" ht="15" customHeight="1" x14ac:dyDescent="0.25">
      <c r="A40" s="914"/>
      <c r="B40" s="917"/>
      <c r="C40" s="914"/>
      <c r="D40" s="917" t="s">
        <v>325</v>
      </c>
      <c r="E40" s="917"/>
      <c r="F40" s="745" t="s">
        <v>298</v>
      </c>
      <c r="G40" s="745">
        <v>2001</v>
      </c>
      <c r="H40" s="745" t="s">
        <v>335</v>
      </c>
      <c r="I40" s="758">
        <v>0.43</v>
      </c>
      <c r="J40" s="758">
        <v>0.31</v>
      </c>
      <c r="K40" s="758">
        <v>0.41</v>
      </c>
      <c r="L40" s="758">
        <v>0.41</v>
      </c>
      <c r="M40" s="758">
        <v>0.41</v>
      </c>
      <c r="N40" s="758">
        <v>0.34</v>
      </c>
      <c r="O40" s="758">
        <v>0.34</v>
      </c>
      <c r="P40" s="758">
        <v>0.34</v>
      </c>
      <c r="Q40" s="758">
        <v>0.34</v>
      </c>
      <c r="R40" s="758">
        <v>0.31</v>
      </c>
      <c r="S40" s="758">
        <v>0.31</v>
      </c>
      <c r="T40" s="758">
        <v>0.31</v>
      </c>
      <c r="U40" s="758">
        <v>0.31</v>
      </c>
      <c r="V40" s="758">
        <v>0.31</v>
      </c>
      <c r="W40" s="758">
        <v>0.31</v>
      </c>
      <c r="X40" s="758">
        <v>0.43</v>
      </c>
      <c r="Y40" s="106"/>
      <c r="Z40" s="7"/>
      <c r="AA40" s="7"/>
      <c r="AB40" s="7"/>
      <c r="AC40" s="7"/>
      <c r="AD40" s="7"/>
      <c r="AE40" s="704"/>
      <c r="AF40" s="704"/>
      <c r="AG40" s="704"/>
      <c r="AH40" s="704"/>
      <c r="AI40" s="704"/>
      <c r="AJ40" s="704"/>
      <c r="AK40" s="704"/>
      <c r="AL40" s="704"/>
      <c r="AM40" s="704"/>
      <c r="AN40" s="704"/>
      <c r="AO40" s="704"/>
      <c r="AP40" s="704"/>
      <c r="AQ40" s="704"/>
      <c r="AR40" s="704"/>
      <c r="AS40" s="704"/>
      <c r="AT40" s="704"/>
      <c r="AU40" s="7"/>
      <c r="AV40" s="7"/>
      <c r="AW40" s="7"/>
      <c r="AX40" s="7"/>
      <c r="AY40" s="7"/>
      <c r="AZ40" s="7"/>
      <c r="BA40" s="7"/>
      <c r="BB40" s="7"/>
      <c r="BC40" s="7"/>
      <c r="BD40" s="7"/>
      <c r="BE40" s="7"/>
      <c r="BF40" s="7"/>
      <c r="BG40" s="7"/>
      <c r="BH40" s="7"/>
      <c r="BI40" s="7"/>
      <c r="BJ40" s="7"/>
      <c r="BK40" s="7"/>
      <c r="BL40" s="7"/>
    </row>
    <row r="41" spans="1:64" x14ac:dyDescent="0.25">
      <c r="A41" s="914"/>
      <c r="B41" s="917"/>
      <c r="C41" s="914"/>
      <c r="D41" s="917"/>
      <c r="E41" s="917"/>
      <c r="F41" s="746" t="s">
        <v>300</v>
      </c>
      <c r="G41" s="746">
        <v>2013</v>
      </c>
      <c r="H41" s="746" t="s">
        <v>336</v>
      </c>
      <c r="I41" s="761">
        <v>0.25</v>
      </c>
      <c r="J41" s="761">
        <v>0.25</v>
      </c>
      <c r="K41" s="761">
        <v>0.25</v>
      </c>
      <c r="L41" s="761">
        <v>0.25</v>
      </c>
      <c r="M41" s="761">
        <v>0.25</v>
      </c>
      <c r="N41" s="761">
        <v>0.25</v>
      </c>
      <c r="O41" s="761">
        <v>0.25</v>
      </c>
      <c r="P41" s="761">
        <v>0.25</v>
      </c>
      <c r="Q41" s="761">
        <v>0.25</v>
      </c>
      <c r="R41" s="761">
        <v>0.25</v>
      </c>
      <c r="S41" s="761">
        <v>0.25</v>
      </c>
      <c r="T41" s="761">
        <v>0.25</v>
      </c>
      <c r="U41" s="761">
        <v>0.25</v>
      </c>
      <c r="V41" s="761">
        <v>0.25</v>
      </c>
      <c r="W41" s="761">
        <v>0.25</v>
      </c>
      <c r="X41" s="761">
        <v>0.25</v>
      </c>
      <c r="Y41" s="106"/>
      <c r="Z41" s="7"/>
      <c r="AA41" s="7"/>
      <c r="AB41" s="7"/>
      <c r="AC41" s="7"/>
      <c r="AD41" s="7"/>
      <c r="AE41" s="882"/>
      <c r="AF41" s="882"/>
      <c r="AG41" s="882"/>
      <c r="AH41" s="882"/>
      <c r="AI41" s="882"/>
      <c r="AJ41" s="882"/>
      <c r="AK41" s="882"/>
      <c r="AL41" s="882"/>
      <c r="AM41" s="882"/>
      <c r="AN41" s="882"/>
      <c r="AO41" s="882"/>
      <c r="AP41" s="882"/>
      <c r="AQ41" s="882"/>
      <c r="AR41" s="882"/>
      <c r="AS41" s="882"/>
      <c r="AT41" s="882"/>
      <c r="AU41" s="7"/>
      <c r="AV41" s="7"/>
      <c r="AW41" s="7"/>
      <c r="AX41" s="7"/>
      <c r="AY41" s="7"/>
      <c r="AZ41" s="7"/>
      <c r="BA41" s="7"/>
      <c r="BB41" s="7"/>
      <c r="BC41" s="7"/>
      <c r="BD41" s="7"/>
      <c r="BE41" s="7"/>
      <c r="BF41" s="7"/>
      <c r="BG41" s="7"/>
      <c r="BH41" s="7"/>
      <c r="BI41" s="7"/>
      <c r="BJ41" s="7"/>
      <c r="BK41" s="7"/>
      <c r="BL41" s="7"/>
    </row>
    <row r="42" spans="1:64" x14ac:dyDescent="0.25">
      <c r="A42" s="914"/>
      <c r="B42" s="917"/>
      <c r="C42" s="914"/>
      <c r="D42" s="917"/>
      <c r="E42" s="917"/>
      <c r="F42" s="737" t="s">
        <v>303</v>
      </c>
      <c r="G42" s="738">
        <v>2025</v>
      </c>
      <c r="H42" s="737" t="s">
        <v>336</v>
      </c>
      <c r="I42" s="762">
        <v>0.25</v>
      </c>
      <c r="J42" s="762">
        <v>0.25</v>
      </c>
      <c r="K42" s="762">
        <v>0.25</v>
      </c>
      <c r="L42" s="762">
        <v>0.25</v>
      </c>
      <c r="M42" s="762">
        <v>0.25</v>
      </c>
      <c r="N42" s="762">
        <v>0.25</v>
      </c>
      <c r="O42" s="762">
        <v>0.25</v>
      </c>
      <c r="P42" s="762">
        <v>0.25</v>
      </c>
      <c r="Q42" s="762">
        <v>0.22</v>
      </c>
      <c r="R42" s="762">
        <v>0.25</v>
      </c>
      <c r="S42" s="762">
        <v>0.22</v>
      </c>
      <c r="T42" s="762">
        <v>0.22</v>
      </c>
      <c r="U42" s="762">
        <v>0.22</v>
      </c>
      <c r="V42" s="762">
        <v>0.22</v>
      </c>
      <c r="W42" s="762">
        <v>0.22</v>
      </c>
      <c r="X42" s="762">
        <v>0.25</v>
      </c>
      <c r="Y42" s="106"/>
      <c r="Z42" s="7"/>
      <c r="AA42" s="7"/>
      <c r="AB42" s="7"/>
      <c r="AC42" s="7"/>
      <c r="AD42" s="7"/>
      <c r="AE42" s="704"/>
      <c r="AF42" s="704"/>
      <c r="AG42" s="704"/>
      <c r="AH42" s="704"/>
      <c r="AI42" s="704"/>
      <c r="AJ42" s="704"/>
      <c r="AK42" s="704"/>
      <c r="AL42" s="704"/>
      <c r="AM42" s="704"/>
      <c r="AN42" s="704"/>
      <c r="AO42" s="704"/>
      <c r="AP42" s="704"/>
      <c r="AQ42" s="704"/>
      <c r="AR42" s="704"/>
      <c r="AS42" s="704"/>
      <c r="AT42" s="704"/>
      <c r="AU42" s="7"/>
      <c r="AV42" s="7"/>
      <c r="AW42" s="7"/>
      <c r="AX42" s="7"/>
      <c r="AY42" s="7"/>
      <c r="AZ42" s="7"/>
      <c r="BA42" s="7"/>
      <c r="BB42" s="7"/>
      <c r="BC42" s="7"/>
      <c r="BD42" s="7"/>
      <c r="BE42" s="7"/>
      <c r="BF42" s="7"/>
      <c r="BG42" s="7"/>
      <c r="BH42" s="7"/>
      <c r="BI42" s="7"/>
      <c r="BJ42" s="7"/>
      <c r="BK42" s="7"/>
      <c r="BL42" s="7"/>
    </row>
    <row r="43" spans="1:64" ht="21" customHeight="1" x14ac:dyDescent="0.25">
      <c r="A43" s="905"/>
      <c r="B43" s="905"/>
      <c r="C43" s="905"/>
      <c r="D43" s="905"/>
      <c r="E43" s="905"/>
      <c r="F43" s="905"/>
      <c r="G43" s="905"/>
      <c r="H43" s="905"/>
      <c r="I43" s="905"/>
      <c r="J43" s="905"/>
      <c r="K43" s="905"/>
      <c r="L43" s="905"/>
      <c r="M43" s="905"/>
      <c r="N43" s="905"/>
      <c r="O43" s="905"/>
      <c r="P43" s="905"/>
      <c r="Q43" s="905"/>
      <c r="R43" s="905"/>
      <c r="S43" s="905"/>
      <c r="T43" s="905"/>
      <c r="U43" s="905"/>
      <c r="V43" s="905"/>
      <c r="W43" s="905"/>
      <c r="X43" s="905"/>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row>
    <row r="44" spans="1:64" ht="25.95" customHeight="1" x14ac:dyDescent="0.25">
      <c r="A44" s="9"/>
      <c r="B44" s="14"/>
      <c r="C44" s="921" t="s">
        <v>337</v>
      </c>
      <c r="D44" s="921"/>
      <c r="E44" s="921"/>
      <c r="F44" s="921"/>
      <c r="G44" s="921"/>
      <c r="H44" s="921"/>
      <c r="I44" s="921"/>
      <c r="J44" s="921"/>
      <c r="K44" s="921"/>
      <c r="L44" s="921"/>
      <c r="M44" s="921"/>
      <c r="N44" s="921"/>
      <c r="O44" s="921"/>
      <c r="P44" s="921"/>
      <c r="Q44" s="921"/>
      <c r="R44" s="921"/>
      <c r="S44" s="921"/>
      <c r="T44" s="921"/>
      <c r="U44" s="921"/>
      <c r="V44" s="921"/>
      <c r="W44" s="921"/>
      <c r="X44" s="921"/>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row>
    <row r="45" spans="1:64" ht="43.95" customHeight="1" x14ac:dyDescent="0.25">
      <c r="A45" s="9"/>
      <c r="B45" s="14"/>
      <c r="C45" s="785"/>
      <c r="D45" s="785" t="s">
        <v>189</v>
      </c>
      <c r="E45" s="785" t="s">
        <v>338</v>
      </c>
      <c r="F45" s="31" t="s">
        <v>270</v>
      </c>
      <c r="G45" s="60" t="s">
        <v>339</v>
      </c>
      <c r="H45" s="60" t="s">
        <v>260</v>
      </c>
      <c r="I45" s="927" t="s">
        <v>340</v>
      </c>
      <c r="J45" s="928"/>
      <c r="K45" s="928"/>
      <c r="L45" s="928"/>
      <c r="M45" s="928"/>
      <c r="N45" s="928"/>
      <c r="O45" s="928"/>
      <c r="P45" s="928"/>
      <c r="Q45" s="928"/>
      <c r="R45" s="928"/>
      <c r="S45" s="928"/>
      <c r="T45" s="928"/>
      <c r="U45" s="928"/>
      <c r="V45" s="928"/>
      <c r="W45" s="928"/>
      <c r="X45" s="929"/>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row>
    <row r="46" spans="1:64" ht="27.6" customHeight="1" x14ac:dyDescent="0.25">
      <c r="A46" s="9"/>
      <c r="B46" s="14"/>
      <c r="C46" s="918" t="s">
        <v>337</v>
      </c>
      <c r="D46" s="918" t="s">
        <v>73</v>
      </c>
      <c r="E46" s="918"/>
      <c r="F46" s="834" t="s">
        <v>292</v>
      </c>
      <c r="G46" s="834">
        <v>1.1000000000000001</v>
      </c>
      <c r="H46" s="61" t="s">
        <v>341</v>
      </c>
      <c r="I46" s="913">
        <v>0.2606</v>
      </c>
      <c r="J46" s="913"/>
      <c r="K46" s="913"/>
      <c r="L46" s="913"/>
      <c r="M46" s="913"/>
      <c r="N46" s="913"/>
      <c r="O46" s="913"/>
      <c r="P46" s="913"/>
      <c r="Q46" s="913"/>
      <c r="R46" s="913"/>
      <c r="S46" s="913"/>
      <c r="T46" s="913"/>
      <c r="U46" s="913"/>
      <c r="V46" s="913"/>
      <c r="W46" s="913"/>
      <c r="X46" s="913"/>
      <c r="Y46" s="7"/>
      <c r="Z46" s="704" t="s">
        <v>342</v>
      </c>
      <c r="AA46" s="786">
        <v>21300.06</v>
      </c>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row>
    <row r="47" spans="1:64" ht="27.6" customHeight="1" x14ac:dyDescent="0.25">
      <c r="A47" s="9"/>
      <c r="B47" s="9"/>
      <c r="C47" s="919"/>
      <c r="D47" s="919"/>
      <c r="E47" s="919"/>
      <c r="F47" s="834" t="s">
        <v>295</v>
      </c>
      <c r="G47" s="834">
        <v>1.1000000000000001</v>
      </c>
      <c r="H47" s="61" t="s">
        <v>341</v>
      </c>
      <c r="I47" s="913">
        <v>0.2606</v>
      </c>
      <c r="J47" s="913"/>
      <c r="K47" s="913"/>
      <c r="L47" s="913"/>
      <c r="M47" s="913"/>
      <c r="N47" s="913"/>
      <c r="O47" s="913"/>
      <c r="P47" s="913"/>
      <c r="Q47" s="913"/>
      <c r="R47" s="913"/>
      <c r="S47" s="913"/>
      <c r="T47" s="913"/>
      <c r="U47" s="913"/>
      <c r="V47" s="913"/>
      <c r="W47" s="913"/>
      <c r="X47" s="913"/>
      <c r="Y47" s="7"/>
      <c r="Z47" s="704" t="s">
        <v>343</v>
      </c>
      <c r="AA47" s="786">
        <v>49079.02</v>
      </c>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row>
    <row r="48" spans="1:64" ht="27.6" customHeight="1" x14ac:dyDescent="0.25">
      <c r="A48" s="9"/>
      <c r="B48" s="14"/>
      <c r="C48" s="919"/>
      <c r="D48" s="919"/>
      <c r="E48" s="919"/>
      <c r="F48" s="834" t="s">
        <v>298</v>
      </c>
      <c r="G48" s="834">
        <v>1.1000000000000001</v>
      </c>
      <c r="H48" s="61" t="s">
        <v>341</v>
      </c>
      <c r="I48" s="913">
        <v>0.2606</v>
      </c>
      <c r="J48" s="913"/>
      <c r="K48" s="913"/>
      <c r="L48" s="913"/>
      <c r="M48" s="913"/>
      <c r="N48" s="913"/>
      <c r="O48" s="913"/>
      <c r="P48" s="913"/>
      <c r="Q48" s="913"/>
      <c r="R48" s="913"/>
      <c r="S48" s="913"/>
      <c r="T48" s="913"/>
      <c r="U48" s="913"/>
      <c r="V48" s="913"/>
      <c r="W48" s="913"/>
      <c r="X48" s="913"/>
      <c r="Y48" s="53"/>
      <c r="Z48" s="704" t="s">
        <v>344</v>
      </c>
      <c r="AA48" s="786">
        <v>43333.57</v>
      </c>
      <c r="AB48" s="912"/>
      <c r="AC48" s="912"/>
      <c r="AD48" s="912"/>
      <c r="AE48" s="912"/>
      <c r="AF48" s="912"/>
      <c r="AG48" s="912"/>
      <c r="AH48" s="912"/>
      <c r="AI48" s="912"/>
      <c r="AJ48" s="912"/>
      <c r="AK48" s="912"/>
      <c r="AL48" s="912"/>
      <c r="AM48" s="912"/>
      <c r="AN48" s="912"/>
      <c r="AO48" s="912"/>
      <c r="AP48" s="912"/>
      <c r="AQ48" s="912"/>
      <c r="AR48" s="912"/>
      <c r="AS48" s="912"/>
      <c r="AT48" s="912"/>
      <c r="AU48" s="912"/>
      <c r="AV48" s="912"/>
      <c r="AW48" s="912"/>
      <c r="AX48" s="912"/>
      <c r="AY48" s="912"/>
      <c r="AZ48" s="912"/>
      <c r="BA48" s="7"/>
      <c r="BB48" s="7"/>
      <c r="BC48" s="7"/>
      <c r="BD48" s="7"/>
      <c r="BE48" s="7"/>
      <c r="BF48" s="7"/>
      <c r="BG48" s="7"/>
      <c r="BH48" s="7"/>
      <c r="BI48" s="7"/>
      <c r="BJ48" s="7"/>
      <c r="BK48" s="7"/>
      <c r="BL48" s="7"/>
    </row>
    <row r="49" spans="1:64" ht="33" customHeight="1" x14ac:dyDescent="0.25">
      <c r="A49" s="9"/>
      <c r="B49" s="14"/>
      <c r="C49" s="919"/>
      <c r="D49" s="919"/>
      <c r="E49" s="919"/>
      <c r="F49" s="834" t="s">
        <v>300</v>
      </c>
      <c r="G49" s="834" t="s">
        <v>345</v>
      </c>
      <c r="H49" s="837" t="s">
        <v>346</v>
      </c>
      <c r="I49" s="913">
        <v>0.23699999999999999</v>
      </c>
      <c r="J49" s="913"/>
      <c r="K49" s="913"/>
      <c r="L49" s="913"/>
      <c r="M49" s="913"/>
      <c r="N49" s="913"/>
      <c r="O49" s="913"/>
      <c r="P49" s="913"/>
      <c r="Q49" s="913"/>
      <c r="R49" s="913"/>
      <c r="S49" s="913"/>
      <c r="T49" s="913"/>
      <c r="U49" s="913"/>
      <c r="V49" s="913"/>
      <c r="W49" s="913"/>
      <c r="X49" s="913"/>
      <c r="Y49" s="142"/>
      <c r="Z49" s="704" t="s">
        <v>347</v>
      </c>
      <c r="AA49" s="787">
        <f>AA47+(2*AA46)</f>
        <v>91679.14</v>
      </c>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row>
    <row r="50" spans="1:64" ht="34.200000000000003" customHeight="1" x14ac:dyDescent="0.25">
      <c r="A50" s="9"/>
      <c r="B50" s="14"/>
      <c r="C50" s="920"/>
      <c r="D50" s="920"/>
      <c r="E50" s="920"/>
      <c r="F50" s="834" t="s">
        <v>303</v>
      </c>
      <c r="G50" s="834" t="s">
        <v>348</v>
      </c>
      <c r="H50" s="837" t="s">
        <v>349</v>
      </c>
      <c r="I50" s="913">
        <v>0.14219999999999999</v>
      </c>
      <c r="J50" s="913"/>
      <c r="K50" s="913"/>
      <c r="L50" s="913"/>
      <c r="M50" s="913"/>
      <c r="N50" s="913"/>
      <c r="O50" s="913"/>
      <c r="P50" s="913"/>
      <c r="Q50" s="913"/>
      <c r="R50" s="913"/>
      <c r="S50" s="913"/>
      <c r="T50" s="913"/>
      <c r="U50" s="913"/>
      <c r="V50" s="913"/>
      <c r="W50" s="913"/>
      <c r="X50" s="913"/>
      <c r="Y50" s="142"/>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row>
    <row r="51" spans="1:64" ht="14.4" x14ac:dyDescent="0.3">
      <c r="A51" s="7"/>
      <c r="B51" s="142"/>
      <c r="C51" s="7"/>
      <c r="D51" s="7"/>
      <c r="E51" s="925" t="s">
        <v>47</v>
      </c>
      <c r="F51" s="925"/>
      <c r="G51" s="925"/>
      <c r="H51" s="925"/>
      <c r="I51" s="925"/>
      <c r="J51" s="925"/>
      <c r="K51" s="925"/>
      <c r="L51" s="925"/>
      <c r="M51" s="925"/>
      <c r="N51" s="925"/>
      <c r="O51" s="925"/>
      <c r="P51" s="925"/>
      <c r="Q51" s="925"/>
      <c r="R51" s="925"/>
      <c r="S51" s="925"/>
      <c r="T51" s="925"/>
      <c r="U51" s="925"/>
      <c r="V51" s="925"/>
      <c r="W51" s="925"/>
      <c r="X51" s="925"/>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row>
    <row r="52" spans="1:64" s="268" customFormat="1" ht="28.2" customHeight="1" x14ac:dyDescent="0.3">
      <c r="A52" s="106"/>
      <c r="B52" s="267"/>
      <c r="C52" s="106"/>
      <c r="D52" s="106"/>
      <c r="E52" s="905" t="s">
        <v>350</v>
      </c>
      <c r="F52" s="905"/>
      <c r="G52" s="905"/>
      <c r="H52" s="905"/>
      <c r="I52" s="905"/>
      <c r="J52" s="905"/>
      <c r="K52" s="905"/>
      <c r="L52" s="905"/>
      <c r="M52" s="905"/>
      <c r="N52" s="905"/>
      <c r="O52" s="905"/>
      <c r="P52" s="905"/>
      <c r="Q52" s="905"/>
      <c r="R52" s="905"/>
      <c r="S52" s="905"/>
      <c r="T52" s="905"/>
      <c r="U52" s="905"/>
      <c r="V52" s="905"/>
      <c r="W52" s="905"/>
      <c r="X52" s="905"/>
      <c r="Y52" s="106"/>
      <c r="Z52" s="106"/>
      <c r="AA52" s="106"/>
      <c r="AB52" s="106"/>
      <c r="AC52" s="106"/>
      <c r="AD52" s="106"/>
      <c r="AE52" s="106"/>
      <c r="AF52" s="106"/>
      <c r="AG52" s="106"/>
      <c r="AH52" s="106"/>
      <c r="AI52" s="106"/>
      <c r="AJ52" s="106"/>
      <c r="AK52" s="106"/>
      <c r="AL52" s="106"/>
      <c r="AM52" s="106"/>
      <c r="AN52" s="106"/>
      <c r="AO52" s="106"/>
      <c r="AP52" s="106"/>
      <c r="AQ52" s="106"/>
      <c r="AR52" s="106"/>
      <c r="AS52" s="106"/>
      <c r="AT52" s="106"/>
      <c r="AU52" s="106"/>
      <c r="AV52" s="106"/>
      <c r="AW52" s="106"/>
      <c r="AX52" s="106"/>
      <c r="AY52" s="106"/>
      <c r="AZ52" s="106"/>
      <c r="BA52" s="106"/>
      <c r="BB52" s="106"/>
      <c r="BC52" s="106"/>
      <c r="BD52" s="106"/>
      <c r="BE52" s="106"/>
      <c r="BF52" s="106"/>
      <c r="BG52" s="106"/>
      <c r="BH52" s="106"/>
      <c r="BI52" s="106"/>
      <c r="BJ52" s="106"/>
      <c r="BK52" s="106"/>
      <c r="BL52" s="106"/>
    </row>
    <row r="53" spans="1:64" ht="85.2" customHeight="1" x14ac:dyDescent="0.25">
      <c r="A53" s="7"/>
      <c r="B53" s="142"/>
      <c r="C53" s="7"/>
      <c r="D53" s="7"/>
      <c r="E53" s="924" t="s">
        <v>351</v>
      </c>
      <c r="F53" s="924"/>
      <c r="G53" s="924"/>
      <c r="H53" s="924"/>
      <c r="I53" s="924"/>
      <c r="J53" s="924"/>
      <c r="K53" s="924"/>
      <c r="L53" s="924"/>
      <c r="M53" s="924"/>
      <c r="N53" s="924"/>
      <c r="O53" s="924"/>
      <c r="P53" s="924"/>
      <c r="Q53" s="924"/>
      <c r="R53" s="924"/>
      <c r="S53" s="924"/>
      <c r="T53" s="924"/>
      <c r="U53" s="924"/>
      <c r="V53" s="924"/>
      <c r="W53" s="924"/>
      <c r="X53" s="924"/>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row>
    <row r="54" spans="1:64" x14ac:dyDescent="0.25">
      <c r="A54" s="7"/>
      <c r="B54" s="142"/>
      <c r="C54" s="7"/>
      <c r="D54" s="7"/>
      <c r="E54" s="905"/>
      <c r="F54" s="905"/>
      <c r="G54" s="905"/>
      <c r="H54" s="905"/>
      <c r="I54" s="905"/>
      <c r="J54" s="905"/>
      <c r="K54" s="905"/>
      <c r="L54" s="905"/>
      <c r="M54" s="905"/>
      <c r="N54" s="905"/>
      <c r="O54" s="905"/>
      <c r="P54" s="905"/>
      <c r="Q54" s="905"/>
      <c r="R54" s="905"/>
      <c r="S54" s="905"/>
      <c r="T54" s="905"/>
      <c r="U54" s="905"/>
      <c r="V54" s="905"/>
      <c r="W54" s="905"/>
      <c r="X54" s="905"/>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row>
    <row r="55" spans="1:64" ht="14.4" customHeight="1" x14ac:dyDescent="0.25">
      <c r="A55" s="7"/>
      <c r="B55" s="142"/>
      <c r="C55" s="7"/>
      <c r="D55" s="7"/>
      <c r="E55" s="926" t="s">
        <v>352</v>
      </c>
      <c r="F55" s="926"/>
      <c r="G55" s="926"/>
      <c r="H55" s="926"/>
      <c r="I55" s="926"/>
      <c r="J55" s="926"/>
      <c r="K55" s="926"/>
      <c r="L55" s="926"/>
      <c r="M55" s="926"/>
      <c r="N55" s="926"/>
      <c r="O55" s="926"/>
      <c r="P55" s="926"/>
      <c r="Q55" s="926"/>
      <c r="R55" s="926"/>
      <c r="S55" s="926"/>
      <c r="T55" s="926"/>
      <c r="U55" s="926"/>
      <c r="V55" s="926"/>
      <c r="W55" s="926"/>
      <c r="X55" s="926"/>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row>
    <row r="56" spans="1:64" ht="13.95" customHeight="1" x14ac:dyDescent="0.25">
      <c r="A56" s="7"/>
      <c r="B56" s="142"/>
      <c r="C56" s="7"/>
      <c r="D56" s="7"/>
      <c r="E56" s="926"/>
      <c r="F56" s="926"/>
      <c r="G56" s="926"/>
      <c r="H56" s="926"/>
      <c r="I56" s="926"/>
      <c r="J56" s="926"/>
      <c r="K56" s="926"/>
      <c r="L56" s="926"/>
      <c r="M56" s="926"/>
      <c r="N56" s="926"/>
      <c r="O56" s="926"/>
      <c r="P56" s="926"/>
      <c r="Q56" s="926"/>
      <c r="R56" s="926"/>
      <c r="S56" s="926"/>
      <c r="T56" s="926"/>
      <c r="U56" s="926"/>
      <c r="V56" s="926"/>
      <c r="W56" s="926"/>
      <c r="X56" s="926"/>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row>
    <row r="57" spans="1:64" x14ac:dyDescent="0.25">
      <c r="A57" s="7"/>
      <c r="B57" s="142"/>
      <c r="C57" s="7"/>
      <c r="D57" s="7"/>
      <c r="E57" s="7"/>
      <c r="F57" s="7"/>
      <c r="G57" s="100"/>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row>
    <row r="58" spans="1:64" x14ac:dyDescent="0.25">
      <c r="A58" s="7"/>
      <c r="B58" s="142"/>
      <c r="C58" s="7"/>
      <c r="D58" s="7"/>
      <c r="E58" s="7"/>
      <c r="F58" s="7"/>
      <c r="G58" s="100"/>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row>
    <row r="59" spans="1:64" x14ac:dyDescent="0.25">
      <c r="A59" s="7"/>
      <c r="B59" s="142"/>
      <c r="C59" s="7"/>
      <c r="D59" s="7"/>
      <c r="E59" s="7"/>
      <c r="F59" s="7"/>
      <c r="G59" s="100"/>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row>
    <row r="60" spans="1:64" x14ac:dyDescent="0.25">
      <c r="A60" s="7"/>
      <c r="B60" s="142"/>
      <c r="C60" s="7"/>
      <c r="D60" s="7"/>
      <c r="E60" s="7"/>
      <c r="F60" s="7"/>
      <c r="G60" s="100"/>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row>
    <row r="61" spans="1:64" x14ac:dyDescent="0.25">
      <c r="A61" s="7"/>
      <c r="B61" s="142"/>
      <c r="C61" s="7"/>
      <c r="D61" s="7"/>
      <c r="E61" s="7"/>
      <c r="F61" s="7"/>
      <c r="G61" s="100"/>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row>
    <row r="62" spans="1:64" x14ac:dyDescent="0.25">
      <c r="A62" s="7"/>
      <c r="B62" s="142"/>
      <c r="C62" s="7"/>
      <c r="D62" s="7"/>
      <c r="E62" s="7"/>
      <c r="F62" s="7"/>
      <c r="G62" s="100"/>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row>
    <row r="63" spans="1:64" x14ac:dyDescent="0.25">
      <c r="A63" s="7"/>
      <c r="B63" s="142"/>
      <c r="C63" s="7"/>
      <c r="D63" s="7"/>
      <c r="E63" s="7"/>
      <c r="F63" s="7"/>
      <c r="G63" s="100"/>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row>
    <row r="64" spans="1:64" x14ac:dyDescent="0.25">
      <c r="A64" s="7"/>
      <c r="B64" s="142"/>
      <c r="C64" s="7"/>
      <c r="D64" s="7"/>
      <c r="E64" s="7"/>
      <c r="F64" s="7"/>
      <c r="G64" s="100"/>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row>
    <row r="65" spans="1:64" x14ac:dyDescent="0.25">
      <c r="A65" s="7"/>
      <c r="B65" s="142"/>
      <c r="C65" s="7"/>
      <c r="D65" s="7"/>
      <c r="E65" s="7"/>
      <c r="F65" s="7"/>
      <c r="G65" s="100"/>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row>
    <row r="66" spans="1:64" x14ac:dyDescent="0.25">
      <c r="A66" s="7"/>
      <c r="B66" s="142"/>
      <c r="C66" s="7"/>
      <c r="D66" s="7"/>
      <c r="E66" s="7"/>
      <c r="F66" s="7"/>
      <c r="G66" s="100"/>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row>
    <row r="67" spans="1:64" x14ac:dyDescent="0.25">
      <c r="A67" s="7"/>
      <c r="B67" s="142"/>
      <c r="C67" s="7"/>
      <c r="D67" s="7"/>
      <c r="E67" s="7"/>
      <c r="F67" s="7"/>
      <c r="G67" s="100"/>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row>
    <row r="68" spans="1:64" x14ac:dyDescent="0.25">
      <c r="A68" s="7"/>
      <c r="B68" s="142"/>
      <c r="C68" s="7"/>
      <c r="D68" s="7"/>
      <c r="E68" s="7"/>
      <c r="F68" s="7"/>
      <c r="G68" s="100"/>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row>
    <row r="69" spans="1:64" x14ac:dyDescent="0.25">
      <c r="A69" s="7"/>
      <c r="B69" s="142"/>
      <c r="C69" s="7"/>
      <c r="D69" s="7"/>
      <c r="E69" s="7"/>
      <c r="F69" s="7"/>
      <c r="G69" s="100"/>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row>
    <row r="70" spans="1:64" x14ac:dyDescent="0.25">
      <c r="A70" s="7"/>
      <c r="B70" s="142"/>
      <c r="C70" s="7"/>
      <c r="D70" s="7"/>
      <c r="E70" s="7"/>
      <c r="F70" s="7"/>
      <c r="G70" s="100"/>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row>
    <row r="71" spans="1:64" x14ac:dyDescent="0.25">
      <c r="A71" s="7"/>
      <c r="B71" s="142"/>
      <c r="C71" s="7"/>
      <c r="D71" s="7"/>
      <c r="E71" s="7"/>
      <c r="F71" s="7"/>
      <c r="G71" s="100"/>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row>
    <row r="72" spans="1:64" x14ac:dyDescent="0.25">
      <c r="A72" s="7"/>
      <c r="B72" s="142"/>
      <c r="C72" s="7"/>
      <c r="D72" s="7"/>
      <c r="E72" s="7"/>
      <c r="F72" s="7"/>
      <c r="G72" s="100"/>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row>
    <row r="73" spans="1:64" x14ac:dyDescent="0.25">
      <c r="A73" s="7"/>
      <c r="B73" s="142"/>
      <c r="C73" s="7"/>
      <c r="D73" s="7"/>
      <c r="E73" s="7"/>
      <c r="F73" s="7"/>
      <c r="G73" s="100"/>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row>
    <row r="74" spans="1:64" x14ac:dyDescent="0.25">
      <c r="A74" s="7"/>
      <c r="B74" s="142"/>
      <c r="C74" s="7"/>
      <c r="D74" s="7"/>
      <c r="E74" s="7"/>
      <c r="F74" s="7"/>
      <c r="G74" s="100"/>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row>
    <row r="75" spans="1:64" x14ac:dyDescent="0.25">
      <c r="A75" s="7"/>
      <c r="B75" s="142"/>
      <c r="C75" s="7"/>
      <c r="D75" s="7"/>
      <c r="E75" s="7"/>
      <c r="F75" s="7"/>
      <c r="G75" s="100"/>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row>
    <row r="76" spans="1:64" x14ac:dyDescent="0.25">
      <c r="A76" s="7"/>
      <c r="B76" s="142"/>
      <c r="C76" s="7"/>
      <c r="D76" s="7"/>
      <c r="E76" s="7"/>
      <c r="F76" s="7"/>
      <c r="G76" s="100"/>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row>
    <row r="77" spans="1:64" x14ac:dyDescent="0.25">
      <c r="A77" s="7"/>
      <c r="B77" s="142"/>
      <c r="C77" s="7"/>
      <c r="D77" s="7"/>
      <c r="E77" s="7"/>
      <c r="F77" s="7"/>
      <c r="G77" s="100"/>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row>
    <row r="78" spans="1:64" x14ac:dyDescent="0.25">
      <c r="A78" s="7"/>
      <c r="B78" s="142"/>
      <c r="C78" s="7"/>
      <c r="D78" s="7"/>
      <c r="E78" s="7"/>
      <c r="F78" s="7"/>
      <c r="G78" s="100"/>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row>
    <row r="79" spans="1:64" x14ac:dyDescent="0.25">
      <c r="A79" s="7"/>
      <c r="B79" s="142"/>
      <c r="C79" s="7"/>
      <c r="D79" s="7"/>
      <c r="E79" s="7"/>
      <c r="F79" s="7"/>
      <c r="G79" s="100"/>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row>
    <row r="80" spans="1:64" x14ac:dyDescent="0.25">
      <c r="A80" s="7"/>
      <c r="B80" s="142"/>
      <c r="C80" s="7"/>
      <c r="D80" s="7"/>
      <c r="E80" s="7"/>
      <c r="F80" s="7"/>
      <c r="G80" s="100"/>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row>
    <row r="81" spans="1:64" x14ac:dyDescent="0.25">
      <c r="A81" s="7"/>
      <c r="B81" s="142"/>
      <c r="C81" s="7"/>
      <c r="D81" s="7"/>
      <c r="E81" s="7"/>
      <c r="F81" s="7"/>
      <c r="G81" s="100"/>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row>
    <row r="82" spans="1:64" x14ac:dyDescent="0.25">
      <c r="A82" s="7"/>
      <c r="B82" s="142"/>
      <c r="C82" s="7"/>
      <c r="D82" s="7"/>
      <c r="E82" s="7"/>
      <c r="F82" s="7"/>
      <c r="G82" s="100"/>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row>
    <row r="83" spans="1:64" x14ac:dyDescent="0.25">
      <c r="A83" s="7"/>
      <c r="B83" s="142"/>
      <c r="C83" s="7"/>
      <c r="D83" s="7"/>
      <c r="E83" s="7"/>
      <c r="F83" s="7"/>
      <c r="G83" s="100"/>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row>
    <row r="84" spans="1:64" x14ac:dyDescent="0.25">
      <c r="A84" s="7"/>
      <c r="B84" s="142"/>
      <c r="C84" s="7"/>
      <c r="D84" s="7"/>
      <c r="E84" s="7"/>
      <c r="F84" s="7"/>
      <c r="G84" s="100"/>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row>
    <row r="85" spans="1:64" x14ac:dyDescent="0.25">
      <c r="A85" s="7"/>
      <c r="B85" s="142"/>
      <c r="C85" s="7"/>
      <c r="D85" s="7"/>
      <c r="E85" s="7"/>
      <c r="F85" s="7"/>
      <c r="G85" s="100"/>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row>
    <row r="86" spans="1:64" x14ac:dyDescent="0.25">
      <c r="A86" s="7"/>
      <c r="B86" s="142"/>
      <c r="C86" s="7"/>
      <c r="D86" s="7"/>
      <c r="E86" s="7"/>
      <c r="F86" s="7"/>
      <c r="G86" s="100"/>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row>
    <row r="87" spans="1:64" x14ac:dyDescent="0.25">
      <c r="A87" s="7"/>
      <c r="B87" s="142"/>
      <c r="C87" s="7"/>
      <c r="D87" s="7"/>
      <c r="E87" s="7"/>
      <c r="F87" s="7"/>
      <c r="G87" s="100"/>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row>
    <row r="88" spans="1:64" x14ac:dyDescent="0.25">
      <c r="A88" s="7"/>
      <c r="B88" s="142"/>
      <c r="C88" s="7"/>
      <c r="D88" s="7"/>
      <c r="E88" s="7"/>
      <c r="F88" s="7"/>
      <c r="G88" s="100"/>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row>
    <row r="89" spans="1:64" x14ac:dyDescent="0.25">
      <c r="A89" s="7"/>
      <c r="B89" s="142"/>
      <c r="C89" s="7"/>
      <c r="D89" s="7"/>
      <c r="E89" s="7"/>
      <c r="F89" s="7"/>
      <c r="G89" s="100"/>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row>
    <row r="90" spans="1:64" x14ac:dyDescent="0.25">
      <c r="A90" s="7"/>
      <c r="B90" s="142"/>
      <c r="C90" s="7"/>
      <c r="D90" s="7"/>
      <c r="E90" s="7"/>
      <c r="F90" s="7"/>
      <c r="G90" s="100"/>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row>
    <row r="91" spans="1:64" x14ac:dyDescent="0.25">
      <c r="A91" s="7"/>
      <c r="B91" s="142"/>
      <c r="C91" s="7"/>
      <c r="D91" s="7"/>
      <c r="E91" s="7"/>
      <c r="F91" s="7"/>
      <c r="G91" s="100"/>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row>
    <row r="92" spans="1:64" x14ac:dyDescent="0.25">
      <c r="A92" s="7"/>
      <c r="B92" s="142"/>
      <c r="C92" s="7"/>
      <c r="D92" s="7"/>
      <c r="E92" s="7"/>
      <c r="F92" s="7"/>
      <c r="G92" s="100"/>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row>
    <row r="93" spans="1:64" x14ac:dyDescent="0.25">
      <c r="A93" s="7"/>
      <c r="B93" s="142"/>
      <c r="C93" s="7"/>
      <c r="D93" s="7"/>
      <c r="E93" s="7"/>
      <c r="F93" s="7"/>
      <c r="G93" s="100"/>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row>
    <row r="94" spans="1:64" x14ac:dyDescent="0.25">
      <c r="A94" s="7"/>
      <c r="B94" s="142"/>
      <c r="C94" s="7"/>
      <c r="D94" s="7"/>
      <c r="E94" s="7"/>
      <c r="F94" s="7"/>
      <c r="G94" s="100"/>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row>
    <row r="95" spans="1:64" x14ac:dyDescent="0.25">
      <c r="A95" s="7"/>
      <c r="B95" s="142"/>
      <c r="C95" s="7"/>
      <c r="D95" s="7"/>
      <c r="E95" s="7"/>
      <c r="F95" s="7"/>
      <c r="G95" s="100"/>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row>
    <row r="96" spans="1:64" x14ac:dyDescent="0.25">
      <c r="A96" s="7"/>
      <c r="B96" s="142"/>
      <c r="C96" s="7"/>
      <c r="D96" s="7"/>
      <c r="E96" s="7"/>
      <c r="F96" s="7"/>
      <c r="G96" s="100"/>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row>
    <row r="97" spans="1:64" x14ac:dyDescent="0.25">
      <c r="A97" s="7"/>
      <c r="B97" s="142"/>
      <c r="C97" s="7"/>
      <c r="D97" s="7"/>
      <c r="E97" s="7"/>
      <c r="F97" s="7"/>
      <c r="G97" s="100"/>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row>
    <row r="98" spans="1:64" x14ac:dyDescent="0.25">
      <c r="A98" s="7"/>
      <c r="B98" s="142"/>
      <c r="C98" s="7"/>
      <c r="D98" s="7"/>
      <c r="E98" s="7"/>
      <c r="F98" s="7"/>
      <c r="G98" s="100"/>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row>
    <row r="99" spans="1:64" x14ac:dyDescent="0.25">
      <c r="A99" s="7"/>
      <c r="B99" s="142"/>
      <c r="C99" s="7"/>
      <c r="D99" s="7"/>
      <c r="E99" s="7"/>
      <c r="F99" s="7"/>
      <c r="G99" s="100"/>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row>
    <row r="100" spans="1:64" x14ac:dyDescent="0.25">
      <c r="A100" s="7"/>
      <c r="B100" s="142"/>
      <c r="C100" s="7"/>
      <c r="D100" s="7"/>
      <c r="E100" s="7"/>
      <c r="F100" s="7"/>
      <c r="G100" s="100"/>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row>
    <row r="101" spans="1:64" x14ac:dyDescent="0.25">
      <c r="A101" s="7"/>
      <c r="B101" s="142"/>
      <c r="C101" s="7"/>
      <c r="D101" s="7"/>
      <c r="E101" s="7"/>
      <c r="F101" s="7"/>
      <c r="G101" s="100"/>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c r="AZ101" s="7"/>
      <c r="BA101" s="7"/>
      <c r="BB101" s="7"/>
      <c r="BC101" s="7"/>
      <c r="BD101" s="7"/>
      <c r="BE101" s="7"/>
      <c r="BF101" s="7"/>
      <c r="BG101" s="7"/>
      <c r="BH101" s="7"/>
      <c r="BI101" s="7"/>
      <c r="BJ101" s="7"/>
      <c r="BK101" s="7"/>
      <c r="BL101" s="7"/>
    </row>
    <row r="102" spans="1:64" x14ac:dyDescent="0.25">
      <c r="A102" s="7"/>
      <c r="B102" s="142"/>
      <c r="C102" s="7"/>
      <c r="D102" s="7"/>
      <c r="E102" s="7"/>
      <c r="F102" s="7"/>
      <c r="G102" s="100"/>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row>
    <row r="103" spans="1:64" x14ac:dyDescent="0.25">
      <c r="A103" s="7"/>
      <c r="B103" s="142"/>
      <c r="C103" s="7"/>
      <c r="D103" s="7"/>
      <c r="E103" s="7"/>
      <c r="F103" s="7"/>
      <c r="G103" s="100"/>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row>
    <row r="104" spans="1:64" x14ac:dyDescent="0.25">
      <c r="A104" s="7"/>
      <c r="B104" s="142"/>
      <c r="C104" s="7"/>
      <c r="D104" s="7"/>
      <c r="E104" s="7"/>
      <c r="F104" s="7"/>
      <c r="G104" s="100"/>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row>
    <row r="105" spans="1:64" x14ac:dyDescent="0.25">
      <c r="A105" s="7"/>
      <c r="B105" s="142"/>
      <c r="C105" s="7"/>
      <c r="D105" s="7"/>
      <c r="E105" s="7"/>
      <c r="F105" s="7"/>
      <c r="G105" s="100"/>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row>
    <row r="106" spans="1:64" x14ac:dyDescent="0.25">
      <c r="A106" s="7"/>
      <c r="B106" s="142"/>
      <c r="C106" s="7"/>
      <c r="D106" s="7"/>
      <c r="E106" s="7"/>
      <c r="F106" s="7"/>
      <c r="G106" s="100"/>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row>
    <row r="107" spans="1:64" x14ac:dyDescent="0.25">
      <c r="A107" s="7"/>
      <c r="B107" s="142"/>
      <c r="C107" s="7"/>
      <c r="D107" s="7"/>
      <c r="E107" s="7"/>
      <c r="F107" s="7"/>
      <c r="G107" s="100"/>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row>
    <row r="108" spans="1:64" x14ac:dyDescent="0.25">
      <c r="A108" s="7"/>
      <c r="B108" s="142"/>
      <c r="C108" s="7"/>
      <c r="D108" s="7"/>
      <c r="E108" s="7"/>
      <c r="F108" s="7"/>
      <c r="G108" s="100"/>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row>
    <row r="109" spans="1:64" x14ac:dyDescent="0.25">
      <c r="A109" s="7"/>
      <c r="B109" s="142"/>
      <c r="C109" s="7"/>
      <c r="D109" s="7"/>
      <c r="E109" s="7"/>
      <c r="F109" s="7"/>
      <c r="G109" s="100"/>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row>
    <row r="110" spans="1:64" x14ac:dyDescent="0.25">
      <c r="A110" s="7"/>
      <c r="B110" s="142"/>
      <c r="C110" s="7"/>
      <c r="D110" s="7"/>
      <c r="E110" s="7"/>
      <c r="F110" s="7"/>
      <c r="G110" s="100"/>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row>
    <row r="111" spans="1:64" x14ac:dyDescent="0.25">
      <c r="A111" s="7"/>
      <c r="B111" s="142"/>
      <c r="C111" s="7"/>
      <c r="D111" s="7"/>
      <c r="E111" s="7"/>
      <c r="F111" s="7"/>
      <c r="G111" s="100"/>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row>
    <row r="112" spans="1:64" x14ac:dyDescent="0.25">
      <c r="A112" s="7"/>
      <c r="B112" s="142"/>
      <c r="C112" s="7"/>
      <c r="D112" s="7"/>
      <c r="E112" s="7"/>
      <c r="F112" s="7"/>
      <c r="G112" s="100"/>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row>
    <row r="113" spans="1:64" x14ac:dyDescent="0.25">
      <c r="A113" s="7"/>
      <c r="B113" s="142"/>
      <c r="C113" s="7"/>
      <c r="D113" s="7"/>
      <c r="E113" s="7"/>
      <c r="F113" s="7"/>
      <c r="G113" s="100"/>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row>
    <row r="114" spans="1:64" x14ac:dyDescent="0.25">
      <c r="A114" s="7"/>
      <c r="B114" s="142"/>
      <c r="C114" s="7"/>
      <c r="D114" s="7"/>
      <c r="E114" s="7"/>
      <c r="F114" s="7"/>
      <c r="G114" s="100"/>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row>
    <row r="115" spans="1:64" x14ac:dyDescent="0.25">
      <c r="A115" s="7"/>
      <c r="B115" s="142"/>
      <c r="C115" s="7"/>
      <c r="D115" s="7"/>
      <c r="E115" s="7"/>
      <c r="F115" s="7"/>
      <c r="G115" s="100"/>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row>
    <row r="116" spans="1:64" x14ac:dyDescent="0.25">
      <c r="A116" s="7"/>
      <c r="B116" s="142"/>
      <c r="C116" s="7"/>
      <c r="D116" s="7"/>
      <c r="E116" s="7"/>
      <c r="F116" s="7"/>
      <c r="G116" s="100"/>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row>
    <row r="117" spans="1:64" x14ac:dyDescent="0.25">
      <c r="A117" s="7"/>
      <c r="B117" s="142"/>
      <c r="C117" s="7"/>
      <c r="D117" s="7"/>
      <c r="E117" s="7"/>
      <c r="F117" s="7"/>
      <c r="G117" s="100"/>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row>
    <row r="118" spans="1:64" x14ac:dyDescent="0.25">
      <c r="A118" s="7"/>
      <c r="B118" s="142"/>
      <c r="C118" s="7"/>
      <c r="D118" s="7"/>
      <c r="E118" s="7"/>
      <c r="F118" s="7"/>
      <c r="G118" s="100"/>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row>
    <row r="119" spans="1:64" x14ac:dyDescent="0.25">
      <c r="A119" s="7"/>
      <c r="B119" s="142"/>
      <c r="C119" s="7"/>
      <c r="D119" s="7"/>
      <c r="E119" s="7"/>
      <c r="F119" s="7"/>
      <c r="G119" s="100"/>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row>
    <row r="120" spans="1:64" x14ac:dyDescent="0.25">
      <c r="A120" s="7"/>
      <c r="B120" s="142"/>
      <c r="C120" s="7"/>
      <c r="D120" s="7"/>
      <c r="E120" s="7"/>
      <c r="F120" s="7"/>
      <c r="G120" s="100"/>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row>
    <row r="121" spans="1:64" x14ac:dyDescent="0.25">
      <c r="A121" s="7"/>
      <c r="B121" s="142"/>
      <c r="C121" s="7"/>
      <c r="D121" s="7"/>
      <c r="E121" s="7"/>
      <c r="F121" s="7"/>
      <c r="G121" s="100"/>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row>
    <row r="122" spans="1:64" x14ac:dyDescent="0.25">
      <c r="A122" s="7"/>
      <c r="B122" s="142"/>
      <c r="C122" s="7"/>
      <c r="D122" s="7"/>
      <c r="E122" s="7"/>
      <c r="F122" s="7"/>
      <c r="G122" s="100"/>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row>
    <row r="123" spans="1:64" x14ac:dyDescent="0.25">
      <c r="A123" s="7"/>
      <c r="B123" s="142"/>
      <c r="C123" s="7"/>
      <c r="D123" s="7"/>
      <c r="E123" s="7"/>
      <c r="F123" s="7"/>
      <c r="G123" s="100"/>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row>
    <row r="124" spans="1:64" x14ac:dyDescent="0.25">
      <c r="A124" s="7"/>
      <c r="B124" s="142"/>
      <c r="C124" s="7"/>
      <c r="D124" s="7"/>
      <c r="E124" s="7"/>
      <c r="F124" s="7"/>
      <c r="G124" s="100"/>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row>
    <row r="125" spans="1:64" x14ac:dyDescent="0.25">
      <c r="A125" s="7"/>
      <c r="B125" s="142"/>
      <c r="C125" s="7"/>
      <c r="D125" s="7"/>
      <c r="E125" s="7"/>
      <c r="F125" s="7"/>
      <c r="G125" s="100"/>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row>
    <row r="126" spans="1:64" x14ac:dyDescent="0.25">
      <c r="A126" s="7"/>
      <c r="B126" s="142"/>
      <c r="C126" s="7"/>
      <c r="D126" s="7"/>
      <c r="E126" s="7"/>
      <c r="F126" s="7"/>
      <c r="G126" s="100"/>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row>
    <row r="127" spans="1:64" x14ac:dyDescent="0.25">
      <c r="A127" s="7"/>
      <c r="B127" s="142"/>
      <c r="C127" s="7"/>
      <c r="D127" s="7"/>
      <c r="E127" s="7"/>
      <c r="F127" s="7"/>
      <c r="G127" s="100"/>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row>
    <row r="128" spans="1:64" x14ac:dyDescent="0.25">
      <c r="A128" s="7"/>
      <c r="B128" s="142"/>
      <c r="C128" s="7"/>
      <c r="D128" s="7"/>
      <c r="E128" s="7"/>
      <c r="F128" s="7"/>
      <c r="G128" s="100"/>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row>
    <row r="129" spans="1:64" x14ac:dyDescent="0.25">
      <c r="A129" s="7"/>
      <c r="B129" s="142"/>
      <c r="C129" s="7"/>
      <c r="D129" s="7"/>
      <c r="E129" s="7"/>
      <c r="F129" s="7"/>
      <c r="G129" s="100"/>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row>
    <row r="130" spans="1:64" x14ac:dyDescent="0.25">
      <c r="A130" s="7"/>
      <c r="B130" s="142"/>
      <c r="C130" s="7"/>
      <c r="D130" s="7"/>
      <c r="E130" s="7"/>
      <c r="F130" s="7"/>
      <c r="G130" s="100"/>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row>
    <row r="131" spans="1:64" x14ac:dyDescent="0.25">
      <c r="A131" s="7"/>
      <c r="B131" s="142"/>
      <c r="C131" s="7"/>
      <c r="D131" s="7"/>
      <c r="E131" s="7"/>
      <c r="F131" s="7"/>
      <c r="G131" s="100"/>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row>
    <row r="132" spans="1:64" x14ac:dyDescent="0.25">
      <c r="A132" s="7"/>
      <c r="B132" s="142"/>
      <c r="C132" s="7"/>
      <c r="D132" s="7"/>
      <c r="E132" s="7"/>
      <c r="F132" s="7"/>
      <c r="G132" s="100"/>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row>
    <row r="133" spans="1:64" x14ac:dyDescent="0.25">
      <c r="A133" s="7"/>
      <c r="B133" s="142"/>
      <c r="C133" s="7"/>
      <c r="D133" s="7"/>
      <c r="E133" s="7"/>
      <c r="F133" s="7"/>
      <c r="G133" s="100"/>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row>
    <row r="134" spans="1:64" x14ac:dyDescent="0.25">
      <c r="A134" s="7"/>
      <c r="B134" s="142"/>
      <c r="C134" s="7"/>
      <c r="D134" s="7"/>
      <c r="E134" s="7"/>
      <c r="F134" s="7"/>
      <c r="G134" s="100"/>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row>
    <row r="135" spans="1:64" x14ac:dyDescent="0.25">
      <c r="A135" s="7"/>
      <c r="B135" s="142"/>
      <c r="C135" s="7"/>
      <c r="D135" s="7"/>
      <c r="E135" s="7"/>
      <c r="F135" s="7"/>
      <c r="G135" s="100"/>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7"/>
    </row>
    <row r="136" spans="1:64" x14ac:dyDescent="0.25">
      <c r="A136" s="7"/>
      <c r="B136" s="142"/>
      <c r="C136" s="7"/>
      <c r="D136" s="7"/>
      <c r="E136" s="7"/>
      <c r="F136" s="7"/>
      <c r="G136" s="100"/>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7"/>
    </row>
    <row r="137" spans="1:64" x14ac:dyDescent="0.25">
      <c r="A137" s="7"/>
      <c r="B137" s="142"/>
      <c r="C137" s="7"/>
      <c r="D137" s="7"/>
      <c r="E137" s="7"/>
      <c r="F137" s="7"/>
      <c r="G137" s="100"/>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7"/>
    </row>
    <row r="138" spans="1:64" x14ac:dyDescent="0.25">
      <c r="A138" s="7"/>
      <c r="B138" s="142"/>
      <c r="C138" s="7"/>
      <c r="D138" s="7"/>
      <c r="E138" s="7"/>
      <c r="F138" s="7"/>
      <c r="G138" s="100"/>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7"/>
    </row>
    <row r="139" spans="1:64" x14ac:dyDescent="0.25">
      <c r="A139" s="7"/>
      <c r="B139" s="142"/>
      <c r="C139" s="7"/>
      <c r="D139" s="7"/>
      <c r="E139" s="7"/>
      <c r="F139" s="7"/>
      <c r="G139" s="100"/>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7"/>
    </row>
    <row r="140" spans="1:64" x14ac:dyDescent="0.25">
      <c r="A140" s="7"/>
      <c r="B140" s="142"/>
      <c r="C140" s="7"/>
      <c r="D140" s="7"/>
      <c r="E140" s="7"/>
      <c r="F140" s="7"/>
      <c r="G140" s="100"/>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7"/>
    </row>
    <row r="141" spans="1:64" x14ac:dyDescent="0.25">
      <c r="A141" s="7"/>
      <c r="B141" s="142"/>
      <c r="C141" s="7"/>
      <c r="D141" s="7"/>
      <c r="E141" s="7"/>
      <c r="F141" s="7"/>
      <c r="G141" s="100"/>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row>
    <row r="142" spans="1:64" x14ac:dyDescent="0.25">
      <c r="A142" s="7"/>
      <c r="B142" s="142"/>
      <c r="C142" s="7"/>
      <c r="D142" s="7"/>
      <c r="E142" s="7"/>
      <c r="F142" s="7"/>
      <c r="G142" s="100"/>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row>
    <row r="143" spans="1:64" x14ac:dyDescent="0.25">
      <c r="A143" s="7"/>
      <c r="B143" s="142"/>
      <c r="C143" s="7"/>
      <c r="D143" s="7"/>
      <c r="E143" s="7"/>
      <c r="F143" s="7"/>
      <c r="G143" s="100"/>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7"/>
    </row>
    <row r="144" spans="1:64" x14ac:dyDescent="0.25">
      <c r="A144" s="7"/>
      <c r="B144" s="142"/>
      <c r="C144" s="7"/>
      <c r="D144" s="7"/>
      <c r="E144" s="7"/>
      <c r="F144" s="7"/>
      <c r="G144" s="100"/>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7"/>
    </row>
    <row r="145" spans="1:64" x14ac:dyDescent="0.25">
      <c r="A145" s="7"/>
      <c r="B145" s="142"/>
      <c r="C145" s="7"/>
      <c r="D145" s="7"/>
      <c r="E145" s="7"/>
      <c r="F145" s="7"/>
      <c r="G145" s="100"/>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7"/>
    </row>
    <row r="146" spans="1:64" x14ac:dyDescent="0.25">
      <c r="A146" s="7"/>
      <c r="B146" s="142"/>
      <c r="C146" s="7"/>
      <c r="D146" s="7"/>
      <c r="E146" s="7"/>
      <c r="F146" s="7"/>
      <c r="G146" s="100"/>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7"/>
    </row>
    <row r="147" spans="1:64" x14ac:dyDescent="0.25">
      <c r="A147" s="7"/>
      <c r="B147" s="142"/>
      <c r="C147" s="7"/>
      <c r="D147" s="7"/>
      <c r="E147" s="7"/>
      <c r="F147" s="7"/>
      <c r="G147" s="100"/>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7"/>
    </row>
    <row r="148" spans="1:64" x14ac:dyDescent="0.25">
      <c r="A148" s="7"/>
      <c r="B148" s="142"/>
      <c r="C148" s="7"/>
      <c r="D148" s="7"/>
      <c r="E148" s="7"/>
      <c r="F148" s="7"/>
      <c r="G148" s="100"/>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7"/>
    </row>
    <row r="149" spans="1:64" x14ac:dyDescent="0.25">
      <c r="A149" s="7"/>
      <c r="B149" s="142"/>
      <c r="C149" s="7"/>
      <c r="D149" s="7"/>
      <c r="E149" s="7"/>
      <c r="F149" s="7"/>
      <c r="G149" s="100"/>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7"/>
    </row>
    <row r="150" spans="1:64" x14ac:dyDescent="0.25">
      <c r="A150" s="7"/>
      <c r="B150" s="142"/>
      <c r="C150" s="7"/>
      <c r="D150" s="7"/>
      <c r="E150" s="7"/>
      <c r="F150" s="7"/>
      <c r="G150" s="100"/>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7"/>
    </row>
    <row r="151" spans="1:64" x14ac:dyDescent="0.25">
      <c r="A151" s="7"/>
      <c r="B151" s="142"/>
      <c r="C151" s="7"/>
      <c r="D151" s="7"/>
      <c r="E151" s="7"/>
      <c r="F151" s="7"/>
      <c r="G151" s="100"/>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row>
    <row r="152" spans="1:64" x14ac:dyDescent="0.25">
      <c r="A152" s="7"/>
      <c r="B152" s="142"/>
      <c r="C152" s="7"/>
      <c r="D152" s="7"/>
      <c r="E152" s="7"/>
      <c r="F152" s="7"/>
      <c r="G152" s="100"/>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row>
    <row r="153" spans="1:64" x14ac:dyDescent="0.25">
      <c r="A153" s="7"/>
      <c r="B153" s="142"/>
      <c r="C153" s="7"/>
      <c r="D153" s="7"/>
      <c r="E153" s="7"/>
      <c r="F153" s="7"/>
      <c r="G153" s="100"/>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row>
    <row r="154" spans="1:64" x14ac:dyDescent="0.25">
      <c r="A154" s="7"/>
      <c r="B154" s="142"/>
      <c r="C154" s="7"/>
      <c r="D154" s="7"/>
      <c r="E154" s="7"/>
      <c r="F154" s="7"/>
      <c r="G154" s="100"/>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row>
    <row r="155" spans="1:64" x14ac:dyDescent="0.25">
      <c r="A155" s="7"/>
      <c r="B155" s="142"/>
      <c r="C155" s="7"/>
      <c r="D155" s="7"/>
      <c r="E155" s="7"/>
      <c r="F155" s="7"/>
      <c r="G155" s="100"/>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row>
    <row r="156" spans="1:64" x14ac:dyDescent="0.25">
      <c r="A156" s="7"/>
      <c r="B156" s="142"/>
      <c r="C156" s="7"/>
      <c r="D156" s="7"/>
      <c r="E156" s="7"/>
      <c r="F156" s="7"/>
      <c r="G156" s="100"/>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c r="AX156" s="7"/>
      <c r="AY156" s="7"/>
      <c r="AZ156" s="7"/>
      <c r="BA156" s="7"/>
      <c r="BB156" s="7"/>
      <c r="BC156" s="7"/>
      <c r="BD156" s="7"/>
      <c r="BE156" s="7"/>
      <c r="BF156" s="7"/>
      <c r="BG156" s="7"/>
      <c r="BH156" s="7"/>
      <c r="BI156" s="7"/>
      <c r="BJ156" s="7"/>
      <c r="BK156" s="7"/>
      <c r="BL156" s="7"/>
    </row>
    <row r="157" spans="1:64" x14ac:dyDescent="0.25">
      <c r="A157" s="7"/>
      <c r="B157" s="142"/>
      <c r="C157" s="7"/>
      <c r="D157" s="7"/>
      <c r="E157" s="7"/>
      <c r="F157" s="7"/>
      <c r="G157" s="100"/>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row>
    <row r="158" spans="1:64" x14ac:dyDescent="0.25">
      <c r="A158" s="7"/>
      <c r="B158" s="142"/>
      <c r="C158" s="7"/>
      <c r="D158" s="7"/>
      <c r="E158" s="7"/>
      <c r="F158" s="7"/>
      <c r="G158" s="100"/>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row>
    <row r="159" spans="1:64" x14ac:dyDescent="0.25">
      <c r="A159" s="7"/>
      <c r="B159" s="142"/>
      <c r="C159" s="7"/>
      <c r="D159" s="7"/>
      <c r="E159" s="7"/>
      <c r="F159" s="7"/>
      <c r="G159" s="100"/>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c r="AX159" s="7"/>
      <c r="AY159" s="7"/>
      <c r="AZ159" s="7"/>
      <c r="BA159" s="7"/>
      <c r="BB159" s="7"/>
      <c r="BC159" s="7"/>
      <c r="BD159" s="7"/>
      <c r="BE159" s="7"/>
      <c r="BF159" s="7"/>
      <c r="BG159" s="7"/>
      <c r="BH159" s="7"/>
      <c r="BI159" s="7"/>
      <c r="BJ159" s="7"/>
      <c r="BK159" s="7"/>
      <c r="BL159" s="7"/>
    </row>
    <row r="160" spans="1:64" x14ac:dyDescent="0.25">
      <c r="A160" s="7"/>
      <c r="B160" s="142"/>
      <c r="C160" s="7"/>
      <c r="D160" s="7"/>
      <c r="E160" s="7"/>
      <c r="F160" s="7"/>
      <c r="G160" s="100"/>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row>
    <row r="161" spans="1:64" x14ac:dyDescent="0.25">
      <c r="A161" s="7"/>
      <c r="B161" s="142"/>
      <c r="C161" s="7"/>
      <c r="D161" s="7"/>
      <c r="E161" s="7"/>
      <c r="F161" s="7"/>
      <c r="G161" s="100"/>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row>
    <row r="162" spans="1:64" x14ac:dyDescent="0.25">
      <c r="A162" s="7"/>
      <c r="B162" s="142"/>
      <c r="C162" s="7"/>
      <c r="D162" s="7"/>
      <c r="E162" s="7"/>
      <c r="F162" s="7"/>
      <c r="G162" s="100"/>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row>
    <row r="163" spans="1:64" x14ac:dyDescent="0.25">
      <c r="A163" s="7"/>
      <c r="B163" s="142"/>
      <c r="C163" s="7"/>
      <c r="D163" s="7"/>
      <c r="E163" s="7"/>
      <c r="F163" s="7"/>
      <c r="G163" s="100"/>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row>
    <row r="164" spans="1:64" x14ac:dyDescent="0.25">
      <c r="A164" s="7"/>
      <c r="B164" s="142"/>
      <c r="C164" s="7"/>
      <c r="D164" s="7"/>
      <c r="E164" s="7"/>
      <c r="F164" s="7"/>
      <c r="G164" s="100"/>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row>
    <row r="165" spans="1:64" x14ac:dyDescent="0.25">
      <c r="A165" s="7"/>
      <c r="B165" s="142"/>
      <c r="C165" s="7"/>
      <c r="D165" s="7"/>
      <c r="E165" s="7"/>
      <c r="F165" s="7"/>
      <c r="G165" s="100"/>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row>
    <row r="166" spans="1:64" x14ac:dyDescent="0.25">
      <c r="A166" s="7"/>
      <c r="B166" s="142"/>
      <c r="C166" s="7"/>
      <c r="D166" s="7"/>
      <c r="E166" s="7"/>
      <c r="F166" s="7"/>
      <c r="G166" s="100"/>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7"/>
    </row>
    <row r="167" spans="1:64" x14ac:dyDescent="0.25">
      <c r="A167" s="7"/>
      <c r="B167" s="142"/>
      <c r="C167" s="7"/>
      <c r="D167" s="7"/>
      <c r="E167" s="7"/>
      <c r="F167" s="7"/>
      <c r="G167" s="100"/>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c r="AX167" s="7"/>
      <c r="AY167" s="7"/>
      <c r="AZ167" s="7"/>
      <c r="BA167" s="7"/>
      <c r="BB167" s="7"/>
      <c r="BC167" s="7"/>
      <c r="BD167" s="7"/>
      <c r="BE167" s="7"/>
      <c r="BF167" s="7"/>
      <c r="BG167" s="7"/>
      <c r="BH167" s="7"/>
      <c r="BI167" s="7"/>
      <c r="BJ167" s="7"/>
      <c r="BK167" s="7"/>
      <c r="BL167" s="7"/>
    </row>
    <row r="168" spans="1:64" x14ac:dyDescent="0.25">
      <c r="A168" s="7"/>
      <c r="B168" s="142"/>
      <c r="C168" s="7"/>
      <c r="D168" s="7"/>
      <c r="E168" s="7"/>
      <c r="F168" s="7"/>
      <c r="G168" s="100"/>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row>
    <row r="169" spans="1:64" x14ac:dyDescent="0.25">
      <c r="A169" s="7"/>
      <c r="B169" s="142"/>
      <c r="C169" s="7"/>
      <c r="D169" s="7"/>
      <c r="E169" s="7"/>
      <c r="F169" s="7"/>
      <c r="G169" s="100"/>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row>
    <row r="170" spans="1:64" x14ac:dyDescent="0.25">
      <c r="A170" s="7"/>
      <c r="B170" s="142"/>
      <c r="C170" s="7"/>
      <c r="D170" s="7"/>
      <c r="E170" s="7"/>
      <c r="F170" s="7"/>
      <c r="G170" s="100"/>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row>
    <row r="171" spans="1:64" x14ac:dyDescent="0.25">
      <c r="A171" s="7"/>
      <c r="B171" s="142"/>
      <c r="C171" s="7"/>
      <c r="D171" s="7"/>
      <c r="E171" s="7"/>
      <c r="F171" s="7"/>
      <c r="G171" s="100"/>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row>
    <row r="172" spans="1:64" x14ac:dyDescent="0.25">
      <c r="A172" s="7"/>
      <c r="B172" s="142"/>
      <c r="C172" s="7"/>
      <c r="D172" s="7"/>
      <c r="E172" s="7"/>
      <c r="F172" s="7"/>
      <c r="G172" s="100"/>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row>
    <row r="173" spans="1:64" x14ac:dyDescent="0.25">
      <c r="A173" s="7"/>
      <c r="B173" s="142"/>
      <c r="C173" s="7"/>
      <c r="D173" s="7"/>
      <c r="E173" s="7"/>
      <c r="F173" s="7"/>
      <c r="G173" s="100"/>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row>
    <row r="174" spans="1:64" x14ac:dyDescent="0.25">
      <c r="A174" s="7"/>
      <c r="B174" s="142"/>
      <c r="C174" s="7"/>
      <c r="D174" s="7"/>
      <c r="E174" s="7"/>
      <c r="F174" s="7"/>
      <c r="G174" s="100"/>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row>
    <row r="175" spans="1:64" x14ac:dyDescent="0.25">
      <c r="A175" s="7"/>
      <c r="B175" s="142"/>
      <c r="C175" s="7"/>
      <c r="D175" s="7"/>
      <c r="E175" s="7"/>
      <c r="F175" s="7"/>
      <c r="G175" s="100"/>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c r="AX175" s="7"/>
      <c r="AY175" s="7"/>
      <c r="AZ175" s="7"/>
      <c r="BA175" s="7"/>
      <c r="BB175" s="7"/>
      <c r="BC175" s="7"/>
      <c r="BD175" s="7"/>
      <c r="BE175" s="7"/>
      <c r="BF175" s="7"/>
      <c r="BG175" s="7"/>
      <c r="BH175" s="7"/>
      <c r="BI175" s="7"/>
      <c r="BJ175" s="7"/>
      <c r="BK175" s="7"/>
      <c r="BL175" s="7"/>
    </row>
    <row r="176" spans="1:64" x14ac:dyDescent="0.25">
      <c r="A176" s="7"/>
      <c r="B176" s="142"/>
      <c r="C176" s="7"/>
      <c r="D176" s="7"/>
      <c r="E176" s="7"/>
      <c r="F176" s="7"/>
      <c r="G176" s="100"/>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c r="AX176" s="7"/>
      <c r="AY176" s="7"/>
      <c r="AZ176" s="7"/>
      <c r="BA176" s="7"/>
      <c r="BB176" s="7"/>
      <c r="BC176" s="7"/>
      <c r="BD176" s="7"/>
      <c r="BE176" s="7"/>
      <c r="BF176" s="7"/>
      <c r="BG176" s="7"/>
      <c r="BH176" s="7"/>
      <c r="BI176" s="7"/>
      <c r="BJ176" s="7"/>
      <c r="BK176" s="7"/>
      <c r="BL176" s="7"/>
    </row>
    <row r="177" spans="1:64" x14ac:dyDescent="0.25">
      <c r="A177" s="7"/>
      <c r="B177" s="142"/>
      <c r="C177" s="7"/>
      <c r="D177" s="7"/>
      <c r="E177" s="7"/>
      <c r="F177" s="7"/>
      <c r="G177" s="100"/>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c r="AX177" s="7"/>
      <c r="AY177" s="7"/>
      <c r="AZ177" s="7"/>
      <c r="BA177" s="7"/>
      <c r="BB177" s="7"/>
      <c r="BC177" s="7"/>
      <c r="BD177" s="7"/>
      <c r="BE177" s="7"/>
      <c r="BF177" s="7"/>
      <c r="BG177" s="7"/>
      <c r="BH177" s="7"/>
      <c r="BI177" s="7"/>
      <c r="BJ177" s="7"/>
      <c r="BK177" s="7"/>
      <c r="BL177" s="7"/>
    </row>
    <row r="178" spans="1:64" x14ac:dyDescent="0.25">
      <c r="A178" s="7"/>
      <c r="B178" s="142"/>
      <c r="C178" s="7"/>
      <c r="D178" s="7"/>
      <c r="E178" s="7"/>
      <c r="F178" s="7"/>
      <c r="G178" s="100"/>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c r="AX178" s="7"/>
      <c r="AY178" s="7"/>
      <c r="AZ178" s="7"/>
      <c r="BA178" s="7"/>
      <c r="BB178" s="7"/>
      <c r="BC178" s="7"/>
      <c r="BD178" s="7"/>
      <c r="BE178" s="7"/>
      <c r="BF178" s="7"/>
      <c r="BG178" s="7"/>
      <c r="BH178" s="7"/>
      <c r="BI178" s="7"/>
      <c r="BJ178" s="7"/>
      <c r="BK178" s="7"/>
      <c r="BL178" s="7"/>
    </row>
    <row r="179" spans="1:64" x14ac:dyDescent="0.25">
      <c r="A179" s="7"/>
      <c r="B179" s="142"/>
      <c r="C179" s="7"/>
      <c r="D179" s="7"/>
      <c r="E179" s="7"/>
      <c r="F179" s="7"/>
      <c r="G179" s="100"/>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c r="BI179" s="7"/>
      <c r="BJ179" s="7"/>
      <c r="BK179" s="7"/>
      <c r="BL179" s="7"/>
    </row>
    <row r="180" spans="1:64" x14ac:dyDescent="0.25">
      <c r="A180" s="7"/>
      <c r="B180" s="142"/>
      <c r="C180" s="7"/>
      <c r="D180" s="7"/>
      <c r="E180" s="7"/>
      <c r="F180" s="7"/>
      <c r="G180" s="100"/>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c r="AX180" s="7"/>
      <c r="AY180" s="7"/>
      <c r="AZ180" s="7"/>
      <c r="BA180" s="7"/>
      <c r="BB180" s="7"/>
      <c r="BC180" s="7"/>
      <c r="BD180" s="7"/>
      <c r="BE180" s="7"/>
      <c r="BF180" s="7"/>
      <c r="BG180" s="7"/>
      <c r="BH180" s="7"/>
      <c r="BI180" s="7"/>
      <c r="BJ180" s="7"/>
      <c r="BK180" s="7"/>
      <c r="BL180" s="7"/>
    </row>
    <row r="181" spans="1:64" x14ac:dyDescent="0.25">
      <c r="A181" s="7"/>
      <c r="B181" s="142"/>
      <c r="C181" s="7"/>
      <c r="D181" s="7"/>
      <c r="E181" s="7"/>
      <c r="F181" s="7"/>
      <c r="G181" s="100"/>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c r="AX181" s="7"/>
      <c r="AY181" s="7"/>
      <c r="AZ181" s="7"/>
      <c r="BA181" s="7"/>
      <c r="BB181" s="7"/>
      <c r="BC181" s="7"/>
      <c r="BD181" s="7"/>
      <c r="BE181" s="7"/>
      <c r="BF181" s="7"/>
      <c r="BG181" s="7"/>
      <c r="BH181" s="7"/>
      <c r="BI181" s="7"/>
      <c r="BJ181" s="7"/>
      <c r="BK181" s="7"/>
      <c r="BL181" s="7"/>
    </row>
    <row r="182" spans="1:64" x14ac:dyDescent="0.25">
      <c r="A182" s="7"/>
      <c r="B182" s="142"/>
      <c r="C182" s="7"/>
      <c r="D182" s="7"/>
      <c r="E182" s="7"/>
      <c r="F182" s="7"/>
      <c r="G182" s="100"/>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c r="AX182" s="7"/>
      <c r="AY182" s="7"/>
      <c r="AZ182" s="7"/>
      <c r="BA182" s="7"/>
      <c r="BB182" s="7"/>
      <c r="BC182" s="7"/>
      <c r="BD182" s="7"/>
      <c r="BE182" s="7"/>
      <c r="BF182" s="7"/>
      <c r="BG182" s="7"/>
      <c r="BH182" s="7"/>
      <c r="BI182" s="7"/>
      <c r="BJ182" s="7"/>
      <c r="BK182" s="7"/>
      <c r="BL182" s="7"/>
    </row>
    <row r="183" spans="1:64" x14ac:dyDescent="0.25">
      <c r="A183" s="7"/>
      <c r="B183" s="142"/>
      <c r="C183" s="7"/>
      <c r="D183" s="7"/>
      <c r="E183" s="7"/>
      <c r="F183" s="7"/>
      <c r="G183" s="100"/>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row>
    <row r="184" spans="1:64" x14ac:dyDescent="0.25">
      <c r="A184" s="7"/>
      <c r="B184" s="142"/>
      <c r="C184" s="7"/>
      <c r="D184" s="7"/>
      <c r="E184" s="7"/>
      <c r="F184" s="7"/>
      <c r="G184" s="100"/>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row>
    <row r="185" spans="1:64" x14ac:dyDescent="0.25">
      <c r="A185" s="7"/>
      <c r="B185" s="142"/>
      <c r="C185" s="7"/>
      <c r="D185" s="7"/>
      <c r="E185" s="7"/>
      <c r="F185" s="7"/>
      <c r="G185" s="100"/>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row>
    <row r="186" spans="1:64" x14ac:dyDescent="0.25">
      <c r="A186" s="7"/>
      <c r="B186" s="142"/>
      <c r="C186" s="7"/>
      <c r="D186" s="7"/>
      <c r="E186" s="7"/>
      <c r="F186" s="7"/>
      <c r="G186" s="100"/>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c r="AX186" s="7"/>
      <c r="AY186" s="7"/>
      <c r="AZ186" s="7"/>
      <c r="BA186" s="7"/>
      <c r="BB186" s="7"/>
      <c r="BC186" s="7"/>
      <c r="BD186" s="7"/>
      <c r="BE186" s="7"/>
      <c r="BF186" s="7"/>
      <c r="BG186" s="7"/>
      <c r="BH186" s="7"/>
      <c r="BI186" s="7"/>
      <c r="BJ186" s="7"/>
      <c r="BK186" s="7"/>
      <c r="BL186" s="7"/>
    </row>
    <row r="187" spans="1:64" x14ac:dyDescent="0.25">
      <c r="A187" s="7"/>
      <c r="B187" s="142"/>
      <c r="C187" s="7"/>
      <c r="D187" s="7"/>
      <c r="E187" s="7"/>
      <c r="F187" s="7"/>
      <c r="G187" s="100"/>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c r="AX187" s="7"/>
      <c r="AY187" s="7"/>
      <c r="AZ187" s="7"/>
      <c r="BA187" s="7"/>
      <c r="BB187" s="7"/>
      <c r="BC187" s="7"/>
      <c r="BD187" s="7"/>
      <c r="BE187" s="7"/>
      <c r="BF187" s="7"/>
      <c r="BG187" s="7"/>
      <c r="BH187" s="7"/>
      <c r="BI187" s="7"/>
      <c r="BJ187" s="7"/>
      <c r="BK187" s="7"/>
      <c r="BL187" s="7"/>
    </row>
    <row r="188" spans="1:64" x14ac:dyDescent="0.25">
      <c r="A188" s="7"/>
      <c r="B188" s="142"/>
      <c r="C188" s="7"/>
      <c r="D188" s="7"/>
      <c r="E188" s="7"/>
      <c r="F188" s="7"/>
      <c r="G188" s="100"/>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c r="AX188" s="7"/>
      <c r="AY188" s="7"/>
      <c r="AZ188" s="7"/>
      <c r="BA188" s="7"/>
      <c r="BB188" s="7"/>
      <c r="BC188" s="7"/>
      <c r="BD188" s="7"/>
      <c r="BE188" s="7"/>
      <c r="BF188" s="7"/>
      <c r="BG188" s="7"/>
      <c r="BH188" s="7"/>
      <c r="BI188" s="7"/>
      <c r="BJ188" s="7"/>
      <c r="BK188" s="7"/>
      <c r="BL188" s="7"/>
    </row>
    <row r="189" spans="1:64" x14ac:dyDescent="0.25">
      <c r="A189" s="7"/>
      <c r="B189" s="142"/>
      <c r="C189" s="7"/>
      <c r="D189" s="7"/>
      <c r="E189" s="7"/>
      <c r="F189" s="7"/>
      <c r="G189" s="100"/>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c r="AX189" s="7"/>
      <c r="AY189" s="7"/>
      <c r="AZ189" s="7"/>
      <c r="BA189" s="7"/>
      <c r="BB189" s="7"/>
      <c r="BC189" s="7"/>
      <c r="BD189" s="7"/>
      <c r="BE189" s="7"/>
      <c r="BF189" s="7"/>
      <c r="BG189" s="7"/>
      <c r="BH189" s="7"/>
      <c r="BI189" s="7"/>
      <c r="BJ189" s="7"/>
      <c r="BK189" s="7"/>
      <c r="BL189" s="7"/>
    </row>
    <row r="190" spans="1:64" x14ac:dyDescent="0.25">
      <c r="A190" s="7"/>
      <c r="B190" s="142"/>
      <c r="C190" s="7"/>
      <c r="D190" s="7"/>
      <c r="E190" s="7"/>
      <c r="F190" s="7"/>
      <c r="G190" s="100"/>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c r="AX190" s="7"/>
      <c r="AY190" s="7"/>
      <c r="AZ190" s="7"/>
      <c r="BA190" s="7"/>
      <c r="BB190" s="7"/>
      <c r="BC190" s="7"/>
      <c r="BD190" s="7"/>
      <c r="BE190" s="7"/>
      <c r="BF190" s="7"/>
      <c r="BG190" s="7"/>
      <c r="BH190" s="7"/>
      <c r="BI190" s="7"/>
      <c r="BJ190" s="7"/>
      <c r="BK190" s="7"/>
      <c r="BL190" s="7"/>
    </row>
    <row r="191" spans="1:64" x14ac:dyDescent="0.25">
      <c r="A191" s="7"/>
      <c r="B191" s="142"/>
      <c r="C191" s="7"/>
      <c r="D191" s="7"/>
      <c r="E191" s="7"/>
      <c r="F191" s="7"/>
      <c r="G191" s="100"/>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c r="BI191" s="7"/>
      <c r="BJ191" s="7"/>
      <c r="BK191" s="7"/>
      <c r="BL191" s="7"/>
    </row>
    <row r="192" spans="1:64" x14ac:dyDescent="0.25">
      <c r="A192" s="7"/>
      <c r="B192" s="142"/>
      <c r="C192" s="7"/>
      <c r="D192" s="7"/>
      <c r="E192" s="7"/>
      <c r="F192" s="7"/>
      <c r="G192" s="100"/>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c r="AX192" s="7"/>
      <c r="AY192" s="7"/>
      <c r="AZ192" s="7"/>
      <c r="BA192" s="7"/>
      <c r="BB192" s="7"/>
      <c r="BC192" s="7"/>
      <c r="BD192" s="7"/>
      <c r="BE192" s="7"/>
      <c r="BF192" s="7"/>
      <c r="BG192" s="7"/>
      <c r="BH192" s="7"/>
      <c r="BI192" s="7"/>
      <c r="BJ192" s="7"/>
      <c r="BK192" s="7"/>
      <c r="BL192" s="7"/>
    </row>
    <row r="193" spans="1:64" x14ac:dyDescent="0.25">
      <c r="A193" s="7"/>
      <c r="B193" s="142"/>
      <c r="C193" s="7"/>
      <c r="D193" s="7"/>
      <c r="E193" s="7"/>
      <c r="F193" s="7"/>
      <c r="G193" s="100"/>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c r="AX193" s="7"/>
      <c r="AY193" s="7"/>
      <c r="AZ193" s="7"/>
      <c r="BA193" s="7"/>
      <c r="BB193" s="7"/>
      <c r="BC193" s="7"/>
      <c r="BD193" s="7"/>
      <c r="BE193" s="7"/>
      <c r="BF193" s="7"/>
      <c r="BG193" s="7"/>
      <c r="BH193" s="7"/>
      <c r="BI193" s="7"/>
      <c r="BJ193" s="7"/>
      <c r="BK193" s="7"/>
      <c r="BL193" s="7"/>
    </row>
    <row r="194" spans="1:64" x14ac:dyDescent="0.25">
      <c r="A194" s="7"/>
      <c r="B194" s="142"/>
      <c r="C194" s="7"/>
      <c r="D194" s="7"/>
      <c r="E194" s="7"/>
      <c r="F194" s="7"/>
      <c r="G194" s="100"/>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row>
    <row r="195" spans="1:64" x14ac:dyDescent="0.25">
      <c r="A195" s="7"/>
      <c r="B195" s="142"/>
      <c r="C195" s="7"/>
      <c r="D195" s="7"/>
      <c r="E195" s="7"/>
      <c r="F195" s="7"/>
      <c r="G195" s="100"/>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c r="AX195" s="7"/>
      <c r="AY195" s="7"/>
      <c r="AZ195" s="7"/>
      <c r="BA195" s="7"/>
      <c r="BB195" s="7"/>
      <c r="BC195" s="7"/>
      <c r="BD195" s="7"/>
      <c r="BE195" s="7"/>
      <c r="BF195" s="7"/>
      <c r="BG195" s="7"/>
      <c r="BH195" s="7"/>
      <c r="BI195" s="7"/>
      <c r="BJ195" s="7"/>
      <c r="BK195" s="7"/>
      <c r="BL195" s="7"/>
    </row>
    <row r="196" spans="1:64" x14ac:dyDescent="0.25">
      <c r="A196" s="7"/>
      <c r="B196" s="142"/>
      <c r="C196" s="7"/>
      <c r="D196" s="7"/>
      <c r="E196" s="7"/>
      <c r="F196" s="7"/>
      <c r="G196" s="100"/>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c r="AX196" s="7"/>
      <c r="AY196" s="7"/>
      <c r="AZ196" s="7"/>
      <c r="BA196" s="7"/>
      <c r="BB196" s="7"/>
      <c r="BC196" s="7"/>
      <c r="BD196" s="7"/>
      <c r="BE196" s="7"/>
      <c r="BF196" s="7"/>
      <c r="BG196" s="7"/>
      <c r="BH196" s="7"/>
      <c r="BI196" s="7"/>
      <c r="BJ196" s="7"/>
      <c r="BK196" s="7"/>
      <c r="BL196" s="7"/>
    </row>
    <row r="197" spans="1:64" x14ac:dyDescent="0.25">
      <c r="A197" s="7"/>
      <c r="B197" s="142"/>
      <c r="C197" s="7"/>
      <c r="D197" s="7"/>
      <c r="E197" s="7"/>
      <c r="F197" s="7"/>
      <c r="G197" s="100"/>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c r="AX197" s="7"/>
      <c r="AY197" s="7"/>
      <c r="AZ197" s="7"/>
      <c r="BA197" s="7"/>
      <c r="BB197" s="7"/>
      <c r="BC197" s="7"/>
      <c r="BD197" s="7"/>
      <c r="BE197" s="7"/>
      <c r="BF197" s="7"/>
      <c r="BG197" s="7"/>
      <c r="BH197" s="7"/>
      <c r="BI197" s="7"/>
      <c r="BJ197" s="7"/>
      <c r="BK197" s="7"/>
      <c r="BL197" s="7"/>
    </row>
    <row r="198" spans="1:64" x14ac:dyDescent="0.25">
      <c r="A198" s="7"/>
      <c r="B198" s="142"/>
      <c r="C198" s="7"/>
      <c r="D198" s="7"/>
      <c r="E198" s="7"/>
      <c r="F198" s="7"/>
      <c r="G198" s="100"/>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c r="AX198" s="7"/>
      <c r="AY198" s="7"/>
      <c r="AZ198" s="7"/>
      <c r="BA198" s="7"/>
      <c r="BB198" s="7"/>
      <c r="BC198" s="7"/>
      <c r="BD198" s="7"/>
      <c r="BE198" s="7"/>
      <c r="BF198" s="7"/>
      <c r="BG198" s="7"/>
      <c r="BH198" s="7"/>
      <c r="BI198" s="7"/>
      <c r="BJ198" s="7"/>
      <c r="BK198" s="7"/>
      <c r="BL198" s="7"/>
    </row>
    <row r="199" spans="1:64" x14ac:dyDescent="0.25">
      <c r="A199" s="7"/>
      <c r="B199" s="142"/>
      <c r="C199" s="7"/>
      <c r="D199" s="7"/>
      <c r="E199" s="7"/>
      <c r="F199" s="7"/>
      <c r="G199" s="100"/>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c r="AX199" s="7"/>
      <c r="AY199" s="7"/>
      <c r="AZ199" s="7"/>
      <c r="BA199" s="7"/>
      <c r="BB199" s="7"/>
      <c r="BC199" s="7"/>
      <c r="BD199" s="7"/>
      <c r="BE199" s="7"/>
      <c r="BF199" s="7"/>
      <c r="BG199" s="7"/>
      <c r="BH199" s="7"/>
      <c r="BI199" s="7"/>
      <c r="BJ199" s="7"/>
      <c r="BK199" s="7"/>
      <c r="BL199" s="7"/>
    </row>
    <row r="200" spans="1:64" x14ac:dyDescent="0.25">
      <c r="A200" s="7"/>
      <c r="B200" s="142"/>
      <c r="C200" s="7"/>
      <c r="D200" s="7"/>
      <c r="E200" s="7"/>
      <c r="F200" s="7"/>
      <c r="G200" s="100"/>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c r="AX200" s="7"/>
      <c r="AY200" s="7"/>
      <c r="AZ200" s="7"/>
      <c r="BA200" s="7"/>
      <c r="BB200" s="7"/>
      <c r="BC200" s="7"/>
      <c r="BD200" s="7"/>
      <c r="BE200" s="7"/>
      <c r="BF200" s="7"/>
      <c r="BG200" s="7"/>
      <c r="BH200" s="7"/>
      <c r="BI200" s="7"/>
      <c r="BJ200" s="7"/>
      <c r="BK200" s="7"/>
      <c r="BL200" s="7"/>
    </row>
    <row r="201" spans="1:64" x14ac:dyDescent="0.25">
      <c r="A201" s="7"/>
      <c r="B201" s="142"/>
      <c r="C201" s="7"/>
      <c r="D201" s="7"/>
      <c r="E201" s="7"/>
      <c r="F201" s="7"/>
      <c r="G201" s="100"/>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c r="AX201" s="7"/>
      <c r="AY201" s="7"/>
      <c r="AZ201" s="7"/>
      <c r="BA201" s="7"/>
      <c r="BB201" s="7"/>
      <c r="BC201" s="7"/>
      <c r="BD201" s="7"/>
      <c r="BE201" s="7"/>
      <c r="BF201" s="7"/>
      <c r="BG201" s="7"/>
      <c r="BH201" s="7"/>
      <c r="BI201" s="7"/>
      <c r="BJ201" s="7"/>
      <c r="BK201" s="7"/>
      <c r="BL201" s="7"/>
    </row>
    <row r="202" spans="1:64" x14ac:dyDescent="0.25">
      <c r="A202" s="7"/>
      <c r="B202" s="142"/>
      <c r="C202" s="7"/>
      <c r="D202" s="7"/>
      <c r="E202" s="7"/>
      <c r="F202" s="7"/>
      <c r="G202" s="100"/>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c r="AX202" s="7"/>
      <c r="AY202" s="7"/>
      <c r="AZ202" s="7"/>
      <c r="BA202" s="7"/>
      <c r="BB202" s="7"/>
      <c r="BC202" s="7"/>
      <c r="BD202" s="7"/>
      <c r="BE202" s="7"/>
      <c r="BF202" s="7"/>
      <c r="BG202" s="7"/>
      <c r="BH202" s="7"/>
      <c r="BI202" s="7"/>
      <c r="BJ202" s="7"/>
      <c r="BK202" s="7"/>
      <c r="BL202" s="7"/>
    </row>
    <row r="203" spans="1:64" x14ac:dyDescent="0.25">
      <c r="A203" s="7"/>
      <c r="B203" s="142"/>
      <c r="C203" s="7"/>
      <c r="D203" s="7"/>
      <c r="E203" s="7"/>
      <c r="F203" s="7"/>
      <c r="G203" s="100"/>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c r="AX203" s="7"/>
      <c r="AY203" s="7"/>
      <c r="AZ203" s="7"/>
      <c r="BA203" s="7"/>
      <c r="BB203" s="7"/>
      <c r="BC203" s="7"/>
      <c r="BD203" s="7"/>
      <c r="BE203" s="7"/>
      <c r="BF203" s="7"/>
      <c r="BG203" s="7"/>
      <c r="BH203" s="7"/>
      <c r="BI203" s="7"/>
      <c r="BJ203" s="7"/>
      <c r="BK203" s="7"/>
      <c r="BL203" s="7"/>
    </row>
    <row r="204" spans="1:64" x14ac:dyDescent="0.25">
      <c r="A204" s="7"/>
      <c r="B204" s="142"/>
      <c r="C204" s="7"/>
      <c r="D204" s="7"/>
      <c r="E204" s="7"/>
      <c r="F204" s="7"/>
      <c r="G204" s="100"/>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c r="AX204" s="7"/>
      <c r="AY204" s="7"/>
      <c r="AZ204" s="7"/>
      <c r="BA204" s="7"/>
      <c r="BB204" s="7"/>
      <c r="BC204" s="7"/>
      <c r="BD204" s="7"/>
      <c r="BE204" s="7"/>
      <c r="BF204" s="7"/>
      <c r="BG204" s="7"/>
      <c r="BH204" s="7"/>
      <c r="BI204" s="7"/>
      <c r="BJ204" s="7"/>
      <c r="BK204" s="7"/>
      <c r="BL204" s="7"/>
    </row>
    <row r="205" spans="1:64" x14ac:dyDescent="0.25">
      <c r="A205" s="7"/>
      <c r="B205" s="142"/>
      <c r="C205" s="7"/>
      <c r="D205" s="7"/>
      <c r="E205" s="7"/>
      <c r="F205" s="7"/>
      <c r="G205" s="100"/>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c r="AX205" s="7"/>
      <c r="AY205" s="7"/>
      <c r="AZ205" s="7"/>
      <c r="BA205" s="7"/>
      <c r="BB205" s="7"/>
      <c r="BC205" s="7"/>
      <c r="BD205" s="7"/>
      <c r="BE205" s="7"/>
      <c r="BF205" s="7"/>
      <c r="BG205" s="7"/>
      <c r="BH205" s="7"/>
      <c r="BI205" s="7"/>
      <c r="BJ205" s="7"/>
      <c r="BK205" s="7"/>
      <c r="BL205" s="7"/>
    </row>
    <row r="206" spans="1:64" x14ac:dyDescent="0.25">
      <c r="A206" s="7"/>
      <c r="B206" s="142"/>
      <c r="C206" s="7"/>
      <c r="D206" s="7"/>
      <c r="E206" s="7"/>
      <c r="F206" s="7"/>
      <c r="G206" s="100"/>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c r="AX206" s="7"/>
      <c r="AY206" s="7"/>
      <c r="AZ206" s="7"/>
      <c r="BA206" s="7"/>
      <c r="BB206" s="7"/>
      <c r="BC206" s="7"/>
      <c r="BD206" s="7"/>
      <c r="BE206" s="7"/>
      <c r="BF206" s="7"/>
      <c r="BG206" s="7"/>
      <c r="BH206" s="7"/>
      <c r="BI206" s="7"/>
      <c r="BJ206" s="7"/>
      <c r="BK206" s="7"/>
      <c r="BL206" s="7"/>
    </row>
    <row r="207" spans="1:64" x14ac:dyDescent="0.25">
      <c r="A207" s="7"/>
      <c r="B207" s="142"/>
      <c r="C207" s="7"/>
      <c r="D207" s="7"/>
      <c r="E207" s="7"/>
      <c r="F207" s="7"/>
      <c r="G207" s="100"/>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c r="AX207" s="7"/>
      <c r="AY207" s="7"/>
      <c r="AZ207" s="7"/>
      <c r="BA207" s="7"/>
      <c r="BB207" s="7"/>
      <c r="BC207" s="7"/>
      <c r="BD207" s="7"/>
      <c r="BE207" s="7"/>
      <c r="BF207" s="7"/>
      <c r="BG207" s="7"/>
      <c r="BH207" s="7"/>
      <c r="BI207" s="7"/>
      <c r="BJ207" s="7"/>
      <c r="BK207" s="7"/>
      <c r="BL207" s="7"/>
    </row>
    <row r="208" spans="1:64" x14ac:dyDescent="0.25">
      <c r="A208" s="7"/>
      <c r="B208" s="142"/>
      <c r="C208" s="7"/>
      <c r="D208" s="7"/>
      <c r="E208" s="7"/>
      <c r="F208" s="7"/>
      <c r="G208" s="100"/>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c r="AX208" s="7"/>
      <c r="AY208" s="7"/>
      <c r="AZ208" s="7"/>
      <c r="BA208" s="7"/>
      <c r="BB208" s="7"/>
      <c r="BC208" s="7"/>
      <c r="BD208" s="7"/>
      <c r="BE208" s="7"/>
      <c r="BF208" s="7"/>
      <c r="BG208" s="7"/>
      <c r="BH208" s="7"/>
      <c r="BI208" s="7"/>
      <c r="BJ208" s="7"/>
      <c r="BK208" s="7"/>
      <c r="BL208" s="7"/>
    </row>
    <row r="209" spans="1:64" x14ac:dyDescent="0.25">
      <c r="A209" s="7"/>
      <c r="B209" s="142"/>
      <c r="C209" s="7"/>
      <c r="D209" s="7"/>
      <c r="E209" s="7"/>
      <c r="F209" s="7"/>
      <c r="G209" s="100"/>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c r="AX209" s="7"/>
      <c r="AY209" s="7"/>
      <c r="AZ209" s="7"/>
      <c r="BA209" s="7"/>
      <c r="BB209" s="7"/>
      <c r="BC209" s="7"/>
      <c r="BD209" s="7"/>
      <c r="BE209" s="7"/>
      <c r="BF209" s="7"/>
      <c r="BG209" s="7"/>
      <c r="BH209" s="7"/>
      <c r="BI209" s="7"/>
      <c r="BJ209" s="7"/>
      <c r="BK209" s="7"/>
      <c r="BL209" s="7"/>
    </row>
    <row r="210" spans="1:64" x14ac:dyDescent="0.25">
      <c r="A210" s="7"/>
      <c r="B210" s="142"/>
      <c r="C210" s="7"/>
      <c r="D210" s="7"/>
      <c r="E210" s="7"/>
      <c r="F210" s="7"/>
      <c r="G210" s="100"/>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c r="AX210" s="7"/>
      <c r="AY210" s="7"/>
      <c r="AZ210" s="7"/>
      <c r="BA210" s="7"/>
      <c r="BB210" s="7"/>
      <c r="BC210" s="7"/>
      <c r="BD210" s="7"/>
      <c r="BE210" s="7"/>
      <c r="BF210" s="7"/>
      <c r="BG210" s="7"/>
      <c r="BH210" s="7"/>
      <c r="BI210" s="7"/>
      <c r="BJ210" s="7"/>
      <c r="BK210" s="7"/>
      <c r="BL210" s="7"/>
    </row>
    <row r="211" spans="1:64" x14ac:dyDescent="0.25">
      <c r="A211" s="7"/>
      <c r="B211" s="142"/>
      <c r="C211" s="7"/>
      <c r="D211" s="7"/>
      <c r="E211" s="7"/>
      <c r="F211" s="7"/>
      <c r="G211" s="100"/>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c r="AX211" s="7"/>
      <c r="AY211" s="7"/>
      <c r="AZ211" s="7"/>
      <c r="BA211" s="7"/>
      <c r="BB211" s="7"/>
      <c r="BC211" s="7"/>
      <c r="BD211" s="7"/>
      <c r="BE211" s="7"/>
      <c r="BF211" s="7"/>
      <c r="BG211" s="7"/>
      <c r="BH211" s="7"/>
      <c r="BI211" s="7"/>
      <c r="BJ211" s="7"/>
      <c r="BK211" s="7"/>
      <c r="BL211" s="7"/>
    </row>
    <row r="212" spans="1:64" x14ac:dyDescent="0.25">
      <c r="A212" s="7"/>
      <c r="B212" s="142"/>
      <c r="C212" s="7"/>
      <c r="D212" s="7"/>
      <c r="E212" s="7"/>
      <c r="F212" s="7"/>
      <c r="G212" s="100"/>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c r="AX212" s="7"/>
      <c r="AY212" s="7"/>
      <c r="AZ212" s="7"/>
      <c r="BA212" s="7"/>
      <c r="BB212" s="7"/>
      <c r="BC212" s="7"/>
      <c r="BD212" s="7"/>
      <c r="BE212" s="7"/>
      <c r="BF212" s="7"/>
      <c r="BG212" s="7"/>
      <c r="BH212" s="7"/>
      <c r="BI212" s="7"/>
      <c r="BJ212" s="7"/>
      <c r="BK212" s="7"/>
      <c r="BL212" s="7"/>
    </row>
    <row r="213" spans="1:64" x14ac:dyDescent="0.25">
      <c r="A213" s="7"/>
      <c r="B213" s="142"/>
      <c r="C213" s="7"/>
      <c r="D213" s="7"/>
      <c r="E213" s="7"/>
      <c r="F213" s="7"/>
      <c r="G213" s="100"/>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c r="AX213" s="7"/>
      <c r="AY213" s="7"/>
      <c r="AZ213" s="7"/>
      <c r="BA213" s="7"/>
      <c r="BB213" s="7"/>
      <c r="BC213" s="7"/>
      <c r="BD213" s="7"/>
      <c r="BE213" s="7"/>
      <c r="BF213" s="7"/>
      <c r="BG213" s="7"/>
      <c r="BH213" s="7"/>
      <c r="BI213" s="7"/>
      <c r="BJ213" s="7"/>
      <c r="BK213" s="7"/>
      <c r="BL213" s="7"/>
    </row>
    <row r="214" spans="1:64" x14ac:dyDescent="0.25">
      <c r="A214" s="7"/>
      <c r="B214" s="142"/>
      <c r="C214" s="7"/>
      <c r="D214" s="7"/>
      <c r="E214" s="7"/>
      <c r="F214" s="7"/>
      <c r="G214" s="100"/>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c r="AX214" s="7"/>
      <c r="AY214" s="7"/>
      <c r="AZ214" s="7"/>
      <c r="BA214" s="7"/>
      <c r="BB214" s="7"/>
      <c r="BC214" s="7"/>
      <c r="BD214" s="7"/>
      <c r="BE214" s="7"/>
      <c r="BF214" s="7"/>
      <c r="BG214" s="7"/>
      <c r="BH214" s="7"/>
      <c r="BI214" s="7"/>
      <c r="BJ214" s="7"/>
      <c r="BK214" s="7"/>
      <c r="BL214" s="7"/>
    </row>
    <row r="215" spans="1:64" x14ac:dyDescent="0.25">
      <c r="A215" s="7"/>
      <c r="B215" s="142"/>
      <c r="C215" s="7"/>
      <c r="D215" s="7"/>
      <c r="E215" s="7"/>
      <c r="F215" s="7"/>
      <c r="G215" s="100"/>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c r="AX215" s="7"/>
      <c r="AY215" s="7"/>
      <c r="AZ215" s="7"/>
      <c r="BA215" s="7"/>
      <c r="BB215" s="7"/>
      <c r="BC215" s="7"/>
      <c r="BD215" s="7"/>
      <c r="BE215" s="7"/>
      <c r="BF215" s="7"/>
      <c r="BG215" s="7"/>
      <c r="BH215" s="7"/>
      <c r="BI215" s="7"/>
      <c r="BJ215" s="7"/>
      <c r="BK215" s="7"/>
      <c r="BL215" s="7"/>
    </row>
    <row r="216" spans="1:64" x14ac:dyDescent="0.25">
      <c r="A216" s="7"/>
      <c r="B216" s="142"/>
      <c r="C216" s="7"/>
      <c r="D216" s="7"/>
      <c r="E216" s="7"/>
      <c r="F216" s="7"/>
      <c r="G216" s="100"/>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c r="AX216" s="7"/>
      <c r="AY216" s="7"/>
      <c r="AZ216" s="7"/>
      <c r="BA216" s="7"/>
      <c r="BB216" s="7"/>
      <c r="BC216" s="7"/>
      <c r="BD216" s="7"/>
      <c r="BE216" s="7"/>
      <c r="BF216" s="7"/>
      <c r="BG216" s="7"/>
      <c r="BH216" s="7"/>
      <c r="BI216" s="7"/>
      <c r="BJ216" s="7"/>
      <c r="BK216" s="7"/>
      <c r="BL216" s="7"/>
    </row>
    <row r="217" spans="1:64" x14ac:dyDescent="0.25">
      <c r="A217" s="7"/>
      <c r="B217" s="142"/>
      <c r="C217" s="7"/>
      <c r="D217" s="7"/>
      <c r="E217" s="7"/>
      <c r="F217" s="7"/>
      <c r="G217" s="100"/>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c r="AX217" s="7"/>
      <c r="AY217" s="7"/>
      <c r="AZ217" s="7"/>
      <c r="BA217" s="7"/>
      <c r="BB217" s="7"/>
      <c r="BC217" s="7"/>
      <c r="BD217" s="7"/>
      <c r="BE217" s="7"/>
      <c r="BF217" s="7"/>
      <c r="BG217" s="7"/>
      <c r="BH217" s="7"/>
      <c r="BI217" s="7"/>
      <c r="BJ217" s="7"/>
      <c r="BK217" s="7"/>
      <c r="BL217" s="7"/>
    </row>
    <row r="218" spans="1:64" x14ac:dyDescent="0.25">
      <c r="A218" s="7"/>
      <c r="B218" s="142"/>
      <c r="C218" s="7"/>
      <c r="D218" s="7"/>
      <c r="E218" s="7"/>
      <c r="F218" s="7"/>
      <c r="G218" s="100"/>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c r="AX218" s="7"/>
      <c r="AY218" s="7"/>
      <c r="AZ218" s="7"/>
      <c r="BA218" s="7"/>
      <c r="BB218" s="7"/>
      <c r="BC218" s="7"/>
      <c r="BD218" s="7"/>
      <c r="BE218" s="7"/>
      <c r="BF218" s="7"/>
      <c r="BG218" s="7"/>
      <c r="BH218" s="7"/>
      <c r="BI218" s="7"/>
      <c r="BJ218" s="7"/>
      <c r="BK218" s="7"/>
      <c r="BL218" s="7"/>
    </row>
    <row r="219" spans="1:64" x14ac:dyDescent="0.25">
      <c r="A219" s="7"/>
      <c r="B219" s="142"/>
      <c r="C219" s="7"/>
      <c r="D219" s="7"/>
      <c r="E219" s="7"/>
      <c r="F219" s="7"/>
      <c r="G219" s="100"/>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c r="AX219" s="7"/>
      <c r="AY219" s="7"/>
      <c r="AZ219" s="7"/>
      <c r="BA219" s="7"/>
      <c r="BB219" s="7"/>
      <c r="BC219" s="7"/>
      <c r="BD219" s="7"/>
      <c r="BE219" s="7"/>
      <c r="BF219" s="7"/>
      <c r="BG219" s="7"/>
      <c r="BH219" s="7"/>
      <c r="BI219" s="7"/>
      <c r="BJ219" s="7"/>
      <c r="BK219" s="7"/>
      <c r="BL219" s="7"/>
    </row>
    <row r="220" spans="1:64" x14ac:dyDescent="0.25">
      <c r="A220" s="7"/>
      <c r="B220" s="142"/>
      <c r="C220" s="7"/>
      <c r="D220" s="7"/>
      <c r="E220" s="7"/>
      <c r="F220" s="7"/>
      <c r="G220" s="100"/>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c r="AX220" s="7"/>
      <c r="AY220" s="7"/>
      <c r="AZ220" s="7"/>
      <c r="BA220" s="7"/>
      <c r="BB220" s="7"/>
      <c r="BC220" s="7"/>
      <c r="BD220" s="7"/>
      <c r="BE220" s="7"/>
      <c r="BF220" s="7"/>
      <c r="BG220" s="7"/>
      <c r="BH220" s="7"/>
      <c r="BI220" s="7"/>
      <c r="BJ220" s="7"/>
      <c r="BK220" s="7"/>
      <c r="BL220" s="7"/>
    </row>
    <row r="221" spans="1:64" x14ac:dyDescent="0.25">
      <c r="A221" s="7"/>
      <c r="B221" s="142"/>
      <c r="C221" s="7"/>
      <c r="D221" s="7"/>
      <c r="E221" s="7"/>
      <c r="F221" s="7"/>
      <c r="G221" s="100"/>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c r="AX221" s="7"/>
      <c r="AY221" s="7"/>
      <c r="AZ221" s="7"/>
      <c r="BA221" s="7"/>
      <c r="BB221" s="7"/>
      <c r="BC221" s="7"/>
      <c r="BD221" s="7"/>
      <c r="BE221" s="7"/>
      <c r="BF221" s="7"/>
      <c r="BG221" s="7"/>
      <c r="BH221" s="7"/>
      <c r="BI221" s="7"/>
      <c r="BJ221" s="7"/>
      <c r="BK221" s="7"/>
      <c r="BL221" s="7"/>
    </row>
    <row r="222" spans="1:64" x14ac:dyDescent="0.25">
      <c r="A222" s="7"/>
      <c r="B222" s="142"/>
      <c r="C222" s="7"/>
      <c r="D222" s="7"/>
      <c r="E222" s="7"/>
      <c r="F222" s="7"/>
      <c r="G222" s="100"/>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c r="AX222" s="7"/>
      <c r="AY222" s="7"/>
      <c r="AZ222" s="7"/>
      <c r="BA222" s="7"/>
      <c r="BB222" s="7"/>
      <c r="BC222" s="7"/>
      <c r="BD222" s="7"/>
      <c r="BE222" s="7"/>
      <c r="BF222" s="7"/>
      <c r="BG222" s="7"/>
      <c r="BH222" s="7"/>
      <c r="BI222" s="7"/>
      <c r="BJ222" s="7"/>
      <c r="BK222" s="7"/>
      <c r="BL222" s="7"/>
    </row>
    <row r="223" spans="1:64" x14ac:dyDescent="0.25">
      <c r="A223" s="7"/>
      <c r="B223" s="142"/>
      <c r="C223" s="7"/>
      <c r="D223" s="7"/>
      <c r="E223" s="7"/>
      <c r="F223" s="7"/>
      <c r="G223" s="100"/>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c r="AX223" s="7"/>
      <c r="AY223" s="7"/>
      <c r="AZ223" s="7"/>
      <c r="BA223" s="7"/>
      <c r="BB223" s="7"/>
      <c r="BC223" s="7"/>
      <c r="BD223" s="7"/>
      <c r="BE223" s="7"/>
      <c r="BF223" s="7"/>
      <c r="BG223" s="7"/>
      <c r="BH223" s="7"/>
      <c r="BI223" s="7"/>
      <c r="BJ223" s="7"/>
      <c r="BK223" s="7"/>
      <c r="BL223" s="7"/>
    </row>
    <row r="224" spans="1:64" x14ac:dyDescent="0.25">
      <c r="A224" s="7"/>
      <c r="B224" s="142"/>
      <c r="C224" s="7"/>
      <c r="D224" s="7"/>
      <c r="E224" s="7"/>
      <c r="F224" s="7"/>
      <c r="G224" s="100"/>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c r="AX224" s="7"/>
      <c r="AY224" s="7"/>
      <c r="AZ224" s="7"/>
      <c r="BA224" s="7"/>
      <c r="BB224" s="7"/>
      <c r="BC224" s="7"/>
      <c r="BD224" s="7"/>
      <c r="BE224" s="7"/>
      <c r="BF224" s="7"/>
      <c r="BG224" s="7"/>
      <c r="BH224" s="7"/>
      <c r="BI224" s="7"/>
      <c r="BJ224" s="7"/>
      <c r="BK224" s="7"/>
      <c r="BL224" s="7"/>
    </row>
    <row r="225" spans="1:64" x14ac:dyDescent="0.25">
      <c r="A225" s="7"/>
      <c r="B225" s="142"/>
      <c r="C225" s="7"/>
      <c r="D225" s="7"/>
      <c r="E225" s="7"/>
      <c r="F225" s="7"/>
      <c r="G225" s="100"/>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c r="AX225" s="7"/>
      <c r="AY225" s="7"/>
      <c r="AZ225" s="7"/>
      <c r="BA225" s="7"/>
      <c r="BB225" s="7"/>
      <c r="BC225" s="7"/>
      <c r="BD225" s="7"/>
      <c r="BE225" s="7"/>
      <c r="BF225" s="7"/>
      <c r="BG225" s="7"/>
      <c r="BH225" s="7"/>
      <c r="BI225" s="7"/>
      <c r="BJ225" s="7"/>
      <c r="BK225" s="7"/>
      <c r="BL225" s="7"/>
    </row>
    <row r="226" spans="1:64" x14ac:dyDescent="0.25">
      <c r="A226" s="7"/>
      <c r="B226" s="142"/>
      <c r="C226" s="7"/>
      <c r="D226" s="7"/>
      <c r="E226" s="7"/>
      <c r="F226" s="7"/>
      <c r="G226" s="100"/>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c r="AX226" s="7"/>
      <c r="AY226" s="7"/>
      <c r="AZ226" s="7"/>
      <c r="BA226" s="7"/>
      <c r="BB226" s="7"/>
      <c r="BC226" s="7"/>
      <c r="BD226" s="7"/>
      <c r="BE226" s="7"/>
      <c r="BF226" s="7"/>
      <c r="BG226" s="7"/>
      <c r="BH226" s="7"/>
      <c r="BI226" s="7"/>
      <c r="BJ226" s="7"/>
      <c r="BK226" s="7"/>
      <c r="BL226" s="7"/>
    </row>
    <row r="227" spans="1:64" x14ac:dyDescent="0.25">
      <c r="A227" s="7"/>
      <c r="B227" s="142"/>
      <c r="C227" s="7"/>
      <c r="D227" s="7"/>
      <c r="E227" s="7"/>
      <c r="F227" s="7"/>
      <c r="G227" s="100"/>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c r="AX227" s="7"/>
      <c r="AY227" s="7"/>
      <c r="AZ227" s="7"/>
      <c r="BA227" s="7"/>
      <c r="BB227" s="7"/>
      <c r="BC227" s="7"/>
      <c r="BD227" s="7"/>
      <c r="BE227" s="7"/>
      <c r="BF227" s="7"/>
      <c r="BG227" s="7"/>
      <c r="BH227" s="7"/>
      <c r="BI227" s="7"/>
      <c r="BJ227" s="7"/>
      <c r="BK227" s="7"/>
      <c r="BL227" s="7"/>
    </row>
    <row r="228" spans="1:64" x14ac:dyDescent="0.25">
      <c r="A228" s="7"/>
      <c r="B228" s="142"/>
      <c r="C228" s="7"/>
      <c r="D228" s="7"/>
      <c r="E228" s="7"/>
      <c r="F228" s="7"/>
      <c r="G228" s="100"/>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c r="AX228" s="7"/>
      <c r="AY228" s="7"/>
      <c r="AZ228" s="7"/>
      <c r="BA228" s="7"/>
      <c r="BB228" s="7"/>
      <c r="BC228" s="7"/>
      <c r="BD228" s="7"/>
      <c r="BE228" s="7"/>
      <c r="BF228" s="7"/>
      <c r="BG228" s="7"/>
      <c r="BH228" s="7"/>
      <c r="BI228" s="7"/>
      <c r="BJ228" s="7"/>
      <c r="BK228" s="7"/>
      <c r="BL228" s="7"/>
    </row>
    <row r="229" spans="1:64" x14ac:dyDescent="0.25">
      <c r="A229" s="7"/>
      <c r="B229" s="142"/>
      <c r="C229" s="7"/>
      <c r="D229" s="7"/>
      <c r="E229" s="7"/>
      <c r="F229" s="7"/>
      <c r="G229" s="100"/>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c r="AX229" s="7"/>
      <c r="AY229" s="7"/>
      <c r="AZ229" s="7"/>
      <c r="BA229" s="7"/>
      <c r="BB229" s="7"/>
      <c r="BC229" s="7"/>
      <c r="BD229" s="7"/>
      <c r="BE229" s="7"/>
      <c r="BF229" s="7"/>
      <c r="BG229" s="7"/>
      <c r="BH229" s="7"/>
      <c r="BI229" s="7"/>
      <c r="BJ229" s="7"/>
      <c r="BK229" s="7"/>
      <c r="BL229" s="7"/>
    </row>
    <row r="230" spans="1:64" x14ac:dyDescent="0.25">
      <c r="A230" s="7"/>
      <c r="B230" s="142"/>
      <c r="C230" s="7"/>
      <c r="D230" s="7"/>
      <c r="E230" s="7"/>
      <c r="F230" s="7"/>
      <c r="G230" s="100"/>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c r="AX230" s="7"/>
      <c r="AY230" s="7"/>
      <c r="AZ230" s="7"/>
      <c r="BA230" s="7"/>
      <c r="BB230" s="7"/>
      <c r="BC230" s="7"/>
      <c r="BD230" s="7"/>
      <c r="BE230" s="7"/>
      <c r="BF230" s="7"/>
      <c r="BG230" s="7"/>
      <c r="BH230" s="7"/>
      <c r="BI230" s="7"/>
      <c r="BJ230" s="7"/>
      <c r="BK230" s="7"/>
      <c r="BL230" s="7"/>
    </row>
    <row r="231" spans="1:64" x14ac:dyDescent="0.25">
      <c r="A231" s="7"/>
      <c r="B231" s="142"/>
      <c r="C231" s="7"/>
      <c r="D231" s="7"/>
      <c r="E231" s="7"/>
      <c r="F231" s="7"/>
      <c r="G231" s="100"/>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c r="AX231" s="7"/>
      <c r="AY231" s="7"/>
      <c r="AZ231" s="7"/>
      <c r="BA231" s="7"/>
      <c r="BB231" s="7"/>
      <c r="BC231" s="7"/>
      <c r="BD231" s="7"/>
      <c r="BE231" s="7"/>
      <c r="BF231" s="7"/>
      <c r="BG231" s="7"/>
      <c r="BH231" s="7"/>
      <c r="BI231" s="7"/>
      <c r="BJ231" s="7"/>
      <c r="BK231" s="7"/>
      <c r="BL231" s="7"/>
    </row>
    <row r="232" spans="1:64" x14ac:dyDescent="0.25">
      <c r="A232" s="7"/>
      <c r="B232" s="142"/>
      <c r="C232" s="7"/>
      <c r="D232" s="7"/>
      <c r="E232" s="7"/>
      <c r="F232" s="7"/>
      <c r="G232" s="100"/>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c r="AX232" s="7"/>
      <c r="AY232" s="7"/>
      <c r="AZ232" s="7"/>
      <c r="BA232" s="7"/>
      <c r="BB232" s="7"/>
      <c r="BC232" s="7"/>
      <c r="BD232" s="7"/>
      <c r="BE232" s="7"/>
      <c r="BF232" s="7"/>
      <c r="BG232" s="7"/>
      <c r="BH232" s="7"/>
      <c r="BI232" s="7"/>
      <c r="BJ232" s="7"/>
      <c r="BK232" s="7"/>
      <c r="BL232" s="7"/>
    </row>
    <row r="233" spans="1:64" x14ac:dyDescent="0.25">
      <c r="A233" s="7"/>
      <c r="B233" s="142"/>
      <c r="C233" s="7"/>
      <c r="D233" s="7"/>
      <c r="E233" s="7"/>
      <c r="F233" s="7"/>
      <c r="G233" s="100"/>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c r="AX233" s="7"/>
      <c r="AY233" s="7"/>
      <c r="AZ233" s="7"/>
      <c r="BA233" s="7"/>
      <c r="BB233" s="7"/>
      <c r="BC233" s="7"/>
      <c r="BD233" s="7"/>
      <c r="BE233" s="7"/>
      <c r="BF233" s="7"/>
      <c r="BG233" s="7"/>
      <c r="BH233" s="7"/>
      <c r="BI233" s="7"/>
      <c r="BJ233" s="7"/>
      <c r="BK233" s="7"/>
      <c r="BL233" s="7"/>
    </row>
    <row r="234" spans="1:64" x14ac:dyDescent="0.25">
      <c r="A234" s="7"/>
      <c r="B234" s="142"/>
      <c r="C234" s="7"/>
      <c r="D234" s="7"/>
      <c r="E234" s="7"/>
      <c r="F234" s="7"/>
      <c r="G234" s="100"/>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c r="AX234" s="7"/>
      <c r="AY234" s="7"/>
      <c r="AZ234" s="7"/>
      <c r="BA234" s="7"/>
      <c r="BB234" s="7"/>
      <c r="BC234" s="7"/>
      <c r="BD234" s="7"/>
      <c r="BE234" s="7"/>
      <c r="BF234" s="7"/>
      <c r="BG234" s="7"/>
      <c r="BH234" s="7"/>
      <c r="BI234" s="7"/>
      <c r="BJ234" s="7"/>
      <c r="BK234" s="7"/>
      <c r="BL234" s="7"/>
    </row>
    <row r="235" spans="1:64" x14ac:dyDescent="0.25">
      <c r="A235" s="7"/>
      <c r="B235" s="142"/>
      <c r="C235" s="7"/>
      <c r="D235" s="7"/>
      <c r="E235" s="7"/>
      <c r="F235" s="7"/>
      <c r="G235" s="100"/>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c r="AX235" s="7"/>
      <c r="AY235" s="7"/>
      <c r="AZ235" s="7"/>
      <c r="BA235" s="7"/>
      <c r="BB235" s="7"/>
      <c r="BC235" s="7"/>
      <c r="BD235" s="7"/>
      <c r="BE235" s="7"/>
      <c r="BF235" s="7"/>
      <c r="BG235" s="7"/>
      <c r="BH235" s="7"/>
      <c r="BI235" s="7"/>
      <c r="BJ235" s="7"/>
      <c r="BK235" s="7"/>
      <c r="BL235" s="7"/>
    </row>
    <row r="236" spans="1:64" x14ac:dyDescent="0.25">
      <c r="A236" s="7"/>
      <c r="B236" s="142"/>
      <c r="C236" s="7"/>
      <c r="D236" s="7"/>
      <c r="E236" s="7"/>
      <c r="F236" s="7"/>
      <c r="G236" s="100"/>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c r="AX236" s="7"/>
      <c r="AY236" s="7"/>
      <c r="AZ236" s="7"/>
      <c r="BA236" s="7"/>
      <c r="BB236" s="7"/>
      <c r="BC236" s="7"/>
      <c r="BD236" s="7"/>
      <c r="BE236" s="7"/>
      <c r="BF236" s="7"/>
      <c r="BG236" s="7"/>
      <c r="BH236" s="7"/>
      <c r="BI236" s="7"/>
      <c r="BJ236" s="7"/>
      <c r="BK236" s="7"/>
      <c r="BL236" s="7"/>
    </row>
    <row r="237" spans="1:64" x14ac:dyDescent="0.25">
      <c r="A237" s="7"/>
      <c r="B237" s="142"/>
      <c r="C237" s="7"/>
      <c r="D237" s="7"/>
      <c r="E237" s="7"/>
      <c r="F237" s="7"/>
      <c r="G237" s="100"/>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c r="AX237" s="7"/>
      <c r="AY237" s="7"/>
      <c r="AZ237" s="7"/>
      <c r="BA237" s="7"/>
      <c r="BB237" s="7"/>
      <c r="BC237" s="7"/>
      <c r="BD237" s="7"/>
      <c r="BE237" s="7"/>
      <c r="BF237" s="7"/>
      <c r="BG237" s="7"/>
      <c r="BH237" s="7"/>
      <c r="BI237" s="7"/>
      <c r="BJ237" s="7"/>
      <c r="BK237" s="7"/>
      <c r="BL237" s="7"/>
    </row>
    <row r="238" spans="1:64" x14ac:dyDescent="0.25">
      <c r="A238" s="7"/>
      <c r="B238" s="142"/>
      <c r="C238" s="7"/>
      <c r="D238" s="7"/>
      <c r="E238" s="7"/>
      <c r="F238" s="7"/>
      <c r="G238" s="100"/>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c r="AX238" s="7"/>
      <c r="AY238" s="7"/>
      <c r="AZ238" s="7"/>
      <c r="BA238" s="7"/>
      <c r="BB238" s="7"/>
      <c r="BC238" s="7"/>
      <c r="BD238" s="7"/>
      <c r="BE238" s="7"/>
      <c r="BF238" s="7"/>
      <c r="BG238" s="7"/>
      <c r="BH238" s="7"/>
      <c r="BI238" s="7"/>
      <c r="BJ238" s="7"/>
      <c r="BK238" s="7"/>
      <c r="BL238" s="7"/>
    </row>
    <row r="239" spans="1:64" x14ac:dyDescent="0.25">
      <c r="A239" s="7"/>
      <c r="B239" s="142"/>
      <c r="C239" s="7"/>
      <c r="D239" s="7"/>
      <c r="E239" s="7"/>
      <c r="F239" s="7"/>
      <c r="G239" s="100"/>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c r="AX239" s="7"/>
      <c r="AY239" s="7"/>
      <c r="AZ239" s="7"/>
      <c r="BA239" s="7"/>
      <c r="BB239" s="7"/>
      <c r="BC239" s="7"/>
      <c r="BD239" s="7"/>
      <c r="BE239" s="7"/>
      <c r="BF239" s="7"/>
      <c r="BG239" s="7"/>
      <c r="BH239" s="7"/>
      <c r="BI239" s="7"/>
      <c r="BJ239" s="7"/>
      <c r="BK239" s="7"/>
      <c r="BL239" s="7"/>
    </row>
    <row r="240" spans="1:64" x14ac:dyDescent="0.25">
      <c r="A240" s="7"/>
      <c r="B240" s="142"/>
      <c r="C240" s="7"/>
      <c r="D240" s="7"/>
      <c r="E240" s="7"/>
      <c r="F240" s="7"/>
      <c r="G240" s="100"/>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c r="AX240" s="7"/>
      <c r="AY240" s="7"/>
      <c r="AZ240" s="7"/>
      <c r="BA240" s="7"/>
      <c r="BB240" s="7"/>
      <c r="BC240" s="7"/>
      <c r="BD240" s="7"/>
      <c r="BE240" s="7"/>
      <c r="BF240" s="7"/>
      <c r="BG240" s="7"/>
      <c r="BH240" s="7"/>
      <c r="BI240" s="7"/>
      <c r="BJ240" s="7"/>
      <c r="BK240" s="7"/>
      <c r="BL240" s="7"/>
    </row>
    <row r="241" spans="1:64" x14ac:dyDescent="0.25">
      <c r="A241" s="7"/>
      <c r="B241" s="142"/>
      <c r="C241" s="7"/>
      <c r="D241" s="7"/>
      <c r="E241" s="7"/>
      <c r="F241" s="7"/>
      <c r="G241" s="100"/>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c r="AX241" s="7"/>
      <c r="AY241" s="7"/>
      <c r="AZ241" s="7"/>
      <c r="BA241" s="7"/>
      <c r="BB241" s="7"/>
      <c r="BC241" s="7"/>
      <c r="BD241" s="7"/>
      <c r="BE241" s="7"/>
      <c r="BF241" s="7"/>
      <c r="BG241" s="7"/>
      <c r="BH241" s="7"/>
      <c r="BI241" s="7"/>
      <c r="BJ241" s="7"/>
      <c r="BK241" s="7"/>
      <c r="BL241" s="7"/>
    </row>
    <row r="242" spans="1:64" x14ac:dyDescent="0.25">
      <c r="A242" s="7"/>
      <c r="B242" s="142"/>
      <c r="C242" s="7"/>
      <c r="D242" s="7"/>
      <c r="E242" s="7"/>
      <c r="F242" s="7"/>
      <c r="G242" s="100"/>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c r="AX242" s="7"/>
      <c r="AY242" s="7"/>
      <c r="AZ242" s="7"/>
      <c r="BA242" s="7"/>
      <c r="BB242" s="7"/>
      <c r="BC242" s="7"/>
      <c r="BD242" s="7"/>
      <c r="BE242" s="7"/>
      <c r="BF242" s="7"/>
      <c r="BG242" s="7"/>
      <c r="BH242" s="7"/>
      <c r="BI242" s="7"/>
      <c r="BJ242" s="7"/>
      <c r="BK242" s="7"/>
      <c r="BL242" s="7"/>
    </row>
    <row r="243" spans="1:64" x14ac:dyDescent="0.25">
      <c r="A243" s="7"/>
      <c r="B243" s="142"/>
      <c r="C243" s="7"/>
      <c r="D243" s="7"/>
      <c r="E243" s="7"/>
      <c r="F243" s="7"/>
      <c r="G243" s="100"/>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c r="AX243" s="7"/>
      <c r="AY243" s="7"/>
      <c r="AZ243" s="7"/>
      <c r="BA243" s="7"/>
      <c r="BB243" s="7"/>
      <c r="BC243" s="7"/>
      <c r="BD243" s="7"/>
      <c r="BE243" s="7"/>
      <c r="BF243" s="7"/>
      <c r="BG243" s="7"/>
      <c r="BH243" s="7"/>
      <c r="BI243" s="7"/>
      <c r="BJ243" s="7"/>
      <c r="BK243" s="7"/>
      <c r="BL243" s="7"/>
    </row>
    <row r="244" spans="1:64" x14ac:dyDescent="0.25">
      <c r="A244" s="7"/>
      <c r="B244" s="142"/>
      <c r="C244" s="7"/>
      <c r="D244" s="7"/>
      <c r="E244" s="7"/>
      <c r="F244" s="7"/>
      <c r="G244" s="100"/>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c r="AX244" s="7"/>
      <c r="AY244" s="7"/>
      <c r="AZ244" s="7"/>
      <c r="BA244" s="7"/>
      <c r="BB244" s="7"/>
      <c r="BC244" s="7"/>
      <c r="BD244" s="7"/>
      <c r="BE244" s="7"/>
      <c r="BF244" s="7"/>
      <c r="BG244" s="7"/>
      <c r="BH244" s="7"/>
      <c r="BI244" s="7"/>
      <c r="BJ244" s="7"/>
      <c r="BK244" s="7"/>
      <c r="BL244" s="7"/>
    </row>
    <row r="245" spans="1:64" x14ac:dyDescent="0.25">
      <c r="A245" s="7"/>
      <c r="B245" s="142"/>
      <c r="C245" s="7"/>
      <c r="D245" s="7"/>
      <c r="E245" s="7"/>
      <c r="F245" s="7"/>
      <c r="G245" s="100"/>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c r="AX245" s="7"/>
      <c r="AY245" s="7"/>
      <c r="AZ245" s="7"/>
      <c r="BA245" s="7"/>
      <c r="BB245" s="7"/>
      <c r="BC245" s="7"/>
      <c r="BD245" s="7"/>
      <c r="BE245" s="7"/>
      <c r="BF245" s="7"/>
      <c r="BG245" s="7"/>
      <c r="BH245" s="7"/>
      <c r="BI245" s="7"/>
      <c r="BJ245" s="7"/>
      <c r="BK245" s="7"/>
      <c r="BL245" s="7"/>
    </row>
    <row r="246" spans="1:64" x14ac:dyDescent="0.25">
      <c r="A246" s="7"/>
      <c r="B246" s="142"/>
      <c r="C246" s="7"/>
      <c r="D246" s="7"/>
      <c r="E246" s="7"/>
      <c r="F246" s="7"/>
      <c r="G246" s="100"/>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c r="AX246" s="7"/>
      <c r="AY246" s="7"/>
      <c r="AZ246" s="7"/>
      <c r="BA246" s="7"/>
      <c r="BB246" s="7"/>
      <c r="BC246" s="7"/>
      <c r="BD246" s="7"/>
      <c r="BE246" s="7"/>
      <c r="BF246" s="7"/>
      <c r="BG246" s="7"/>
      <c r="BH246" s="7"/>
      <c r="BI246" s="7"/>
      <c r="BJ246" s="7"/>
      <c r="BK246" s="7"/>
      <c r="BL246" s="7"/>
    </row>
    <row r="247" spans="1:64" x14ac:dyDescent="0.25">
      <c r="A247" s="7"/>
      <c r="B247" s="142"/>
      <c r="C247" s="7"/>
      <c r="D247" s="7"/>
      <c r="E247" s="7"/>
      <c r="F247" s="7"/>
      <c r="G247" s="100"/>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c r="AX247" s="7"/>
      <c r="AY247" s="7"/>
      <c r="AZ247" s="7"/>
      <c r="BA247" s="7"/>
      <c r="BB247" s="7"/>
      <c r="BC247" s="7"/>
      <c r="BD247" s="7"/>
      <c r="BE247" s="7"/>
      <c r="BF247" s="7"/>
      <c r="BG247" s="7"/>
      <c r="BH247" s="7"/>
      <c r="BI247" s="7"/>
      <c r="BJ247" s="7"/>
      <c r="BK247" s="7"/>
      <c r="BL247" s="7"/>
    </row>
    <row r="248" spans="1:64" x14ac:dyDescent="0.25">
      <c r="A248" s="7"/>
      <c r="B248" s="142"/>
      <c r="C248" s="7"/>
      <c r="D248" s="7"/>
      <c r="E248" s="7"/>
      <c r="F248" s="7"/>
      <c r="G248" s="100"/>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c r="AX248" s="7"/>
      <c r="AY248" s="7"/>
      <c r="AZ248" s="7"/>
      <c r="BA248" s="7"/>
      <c r="BB248" s="7"/>
      <c r="BC248" s="7"/>
      <c r="BD248" s="7"/>
      <c r="BE248" s="7"/>
      <c r="BF248" s="7"/>
      <c r="BG248" s="7"/>
      <c r="BH248" s="7"/>
      <c r="BI248" s="7"/>
      <c r="BJ248" s="7"/>
      <c r="BK248" s="7"/>
      <c r="BL248" s="7"/>
    </row>
    <row r="249" spans="1:64" x14ac:dyDescent="0.25">
      <c r="A249" s="7"/>
      <c r="B249" s="142"/>
      <c r="C249" s="7"/>
      <c r="D249" s="7"/>
      <c r="E249" s="7"/>
      <c r="F249" s="7"/>
      <c r="G249" s="100"/>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c r="AX249" s="7"/>
      <c r="AY249" s="7"/>
      <c r="AZ249" s="7"/>
      <c r="BA249" s="7"/>
      <c r="BB249" s="7"/>
      <c r="BC249" s="7"/>
      <c r="BD249" s="7"/>
      <c r="BE249" s="7"/>
      <c r="BF249" s="7"/>
      <c r="BG249" s="7"/>
      <c r="BH249" s="7"/>
      <c r="BI249" s="7"/>
      <c r="BJ249" s="7"/>
      <c r="BK249" s="7"/>
      <c r="BL249" s="7"/>
    </row>
    <row r="250" spans="1:64" x14ac:dyDescent="0.25">
      <c r="A250" s="7"/>
      <c r="B250" s="142"/>
      <c r="C250" s="7"/>
      <c r="D250" s="7"/>
      <c r="E250" s="7"/>
      <c r="F250" s="7"/>
      <c r="G250" s="100"/>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c r="AX250" s="7"/>
      <c r="AY250" s="7"/>
      <c r="AZ250" s="7"/>
      <c r="BA250" s="7"/>
      <c r="BB250" s="7"/>
      <c r="BC250" s="7"/>
      <c r="BD250" s="7"/>
      <c r="BE250" s="7"/>
      <c r="BF250" s="7"/>
      <c r="BG250" s="7"/>
      <c r="BH250" s="7"/>
      <c r="BI250" s="7"/>
      <c r="BJ250" s="7"/>
      <c r="BK250" s="7"/>
      <c r="BL250" s="7"/>
    </row>
    <row r="251" spans="1:64" x14ac:dyDescent="0.25">
      <c r="A251" s="7"/>
      <c r="B251" s="142"/>
      <c r="C251" s="7"/>
      <c r="D251" s="7"/>
      <c r="E251" s="7"/>
      <c r="F251" s="7"/>
      <c r="G251" s="100"/>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c r="BD251" s="7"/>
      <c r="BE251" s="7"/>
      <c r="BF251" s="7"/>
      <c r="BG251" s="7"/>
      <c r="BH251" s="7"/>
      <c r="BI251" s="7"/>
      <c r="BJ251" s="7"/>
      <c r="BK251" s="7"/>
      <c r="BL251" s="7"/>
    </row>
    <row r="252" spans="1:64" x14ac:dyDescent="0.25">
      <c r="A252" s="7"/>
      <c r="B252" s="142"/>
      <c r="C252" s="7"/>
      <c r="D252" s="7"/>
      <c r="E252" s="7"/>
      <c r="F252" s="7"/>
      <c r="G252" s="100"/>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c r="BD252" s="7"/>
      <c r="BE252" s="7"/>
      <c r="BF252" s="7"/>
      <c r="BG252" s="7"/>
      <c r="BH252" s="7"/>
      <c r="BI252" s="7"/>
      <c r="BJ252" s="7"/>
      <c r="BK252" s="7"/>
      <c r="BL252" s="7"/>
    </row>
    <row r="253" spans="1:64" x14ac:dyDescent="0.25">
      <c r="A253" s="7"/>
      <c r="B253" s="142"/>
      <c r="C253" s="7"/>
      <c r="D253" s="7"/>
      <c r="E253" s="7"/>
      <c r="F253" s="7"/>
      <c r="G253" s="100"/>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c r="AX253" s="7"/>
      <c r="AY253" s="7"/>
      <c r="AZ253" s="7"/>
      <c r="BA253" s="7"/>
      <c r="BB253" s="7"/>
      <c r="BC253" s="7"/>
      <c r="BD253" s="7"/>
      <c r="BE253" s="7"/>
      <c r="BF253" s="7"/>
      <c r="BG253" s="7"/>
      <c r="BH253" s="7"/>
      <c r="BI253" s="7"/>
      <c r="BJ253" s="7"/>
      <c r="BK253" s="7"/>
      <c r="BL253" s="7"/>
    </row>
  </sheetData>
  <mergeCells count="67">
    <mergeCell ref="B23:B32"/>
    <mergeCell ref="I49:X49"/>
    <mergeCell ref="C18:C22"/>
    <mergeCell ref="D18:D22"/>
    <mergeCell ref="E18:E22"/>
    <mergeCell ref="H18:H19"/>
    <mergeCell ref="Y4:AF4"/>
    <mergeCell ref="C13:C17"/>
    <mergeCell ref="C23:C32"/>
    <mergeCell ref="C33:C42"/>
    <mergeCell ref="E46:E50"/>
    <mergeCell ref="H38:H39"/>
    <mergeCell ref="H33:H34"/>
    <mergeCell ref="E33:E37"/>
    <mergeCell ref="D35:D37"/>
    <mergeCell ref="D33:D34"/>
    <mergeCell ref="D40:D42"/>
    <mergeCell ref="H23:H24"/>
    <mergeCell ref="H28:H29"/>
    <mergeCell ref="I50:X50"/>
    <mergeCell ref="I45:X45"/>
    <mergeCell ref="E28:E32"/>
    <mergeCell ref="E52:X52"/>
    <mergeCell ref="E53:X53"/>
    <mergeCell ref="E51:X51"/>
    <mergeCell ref="E55:X56"/>
    <mergeCell ref="E54:X54"/>
    <mergeCell ref="A1:X1"/>
    <mergeCell ref="D38:D39"/>
    <mergeCell ref="E38:E42"/>
    <mergeCell ref="A33:A42"/>
    <mergeCell ref="E8:E12"/>
    <mergeCell ref="B8:B12"/>
    <mergeCell ref="A8:A12"/>
    <mergeCell ref="D8:D12"/>
    <mergeCell ref="C8:C12"/>
    <mergeCell ref="C3:C7"/>
    <mergeCell ref="D3:D7"/>
    <mergeCell ref="E3:E7"/>
    <mergeCell ref="D13:D17"/>
    <mergeCell ref="E13:E17"/>
    <mergeCell ref="D30:D32"/>
    <mergeCell ref="B33:B42"/>
    <mergeCell ref="H13:H14"/>
    <mergeCell ref="A23:A32"/>
    <mergeCell ref="B3:B7"/>
    <mergeCell ref="A3:A7"/>
    <mergeCell ref="AS48:AV48"/>
    <mergeCell ref="D23:D24"/>
    <mergeCell ref="E23:E27"/>
    <mergeCell ref="D25:D27"/>
    <mergeCell ref="D28:D29"/>
    <mergeCell ref="A13:A17"/>
    <mergeCell ref="B13:B17"/>
    <mergeCell ref="A18:A22"/>
    <mergeCell ref="B18:B22"/>
    <mergeCell ref="C46:C50"/>
    <mergeCell ref="D46:D50"/>
    <mergeCell ref="C44:X44"/>
    <mergeCell ref="AW48:AZ48"/>
    <mergeCell ref="AI48:AM48"/>
    <mergeCell ref="AB48:AH48"/>
    <mergeCell ref="AN48:AR48"/>
    <mergeCell ref="A43:X43"/>
    <mergeCell ref="I46:X46"/>
    <mergeCell ref="I47:X47"/>
    <mergeCell ref="I48:X48"/>
  </mergeCells>
  <phoneticPr fontId="6" type="noConversion"/>
  <hyperlinks>
    <hyperlink ref="H46" r:id="rId1" xr:uid="{32C170EA-99AE-46CC-BCB6-A219F769580A}"/>
    <hyperlink ref="H47:H48" r:id="rId2" display="2022 CASE report (Table 38)" xr:uid="{F2DCECA9-0CD0-4E1B-990A-A8655C03162B}"/>
    <hyperlink ref="E51" r:id="rId3" display="https://2050partners.sharepoint.com/:w:/r/sites/CalBEMCollaborativeEfforts/Shared Documents/Working Group 1 - Streamlined Process/D - Complexity of Compliance/Prototype Unification/Project Development/Phase 2 (Collect Inputs) Development/NR/Air Leakage Memo/Infiltration_rate_report_14May2025-Short-Version.docx?d=w3bef8f747fac44f2a70cd76617660066&amp;csf=1&amp;web=1&amp;e=wh5Dm4" xr:uid="{9CCAB9F5-76ED-41F1-B19D-A3C6E0D2A03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C1672-9EE3-40E4-AB75-7F6046861D1F}">
  <sheetPr codeName="Sheet6"/>
  <dimension ref="A1:AY52"/>
  <sheetViews>
    <sheetView zoomScale="85" zoomScaleNormal="85" workbookViewId="0">
      <selection sqref="A1:H1"/>
    </sheetView>
  </sheetViews>
  <sheetFormatPr defaultColWidth="8.6640625" defaultRowHeight="13.2" x14ac:dyDescent="0.25"/>
  <cols>
    <col min="1" max="1" width="26" style="9" customWidth="1"/>
    <col min="2" max="2" width="19.109375" style="9" customWidth="1"/>
    <col min="3" max="3" width="27.109375" style="9" customWidth="1"/>
    <col min="4" max="4" width="27.33203125" style="9" customWidth="1"/>
    <col min="5" max="5" width="24.6640625" style="9" customWidth="1"/>
    <col min="6" max="6" width="41.6640625" style="9" customWidth="1"/>
    <col min="7" max="7" width="34" style="9" customWidth="1"/>
    <col min="8" max="8" width="41.109375" style="9" customWidth="1"/>
    <col min="9" max="9" width="54.5546875" style="9" customWidth="1"/>
    <col min="10" max="10" width="17.5546875" style="9" customWidth="1"/>
    <col min="11" max="11" width="12.6640625" style="9" customWidth="1"/>
    <col min="12" max="13" width="15.33203125" style="9" customWidth="1"/>
    <col min="14" max="14" width="27.33203125" style="9" customWidth="1"/>
    <col min="15" max="15" width="19.6640625" style="9" customWidth="1"/>
    <col min="16" max="19" width="15.33203125" style="9" customWidth="1"/>
    <col min="20" max="20" width="14.6640625" style="9" customWidth="1"/>
    <col min="21" max="21" width="13.5546875" style="9" customWidth="1"/>
    <col min="22" max="22" width="15.6640625" style="9" customWidth="1"/>
    <col min="23" max="26" width="11" style="9" customWidth="1"/>
    <col min="27" max="27" width="20.33203125" style="9" customWidth="1"/>
    <col min="28" max="29" width="11" style="9" customWidth="1"/>
    <col min="30" max="47" width="10.5546875" style="9" customWidth="1"/>
    <col min="48" max="50" width="8.6640625" style="9"/>
    <col min="51" max="51" width="73.5546875" style="9" customWidth="1"/>
    <col min="52" max="16384" width="8.6640625" style="9"/>
  </cols>
  <sheetData>
    <row r="1" spans="1:12" ht="27" customHeight="1" x14ac:dyDescent="0.25">
      <c r="A1" s="937" t="str">
        <f>"HVAC System - "&amp;Prototype!A2</f>
        <v>HVAC System - HotelLarge</v>
      </c>
      <c r="B1" s="937"/>
      <c r="C1" s="937"/>
      <c r="D1" s="937"/>
      <c r="E1" s="937"/>
      <c r="F1" s="937"/>
      <c r="G1" s="937"/>
      <c r="H1" s="937"/>
    </row>
    <row r="2" spans="1:12" ht="24" customHeight="1" x14ac:dyDescent="0.25">
      <c r="A2" s="869" t="s">
        <v>270</v>
      </c>
      <c r="B2" s="869" t="s">
        <v>353</v>
      </c>
      <c r="C2" s="869" t="s">
        <v>354</v>
      </c>
      <c r="D2" s="869" t="s">
        <v>355</v>
      </c>
      <c r="E2" s="869" t="s">
        <v>356</v>
      </c>
      <c r="F2" s="869" t="s">
        <v>357</v>
      </c>
      <c r="G2" s="869" t="s">
        <v>260</v>
      </c>
      <c r="H2" s="869" t="s">
        <v>358</v>
      </c>
    </row>
    <row r="3" spans="1:12" ht="39" customHeight="1" x14ac:dyDescent="0.25">
      <c r="A3" s="947" t="s">
        <v>359</v>
      </c>
      <c r="B3" s="817" t="s">
        <v>360</v>
      </c>
      <c r="C3" s="820" t="s">
        <v>361</v>
      </c>
      <c r="D3" s="871" t="s">
        <v>362</v>
      </c>
      <c r="E3" s="179" t="s">
        <v>363</v>
      </c>
      <c r="F3" s="124" t="s">
        <v>364</v>
      </c>
      <c r="G3" s="820" t="s">
        <v>365</v>
      </c>
      <c r="H3" s="938" t="s">
        <v>366</v>
      </c>
      <c r="K3" s="829"/>
      <c r="L3" s="619"/>
    </row>
    <row r="4" spans="1:12" ht="37.950000000000003" customHeight="1" x14ac:dyDescent="0.25">
      <c r="A4" s="947"/>
      <c r="B4" s="823" t="s">
        <v>367</v>
      </c>
      <c r="C4" s="820" t="s">
        <v>361</v>
      </c>
      <c r="D4" s="823" t="s">
        <v>362</v>
      </c>
      <c r="E4" s="823" t="s">
        <v>368</v>
      </c>
      <c r="F4" s="124" t="s">
        <v>369</v>
      </c>
      <c r="G4" s="820" t="s">
        <v>370</v>
      </c>
      <c r="H4" s="939"/>
      <c r="K4" s="704"/>
      <c r="L4" s="619"/>
    </row>
    <row r="5" spans="1:12" ht="37.200000000000003" customHeight="1" x14ac:dyDescent="0.25">
      <c r="A5" s="948" t="s">
        <v>371</v>
      </c>
      <c r="B5" s="820" t="s">
        <v>360</v>
      </c>
      <c r="C5" s="820" t="s">
        <v>361</v>
      </c>
      <c r="D5" s="823" t="s">
        <v>362</v>
      </c>
      <c r="E5" s="823" t="s">
        <v>363</v>
      </c>
      <c r="F5" s="820" t="s">
        <v>372</v>
      </c>
      <c r="G5" s="820" t="s">
        <v>373</v>
      </c>
      <c r="H5" s="939"/>
      <c r="I5" s="704"/>
      <c r="J5" s="788"/>
      <c r="K5" s="704"/>
      <c r="L5" s="619"/>
    </row>
    <row r="6" spans="1:12" ht="40.950000000000003" customHeight="1" x14ac:dyDescent="0.25">
      <c r="A6" s="948"/>
      <c r="B6" s="823" t="s">
        <v>367</v>
      </c>
      <c r="C6" s="820" t="s">
        <v>361</v>
      </c>
      <c r="D6" s="823" t="s">
        <v>362</v>
      </c>
      <c r="E6" s="823" t="s">
        <v>374</v>
      </c>
      <c r="F6" s="66" t="s">
        <v>375</v>
      </c>
      <c r="G6" s="820" t="s">
        <v>376</v>
      </c>
      <c r="H6" s="940"/>
      <c r="J6" s="788"/>
      <c r="K6" s="704"/>
      <c r="L6" s="619"/>
    </row>
    <row r="7" spans="1:12" ht="15.6" customHeight="1" x14ac:dyDescent="0.25">
      <c r="A7" s="13"/>
      <c r="B7" s="11"/>
      <c r="C7" s="828"/>
      <c r="D7" s="11"/>
      <c r="E7" s="11"/>
      <c r="F7" s="841"/>
      <c r="G7" s="11"/>
      <c r="H7" s="704"/>
      <c r="J7" s="788"/>
      <c r="K7" s="704"/>
      <c r="L7" s="619"/>
    </row>
    <row r="8" spans="1:12" ht="15.6" customHeight="1" x14ac:dyDescent="0.25">
      <c r="A8" s="11"/>
      <c r="B8" s="11"/>
      <c r="D8" s="11"/>
      <c r="E8" s="11"/>
      <c r="F8" s="11"/>
      <c r="G8" s="11"/>
      <c r="I8" s="619"/>
      <c r="J8" s="619"/>
      <c r="K8" s="619"/>
      <c r="L8" s="619"/>
    </row>
    <row r="9" spans="1:12" x14ac:dyDescent="0.25">
      <c r="B9" s="828"/>
      <c r="C9" s="828"/>
      <c r="D9" s="11"/>
      <c r="E9" s="11"/>
      <c r="F9" s="11"/>
      <c r="G9" s="11"/>
    </row>
    <row r="10" spans="1:12" x14ac:dyDescent="0.25">
      <c r="A10" s="11"/>
      <c r="B10" s="11"/>
      <c r="C10" s="11"/>
      <c r="D10" s="11"/>
      <c r="E10" s="11"/>
      <c r="F10" s="11"/>
      <c r="G10" s="11"/>
    </row>
    <row r="11" spans="1:12" ht="40.200000000000003" customHeight="1" x14ac:dyDescent="0.25">
      <c r="A11" s="950" t="s">
        <v>377</v>
      </c>
      <c r="B11" s="951"/>
      <c r="C11" s="951"/>
      <c r="D11" s="951"/>
      <c r="E11" s="951"/>
      <c r="F11" s="951"/>
      <c r="G11" s="951"/>
      <c r="H11" s="951"/>
    </row>
    <row r="12" spans="1:12" ht="27" customHeight="1" x14ac:dyDescent="0.25">
      <c r="A12" s="842" t="s">
        <v>270</v>
      </c>
      <c r="B12" s="59" t="s">
        <v>378</v>
      </c>
      <c r="C12" s="822" t="s">
        <v>361</v>
      </c>
      <c r="D12" s="822" t="s">
        <v>379</v>
      </c>
      <c r="E12" s="930" t="s">
        <v>260</v>
      </c>
      <c r="F12" s="930"/>
      <c r="G12" s="930" t="s">
        <v>358</v>
      </c>
      <c r="H12" s="930"/>
    </row>
    <row r="13" spans="1:12" ht="18" customHeight="1" x14ac:dyDescent="0.25">
      <c r="A13" s="821" t="s">
        <v>292</v>
      </c>
      <c r="B13" s="914">
        <v>2008</v>
      </c>
      <c r="C13" s="914" t="s">
        <v>380</v>
      </c>
      <c r="D13" s="914" t="s">
        <v>381</v>
      </c>
      <c r="E13" s="931" t="s">
        <v>382</v>
      </c>
      <c r="F13" s="931"/>
      <c r="G13" s="935"/>
      <c r="H13" s="935"/>
      <c r="I13" s="109"/>
      <c r="J13" s="109"/>
      <c r="K13" s="281"/>
      <c r="L13" s="109"/>
    </row>
    <row r="14" spans="1:12" ht="21.75" customHeight="1" x14ac:dyDescent="0.25">
      <c r="A14" s="821" t="s">
        <v>295</v>
      </c>
      <c r="B14" s="914"/>
      <c r="C14" s="914"/>
      <c r="D14" s="914"/>
      <c r="E14" s="931"/>
      <c r="F14" s="931"/>
      <c r="G14" s="935"/>
      <c r="H14" s="935"/>
    </row>
    <row r="15" spans="1:12" ht="19.5" customHeight="1" x14ac:dyDescent="0.25">
      <c r="A15" s="821" t="s">
        <v>298</v>
      </c>
      <c r="B15" s="914"/>
      <c r="C15" s="914"/>
      <c r="D15" s="914"/>
      <c r="E15" s="931"/>
      <c r="F15" s="931"/>
      <c r="G15" s="935"/>
      <c r="H15" s="935"/>
    </row>
    <row r="16" spans="1:12" ht="38.4" customHeight="1" x14ac:dyDescent="0.25">
      <c r="A16" s="821" t="s">
        <v>300</v>
      </c>
      <c r="B16" s="832">
        <v>2013</v>
      </c>
      <c r="C16" s="821" t="s">
        <v>380</v>
      </c>
      <c r="D16" s="821" t="s">
        <v>383</v>
      </c>
      <c r="E16" s="931" t="s">
        <v>384</v>
      </c>
      <c r="F16" s="931"/>
      <c r="G16" s="935"/>
      <c r="H16" s="935"/>
    </row>
    <row r="17" spans="1:51" ht="163.95" customHeight="1" x14ac:dyDescent="0.25">
      <c r="A17" s="821" t="s">
        <v>371</v>
      </c>
      <c r="B17" s="821">
        <v>2025</v>
      </c>
      <c r="C17" s="821" t="s">
        <v>385</v>
      </c>
      <c r="D17" s="821" t="s">
        <v>386</v>
      </c>
      <c r="E17" s="931" t="s">
        <v>387</v>
      </c>
      <c r="F17" s="931"/>
      <c r="G17" s="931" t="s">
        <v>388</v>
      </c>
      <c r="H17" s="931"/>
      <c r="O17" s="9" t="s">
        <v>389</v>
      </c>
      <c r="P17" s="9">
        <f>9.56/3.412</f>
        <v>2.8018757327080892</v>
      </c>
    </row>
    <row r="18" spans="1:51" ht="14.4" x14ac:dyDescent="0.3">
      <c r="A18" s="12"/>
      <c r="B18" s="102"/>
      <c r="C18" s="103"/>
      <c r="D18" s="12"/>
      <c r="E18" s="12"/>
      <c r="F18" s="826"/>
      <c r="G18" s="704"/>
      <c r="O18" s="9" t="s">
        <v>390</v>
      </c>
      <c r="P18" s="9">
        <f>9.7/3.412</f>
        <v>2.8429073856975378</v>
      </c>
    </row>
    <row r="19" spans="1:51" x14ac:dyDescent="0.25">
      <c r="A19" s="33"/>
      <c r="B19" s="12"/>
      <c r="C19" s="33"/>
      <c r="D19" s="32"/>
      <c r="E19" s="12"/>
      <c r="P19" s="9">
        <f>10/3.412</f>
        <v>2.9308323563892147</v>
      </c>
    </row>
    <row r="20" spans="1:51" x14ac:dyDescent="0.25">
      <c r="A20" s="33"/>
      <c r="B20" s="12"/>
      <c r="C20" s="12"/>
      <c r="D20" s="32"/>
      <c r="E20" s="12"/>
    </row>
    <row r="21" spans="1:51" ht="13.95" customHeight="1" x14ac:dyDescent="0.25">
      <c r="A21" s="11"/>
      <c r="D21" s="30"/>
    </row>
    <row r="22" spans="1:51" ht="24.6" customHeight="1" x14ac:dyDescent="0.25">
      <c r="A22" s="944" t="s">
        <v>391</v>
      </c>
      <c r="B22" s="944"/>
      <c r="C22" s="944"/>
      <c r="D22" s="944"/>
      <c r="E22" s="944"/>
      <c r="F22" s="944"/>
      <c r="G22" s="944"/>
      <c r="H22" s="945"/>
      <c r="I22" s="946"/>
      <c r="AY22" s="14" t="s">
        <v>5</v>
      </c>
    </row>
    <row r="23" spans="1:51" ht="40.35" customHeight="1" x14ac:dyDescent="0.25">
      <c r="A23" s="698" t="s">
        <v>270</v>
      </c>
      <c r="B23" s="719" t="s">
        <v>392</v>
      </c>
      <c r="C23" s="719" t="s">
        <v>393</v>
      </c>
      <c r="D23" s="718" t="s">
        <v>394</v>
      </c>
      <c r="E23" s="718" t="s">
        <v>395</v>
      </c>
      <c r="F23" s="718" t="s">
        <v>396</v>
      </c>
      <c r="G23" s="718" t="s">
        <v>397</v>
      </c>
      <c r="H23" s="257" t="s">
        <v>398</v>
      </c>
      <c r="I23" s="697" t="s">
        <v>358</v>
      </c>
    </row>
    <row r="24" spans="1:51" ht="51" customHeight="1" x14ac:dyDescent="0.25">
      <c r="A24" s="942" t="s">
        <v>302</v>
      </c>
      <c r="B24" s="956" t="s">
        <v>399</v>
      </c>
      <c r="C24" s="717" t="s">
        <v>400</v>
      </c>
      <c r="D24" s="699">
        <v>5.58</v>
      </c>
      <c r="E24" s="699">
        <v>0.65</v>
      </c>
      <c r="F24" s="954" t="s">
        <v>401</v>
      </c>
      <c r="G24" s="952"/>
      <c r="H24" s="941" t="s">
        <v>402</v>
      </c>
      <c r="I24" s="949"/>
    </row>
    <row r="25" spans="1:51" ht="47.25" customHeight="1" x14ac:dyDescent="0.25">
      <c r="A25" s="943"/>
      <c r="B25" s="957"/>
      <c r="C25" s="276" t="s">
        <v>403</v>
      </c>
      <c r="D25" s="276">
        <v>1.33</v>
      </c>
      <c r="E25" s="276">
        <v>0.65</v>
      </c>
      <c r="F25" s="955"/>
      <c r="G25" s="953"/>
      <c r="H25" s="923"/>
      <c r="I25" s="949"/>
    </row>
    <row r="26" spans="1:51" ht="13.95" customHeight="1" x14ac:dyDescent="0.25">
      <c r="A26" s="712" t="s">
        <v>404</v>
      </c>
      <c r="B26" s="713"/>
      <c r="C26" s="700"/>
      <c r="D26" s="700"/>
      <c r="E26" s="830"/>
      <c r="F26" s="701"/>
      <c r="G26" s="701"/>
      <c r="H26" s="701"/>
      <c r="I26" s="258"/>
    </row>
    <row r="27" spans="1:51" ht="13.95" customHeight="1" x14ac:dyDescent="0.25">
      <c r="A27" s="712" t="s">
        <v>405</v>
      </c>
      <c r="B27" s="701"/>
      <c r="C27" s="701"/>
      <c r="D27" s="259"/>
      <c r="E27" s="701"/>
      <c r="F27" s="701"/>
      <c r="G27" s="701"/>
      <c r="H27" s="701"/>
      <c r="I27" s="300"/>
    </row>
    <row r="28" spans="1:51" ht="44.25" customHeight="1" x14ac:dyDescent="0.25">
      <c r="A28" s="932" t="s">
        <v>371</v>
      </c>
      <c r="B28" s="723" t="s">
        <v>406</v>
      </c>
      <c r="C28" s="824" t="s">
        <v>407</v>
      </c>
      <c r="D28" s="825" t="s">
        <v>408</v>
      </c>
      <c r="E28" s="933">
        <v>0.65</v>
      </c>
      <c r="F28" s="824" t="s">
        <v>409</v>
      </c>
      <c r="G28" s="724">
        <v>0.94699999999999995</v>
      </c>
      <c r="H28" s="824" t="s">
        <v>410</v>
      </c>
      <c r="I28" s="824" t="s">
        <v>411</v>
      </c>
    </row>
    <row r="29" spans="1:51" ht="55.2" customHeight="1" x14ac:dyDescent="0.25">
      <c r="A29" s="932"/>
      <c r="B29" s="932" t="s">
        <v>406</v>
      </c>
      <c r="C29" s="820" t="s">
        <v>403</v>
      </c>
      <c r="D29" s="936" t="s">
        <v>412</v>
      </c>
      <c r="E29" s="933"/>
      <c r="F29" s="933" t="s">
        <v>413</v>
      </c>
      <c r="G29" s="552">
        <v>0.35</v>
      </c>
      <c r="H29" s="725" t="s">
        <v>414</v>
      </c>
      <c r="I29" s="726" t="s">
        <v>415</v>
      </c>
    </row>
    <row r="30" spans="1:51" ht="132" customHeight="1" x14ac:dyDescent="0.25">
      <c r="A30" s="932"/>
      <c r="B30" s="932"/>
      <c r="C30" s="820" t="s">
        <v>416</v>
      </c>
      <c r="D30" s="936"/>
      <c r="E30" s="933"/>
      <c r="F30" s="933"/>
      <c r="G30" s="727">
        <v>0.7</v>
      </c>
      <c r="H30" s="725" t="s">
        <v>417</v>
      </c>
      <c r="I30" s="728" t="s">
        <v>418</v>
      </c>
      <c r="J30" s="592" t="s">
        <v>419</v>
      </c>
      <c r="K30" s="11">
        <f>1.1*Ventilation!J31</f>
        <v>14465.000000000002</v>
      </c>
    </row>
    <row r="31" spans="1:51" ht="16.95" customHeight="1" x14ac:dyDescent="0.25">
      <c r="D31" s="275"/>
      <c r="E31" s="12"/>
      <c r="F31" s="721"/>
    </row>
    <row r="32" spans="1:51" ht="31.5" customHeight="1" x14ac:dyDescent="0.25">
      <c r="A32" s="934" t="s">
        <v>420</v>
      </c>
      <c r="B32" s="934"/>
      <c r="C32" s="934"/>
      <c r="D32" s="934"/>
      <c r="E32" s="934"/>
      <c r="F32" s="934"/>
      <c r="G32" s="934"/>
      <c r="H32" s="934"/>
      <c r="I32" s="934"/>
    </row>
    <row r="33" spans="1:9" ht="31.5" customHeight="1" x14ac:dyDescent="0.25">
      <c r="A33" s="934" t="s">
        <v>421</v>
      </c>
      <c r="B33" s="934"/>
      <c r="C33" s="934"/>
      <c r="D33" s="934"/>
      <c r="E33" s="934"/>
      <c r="F33" s="934"/>
      <c r="G33" s="934"/>
      <c r="H33" s="934"/>
      <c r="I33" s="934"/>
    </row>
    <row r="34" spans="1:9" ht="16.95" customHeight="1" x14ac:dyDescent="0.25">
      <c r="D34" s="275"/>
      <c r="E34" s="12"/>
      <c r="F34" s="721"/>
    </row>
    <row r="35" spans="1:9" ht="16.95" customHeight="1" x14ac:dyDescent="0.25">
      <c r="D35" s="275"/>
      <c r="E35" s="12"/>
      <c r="F35" s="721"/>
    </row>
    <row r="36" spans="1:9" ht="16.95" customHeight="1" x14ac:dyDescent="0.25">
      <c r="D36" s="275"/>
      <c r="E36" s="12"/>
      <c r="F36" s="721"/>
    </row>
    <row r="37" spans="1:9" ht="16.95" customHeight="1" x14ac:dyDescent="0.25">
      <c r="D37" s="275"/>
      <c r="E37" s="12"/>
      <c r="F37" s="721"/>
    </row>
    <row r="38" spans="1:9" ht="16.95" customHeight="1" x14ac:dyDescent="0.25">
      <c r="D38" s="275"/>
      <c r="E38" s="12"/>
      <c r="F38" s="721"/>
    </row>
    <row r="39" spans="1:9" ht="16.2" customHeight="1" x14ac:dyDescent="0.25">
      <c r="G39" s="14"/>
    </row>
    <row r="40" spans="1:9" ht="16.2" customHeight="1" x14ac:dyDescent="0.25">
      <c r="A40" s="12"/>
      <c r="B40" s="828"/>
      <c r="D40" s="30"/>
    </row>
    <row r="41" spans="1:9" ht="12.75" customHeight="1" x14ac:dyDescent="0.25">
      <c r="A41" s="12"/>
    </row>
    <row r="42" spans="1:9" ht="13.95" customHeight="1" x14ac:dyDescent="0.25">
      <c r="A42" s="10"/>
      <c r="B42" s="828"/>
      <c r="D42" s="30"/>
    </row>
    <row r="43" spans="1:9" ht="13.95" customHeight="1" x14ac:dyDescent="0.25">
      <c r="A43" s="10"/>
      <c r="B43" s="828"/>
      <c r="D43" s="30"/>
    </row>
    <row r="44" spans="1:9" ht="13.95" customHeight="1" x14ac:dyDescent="0.25">
      <c r="A44" s="10"/>
      <c r="B44" s="828"/>
      <c r="D44" s="30"/>
    </row>
    <row r="45" spans="1:9" ht="13.95" customHeight="1" x14ac:dyDescent="0.25">
      <c r="A45" s="10"/>
      <c r="B45" s="828"/>
      <c r="D45" s="30"/>
    </row>
    <row r="46" spans="1:9" ht="13.95" customHeight="1" x14ac:dyDescent="0.25">
      <c r="A46" s="10"/>
      <c r="B46" s="828"/>
      <c r="D46" s="30"/>
    </row>
    <row r="47" spans="1:9" ht="13.95" customHeight="1" x14ac:dyDescent="0.25">
      <c r="A47" s="10"/>
      <c r="B47" s="828"/>
      <c r="D47" s="30"/>
    </row>
    <row r="48" spans="1:9" ht="13.95" customHeight="1" x14ac:dyDescent="0.25">
      <c r="A48" s="10"/>
      <c r="B48" s="828"/>
      <c r="D48" s="30"/>
    </row>
    <row r="49" spans="1:4" ht="13.95" customHeight="1" x14ac:dyDescent="0.25">
      <c r="A49" s="722"/>
      <c r="B49" s="828"/>
      <c r="D49" s="30"/>
    </row>
    <row r="50" spans="1:4" ht="13.95" customHeight="1" x14ac:dyDescent="0.25">
      <c r="A50" s="10"/>
      <c r="B50" s="828"/>
      <c r="D50" s="30"/>
    </row>
    <row r="51" spans="1:4" ht="13.95" customHeight="1" x14ac:dyDescent="0.25">
      <c r="A51" s="10"/>
      <c r="B51" s="828"/>
      <c r="D51" s="30"/>
    </row>
    <row r="52" spans="1:4" ht="13.95" customHeight="1" x14ac:dyDescent="0.25">
      <c r="A52" s="10"/>
      <c r="B52" s="828"/>
      <c r="D52" s="30"/>
    </row>
  </sheetData>
  <mergeCells count="30">
    <mergeCell ref="A1:H1"/>
    <mergeCell ref="H3:H6"/>
    <mergeCell ref="H24:H25"/>
    <mergeCell ref="E17:F17"/>
    <mergeCell ref="G17:H17"/>
    <mergeCell ref="A24:A25"/>
    <mergeCell ref="A22:I22"/>
    <mergeCell ref="A3:A4"/>
    <mergeCell ref="A5:A6"/>
    <mergeCell ref="I24:I25"/>
    <mergeCell ref="B13:B15"/>
    <mergeCell ref="G12:H12"/>
    <mergeCell ref="A11:H11"/>
    <mergeCell ref="G24:G25"/>
    <mergeCell ref="F24:F25"/>
    <mergeCell ref="B24:B25"/>
    <mergeCell ref="B29:B30"/>
    <mergeCell ref="F29:F30"/>
    <mergeCell ref="E28:E30"/>
    <mergeCell ref="A33:I33"/>
    <mergeCell ref="G13:H15"/>
    <mergeCell ref="G16:H16"/>
    <mergeCell ref="A32:I32"/>
    <mergeCell ref="D29:D30"/>
    <mergeCell ref="A28:A30"/>
    <mergeCell ref="E12:F12"/>
    <mergeCell ref="C13:C15"/>
    <mergeCell ref="D13:D15"/>
    <mergeCell ref="E16:F16"/>
    <mergeCell ref="E13:F15"/>
  </mergeCells>
  <phoneticPr fontId="6" type="noConversion"/>
  <hyperlinks>
    <hyperlink ref="B24" r:id="rId1" xr:uid="{37525B36-6A2B-46E7-8008-D9B1D8162EA4}"/>
    <hyperlink ref="B28" r:id="rId2" display="PNNL 90.1-2011, TSP" xr:uid="{F43992E1-2D9C-448F-8447-F255AD33924B}"/>
  </hyperlink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6EE6F-394F-4D80-ACF7-D1F35CC6BDAF}">
  <sheetPr codeName="Sheet7"/>
  <dimension ref="A1:R105"/>
  <sheetViews>
    <sheetView zoomScale="85" zoomScaleNormal="85" workbookViewId="0">
      <selection sqref="A1:R1"/>
    </sheetView>
  </sheetViews>
  <sheetFormatPr defaultRowHeight="14.4" x14ac:dyDescent="0.3"/>
  <cols>
    <col min="1" max="1" width="60.5546875" customWidth="1"/>
    <col min="5" max="5" width="9" customWidth="1"/>
    <col min="6" max="6" width="8.5546875" customWidth="1"/>
    <col min="7" max="7" width="9" customWidth="1"/>
    <col min="18" max="18" width="28" customWidth="1"/>
  </cols>
  <sheetData>
    <row r="1" spans="1:18" ht="29.4" customHeight="1" x14ac:dyDescent="0.3">
      <c r="A1" s="922" t="str">
        <f>"Thermostat Setpoints - "&amp;Prototype!A2</f>
        <v>Thermostat Setpoints - HotelLarge</v>
      </c>
      <c r="B1" s="922"/>
      <c r="C1" s="922"/>
      <c r="D1" s="922"/>
      <c r="E1" s="922"/>
      <c r="F1" s="922"/>
      <c r="G1" s="922"/>
      <c r="H1" s="922"/>
      <c r="I1" s="922"/>
      <c r="J1" s="922"/>
      <c r="K1" s="922"/>
      <c r="L1" s="922"/>
      <c r="M1" s="922"/>
      <c r="N1" s="922"/>
      <c r="O1" s="922"/>
      <c r="P1" s="922"/>
      <c r="Q1" s="922"/>
      <c r="R1" s="922"/>
    </row>
    <row r="2" spans="1:18" ht="25.95" customHeight="1" thickBot="1" x14ac:dyDescent="0.35">
      <c r="A2" s="75" t="s">
        <v>422</v>
      </c>
      <c r="B2" s="65" t="s">
        <v>272</v>
      </c>
      <c r="C2" s="65" t="s">
        <v>273</v>
      </c>
      <c r="D2" s="65" t="s">
        <v>274</v>
      </c>
      <c r="E2" s="65" t="s">
        <v>275</v>
      </c>
      <c r="F2" s="65" t="s">
        <v>276</v>
      </c>
      <c r="G2" s="65" t="s">
        <v>277</v>
      </c>
      <c r="H2" s="65" t="s">
        <v>278</v>
      </c>
      <c r="I2" s="65" t="s">
        <v>279</v>
      </c>
      <c r="J2" s="65" t="s">
        <v>280</v>
      </c>
      <c r="K2" s="65" t="s">
        <v>281</v>
      </c>
      <c r="L2" s="65" t="s">
        <v>282</v>
      </c>
      <c r="M2" s="65" t="s">
        <v>283</v>
      </c>
      <c r="N2" s="65" t="s">
        <v>284</v>
      </c>
      <c r="O2" s="65" t="s">
        <v>285</v>
      </c>
      <c r="P2" s="65" t="s">
        <v>286</v>
      </c>
      <c r="Q2" s="65" t="s">
        <v>287</v>
      </c>
      <c r="R2" s="65" t="s">
        <v>260</v>
      </c>
    </row>
    <row r="3" spans="1:18" ht="25.95" customHeight="1" x14ac:dyDescent="0.3">
      <c r="A3" s="126" t="s">
        <v>423</v>
      </c>
      <c r="B3" s="111">
        <v>70</v>
      </c>
      <c r="C3" s="111">
        <v>70</v>
      </c>
      <c r="D3" s="111">
        <v>70</v>
      </c>
      <c r="E3" s="111">
        <v>70</v>
      </c>
      <c r="F3" s="111">
        <v>70</v>
      </c>
      <c r="G3" s="111">
        <v>70</v>
      </c>
      <c r="H3" s="111">
        <v>70</v>
      </c>
      <c r="I3" s="111">
        <v>70</v>
      </c>
      <c r="J3" s="111">
        <v>70</v>
      </c>
      <c r="K3" s="111">
        <v>70</v>
      </c>
      <c r="L3" s="111">
        <v>70</v>
      </c>
      <c r="M3" s="111">
        <v>70</v>
      </c>
      <c r="N3" s="111">
        <v>70</v>
      </c>
      <c r="O3" s="111">
        <v>70</v>
      </c>
      <c r="P3" s="111">
        <v>70</v>
      </c>
      <c r="Q3" s="112">
        <v>70</v>
      </c>
      <c r="R3" s="1006" t="s">
        <v>424</v>
      </c>
    </row>
    <row r="4" spans="1:18" ht="25.95" customHeight="1" x14ac:dyDescent="0.3">
      <c r="A4" s="76" t="s">
        <v>425</v>
      </c>
      <c r="B4" s="823">
        <v>60</v>
      </c>
      <c r="C4" s="823">
        <v>60</v>
      </c>
      <c r="D4" s="823">
        <v>60</v>
      </c>
      <c r="E4" s="823">
        <v>60</v>
      </c>
      <c r="F4" s="823">
        <v>60</v>
      </c>
      <c r="G4" s="823">
        <v>60</v>
      </c>
      <c r="H4" s="823">
        <v>60</v>
      </c>
      <c r="I4" s="823">
        <v>60</v>
      </c>
      <c r="J4" s="823">
        <v>60</v>
      </c>
      <c r="K4" s="823">
        <v>60</v>
      </c>
      <c r="L4" s="823">
        <v>60</v>
      </c>
      <c r="M4" s="823">
        <v>60</v>
      </c>
      <c r="N4" s="823">
        <v>60</v>
      </c>
      <c r="O4" s="823">
        <v>60</v>
      </c>
      <c r="P4" s="823">
        <v>60</v>
      </c>
      <c r="Q4" s="113">
        <v>60</v>
      </c>
      <c r="R4" s="1007"/>
    </row>
    <row r="5" spans="1:18" ht="25.95" customHeight="1" x14ac:dyDescent="0.3">
      <c r="A5" s="76" t="s">
        <v>426</v>
      </c>
      <c r="B5" s="823">
        <v>75</v>
      </c>
      <c r="C5" s="823">
        <v>75</v>
      </c>
      <c r="D5" s="823">
        <v>75</v>
      </c>
      <c r="E5" s="823">
        <v>75</v>
      </c>
      <c r="F5" s="823">
        <v>75</v>
      </c>
      <c r="G5" s="823">
        <v>75</v>
      </c>
      <c r="H5" s="823">
        <v>75</v>
      </c>
      <c r="I5" s="823">
        <v>75</v>
      </c>
      <c r="J5" s="823">
        <v>75</v>
      </c>
      <c r="K5" s="823">
        <v>75</v>
      </c>
      <c r="L5" s="823">
        <v>75</v>
      </c>
      <c r="M5" s="823">
        <v>75</v>
      </c>
      <c r="N5" s="823">
        <v>75</v>
      </c>
      <c r="O5" s="823">
        <v>75</v>
      </c>
      <c r="P5" s="823">
        <v>75</v>
      </c>
      <c r="Q5" s="113">
        <v>75</v>
      </c>
      <c r="R5" s="1007"/>
    </row>
    <row r="6" spans="1:18" ht="25.95" customHeight="1" thickBot="1" x14ac:dyDescent="0.35">
      <c r="A6" s="369" t="s">
        <v>427</v>
      </c>
      <c r="B6" s="114">
        <v>85</v>
      </c>
      <c r="C6" s="114">
        <v>85</v>
      </c>
      <c r="D6" s="114">
        <v>85</v>
      </c>
      <c r="E6" s="114">
        <v>85</v>
      </c>
      <c r="F6" s="114">
        <v>85</v>
      </c>
      <c r="G6" s="114">
        <v>85</v>
      </c>
      <c r="H6" s="114">
        <v>85</v>
      </c>
      <c r="I6" s="114">
        <v>85</v>
      </c>
      <c r="J6" s="114">
        <v>85</v>
      </c>
      <c r="K6" s="114">
        <v>85</v>
      </c>
      <c r="L6" s="114">
        <v>85</v>
      </c>
      <c r="M6" s="114">
        <v>85</v>
      </c>
      <c r="N6" s="114">
        <v>85</v>
      </c>
      <c r="O6" s="114">
        <v>85</v>
      </c>
      <c r="P6" s="114">
        <v>85</v>
      </c>
      <c r="Q6" s="115">
        <v>85</v>
      </c>
      <c r="R6" s="1008"/>
    </row>
    <row r="7" spans="1:18" ht="25.95" customHeight="1" x14ac:dyDescent="0.3">
      <c r="A7" s="126" t="s">
        <v>428</v>
      </c>
      <c r="B7" s="127">
        <v>68</v>
      </c>
      <c r="C7" s="127">
        <v>68</v>
      </c>
      <c r="D7" s="127">
        <v>68</v>
      </c>
      <c r="E7" s="127">
        <v>68</v>
      </c>
      <c r="F7" s="127">
        <v>68</v>
      </c>
      <c r="G7" s="127">
        <v>68</v>
      </c>
      <c r="H7" s="127">
        <v>68</v>
      </c>
      <c r="I7" s="127">
        <v>68</v>
      </c>
      <c r="J7" s="127">
        <v>68</v>
      </c>
      <c r="K7" s="127">
        <v>68</v>
      </c>
      <c r="L7" s="127">
        <v>68</v>
      </c>
      <c r="M7" s="127">
        <v>68</v>
      </c>
      <c r="N7" s="127">
        <v>68</v>
      </c>
      <c r="O7" s="127">
        <v>68</v>
      </c>
      <c r="P7" s="127">
        <v>68</v>
      </c>
      <c r="Q7" s="128">
        <v>68</v>
      </c>
      <c r="R7" s="1003" t="s">
        <v>429</v>
      </c>
    </row>
    <row r="8" spans="1:18" ht="25.95" customHeight="1" x14ac:dyDescent="0.3">
      <c r="A8" s="76" t="s">
        <v>430</v>
      </c>
      <c r="B8" s="823">
        <v>68</v>
      </c>
      <c r="C8" s="823">
        <v>68</v>
      </c>
      <c r="D8" s="823">
        <v>68</v>
      </c>
      <c r="E8" s="823">
        <v>68</v>
      </c>
      <c r="F8" s="823">
        <v>68</v>
      </c>
      <c r="G8" s="823">
        <v>68</v>
      </c>
      <c r="H8" s="823">
        <v>68</v>
      </c>
      <c r="I8" s="823">
        <v>68</v>
      </c>
      <c r="J8" s="823">
        <v>68</v>
      </c>
      <c r="K8" s="823">
        <v>68</v>
      </c>
      <c r="L8" s="823">
        <v>68</v>
      </c>
      <c r="M8" s="823">
        <v>68</v>
      </c>
      <c r="N8" s="823">
        <v>68</v>
      </c>
      <c r="O8" s="823">
        <v>68</v>
      </c>
      <c r="P8" s="823">
        <v>68</v>
      </c>
      <c r="Q8" s="77">
        <v>68</v>
      </c>
      <c r="R8" s="1004"/>
    </row>
    <row r="9" spans="1:18" ht="25.95" customHeight="1" x14ac:dyDescent="0.3">
      <c r="A9" s="76" t="s">
        <v>431</v>
      </c>
      <c r="B9" s="823">
        <v>78</v>
      </c>
      <c r="C9" s="823">
        <v>78</v>
      </c>
      <c r="D9" s="823">
        <v>78</v>
      </c>
      <c r="E9" s="823">
        <v>78</v>
      </c>
      <c r="F9" s="823">
        <v>78</v>
      </c>
      <c r="G9" s="823">
        <v>78</v>
      </c>
      <c r="H9" s="823">
        <v>68</v>
      </c>
      <c r="I9" s="823">
        <v>78</v>
      </c>
      <c r="J9" s="823">
        <v>78</v>
      </c>
      <c r="K9" s="823">
        <v>78</v>
      </c>
      <c r="L9" s="823">
        <v>78</v>
      </c>
      <c r="M9" s="823">
        <v>78</v>
      </c>
      <c r="N9" s="823">
        <v>78</v>
      </c>
      <c r="O9" s="823">
        <v>78</v>
      </c>
      <c r="P9" s="823">
        <v>78</v>
      </c>
      <c r="Q9" s="77">
        <v>78</v>
      </c>
      <c r="R9" s="1004"/>
    </row>
    <row r="10" spans="1:18" ht="25.95" customHeight="1" thickBot="1" x14ac:dyDescent="0.35">
      <c r="A10" s="369" t="s">
        <v>432</v>
      </c>
      <c r="B10" s="871">
        <v>78</v>
      </c>
      <c r="C10" s="871">
        <v>78</v>
      </c>
      <c r="D10" s="871">
        <v>78</v>
      </c>
      <c r="E10" s="871">
        <v>78</v>
      </c>
      <c r="F10" s="871">
        <v>78</v>
      </c>
      <c r="G10" s="871">
        <v>78</v>
      </c>
      <c r="H10" s="871">
        <v>78</v>
      </c>
      <c r="I10" s="871">
        <v>78</v>
      </c>
      <c r="J10" s="871">
        <v>78</v>
      </c>
      <c r="K10" s="871">
        <v>78</v>
      </c>
      <c r="L10" s="871">
        <v>78</v>
      </c>
      <c r="M10" s="871">
        <v>78</v>
      </c>
      <c r="N10" s="871">
        <v>78</v>
      </c>
      <c r="O10" s="871">
        <v>78</v>
      </c>
      <c r="P10" s="871">
        <v>78</v>
      </c>
      <c r="Q10" s="181">
        <v>78</v>
      </c>
      <c r="R10" s="1005"/>
    </row>
    <row r="11" spans="1:18" ht="25.95" customHeight="1" x14ac:dyDescent="0.3">
      <c r="A11" s="126" t="s">
        <v>433</v>
      </c>
      <c r="B11" s="270">
        <v>70</v>
      </c>
      <c r="C11" s="270">
        <v>70</v>
      </c>
      <c r="D11" s="270">
        <v>70</v>
      </c>
      <c r="E11" s="270">
        <v>70</v>
      </c>
      <c r="F11" s="270">
        <v>70</v>
      </c>
      <c r="G11" s="270">
        <v>70</v>
      </c>
      <c r="H11" s="270">
        <v>70</v>
      </c>
      <c r="I11" s="270">
        <v>70</v>
      </c>
      <c r="J11" s="270">
        <v>70</v>
      </c>
      <c r="K11" s="270">
        <v>70</v>
      </c>
      <c r="L11" s="270">
        <v>70</v>
      </c>
      <c r="M11" s="270">
        <v>70</v>
      </c>
      <c r="N11" s="270">
        <v>70</v>
      </c>
      <c r="O11" s="270">
        <v>70</v>
      </c>
      <c r="P11" s="270">
        <v>70</v>
      </c>
      <c r="Q11" s="277">
        <v>70</v>
      </c>
      <c r="R11" s="190"/>
    </row>
    <row r="12" spans="1:18" ht="25.95" customHeight="1" x14ac:dyDescent="0.3">
      <c r="A12" s="76" t="s">
        <v>434</v>
      </c>
      <c r="B12" s="278">
        <v>70</v>
      </c>
      <c r="C12" s="278">
        <v>70</v>
      </c>
      <c r="D12" s="278">
        <v>70</v>
      </c>
      <c r="E12" s="278">
        <v>70</v>
      </c>
      <c r="F12" s="278">
        <v>70</v>
      </c>
      <c r="G12" s="278">
        <v>70</v>
      </c>
      <c r="H12" s="278">
        <v>70</v>
      </c>
      <c r="I12" s="278">
        <v>70</v>
      </c>
      <c r="J12" s="278">
        <v>70</v>
      </c>
      <c r="K12" s="278">
        <v>70</v>
      </c>
      <c r="L12" s="278">
        <v>70</v>
      </c>
      <c r="M12" s="278">
        <v>70</v>
      </c>
      <c r="N12" s="278">
        <v>70</v>
      </c>
      <c r="O12" s="278">
        <v>70</v>
      </c>
      <c r="P12" s="278">
        <v>70</v>
      </c>
      <c r="Q12" s="279">
        <v>70</v>
      </c>
      <c r="R12" s="191"/>
    </row>
    <row r="13" spans="1:18" ht="25.95" customHeight="1" x14ac:dyDescent="0.3">
      <c r="A13" s="76" t="s">
        <v>435</v>
      </c>
      <c r="B13" s="228">
        <v>72</v>
      </c>
      <c r="C13" s="228">
        <v>72</v>
      </c>
      <c r="D13" s="228">
        <v>72</v>
      </c>
      <c r="E13" s="228">
        <v>72</v>
      </c>
      <c r="F13" s="228">
        <v>72</v>
      </c>
      <c r="G13" s="228">
        <v>72</v>
      </c>
      <c r="H13" s="228">
        <v>72</v>
      </c>
      <c r="I13" s="228">
        <v>72</v>
      </c>
      <c r="J13" s="228">
        <v>72</v>
      </c>
      <c r="K13" s="228">
        <v>72</v>
      </c>
      <c r="L13" s="228">
        <v>72</v>
      </c>
      <c r="M13" s="228">
        <v>72</v>
      </c>
      <c r="N13" s="228">
        <v>72</v>
      </c>
      <c r="O13" s="228">
        <v>72</v>
      </c>
      <c r="P13" s="228">
        <v>72</v>
      </c>
      <c r="Q13" s="280">
        <v>72</v>
      </c>
      <c r="R13" s="208" t="s">
        <v>436</v>
      </c>
    </row>
    <row r="14" spans="1:18" ht="25.95" customHeight="1" thickBot="1" x14ac:dyDescent="0.35">
      <c r="A14" s="369" t="s">
        <v>437</v>
      </c>
      <c r="B14" s="64">
        <v>72</v>
      </c>
      <c r="C14" s="64">
        <v>72</v>
      </c>
      <c r="D14" s="64">
        <v>72</v>
      </c>
      <c r="E14" s="64">
        <v>72</v>
      </c>
      <c r="F14" s="64">
        <v>72</v>
      </c>
      <c r="G14" s="64">
        <v>72</v>
      </c>
      <c r="H14" s="64">
        <v>72</v>
      </c>
      <c r="I14" s="64">
        <v>72</v>
      </c>
      <c r="J14" s="64">
        <v>72</v>
      </c>
      <c r="K14" s="64">
        <v>72</v>
      </c>
      <c r="L14" s="64">
        <v>72</v>
      </c>
      <c r="M14" s="64">
        <v>72</v>
      </c>
      <c r="N14" s="64">
        <v>72</v>
      </c>
      <c r="O14" s="64">
        <v>72</v>
      </c>
      <c r="P14" s="64">
        <v>72</v>
      </c>
      <c r="Q14" s="386">
        <v>72</v>
      </c>
      <c r="R14" s="387" t="s">
        <v>438</v>
      </c>
    </row>
    <row r="15" spans="1:18" ht="25.95" customHeight="1" x14ac:dyDescent="0.3">
      <c r="A15" s="126" t="s">
        <v>439</v>
      </c>
      <c r="B15" s="388">
        <v>66</v>
      </c>
      <c r="C15" s="388">
        <v>66</v>
      </c>
      <c r="D15" s="388">
        <v>66</v>
      </c>
      <c r="E15" s="388">
        <v>66</v>
      </c>
      <c r="F15" s="388">
        <v>66</v>
      </c>
      <c r="G15" s="388">
        <v>66</v>
      </c>
      <c r="H15" s="388">
        <v>66</v>
      </c>
      <c r="I15" s="388">
        <v>66</v>
      </c>
      <c r="J15" s="388">
        <v>66</v>
      </c>
      <c r="K15" s="388">
        <v>66</v>
      </c>
      <c r="L15" s="388">
        <v>66</v>
      </c>
      <c r="M15" s="388">
        <v>66</v>
      </c>
      <c r="N15" s="388">
        <v>66</v>
      </c>
      <c r="O15" s="388">
        <v>66</v>
      </c>
      <c r="P15" s="388">
        <v>66</v>
      </c>
      <c r="Q15" s="543">
        <v>66</v>
      </c>
      <c r="R15" s="968" t="s">
        <v>440</v>
      </c>
    </row>
    <row r="16" spans="1:18" ht="25.95" customHeight="1" x14ac:dyDescent="0.3">
      <c r="A16" s="76" t="s">
        <v>441</v>
      </c>
      <c r="B16" s="228">
        <v>60</v>
      </c>
      <c r="C16" s="228">
        <v>60</v>
      </c>
      <c r="D16" s="228">
        <v>60</v>
      </c>
      <c r="E16" s="228">
        <v>60</v>
      </c>
      <c r="F16" s="228">
        <v>60</v>
      </c>
      <c r="G16" s="228">
        <v>60</v>
      </c>
      <c r="H16" s="228">
        <v>60</v>
      </c>
      <c r="I16" s="228">
        <v>60</v>
      </c>
      <c r="J16" s="228">
        <v>60</v>
      </c>
      <c r="K16" s="228">
        <v>60</v>
      </c>
      <c r="L16" s="228">
        <v>60</v>
      </c>
      <c r="M16" s="228">
        <v>60</v>
      </c>
      <c r="N16" s="228">
        <v>60</v>
      </c>
      <c r="O16" s="228">
        <v>60</v>
      </c>
      <c r="P16" s="228">
        <v>60</v>
      </c>
      <c r="Q16" s="280">
        <v>60</v>
      </c>
      <c r="R16" s="969"/>
    </row>
    <row r="17" spans="1:18" ht="25.95" customHeight="1" x14ac:dyDescent="0.3">
      <c r="A17" s="76" t="s">
        <v>442</v>
      </c>
      <c r="B17" s="228">
        <v>79</v>
      </c>
      <c r="C17" s="228">
        <v>79</v>
      </c>
      <c r="D17" s="228">
        <v>79</v>
      </c>
      <c r="E17" s="228">
        <v>79</v>
      </c>
      <c r="F17" s="228">
        <v>79</v>
      </c>
      <c r="G17" s="228">
        <v>79</v>
      </c>
      <c r="H17" s="228">
        <v>79</v>
      </c>
      <c r="I17" s="228">
        <v>79</v>
      </c>
      <c r="J17" s="228">
        <v>79</v>
      </c>
      <c r="K17" s="228">
        <v>79</v>
      </c>
      <c r="L17" s="228">
        <v>79</v>
      </c>
      <c r="M17" s="228">
        <v>79</v>
      </c>
      <c r="N17" s="228">
        <v>79</v>
      </c>
      <c r="O17" s="228">
        <v>79</v>
      </c>
      <c r="P17" s="228">
        <v>79</v>
      </c>
      <c r="Q17" s="280">
        <v>79</v>
      </c>
      <c r="R17" s="969"/>
    </row>
    <row r="18" spans="1:18" ht="25.95" customHeight="1" thickBot="1" x14ac:dyDescent="0.35">
      <c r="A18" s="542" t="s">
        <v>443</v>
      </c>
      <c r="B18" s="389">
        <v>86</v>
      </c>
      <c r="C18" s="389">
        <v>86</v>
      </c>
      <c r="D18" s="389">
        <v>86</v>
      </c>
      <c r="E18" s="389">
        <v>86</v>
      </c>
      <c r="F18" s="389">
        <v>86</v>
      </c>
      <c r="G18" s="389">
        <v>86</v>
      </c>
      <c r="H18" s="389">
        <v>86</v>
      </c>
      <c r="I18" s="389">
        <v>86</v>
      </c>
      <c r="J18" s="389">
        <v>86</v>
      </c>
      <c r="K18" s="389">
        <v>86</v>
      </c>
      <c r="L18" s="389">
        <v>86</v>
      </c>
      <c r="M18" s="389">
        <v>86</v>
      </c>
      <c r="N18" s="389">
        <v>86</v>
      </c>
      <c r="O18" s="389">
        <v>86</v>
      </c>
      <c r="P18" s="389">
        <v>86</v>
      </c>
      <c r="Q18" s="544">
        <v>86</v>
      </c>
      <c r="R18" s="970"/>
    </row>
    <row r="19" spans="1:18" ht="25.95" customHeight="1" x14ac:dyDescent="0.3">
      <c r="A19" s="641" t="s">
        <v>1126</v>
      </c>
      <c r="B19" s="642">
        <v>60</v>
      </c>
      <c r="C19" s="642">
        <v>60</v>
      </c>
      <c r="D19" s="642">
        <v>60</v>
      </c>
      <c r="E19" s="642">
        <v>60</v>
      </c>
      <c r="F19" s="642">
        <v>60</v>
      </c>
      <c r="G19" s="642">
        <v>60</v>
      </c>
      <c r="H19" s="642">
        <v>60</v>
      </c>
      <c r="I19" s="642">
        <v>60</v>
      </c>
      <c r="J19" s="642">
        <v>60</v>
      </c>
      <c r="K19" s="642">
        <v>60</v>
      </c>
      <c r="L19" s="642">
        <v>60</v>
      </c>
      <c r="M19" s="642">
        <v>60</v>
      </c>
      <c r="N19" s="642">
        <v>60</v>
      </c>
      <c r="O19" s="642">
        <v>60</v>
      </c>
      <c r="P19" s="642">
        <v>60</v>
      </c>
      <c r="Q19" s="643">
        <v>60</v>
      </c>
      <c r="R19" s="968" t="s">
        <v>444</v>
      </c>
    </row>
    <row r="20" spans="1:18" ht="25.95" customHeight="1" x14ac:dyDescent="0.3">
      <c r="A20" s="644" t="s">
        <v>1127</v>
      </c>
      <c r="B20" s="870">
        <v>60</v>
      </c>
      <c r="C20" s="870">
        <v>60</v>
      </c>
      <c r="D20" s="870">
        <v>60</v>
      </c>
      <c r="E20" s="870">
        <v>60</v>
      </c>
      <c r="F20" s="870">
        <v>60</v>
      </c>
      <c r="G20" s="870">
        <v>60</v>
      </c>
      <c r="H20" s="870">
        <v>60</v>
      </c>
      <c r="I20" s="870">
        <v>60</v>
      </c>
      <c r="J20" s="870">
        <v>60</v>
      </c>
      <c r="K20" s="870">
        <v>60</v>
      </c>
      <c r="L20" s="870">
        <v>60</v>
      </c>
      <c r="M20" s="870">
        <v>60</v>
      </c>
      <c r="N20" s="870">
        <v>60</v>
      </c>
      <c r="O20" s="870">
        <v>60</v>
      </c>
      <c r="P20" s="870">
        <v>60</v>
      </c>
      <c r="Q20" s="645">
        <v>60</v>
      </c>
      <c r="R20" s="969"/>
    </row>
    <row r="21" spans="1:18" ht="25.95" customHeight="1" x14ac:dyDescent="0.3">
      <c r="A21" s="644" t="s">
        <v>1128</v>
      </c>
      <c r="B21" s="870">
        <v>85</v>
      </c>
      <c r="C21" s="870">
        <v>85</v>
      </c>
      <c r="D21" s="870">
        <v>85</v>
      </c>
      <c r="E21" s="870">
        <v>85</v>
      </c>
      <c r="F21" s="870">
        <v>85</v>
      </c>
      <c r="G21" s="870">
        <v>85</v>
      </c>
      <c r="H21" s="870">
        <v>85</v>
      </c>
      <c r="I21" s="870">
        <v>85</v>
      </c>
      <c r="J21" s="870">
        <v>85</v>
      </c>
      <c r="K21" s="870">
        <v>85</v>
      </c>
      <c r="L21" s="870">
        <v>85</v>
      </c>
      <c r="M21" s="870">
        <v>85</v>
      </c>
      <c r="N21" s="870">
        <v>85</v>
      </c>
      <c r="O21" s="870">
        <v>85</v>
      </c>
      <c r="P21" s="870">
        <v>85</v>
      </c>
      <c r="Q21" s="645">
        <v>85</v>
      </c>
      <c r="R21" s="969"/>
    </row>
    <row r="22" spans="1:18" ht="25.95" customHeight="1" thickBot="1" x14ac:dyDescent="0.35">
      <c r="A22" s="646" t="s">
        <v>1129</v>
      </c>
      <c r="B22" s="647">
        <v>85</v>
      </c>
      <c r="C22" s="647">
        <v>85</v>
      </c>
      <c r="D22" s="647">
        <v>85</v>
      </c>
      <c r="E22" s="647">
        <v>85</v>
      </c>
      <c r="F22" s="647">
        <v>85</v>
      </c>
      <c r="G22" s="647">
        <v>85</v>
      </c>
      <c r="H22" s="647">
        <v>85</v>
      </c>
      <c r="I22" s="647">
        <v>85</v>
      </c>
      <c r="J22" s="647">
        <v>85</v>
      </c>
      <c r="K22" s="647">
        <v>85</v>
      </c>
      <c r="L22" s="647">
        <v>85</v>
      </c>
      <c r="M22" s="647">
        <v>85</v>
      </c>
      <c r="N22" s="647">
        <v>85</v>
      </c>
      <c r="O22" s="647">
        <v>85</v>
      </c>
      <c r="P22" s="647">
        <v>85</v>
      </c>
      <c r="Q22" s="648">
        <v>85</v>
      </c>
      <c r="R22" s="970"/>
    </row>
    <row r="23" spans="1:18" x14ac:dyDescent="0.3">
      <c r="A23" s="982"/>
      <c r="B23" s="982"/>
      <c r="C23" s="982"/>
      <c r="D23" s="982"/>
      <c r="E23" s="982"/>
      <c r="F23" s="982"/>
      <c r="G23" s="982"/>
      <c r="H23" s="982"/>
      <c r="I23" s="982"/>
      <c r="J23" s="982"/>
      <c r="K23" s="982"/>
      <c r="L23" s="982"/>
      <c r="M23" s="982"/>
      <c r="N23" s="982"/>
      <c r="O23" s="982"/>
      <c r="P23" s="982"/>
      <c r="Q23" s="982"/>
    </row>
    <row r="24" spans="1:18" s="1" customFormat="1" ht="31.2" customHeight="1" x14ac:dyDescent="0.3">
      <c r="A24" s="983" t="s">
        <v>445</v>
      </c>
      <c r="B24" s="983"/>
      <c r="C24" s="983"/>
      <c r="D24" s="983"/>
      <c r="E24" s="983"/>
      <c r="F24" s="983"/>
      <c r="G24" s="983"/>
      <c r="H24" s="983"/>
      <c r="I24" s="983"/>
      <c r="J24" s="983"/>
      <c r="K24" s="983"/>
      <c r="L24" s="983"/>
      <c r="M24" s="983"/>
      <c r="N24" s="983"/>
      <c r="O24" s="983"/>
      <c r="P24" s="983"/>
      <c r="Q24" s="983"/>
      <c r="R24"/>
    </row>
    <row r="25" spans="1:18" x14ac:dyDescent="0.3">
      <c r="A25" s="985" t="s">
        <v>446</v>
      </c>
      <c r="B25" s="985"/>
      <c r="C25" s="985"/>
      <c r="D25" s="985"/>
      <c r="E25" s="985"/>
      <c r="F25" s="985"/>
      <c r="G25" s="985"/>
      <c r="H25" s="985"/>
      <c r="I25" s="985"/>
      <c r="J25" s="985"/>
      <c r="K25" s="985"/>
      <c r="L25" s="985"/>
      <c r="M25" s="985"/>
      <c r="N25" s="985"/>
      <c r="O25" s="985"/>
      <c r="P25" s="985"/>
      <c r="Q25" s="985"/>
      <c r="R25" s="189"/>
    </row>
    <row r="26" spans="1:18" x14ac:dyDescent="0.3">
      <c r="A26" s="984" t="s">
        <v>447</v>
      </c>
      <c r="B26" s="984"/>
      <c r="C26" s="984"/>
      <c r="D26" s="984"/>
      <c r="E26" s="984"/>
      <c r="F26" s="984"/>
      <c r="G26" s="984"/>
      <c r="H26" s="984"/>
      <c r="I26" s="984"/>
      <c r="J26" s="984"/>
      <c r="K26" s="984"/>
      <c r="L26" s="984"/>
      <c r="M26" s="984"/>
      <c r="N26" s="984"/>
      <c r="O26" s="984"/>
      <c r="P26" s="984"/>
      <c r="Q26" s="984"/>
    </row>
    <row r="27" spans="1:18" x14ac:dyDescent="0.3">
      <c r="A27" s="983" t="s">
        <v>448</v>
      </c>
      <c r="B27" s="983"/>
      <c r="C27" s="983"/>
      <c r="D27" s="983"/>
      <c r="E27" s="983"/>
      <c r="F27" s="983"/>
      <c r="G27" s="983"/>
      <c r="H27" s="983"/>
      <c r="I27" s="983"/>
      <c r="J27" s="983"/>
      <c r="K27" s="983"/>
      <c r="L27" s="983"/>
      <c r="M27" s="983"/>
      <c r="N27" s="983"/>
      <c r="O27" s="983"/>
      <c r="P27" s="983"/>
      <c r="Q27" s="983"/>
    </row>
    <row r="28" spans="1:18" x14ac:dyDescent="0.3">
      <c r="A28" s="971"/>
      <c r="B28" s="971"/>
      <c r="C28" s="971"/>
      <c r="D28" s="971"/>
      <c r="E28" s="971"/>
      <c r="F28" s="971"/>
      <c r="G28" s="971"/>
      <c r="H28" s="971"/>
      <c r="I28" s="971"/>
      <c r="J28" s="971"/>
      <c r="K28" s="971"/>
      <c r="L28" s="971"/>
      <c r="M28" s="971"/>
      <c r="N28" s="971"/>
      <c r="O28" s="971"/>
      <c r="P28" s="971"/>
      <c r="Q28" s="971"/>
    </row>
    <row r="29" spans="1:18" x14ac:dyDescent="0.3">
      <c r="A29" s="971" t="s">
        <v>449</v>
      </c>
      <c r="B29" s="971"/>
      <c r="C29" s="971"/>
      <c r="D29" s="971"/>
      <c r="E29" s="971"/>
      <c r="F29" s="971"/>
      <c r="G29" s="971"/>
      <c r="H29" s="971"/>
      <c r="I29" s="971"/>
      <c r="J29" s="971"/>
      <c r="K29" s="971"/>
      <c r="L29" s="971"/>
      <c r="M29" s="971"/>
      <c r="N29" s="971"/>
      <c r="O29" s="971"/>
      <c r="P29" s="971"/>
      <c r="Q29" s="971"/>
    </row>
    <row r="30" spans="1:18" x14ac:dyDescent="0.3">
      <c r="A30" s="986" t="s">
        <v>450</v>
      </c>
      <c r="B30" s="986"/>
      <c r="C30" s="986"/>
      <c r="D30" s="986"/>
      <c r="E30" s="986"/>
      <c r="F30" s="986"/>
      <c r="G30" s="986"/>
      <c r="H30" s="986"/>
      <c r="I30" s="986"/>
      <c r="J30" s="986"/>
      <c r="K30" s="986"/>
      <c r="L30" s="986"/>
      <c r="M30" s="986"/>
      <c r="N30" s="986"/>
      <c r="O30" s="986"/>
      <c r="P30" s="986"/>
      <c r="Q30" s="986"/>
    </row>
    <row r="31" spans="1:18" x14ac:dyDescent="0.3">
      <c r="A31" s="899" t="s">
        <v>451</v>
      </c>
      <c r="B31" s="899"/>
      <c r="C31" s="899"/>
      <c r="D31" s="899"/>
      <c r="E31" s="899"/>
      <c r="F31" s="899"/>
      <c r="G31" s="899"/>
      <c r="H31" s="899"/>
      <c r="I31" s="899"/>
      <c r="J31" s="899"/>
      <c r="K31" s="899"/>
      <c r="L31" s="899"/>
      <c r="M31" s="899"/>
      <c r="N31" s="899"/>
      <c r="O31" s="899"/>
      <c r="P31" s="899"/>
      <c r="Q31" s="899"/>
    </row>
    <row r="32" spans="1:18" x14ac:dyDescent="0.3">
      <c r="A32" s="958"/>
      <c r="B32" s="958"/>
      <c r="C32" s="958"/>
      <c r="D32" s="958"/>
      <c r="E32" s="958"/>
      <c r="F32" s="958"/>
      <c r="G32" s="958"/>
      <c r="H32" s="958"/>
      <c r="I32" s="958"/>
      <c r="J32" s="958"/>
      <c r="K32" s="958"/>
      <c r="L32" s="958"/>
      <c r="M32" s="958"/>
      <c r="N32" s="958"/>
      <c r="O32" s="958"/>
      <c r="P32" s="958"/>
      <c r="Q32" s="958"/>
    </row>
    <row r="33" spans="1:17" x14ac:dyDescent="0.3">
      <c r="A33" s="958"/>
      <c r="B33" s="958"/>
      <c r="C33" s="958"/>
      <c r="D33" s="958"/>
      <c r="E33" s="958"/>
      <c r="F33" s="958"/>
      <c r="G33" s="958"/>
      <c r="H33" s="958"/>
      <c r="I33" s="958"/>
      <c r="J33" s="958"/>
      <c r="K33" s="958"/>
      <c r="L33" s="958"/>
      <c r="M33" s="958"/>
      <c r="N33" s="958"/>
      <c r="O33" s="958"/>
      <c r="P33" s="958"/>
      <c r="Q33" s="958"/>
    </row>
    <row r="34" spans="1:17" x14ac:dyDescent="0.3">
      <c r="A34" s="958"/>
      <c r="B34" s="958"/>
      <c r="C34" s="958"/>
      <c r="D34" s="958"/>
      <c r="E34" s="958"/>
      <c r="F34" s="958"/>
      <c r="G34" s="958"/>
      <c r="H34" s="958"/>
      <c r="I34" s="958"/>
      <c r="J34" s="958"/>
      <c r="K34" s="958"/>
      <c r="L34" s="958"/>
      <c r="M34" s="958"/>
      <c r="N34" s="958"/>
      <c r="O34" s="958"/>
      <c r="P34" s="958"/>
      <c r="Q34" s="958"/>
    </row>
    <row r="35" spans="1:17" x14ac:dyDescent="0.3">
      <c r="A35" s="958"/>
      <c r="B35" s="958"/>
      <c r="C35" s="958"/>
      <c r="D35" s="958"/>
      <c r="E35" s="958"/>
      <c r="F35" s="958"/>
      <c r="G35" s="958"/>
      <c r="H35" s="958"/>
      <c r="I35" s="958"/>
      <c r="J35" s="958"/>
      <c r="K35" s="958"/>
      <c r="L35" s="958"/>
      <c r="M35" s="958"/>
      <c r="N35" s="958"/>
      <c r="O35" s="958"/>
      <c r="P35" s="958"/>
      <c r="Q35" s="958"/>
    </row>
    <row r="36" spans="1:17" x14ac:dyDescent="0.3">
      <c r="A36" s="958"/>
      <c r="B36" s="958"/>
      <c r="C36" s="958"/>
      <c r="D36" s="958"/>
      <c r="E36" s="958"/>
      <c r="F36" s="958"/>
      <c r="G36" s="958"/>
      <c r="H36" s="958"/>
      <c r="I36" s="958"/>
      <c r="J36" s="958"/>
      <c r="K36" s="958"/>
      <c r="L36" s="958"/>
      <c r="M36" s="958"/>
      <c r="N36" s="958"/>
      <c r="O36" s="958"/>
      <c r="P36" s="958"/>
      <c r="Q36" s="958"/>
    </row>
    <row r="37" spans="1:17" x14ac:dyDescent="0.3">
      <c r="A37" s="958"/>
      <c r="B37" s="958"/>
      <c r="C37" s="958"/>
      <c r="D37" s="958"/>
      <c r="E37" s="958"/>
      <c r="F37" s="958"/>
      <c r="G37" s="958"/>
      <c r="H37" s="958"/>
      <c r="I37" s="958"/>
      <c r="J37" s="958"/>
      <c r="K37" s="958"/>
      <c r="L37" s="958"/>
      <c r="M37" s="958"/>
      <c r="N37" s="958"/>
      <c r="O37" s="958"/>
      <c r="P37" s="958"/>
      <c r="Q37" s="958"/>
    </row>
    <row r="38" spans="1:17" x14ac:dyDescent="0.3">
      <c r="A38" s="958"/>
      <c r="B38" s="958"/>
      <c r="C38" s="958"/>
      <c r="D38" s="958"/>
      <c r="E38" s="958"/>
      <c r="F38" s="958"/>
      <c r="G38" s="958"/>
      <c r="H38" s="958"/>
      <c r="I38" s="958"/>
      <c r="J38" s="958"/>
      <c r="K38" s="958"/>
      <c r="L38" s="958"/>
      <c r="M38" s="958"/>
      <c r="N38" s="958"/>
      <c r="O38" s="958"/>
      <c r="P38" s="958"/>
      <c r="Q38" s="958"/>
    </row>
    <row r="39" spans="1:17" x14ac:dyDescent="0.3">
      <c r="A39" s="958"/>
      <c r="B39" s="958"/>
      <c r="C39" s="958"/>
      <c r="D39" s="958"/>
      <c r="E39" s="958"/>
      <c r="F39" s="958"/>
      <c r="G39" s="958"/>
      <c r="H39" s="958"/>
      <c r="I39" s="958"/>
      <c r="J39" s="958"/>
      <c r="K39" s="958"/>
      <c r="L39" s="958"/>
      <c r="M39" s="958"/>
      <c r="N39" s="958"/>
      <c r="O39" s="958"/>
      <c r="P39" s="958"/>
      <c r="Q39" s="958"/>
    </row>
    <row r="40" spans="1:17" x14ac:dyDescent="0.3">
      <c r="A40" s="958"/>
      <c r="B40" s="958"/>
      <c r="C40" s="958"/>
      <c r="D40" s="958"/>
      <c r="E40" s="958"/>
      <c r="F40" s="958"/>
      <c r="G40" s="958"/>
      <c r="H40" s="958"/>
      <c r="I40" s="958"/>
      <c r="J40" s="958"/>
      <c r="K40" s="958"/>
      <c r="L40" s="958"/>
      <c r="M40" s="958"/>
      <c r="N40" s="958"/>
      <c r="O40" s="958"/>
      <c r="P40" s="958"/>
      <c r="Q40" s="958"/>
    </row>
    <row r="41" spans="1:17" x14ac:dyDescent="0.3">
      <c r="A41" s="958"/>
      <c r="B41" s="958"/>
      <c r="C41" s="958"/>
      <c r="D41" s="958"/>
      <c r="E41" s="958"/>
      <c r="F41" s="958"/>
      <c r="G41" s="958"/>
      <c r="H41" s="958"/>
      <c r="I41" s="958"/>
      <c r="J41" s="958"/>
      <c r="K41" s="958"/>
      <c r="L41" s="958"/>
      <c r="M41" s="958"/>
      <c r="N41" s="958"/>
      <c r="O41" s="958"/>
      <c r="P41" s="958"/>
      <c r="Q41" s="958"/>
    </row>
    <row r="42" spans="1:17" x14ac:dyDescent="0.3">
      <c r="A42" s="958"/>
      <c r="B42" s="958"/>
      <c r="C42" s="958"/>
      <c r="D42" s="958"/>
      <c r="E42" s="958"/>
      <c r="F42" s="958"/>
      <c r="G42" s="958"/>
      <c r="H42" s="958"/>
      <c r="I42" s="958"/>
      <c r="J42" s="958"/>
      <c r="K42" s="958"/>
      <c r="L42" s="958"/>
      <c r="M42" s="958"/>
      <c r="N42" s="958"/>
      <c r="O42" s="958"/>
      <c r="P42" s="958"/>
      <c r="Q42" s="958"/>
    </row>
    <row r="43" spans="1:17" s="46" customFormat="1" ht="16.95" hidden="1" customHeight="1" x14ac:dyDescent="0.3">
      <c r="A43" s="989" t="s">
        <v>452</v>
      </c>
      <c r="B43" s="989"/>
      <c r="C43" s="989"/>
      <c r="D43" s="989"/>
      <c r="E43" s="989"/>
    </row>
    <row r="44" spans="1:17" hidden="1" x14ac:dyDescent="0.3">
      <c r="B44" s="982"/>
      <c r="C44" s="982"/>
      <c r="D44" s="982"/>
      <c r="E44" s="840"/>
      <c r="F44" s="840"/>
      <c r="G44" s="840"/>
      <c r="H44" s="982"/>
      <c r="I44" s="982"/>
      <c r="J44" s="982"/>
    </row>
    <row r="45" spans="1:17" hidden="1" x14ac:dyDescent="0.3">
      <c r="C45" s="154" t="s">
        <v>453</v>
      </c>
      <c r="D45" s="155"/>
      <c r="E45" s="155"/>
      <c r="F45" s="155"/>
      <c r="G45" s="155"/>
      <c r="H45" s="156"/>
      <c r="I45" s="972" t="s">
        <v>454</v>
      </c>
      <c r="J45" s="973"/>
      <c r="K45" s="973"/>
      <c r="L45" s="973"/>
      <c r="M45" s="973"/>
      <c r="N45" s="973"/>
      <c r="O45" s="974"/>
    </row>
    <row r="46" spans="1:17" ht="43.95" hidden="1" customHeight="1" x14ac:dyDescent="0.3">
      <c r="A46" t="s">
        <v>455</v>
      </c>
      <c r="C46" s="1000" t="s">
        <v>456</v>
      </c>
      <c r="D46" s="1001"/>
      <c r="E46" s="979" t="s">
        <v>457</v>
      </c>
      <c r="F46" s="980"/>
      <c r="G46" s="980"/>
      <c r="H46" s="981"/>
      <c r="I46" s="977" t="s">
        <v>458</v>
      </c>
      <c r="J46" s="1002"/>
      <c r="K46" s="978"/>
      <c r="L46" s="977" t="s">
        <v>459</v>
      </c>
      <c r="M46" s="978"/>
      <c r="N46" s="977" t="s">
        <v>460</v>
      </c>
      <c r="O46" s="978"/>
    </row>
    <row r="47" spans="1:17" ht="14.4" hidden="1" customHeight="1" x14ac:dyDescent="0.3">
      <c r="C47" s="975" t="s">
        <v>461</v>
      </c>
      <c r="D47" s="988"/>
      <c r="E47" s="995" t="s">
        <v>462</v>
      </c>
      <c r="F47" s="995"/>
      <c r="G47" s="959" t="s">
        <v>463</v>
      </c>
      <c r="H47" s="959"/>
      <c r="I47" s="988" t="s">
        <v>464</v>
      </c>
      <c r="J47" s="988"/>
      <c r="K47" s="976"/>
      <c r="L47" s="975" t="s">
        <v>465</v>
      </c>
      <c r="M47" s="976"/>
      <c r="N47" s="975" t="s">
        <v>466</v>
      </c>
      <c r="O47" s="976"/>
    </row>
    <row r="48" spans="1:17" ht="49.2" hidden="1" customHeight="1" x14ac:dyDescent="0.3">
      <c r="A48" s="990" t="s">
        <v>467</v>
      </c>
      <c r="B48" s="838" t="s">
        <v>468</v>
      </c>
      <c r="C48" s="996" t="s">
        <v>469</v>
      </c>
      <c r="D48" s="997"/>
      <c r="E48" s="993" t="s">
        <v>470</v>
      </c>
      <c r="F48" s="994"/>
      <c r="G48" s="962" t="s">
        <v>471</v>
      </c>
      <c r="H48" s="963"/>
      <c r="I48" s="990" t="s">
        <v>472</v>
      </c>
      <c r="J48" s="990"/>
      <c r="K48" s="990"/>
      <c r="L48" s="987" t="s">
        <v>473</v>
      </c>
      <c r="M48" s="987"/>
      <c r="N48" s="987" t="s">
        <v>474</v>
      </c>
      <c r="O48" s="987"/>
    </row>
    <row r="49" spans="1:15" ht="49.2" hidden="1" customHeight="1" x14ac:dyDescent="0.3">
      <c r="A49" s="990"/>
      <c r="B49" s="838" t="s">
        <v>475</v>
      </c>
      <c r="C49" s="998"/>
      <c r="D49" s="999"/>
      <c r="E49" s="991" t="s">
        <v>476</v>
      </c>
      <c r="F49" s="992"/>
      <c r="G49" s="962"/>
      <c r="H49" s="963"/>
      <c r="I49" s="990"/>
      <c r="J49" s="990"/>
      <c r="K49" s="990"/>
      <c r="L49" s="987"/>
      <c r="M49" s="987"/>
      <c r="N49" s="987"/>
      <c r="O49" s="987"/>
    </row>
    <row r="50" spans="1:15" ht="40.950000000000003" hidden="1" customHeight="1" x14ac:dyDescent="0.3">
      <c r="A50" s="990"/>
      <c r="B50" s="838" t="s">
        <v>477</v>
      </c>
      <c r="C50" s="993"/>
      <c r="D50" s="994"/>
      <c r="E50" s="966">
        <v>60</v>
      </c>
      <c r="F50" s="967"/>
      <c r="G50" s="964"/>
      <c r="H50" s="965"/>
      <c r="I50" s="990"/>
      <c r="J50" s="990"/>
      <c r="K50" s="990"/>
      <c r="L50" s="987"/>
      <c r="M50" s="987"/>
      <c r="N50" s="987"/>
      <c r="O50" s="987"/>
    </row>
    <row r="51" spans="1:15" ht="48" hidden="1" customHeight="1" x14ac:dyDescent="0.3">
      <c r="A51" s="990" t="s">
        <v>478</v>
      </c>
      <c r="B51" s="838" t="s">
        <v>468</v>
      </c>
      <c r="C51" s="960">
        <v>78</v>
      </c>
      <c r="D51" s="961"/>
      <c r="E51" s="966" t="s">
        <v>479</v>
      </c>
      <c r="F51" s="967"/>
      <c r="G51" s="960" t="s">
        <v>480</v>
      </c>
      <c r="H51" s="961"/>
      <c r="I51" s="990" t="s">
        <v>481</v>
      </c>
      <c r="J51" s="990"/>
      <c r="K51" s="990"/>
      <c r="L51" s="987" t="s">
        <v>482</v>
      </c>
      <c r="M51" s="987"/>
      <c r="N51" s="987" t="s">
        <v>483</v>
      </c>
      <c r="O51" s="987"/>
    </row>
    <row r="52" spans="1:15" ht="46.2" hidden="1" customHeight="1" x14ac:dyDescent="0.3">
      <c r="A52" s="990"/>
      <c r="B52" s="838" t="s">
        <v>475</v>
      </c>
      <c r="C52" s="962"/>
      <c r="D52" s="963"/>
      <c r="E52" s="991" t="s">
        <v>484</v>
      </c>
      <c r="F52" s="992"/>
      <c r="G52" s="962"/>
      <c r="H52" s="963"/>
      <c r="I52" s="990"/>
      <c r="J52" s="990"/>
      <c r="K52" s="990"/>
      <c r="L52" s="987"/>
      <c r="M52" s="987"/>
      <c r="N52" s="987"/>
      <c r="O52" s="987"/>
    </row>
    <row r="53" spans="1:15" ht="44.4" hidden="1" customHeight="1" x14ac:dyDescent="0.3">
      <c r="A53" s="990"/>
      <c r="B53" s="838" t="s">
        <v>477</v>
      </c>
      <c r="C53" s="964"/>
      <c r="D53" s="965"/>
      <c r="E53" s="966">
        <v>85</v>
      </c>
      <c r="F53" s="967"/>
      <c r="G53" s="964"/>
      <c r="H53" s="965"/>
      <c r="I53" s="990"/>
      <c r="J53" s="990"/>
      <c r="K53" s="990"/>
      <c r="L53" s="987"/>
      <c r="M53" s="987"/>
      <c r="N53" s="987"/>
      <c r="O53" s="987"/>
    </row>
    <row r="54" spans="1:15" hidden="1" x14ac:dyDescent="0.3">
      <c r="A54" s="1"/>
    </row>
    <row r="55" spans="1:15" hidden="1" x14ac:dyDescent="0.3"/>
    <row r="56" spans="1:15" hidden="1" x14ac:dyDescent="0.3"/>
    <row r="57" spans="1:15" ht="26.4" hidden="1" customHeight="1" x14ac:dyDescent="0.35">
      <c r="A57" s="98" t="s">
        <v>485</v>
      </c>
      <c r="B57" s="97"/>
      <c r="C57" s="97"/>
      <c r="D57" s="97"/>
      <c r="E57" s="97"/>
      <c r="F57" s="153" t="s">
        <v>436</v>
      </c>
      <c r="G57" s="97"/>
      <c r="H57" s="97"/>
      <c r="I57" s="97"/>
    </row>
    <row r="58" spans="1:15" hidden="1" x14ac:dyDescent="0.3"/>
    <row r="59" spans="1:15" ht="13.2" hidden="1" customHeight="1" x14ac:dyDescent="0.3"/>
    <row r="60" spans="1:15" ht="29.4" hidden="1" customHeight="1" x14ac:dyDescent="0.3"/>
    <row r="61" spans="1:15" ht="29.4" hidden="1" customHeight="1" x14ac:dyDescent="0.3"/>
    <row r="62" spans="1:15" hidden="1" x14ac:dyDescent="0.3"/>
    <row r="63" spans="1:15" hidden="1" x14ac:dyDescent="0.3"/>
    <row r="64" spans="1:15" hidden="1" x14ac:dyDescent="0.3">
      <c r="E64" s="829"/>
    </row>
    <row r="65" spans="1:15" ht="15.6" hidden="1" x14ac:dyDescent="0.3">
      <c r="A65" s="98" t="s">
        <v>486</v>
      </c>
    </row>
    <row r="66" spans="1:15" hidden="1" x14ac:dyDescent="0.3"/>
    <row r="67" spans="1:15" hidden="1" x14ac:dyDescent="0.3">
      <c r="D67" s="829"/>
    </row>
    <row r="68" spans="1:15" hidden="1" x14ac:dyDescent="0.3">
      <c r="A68" s="1" t="s">
        <v>487</v>
      </c>
      <c r="O68" s="102"/>
    </row>
    <row r="69" spans="1:15" hidden="1" x14ac:dyDescent="0.3"/>
    <row r="70" spans="1:15" hidden="1" x14ac:dyDescent="0.3"/>
    <row r="71" spans="1:15" hidden="1" x14ac:dyDescent="0.3"/>
    <row r="72" spans="1:15" hidden="1" x14ac:dyDescent="0.3"/>
    <row r="73" spans="1:15" hidden="1" x14ac:dyDescent="0.3"/>
    <row r="74" spans="1:15" hidden="1" x14ac:dyDescent="0.3"/>
    <row r="75" spans="1:15" hidden="1" x14ac:dyDescent="0.3"/>
    <row r="76" spans="1:15" hidden="1" x14ac:dyDescent="0.3"/>
    <row r="77" spans="1:15" hidden="1" x14ac:dyDescent="0.3"/>
    <row r="78" spans="1:15" hidden="1" x14ac:dyDescent="0.3"/>
    <row r="79" spans="1:15" hidden="1" x14ac:dyDescent="0.3"/>
    <row r="80" spans="1:15" hidden="1" x14ac:dyDescent="0.3"/>
    <row r="81" spans="1:7" hidden="1" x14ac:dyDescent="0.3"/>
    <row r="82" spans="1:7" hidden="1" x14ac:dyDescent="0.3"/>
    <row r="83" spans="1:7" hidden="1" x14ac:dyDescent="0.3"/>
    <row r="84" spans="1:7" hidden="1" x14ac:dyDescent="0.3"/>
    <row r="85" spans="1:7" hidden="1" x14ac:dyDescent="0.3"/>
    <row r="86" spans="1:7" hidden="1" x14ac:dyDescent="0.3"/>
    <row r="87" spans="1:7" hidden="1" x14ac:dyDescent="0.3"/>
    <row r="88" spans="1:7" hidden="1" x14ac:dyDescent="0.3"/>
    <row r="89" spans="1:7" hidden="1" x14ac:dyDescent="0.3"/>
    <row r="90" spans="1:7" hidden="1" x14ac:dyDescent="0.3"/>
    <row r="91" spans="1:7" x14ac:dyDescent="0.3">
      <c r="C91" s="4"/>
      <c r="D91" s="4"/>
      <c r="E91" s="4"/>
      <c r="F91" s="4"/>
      <c r="G91" s="4"/>
    </row>
    <row r="92" spans="1:7" x14ac:dyDescent="0.3">
      <c r="A92" s="158"/>
      <c r="B92" s="6"/>
      <c r="C92" s="157"/>
      <c r="D92" s="157"/>
      <c r="E92" s="158"/>
      <c r="F92" s="158"/>
      <c r="G92" s="170"/>
    </row>
    <row r="93" spans="1:7" x14ac:dyDescent="0.3">
      <c r="A93" s="158"/>
      <c r="B93" s="6"/>
      <c r="C93" s="157"/>
      <c r="D93" s="157"/>
      <c r="E93" s="158"/>
      <c r="F93" s="158"/>
      <c r="G93" s="170"/>
    </row>
    <row r="94" spans="1:7" x14ac:dyDescent="0.3">
      <c r="A94" s="158"/>
      <c r="B94" s="6"/>
      <c r="C94" s="158"/>
      <c r="D94" s="158"/>
      <c r="E94" s="158"/>
      <c r="F94" s="158"/>
      <c r="G94" s="170"/>
    </row>
    <row r="95" spans="1:7" x14ac:dyDescent="0.3">
      <c r="A95" s="158"/>
      <c r="B95" s="6"/>
      <c r="C95" s="158"/>
      <c r="D95" s="158"/>
      <c r="E95" s="158"/>
      <c r="F95" s="158"/>
      <c r="G95" s="170"/>
    </row>
    <row r="96" spans="1:7" x14ac:dyDescent="0.3">
      <c r="A96" s="158"/>
      <c r="B96" s="6"/>
      <c r="C96" s="158"/>
      <c r="D96" s="158"/>
      <c r="E96" s="158"/>
      <c r="F96" s="158"/>
      <c r="G96" s="170"/>
    </row>
    <row r="97" spans="1:7" x14ac:dyDescent="0.3">
      <c r="A97" s="158"/>
      <c r="B97" s="6"/>
      <c r="C97" s="158"/>
      <c r="D97" s="158"/>
      <c r="E97" s="158"/>
      <c r="F97" s="158"/>
      <c r="G97" s="170"/>
    </row>
    <row r="100" spans="1:7" ht="14.4" customHeight="1" x14ac:dyDescent="0.3">
      <c r="D100" s="157"/>
    </row>
    <row r="101" spans="1:7" ht="14.4" customHeight="1" x14ac:dyDescent="0.3">
      <c r="D101" s="157"/>
    </row>
    <row r="102" spans="1:7" ht="14.4" customHeight="1" x14ac:dyDescent="0.3">
      <c r="D102" s="158"/>
    </row>
    <row r="103" spans="1:7" ht="14.4" customHeight="1" x14ac:dyDescent="0.3">
      <c r="D103" s="158"/>
    </row>
    <row r="104" spans="1:7" ht="14.4" customHeight="1" x14ac:dyDescent="0.3">
      <c r="D104" s="158"/>
    </row>
    <row r="105" spans="1:7" ht="14.4" customHeight="1" x14ac:dyDescent="0.3">
      <c r="D105" s="158"/>
    </row>
  </sheetData>
  <mergeCells count="58">
    <mergeCell ref="R7:R10"/>
    <mergeCell ref="R3:R6"/>
    <mergeCell ref="A1:R1"/>
    <mergeCell ref="A27:Q27"/>
    <mergeCell ref="A29:Q29"/>
    <mergeCell ref="R19:R22"/>
    <mergeCell ref="C48:D50"/>
    <mergeCell ref="C46:D46"/>
    <mergeCell ref="C47:D47"/>
    <mergeCell ref="I46:K46"/>
    <mergeCell ref="L48:M50"/>
    <mergeCell ref="L47:M47"/>
    <mergeCell ref="I48:K50"/>
    <mergeCell ref="G48:H50"/>
    <mergeCell ref="N51:O53"/>
    <mergeCell ref="I47:K47"/>
    <mergeCell ref="A43:E43"/>
    <mergeCell ref="B44:D44"/>
    <mergeCell ref="H44:J44"/>
    <mergeCell ref="A51:A53"/>
    <mergeCell ref="C51:D53"/>
    <mergeCell ref="E52:F52"/>
    <mergeCell ref="E53:F53"/>
    <mergeCell ref="L51:M53"/>
    <mergeCell ref="I51:K53"/>
    <mergeCell ref="E48:F48"/>
    <mergeCell ref="E51:F51"/>
    <mergeCell ref="E49:F49"/>
    <mergeCell ref="E47:F47"/>
    <mergeCell ref="A48:A50"/>
    <mergeCell ref="G51:H53"/>
    <mergeCell ref="E50:F50"/>
    <mergeCell ref="R15:R18"/>
    <mergeCell ref="A28:Q28"/>
    <mergeCell ref="I45:O45"/>
    <mergeCell ref="N47:O47"/>
    <mergeCell ref="N46:O46"/>
    <mergeCell ref="L46:M46"/>
    <mergeCell ref="E46:H46"/>
    <mergeCell ref="A23:Q23"/>
    <mergeCell ref="A24:Q24"/>
    <mergeCell ref="A26:Q26"/>
    <mergeCell ref="A25:Q25"/>
    <mergeCell ref="A30:Q30"/>
    <mergeCell ref="N48:O50"/>
    <mergeCell ref="A31:Q31"/>
    <mergeCell ref="A32:Q32"/>
    <mergeCell ref="A33:Q33"/>
    <mergeCell ref="A34:Q34"/>
    <mergeCell ref="G47:H47"/>
    <mergeCell ref="A35:Q35"/>
    <mergeCell ref="A40:Q40"/>
    <mergeCell ref="A41:Q41"/>
    <mergeCell ref="A42:Q42"/>
    <mergeCell ref="A38:Q38"/>
    <mergeCell ref="A39:Q39"/>
    <mergeCell ref="A36:Q36"/>
    <mergeCell ref="A37:Q3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730C9-5C61-418E-9D38-D82374F9BCB6}">
  <sheetPr codeName="Sheet15"/>
  <dimension ref="A1:AE85"/>
  <sheetViews>
    <sheetView zoomScale="95" zoomScaleNormal="70" workbookViewId="0">
      <selection sqref="A1:K1"/>
    </sheetView>
  </sheetViews>
  <sheetFormatPr defaultColWidth="9.33203125" defaultRowHeight="13.8" x14ac:dyDescent="0.25"/>
  <cols>
    <col min="1" max="1" width="38" style="50" customWidth="1"/>
    <col min="2" max="2" width="18.44140625" style="50" customWidth="1"/>
    <col min="3" max="3" width="18.6640625" style="50" customWidth="1"/>
    <col min="4" max="4" width="26.88671875" style="50" customWidth="1"/>
    <col min="5" max="5" width="29" style="50" customWidth="1"/>
    <col min="6" max="6" width="35.5546875" style="50" customWidth="1"/>
    <col min="7" max="7" width="18.33203125" style="50" customWidth="1"/>
    <col min="8" max="8" width="15.88671875" style="50" customWidth="1"/>
    <col min="9" max="9" width="19.33203125" style="50" customWidth="1"/>
    <col min="10" max="10" width="20.33203125" style="50" customWidth="1"/>
    <col min="11" max="11" width="65" style="50" customWidth="1"/>
    <col min="12" max="12" width="46.6640625" style="50" customWidth="1"/>
    <col min="13" max="13" width="29" style="50" customWidth="1"/>
    <col min="14" max="14" width="13.6640625" style="50" customWidth="1"/>
    <col min="15" max="15" width="12.33203125" style="50" customWidth="1"/>
    <col min="16" max="16" width="13.6640625" style="50" customWidth="1"/>
    <col min="17" max="17" width="11.6640625" style="50" customWidth="1"/>
    <col min="18" max="18" width="13.6640625" style="50" customWidth="1"/>
    <col min="19" max="19" width="12.33203125" style="50" customWidth="1"/>
    <col min="20" max="20" width="13.6640625" style="50" customWidth="1"/>
    <col min="21" max="21" width="12.33203125" style="50" customWidth="1"/>
    <col min="22" max="22" width="13.6640625" style="50" customWidth="1"/>
    <col min="23" max="23" width="11.6640625" style="50" customWidth="1"/>
    <col min="24" max="25" width="10.6640625" style="50" customWidth="1"/>
    <col min="26" max="26" width="9.33203125" style="50"/>
    <col min="27" max="31" width="11.33203125" style="50" customWidth="1"/>
    <col min="32" max="16384" width="9.33203125" style="50"/>
  </cols>
  <sheetData>
    <row r="1" spans="1:13" ht="24.6" customHeight="1" x14ac:dyDescent="0.25">
      <c r="A1" s="922" t="str">
        <f>"Outdoor Airflow Rate - "&amp;Prototype!A2</f>
        <v>Outdoor Airflow Rate - HotelLarge</v>
      </c>
      <c r="B1" s="922"/>
      <c r="C1" s="922"/>
      <c r="D1" s="922"/>
      <c r="E1" s="922"/>
      <c r="F1" s="922"/>
      <c r="G1" s="922"/>
      <c r="H1" s="922"/>
      <c r="I1" s="922"/>
      <c r="J1" s="922"/>
      <c r="K1" s="922"/>
      <c r="L1" s="7"/>
      <c r="M1" s="7"/>
    </row>
    <row r="2" spans="1:13" ht="56.4" customHeight="1" x14ac:dyDescent="0.25">
      <c r="A2" s="842" t="s">
        <v>488</v>
      </c>
      <c r="B2" s="200" t="s">
        <v>199</v>
      </c>
      <c r="C2" s="199" t="s">
        <v>489</v>
      </c>
      <c r="D2" s="844" t="s">
        <v>490</v>
      </c>
      <c r="E2" s="844" t="s">
        <v>491</v>
      </c>
      <c r="F2" s="844" t="s">
        <v>492</v>
      </c>
      <c r="G2" s="844" t="s">
        <v>493</v>
      </c>
      <c r="H2" s="844" t="s">
        <v>494</v>
      </c>
      <c r="I2" s="844" t="s">
        <v>495</v>
      </c>
      <c r="J2" s="842" t="s">
        <v>496</v>
      </c>
      <c r="K2" s="842" t="s">
        <v>358</v>
      </c>
      <c r="L2" s="281"/>
      <c r="M2" s="281"/>
    </row>
    <row r="3" spans="1:13" ht="24" customHeight="1" x14ac:dyDescent="0.25">
      <c r="A3" s="201" t="str">
        <f>Zones!B3</f>
        <v>BasementConference</v>
      </c>
      <c r="B3" s="195">
        <f>Zones!K3</f>
        <v>246.01292525963984</v>
      </c>
      <c r="C3" s="195">
        <f>Zones!H3</f>
        <v>7454.9371290799945</v>
      </c>
      <c r="D3" s="833">
        <v>15</v>
      </c>
      <c r="E3" s="833">
        <v>0.15</v>
      </c>
      <c r="F3" s="454" t="s">
        <v>497</v>
      </c>
      <c r="G3" s="202">
        <f>B3*D3</f>
        <v>3690.1938788945977</v>
      </c>
      <c r="H3" s="202">
        <f>C3*E3</f>
        <v>1118.2405693619992</v>
      </c>
      <c r="I3" s="202">
        <f>2*70</f>
        <v>140</v>
      </c>
      <c r="J3" s="269">
        <f>MAX(G3,H3,I3)</f>
        <v>3690.1938788945977</v>
      </c>
      <c r="K3" s="455"/>
      <c r="L3" s="63"/>
      <c r="M3" s="143"/>
    </row>
    <row r="4" spans="1:13" ht="24" customHeight="1" x14ac:dyDescent="0.25">
      <c r="A4" s="602" t="str">
        <f>Zones!B4</f>
        <v xml:space="preserve">BasementOffice </v>
      </c>
      <c r="B4" s="570">
        <f>Zones!K4</f>
        <v>8.2604979435465431</v>
      </c>
      <c r="C4" s="570">
        <f>Zones!H4</f>
        <v>1652.0995887093086</v>
      </c>
      <c r="D4" s="843">
        <v>15</v>
      </c>
      <c r="E4" s="843">
        <v>0.15</v>
      </c>
      <c r="F4" s="603"/>
      <c r="G4" s="589">
        <f t="shared" ref="G4:G8" si="0">B4*D4</f>
        <v>123.90746915319815</v>
      </c>
      <c r="H4" s="589">
        <f t="shared" ref="H4:H7" si="1">C4*E4</f>
        <v>247.81493830639627</v>
      </c>
      <c r="I4" s="589"/>
      <c r="J4" s="588">
        <f t="shared" ref="J4:J8" si="2">MAX(G4,H4,I4)</f>
        <v>247.81493830639627</v>
      </c>
      <c r="K4" s="606"/>
      <c r="L4" s="63"/>
      <c r="M4" s="143"/>
    </row>
    <row r="5" spans="1:13" ht="24" customHeight="1" x14ac:dyDescent="0.25">
      <c r="A5" s="602" t="str">
        <f>Zones!B5</f>
        <v>BasementMechanical</v>
      </c>
      <c r="B5" s="570">
        <f>Zones!K5</f>
        <v>0</v>
      </c>
      <c r="C5" s="570">
        <f>Zones!H5</f>
        <v>1767.853983096936</v>
      </c>
      <c r="D5" s="843">
        <v>15</v>
      </c>
      <c r="E5" s="843">
        <v>0.15</v>
      </c>
      <c r="F5" s="603"/>
      <c r="G5" s="589">
        <f t="shared" ref="G5" si="3">B5*D5</f>
        <v>0</v>
      </c>
      <c r="H5" s="589">
        <f t="shared" ref="H5" si="4">C5*E5</f>
        <v>265.17809746454037</v>
      </c>
      <c r="I5" s="589"/>
      <c r="J5" s="588">
        <f t="shared" ref="J5" si="5">MAX(G5,H5,I5)</f>
        <v>265.17809746454037</v>
      </c>
      <c r="K5" s="606"/>
      <c r="L5" s="63"/>
      <c r="M5" s="143"/>
    </row>
    <row r="6" spans="1:13" ht="24" customHeight="1" x14ac:dyDescent="0.25">
      <c r="A6" s="602" t="str">
        <f>Zones!B6</f>
        <v>BasementLaundry</v>
      </c>
      <c r="B6" s="570">
        <f>Zones!K6</f>
        <v>4.2000525097687804</v>
      </c>
      <c r="C6" s="570">
        <f>Zones!H6</f>
        <v>840.01050195375603</v>
      </c>
      <c r="D6" s="843">
        <v>15</v>
      </c>
      <c r="E6" s="843">
        <v>0.15</v>
      </c>
      <c r="F6" s="603" t="s">
        <v>498</v>
      </c>
      <c r="G6" s="589">
        <f t="shared" ref="G6" si="6">B6*D6</f>
        <v>63.000787646531705</v>
      </c>
      <c r="H6" s="589">
        <f t="shared" ref="H6" si="7">C6*E6</f>
        <v>126.0015752930634</v>
      </c>
      <c r="I6" s="589">
        <f>1*0.2*C6</f>
        <v>168.00210039075122</v>
      </c>
      <c r="J6" s="588">
        <f>MAX(G6,H6,I6)</f>
        <v>168.00210039075122</v>
      </c>
      <c r="K6" s="607" t="s">
        <v>499</v>
      </c>
      <c r="L6" s="63"/>
      <c r="M6" s="143"/>
    </row>
    <row r="7" spans="1:13" ht="24" customHeight="1" x14ac:dyDescent="0.25">
      <c r="A7" s="201" t="str">
        <f>Zones!B7</f>
        <v>BasementService</v>
      </c>
      <c r="B7" s="195">
        <f>Zones!K7</f>
        <v>19.169838331919987</v>
      </c>
      <c r="C7" s="195">
        <f>Zones!H7</f>
        <v>6389.9461106399949</v>
      </c>
      <c r="D7" s="833">
        <v>15</v>
      </c>
      <c r="E7" s="833">
        <v>0.15</v>
      </c>
      <c r="F7" s="203" t="s">
        <v>500</v>
      </c>
      <c r="G7" s="202">
        <f t="shared" si="0"/>
        <v>287.54757497879979</v>
      </c>
      <c r="H7" s="202">
        <f t="shared" si="1"/>
        <v>958.49191659599921</v>
      </c>
      <c r="I7" s="202">
        <f>0.7*C7</f>
        <v>4472.9622774479958</v>
      </c>
      <c r="J7" s="269">
        <f t="shared" si="2"/>
        <v>4472.9622774479958</v>
      </c>
      <c r="K7" s="455" t="s">
        <v>501</v>
      </c>
      <c r="L7" s="63"/>
      <c r="M7" s="143"/>
    </row>
    <row r="8" spans="1:13" ht="18" customHeight="1" x14ac:dyDescent="0.25">
      <c r="A8" s="201" t="str">
        <f>Zones!B8</f>
        <v>BasementStorage</v>
      </c>
      <c r="B8" s="195">
        <f>Zones!K8</f>
        <v>0</v>
      </c>
      <c r="C8" s="195">
        <f>Zones!H8</f>
        <v>3194.9730553199975</v>
      </c>
      <c r="D8" s="833">
        <v>15</v>
      </c>
      <c r="E8" s="833">
        <v>0.15</v>
      </c>
      <c r="F8" s="454"/>
      <c r="G8" s="202">
        <f t="shared" si="0"/>
        <v>0</v>
      </c>
      <c r="H8" s="202">
        <f>C8*E8</f>
        <v>479.24595829799961</v>
      </c>
      <c r="I8" s="202"/>
      <c r="J8" s="269">
        <f t="shared" si="2"/>
        <v>479.24595829799961</v>
      </c>
      <c r="K8" s="455"/>
      <c r="L8" s="63"/>
      <c r="M8" s="143"/>
    </row>
    <row r="9" spans="1:13" ht="17.399999999999999" customHeight="1" x14ac:dyDescent="0.25">
      <c r="A9" s="201" t="str">
        <f>Zones!B9</f>
        <v>Retail_1_FloorG</v>
      </c>
      <c r="B9" s="195">
        <f>Zones!K9</f>
        <v>12.272828987988889</v>
      </c>
      <c r="C9" s="195">
        <f>Zones!H9</f>
        <v>721.93111694052288</v>
      </c>
      <c r="D9" s="833">
        <v>15</v>
      </c>
      <c r="E9" s="833">
        <v>0.2</v>
      </c>
      <c r="F9" s="202"/>
      <c r="G9" s="202">
        <f t="shared" ref="G9:G29" si="8">B9*D9</f>
        <v>184.09243481983333</v>
      </c>
      <c r="H9" s="202">
        <f t="shared" ref="H9:H29" si="9">C9*E9</f>
        <v>144.38622338810458</v>
      </c>
      <c r="I9" s="202"/>
      <c r="J9" s="269">
        <f t="shared" ref="J9:J29" si="10">MAX(G9,H9,I9)</f>
        <v>184.09243481983333</v>
      </c>
      <c r="K9" s="260"/>
      <c r="L9" s="63"/>
      <c r="M9" s="143"/>
    </row>
    <row r="10" spans="1:13" ht="17.399999999999999" customHeight="1" x14ac:dyDescent="0.25">
      <c r="A10" s="201" t="str">
        <f>Zones!B10</f>
        <v>Retail_2_FloorG</v>
      </c>
      <c r="B10" s="195">
        <f>Zones!K10</f>
        <v>14.21247394508867</v>
      </c>
      <c r="C10" s="195">
        <f>Zones!H10</f>
        <v>836.02787912286294</v>
      </c>
      <c r="D10" s="833">
        <v>15</v>
      </c>
      <c r="E10" s="833">
        <v>0.2</v>
      </c>
      <c r="F10" s="202"/>
      <c r="G10" s="202">
        <f t="shared" si="8"/>
        <v>213.18710917633004</v>
      </c>
      <c r="H10" s="202">
        <f t="shared" si="9"/>
        <v>167.20557582457261</v>
      </c>
      <c r="I10" s="202"/>
      <c r="J10" s="269">
        <f t="shared" si="10"/>
        <v>213.18710917633004</v>
      </c>
      <c r="K10" s="260"/>
      <c r="L10" s="63"/>
      <c r="M10" s="143"/>
    </row>
    <row r="11" spans="1:13" ht="17.399999999999999" customHeight="1" x14ac:dyDescent="0.25">
      <c r="A11" s="602" t="str">
        <f>Zones!B11</f>
        <v>Office_FloorG</v>
      </c>
      <c r="B11" s="570">
        <f>Zones!K11</f>
        <v>8.8392699154846799</v>
      </c>
      <c r="C11" s="570">
        <f>Zones!H11</f>
        <v>1767.853983096936</v>
      </c>
      <c r="D11" s="843">
        <v>15</v>
      </c>
      <c r="E11" s="843">
        <v>0.15</v>
      </c>
      <c r="F11" s="589"/>
      <c r="G11" s="589">
        <f t="shared" si="8"/>
        <v>132.58904873227019</v>
      </c>
      <c r="H11" s="589">
        <f t="shared" si="9"/>
        <v>265.17809746454037</v>
      </c>
      <c r="I11" s="589"/>
      <c r="J11" s="588">
        <f t="shared" si="10"/>
        <v>265.17809746454037</v>
      </c>
      <c r="K11" s="605"/>
      <c r="L11" s="63"/>
      <c r="M11" s="143"/>
    </row>
    <row r="12" spans="1:13" ht="17.399999999999999" customHeight="1" x14ac:dyDescent="0.25">
      <c r="A12" s="201" t="str">
        <f>Zones!B12</f>
        <v>Storage_FloorG</v>
      </c>
      <c r="B12" s="195">
        <f>Zones!K12</f>
        <v>0</v>
      </c>
      <c r="C12" s="195">
        <f>Zones!H12</f>
        <v>1019.981998528164</v>
      </c>
      <c r="D12" s="833">
        <v>15</v>
      </c>
      <c r="E12" s="833">
        <v>0.15</v>
      </c>
      <c r="F12" s="202"/>
      <c r="G12" s="202">
        <f t="shared" si="8"/>
        <v>0</v>
      </c>
      <c r="H12" s="202">
        <f t="shared" si="9"/>
        <v>152.99729977922459</v>
      </c>
      <c r="I12" s="202"/>
      <c r="J12" s="269">
        <f t="shared" si="10"/>
        <v>152.99729977922459</v>
      </c>
      <c r="K12" s="260"/>
      <c r="L12" s="63"/>
      <c r="M12" s="143"/>
    </row>
    <row r="13" spans="1:13" ht="42" customHeight="1" x14ac:dyDescent="0.25">
      <c r="A13" s="602" t="str">
        <f>Zones!B13</f>
        <v>Kitchen_FloorG</v>
      </c>
      <c r="B13" s="570">
        <f>Zones!K13</f>
        <v>2.5200315058612683</v>
      </c>
      <c r="C13" s="570">
        <f>Zones!H13</f>
        <v>840.01050195375603</v>
      </c>
      <c r="D13" s="843">
        <v>15</v>
      </c>
      <c r="E13" s="843">
        <v>0.15</v>
      </c>
      <c r="F13" s="603" t="s">
        <v>502</v>
      </c>
      <c r="G13" s="589">
        <f t="shared" ref="G13" si="11">B13*D13</f>
        <v>37.800472587919025</v>
      </c>
      <c r="H13" s="589">
        <f t="shared" ref="H13" si="12">C13*E13</f>
        <v>126.0015752930634</v>
      </c>
      <c r="I13" s="589">
        <f>0.7*C13</f>
        <v>588.00735136762921</v>
      </c>
      <c r="J13" s="588">
        <f>MAX(G13,H13,I13)</f>
        <v>588.00735136762921</v>
      </c>
      <c r="K13" s="604" t="s">
        <v>503</v>
      </c>
      <c r="L13" s="63"/>
      <c r="M13" s="143"/>
    </row>
    <row r="14" spans="1:13" ht="17.399999999999999" customHeight="1" x14ac:dyDescent="0.25">
      <c r="A14" s="201" t="str">
        <f>Zones!B14</f>
        <v>Cafe_FloorG</v>
      </c>
      <c r="B14" s="195">
        <f>Zones!K14</f>
        <v>67.084375348110584</v>
      </c>
      <c r="C14" s="195">
        <f>Zones!H14</f>
        <v>2032.8598590336539</v>
      </c>
      <c r="D14" s="833">
        <v>15</v>
      </c>
      <c r="E14" s="833">
        <v>0.15</v>
      </c>
      <c r="F14" s="204"/>
      <c r="G14" s="202">
        <f t="shared" si="8"/>
        <v>1006.2656302216587</v>
      </c>
      <c r="H14" s="202">
        <f t="shared" si="9"/>
        <v>304.92897885504806</v>
      </c>
      <c r="I14" s="204"/>
      <c r="J14" s="269">
        <f t="shared" si="10"/>
        <v>1006.2656302216587</v>
      </c>
      <c r="K14" s="261"/>
      <c r="L14" s="63"/>
      <c r="M14" s="143"/>
    </row>
    <row r="15" spans="1:13" ht="17.399999999999999" customHeight="1" x14ac:dyDescent="0.25">
      <c r="A15" s="201" t="str">
        <f>Zones!B15</f>
        <v>Lobby_FloorG</v>
      </c>
      <c r="B15" s="195">
        <f>Zones!K15</f>
        <v>140.81155030124091</v>
      </c>
      <c r="C15" s="195">
        <f>Zones!H15</f>
        <v>14081.155030124091</v>
      </c>
      <c r="D15" s="833">
        <v>15</v>
      </c>
      <c r="E15" s="833">
        <v>0.15</v>
      </c>
      <c r="F15" s="204"/>
      <c r="G15" s="202">
        <f t="shared" si="8"/>
        <v>2112.1732545186137</v>
      </c>
      <c r="H15" s="202">
        <f t="shared" si="9"/>
        <v>2112.1732545186137</v>
      </c>
      <c r="I15" s="204"/>
      <c r="J15" s="269">
        <f t="shared" si="10"/>
        <v>2112.1732545186137</v>
      </c>
      <c r="K15" s="260"/>
      <c r="L15" s="206"/>
      <c r="M15" s="63"/>
    </row>
    <row r="16" spans="1:13" ht="25.95" customHeight="1" x14ac:dyDescent="0.25">
      <c r="A16" s="201" t="str">
        <f>Zones!B16</f>
        <v>GuestRoom_1_FloorM</v>
      </c>
      <c r="B16" s="570">
        <f>Zones!K16</f>
        <v>1.2600157529306342</v>
      </c>
      <c r="C16" s="195">
        <f>Zones!H16</f>
        <v>420.00525097687802</v>
      </c>
      <c r="D16" s="589">
        <f>5*10/3</f>
        <v>16.666666666666668</v>
      </c>
      <c r="E16" s="843">
        <v>0.06</v>
      </c>
      <c r="F16" s="205" t="s">
        <v>504</v>
      </c>
      <c r="G16" s="589">
        <f t="shared" si="8"/>
        <v>21.000262548843903</v>
      </c>
      <c r="H16" s="589">
        <f t="shared" si="9"/>
        <v>25.200315058612681</v>
      </c>
      <c r="I16" s="202">
        <v>50</v>
      </c>
      <c r="J16" s="588">
        <f>MAX(G16+H16,I16)</f>
        <v>50</v>
      </c>
      <c r="K16" s="1013" t="s">
        <v>505</v>
      </c>
      <c r="L16" s="1009"/>
      <c r="M16" s="7"/>
    </row>
    <row r="17" spans="1:31" ht="25.95" customHeight="1" x14ac:dyDescent="0.25">
      <c r="A17" s="201" t="str">
        <f>Zones!B17</f>
        <v>GuestRoom_2_FloorM</v>
      </c>
      <c r="B17" s="570">
        <f>Zones!K17</f>
        <v>1.2600157529306342</v>
      </c>
      <c r="C17" s="195">
        <f>Zones!H17</f>
        <v>420.00525097687802</v>
      </c>
      <c r="D17" s="589">
        <f t="shared" ref="D17:D25" si="13">5*10/3</f>
        <v>16.666666666666668</v>
      </c>
      <c r="E17" s="843">
        <v>0.06</v>
      </c>
      <c r="F17" s="205" t="s">
        <v>504</v>
      </c>
      <c r="G17" s="589">
        <f t="shared" si="8"/>
        <v>21.000262548843903</v>
      </c>
      <c r="H17" s="589">
        <f t="shared" si="9"/>
        <v>25.200315058612681</v>
      </c>
      <c r="I17" s="202">
        <v>50</v>
      </c>
      <c r="J17" s="588">
        <f t="shared" si="10"/>
        <v>50</v>
      </c>
      <c r="K17" s="1014"/>
      <c r="L17" s="1009"/>
      <c r="M17" s="196"/>
      <c r="N17" s="7"/>
      <c r="O17" s="7"/>
      <c r="P17" s="7"/>
      <c r="Q17" s="7"/>
      <c r="R17" s="7"/>
      <c r="S17" s="7"/>
      <c r="T17" s="7"/>
      <c r="U17" s="7"/>
      <c r="V17" s="7"/>
      <c r="W17" s="7"/>
      <c r="X17" s="7"/>
      <c r="Y17" s="7"/>
      <c r="Z17" s="7"/>
      <c r="AA17" s="7"/>
      <c r="AB17" s="7"/>
      <c r="AC17" s="7"/>
      <c r="AD17" s="7"/>
      <c r="AE17" s="7"/>
    </row>
    <row r="18" spans="1:31" ht="25.95" customHeight="1" x14ac:dyDescent="0.25">
      <c r="A18" s="201" t="str">
        <f>Zones!B18</f>
        <v>GuestRoom_3_Multi19_FloorM</v>
      </c>
      <c r="B18" s="570">
        <f>Zones!K18</f>
        <v>0.79178847416348386</v>
      </c>
      <c r="C18" s="195">
        <f>Zones!H18</f>
        <v>263.92949138782797</v>
      </c>
      <c r="D18" s="589">
        <f t="shared" si="13"/>
        <v>16.666666666666668</v>
      </c>
      <c r="E18" s="843">
        <v>0.06</v>
      </c>
      <c r="F18" s="205" t="s">
        <v>504</v>
      </c>
      <c r="G18" s="589">
        <f t="shared" si="8"/>
        <v>13.196474569391398</v>
      </c>
      <c r="H18" s="589">
        <f t="shared" si="9"/>
        <v>15.835769483269678</v>
      </c>
      <c r="I18" s="202">
        <v>50</v>
      </c>
      <c r="J18" s="588">
        <f t="shared" si="10"/>
        <v>50</v>
      </c>
      <c r="K18" s="1014"/>
      <c r="L18" s="1009"/>
      <c r="M18" s="196"/>
      <c r="N18" s="7"/>
      <c r="O18" s="7"/>
      <c r="P18" s="7"/>
      <c r="Q18" s="7"/>
      <c r="R18" s="7"/>
      <c r="S18" s="7"/>
      <c r="T18" s="7"/>
      <c r="U18" s="7"/>
      <c r="V18" s="7"/>
      <c r="W18" s="7"/>
      <c r="X18" s="7"/>
      <c r="Y18" s="7"/>
      <c r="Z18" s="7"/>
      <c r="AA18" s="7"/>
      <c r="AB18" s="7"/>
      <c r="AC18" s="7"/>
      <c r="AD18" s="7"/>
      <c r="AE18" s="7"/>
    </row>
    <row r="19" spans="1:31" ht="25.95" customHeight="1" x14ac:dyDescent="0.25">
      <c r="A19" s="201" t="str">
        <f>Zones!B19</f>
        <v>GuestRoom_4_Multi19_FloorM</v>
      </c>
      <c r="B19" s="570">
        <f>Zones!K19</f>
        <v>0.79211138952815097</v>
      </c>
      <c r="C19" s="195">
        <f>Zones!H19</f>
        <v>264.03712984271698</v>
      </c>
      <c r="D19" s="589">
        <f t="shared" si="13"/>
        <v>16.666666666666668</v>
      </c>
      <c r="E19" s="843">
        <v>0.06</v>
      </c>
      <c r="F19" s="205" t="s">
        <v>504</v>
      </c>
      <c r="G19" s="589">
        <f t="shared" si="8"/>
        <v>13.20185649213585</v>
      </c>
      <c r="H19" s="589">
        <f t="shared" si="9"/>
        <v>15.842227790563019</v>
      </c>
      <c r="I19" s="202">
        <v>50</v>
      </c>
      <c r="J19" s="588">
        <f t="shared" si="10"/>
        <v>50</v>
      </c>
      <c r="K19" s="1014"/>
      <c r="L19" s="1009"/>
      <c r="M19" s="196"/>
      <c r="N19" s="7"/>
      <c r="O19" s="7"/>
      <c r="P19" s="7"/>
      <c r="Q19" s="7"/>
      <c r="R19" s="7"/>
      <c r="S19" s="7"/>
      <c r="T19" s="7"/>
      <c r="U19" s="7"/>
      <c r="V19" s="7"/>
      <c r="W19" s="7"/>
      <c r="X19" s="7"/>
      <c r="Y19" s="7"/>
      <c r="Z19" s="7"/>
      <c r="AA19" s="7"/>
      <c r="AB19" s="7"/>
      <c r="AC19" s="7"/>
      <c r="AD19" s="7"/>
      <c r="AE19" s="7"/>
    </row>
    <row r="20" spans="1:31" ht="25.95" customHeight="1" x14ac:dyDescent="0.25">
      <c r="A20" s="201" t="str">
        <f>Zones!B20</f>
        <v>GuestRoom_5_FloorM</v>
      </c>
      <c r="B20" s="570">
        <f>Zones!K20</f>
        <v>1.2600157529306342</v>
      </c>
      <c r="C20" s="195">
        <f>Zones!H20</f>
        <v>420.00525097687802</v>
      </c>
      <c r="D20" s="589">
        <f t="shared" si="13"/>
        <v>16.666666666666668</v>
      </c>
      <c r="E20" s="843">
        <v>0.06</v>
      </c>
      <c r="F20" s="205" t="s">
        <v>504</v>
      </c>
      <c r="G20" s="589">
        <f t="shared" si="8"/>
        <v>21.000262548843903</v>
      </c>
      <c r="H20" s="589">
        <f t="shared" si="9"/>
        <v>25.200315058612681</v>
      </c>
      <c r="I20" s="202">
        <v>50</v>
      </c>
      <c r="J20" s="588">
        <f>MAX(G20,H20,I20)</f>
        <v>50</v>
      </c>
      <c r="K20" s="1014"/>
      <c r="L20" s="1009"/>
      <c r="M20" s="196"/>
      <c r="N20" s="7"/>
      <c r="O20" s="7"/>
      <c r="P20" s="7"/>
      <c r="Q20" s="7"/>
      <c r="R20" s="7"/>
      <c r="S20" s="7"/>
      <c r="T20" s="7"/>
      <c r="U20" s="7"/>
      <c r="V20" s="7"/>
      <c r="W20" s="7"/>
      <c r="X20" s="7"/>
      <c r="Y20" s="7"/>
      <c r="Z20" s="7"/>
      <c r="AA20" s="7"/>
      <c r="AB20" s="7"/>
      <c r="AC20" s="7"/>
      <c r="AD20" s="7"/>
      <c r="AE20" s="7"/>
    </row>
    <row r="21" spans="1:31" ht="25.95" customHeight="1" x14ac:dyDescent="0.25">
      <c r="A21" s="201" t="str">
        <f>Zones!B21</f>
        <v>GuestRoom_6_FloorM</v>
      </c>
      <c r="B21" s="570">
        <f>Zones!K21</f>
        <v>1.2600157529306342</v>
      </c>
      <c r="C21" s="195">
        <f>Zones!H21</f>
        <v>420.00525097687802</v>
      </c>
      <c r="D21" s="589">
        <f t="shared" si="13"/>
        <v>16.666666666666668</v>
      </c>
      <c r="E21" s="843">
        <v>0.06</v>
      </c>
      <c r="F21" s="205" t="s">
        <v>504</v>
      </c>
      <c r="G21" s="589">
        <f t="shared" si="8"/>
        <v>21.000262548843903</v>
      </c>
      <c r="H21" s="589">
        <f t="shared" si="9"/>
        <v>25.200315058612681</v>
      </c>
      <c r="I21" s="202">
        <v>50</v>
      </c>
      <c r="J21" s="588">
        <f t="shared" si="10"/>
        <v>50</v>
      </c>
      <c r="K21" s="1015"/>
      <c r="L21" s="1009"/>
      <c r="M21" s="196"/>
      <c r="N21" s="7"/>
      <c r="O21" s="7"/>
      <c r="P21" s="7"/>
      <c r="Q21" s="7"/>
      <c r="R21" s="7"/>
      <c r="S21" s="7"/>
      <c r="T21" s="7"/>
      <c r="U21" s="7"/>
      <c r="V21" s="7"/>
      <c r="W21" s="7"/>
      <c r="X21" s="7"/>
      <c r="Y21" s="7"/>
      <c r="Z21" s="7"/>
      <c r="AA21" s="7"/>
      <c r="AB21" s="7"/>
      <c r="AC21" s="7"/>
      <c r="AD21" s="7"/>
      <c r="AE21" s="7"/>
    </row>
    <row r="22" spans="1:31" ht="17.399999999999999" customHeight="1" x14ac:dyDescent="0.25">
      <c r="A22" s="201" t="str">
        <f>Zones!B22</f>
        <v>Corridor_FloorM</v>
      </c>
      <c r="B22" s="195">
        <f>Zones!K22</f>
        <v>20.957207166888296</v>
      </c>
      <c r="C22" s="195">
        <f>Zones!H22</f>
        <v>4191.4414333776595</v>
      </c>
      <c r="D22" s="833">
        <v>15</v>
      </c>
      <c r="E22" s="833">
        <v>0.15</v>
      </c>
      <c r="F22" s="205"/>
      <c r="G22" s="202">
        <f t="shared" si="8"/>
        <v>314.35810750332445</v>
      </c>
      <c r="H22" s="202">
        <f t="shared" si="9"/>
        <v>628.71621500664889</v>
      </c>
      <c r="I22" s="202"/>
      <c r="J22" s="269">
        <f t="shared" si="10"/>
        <v>628.71621500664889</v>
      </c>
      <c r="K22" s="260"/>
      <c r="L22" s="207"/>
      <c r="M22" s="196"/>
      <c r="N22" s="7"/>
      <c r="O22" s="7"/>
      <c r="P22" s="7"/>
      <c r="Q22" s="7"/>
      <c r="R22" s="7"/>
      <c r="S22" s="7"/>
      <c r="T22" s="7"/>
      <c r="U22" s="7"/>
      <c r="V22" s="7"/>
      <c r="W22" s="7"/>
      <c r="X22" s="7"/>
      <c r="Y22" s="7"/>
      <c r="Z22" s="7"/>
      <c r="AA22" s="7"/>
      <c r="AB22" s="7"/>
      <c r="AC22" s="7"/>
      <c r="AD22" s="7"/>
      <c r="AE22" s="7"/>
    </row>
    <row r="23" spans="1:31" ht="17.399999999999999" customHeight="1" x14ac:dyDescent="0.25">
      <c r="A23" s="201" t="str">
        <f>Zones!B23</f>
        <v>GuestRoom_1_FloorT</v>
      </c>
      <c r="B23" s="570">
        <f>Zones!K23</f>
        <v>1.2600157529306342</v>
      </c>
      <c r="C23" s="195">
        <f>Zones!H23</f>
        <v>420.00525097687802</v>
      </c>
      <c r="D23" s="589">
        <f t="shared" si="13"/>
        <v>16.666666666666668</v>
      </c>
      <c r="E23" s="843">
        <v>0.06</v>
      </c>
      <c r="F23" s="205" t="s">
        <v>504</v>
      </c>
      <c r="G23" s="589">
        <f t="shared" si="8"/>
        <v>21.000262548843903</v>
      </c>
      <c r="H23" s="589">
        <f t="shared" si="9"/>
        <v>25.200315058612681</v>
      </c>
      <c r="I23" s="202">
        <v>50</v>
      </c>
      <c r="J23" s="588">
        <f t="shared" si="10"/>
        <v>50</v>
      </c>
      <c r="K23" s="1016" t="s">
        <v>506</v>
      </c>
      <c r="L23" s="207"/>
      <c r="M23" s="196"/>
      <c r="N23" s="7"/>
      <c r="O23" s="7"/>
      <c r="P23" s="7"/>
      <c r="Q23" s="7"/>
      <c r="R23" s="7"/>
      <c r="S23" s="7"/>
      <c r="T23" s="7"/>
      <c r="U23" s="7"/>
      <c r="V23" s="7"/>
      <c r="W23" s="7"/>
      <c r="X23" s="7"/>
      <c r="Y23" s="7"/>
      <c r="Z23" s="7"/>
      <c r="AA23" s="7"/>
      <c r="AB23" s="7"/>
      <c r="AC23" s="7"/>
      <c r="AD23" s="7"/>
      <c r="AE23" s="7"/>
    </row>
    <row r="24" spans="1:31" ht="17.399999999999999" customHeight="1" x14ac:dyDescent="0.25">
      <c r="A24" s="201" t="str">
        <f>Zones!B24</f>
        <v>GuestRoom_2_FloorT</v>
      </c>
      <c r="B24" s="570">
        <f>Zones!K24</f>
        <v>1.2600157529306342</v>
      </c>
      <c r="C24" s="195">
        <f>Zones!H24</f>
        <v>420.00525097687802</v>
      </c>
      <c r="D24" s="589">
        <f t="shared" si="13"/>
        <v>16.666666666666668</v>
      </c>
      <c r="E24" s="843">
        <v>0.06</v>
      </c>
      <c r="F24" s="205" t="s">
        <v>504</v>
      </c>
      <c r="G24" s="589">
        <f t="shared" si="8"/>
        <v>21.000262548843903</v>
      </c>
      <c r="H24" s="589">
        <f t="shared" si="9"/>
        <v>25.200315058612681</v>
      </c>
      <c r="I24" s="202">
        <v>50</v>
      </c>
      <c r="J24" s="588">
        <f t="shared" si="10"/>
        <v>50</v>
      </c>
      <c r="K24" s="1017"/>
      <c r="L24" s="207"/>
      <c r="M24" s="196"/>
      <c r="N24" s="7"/>
      <c r="O24" s="7"/>
      <c r="P24" s="7"/>
      <c r="Q24" s="7"/>
      <c r="R24" s="7"/>
      <c r="S24" s="7"/>
      <c r="T24" s="7"/>
      <c r="U24" s="7"/>
      <c r="V24" s="7"/>
      <c r="W24" s="7"/>
      <c r="X24" s="7"/>
      <c r="Y24" s="7"/>
      <c r="Z24" s="7"/>
      <c r="AA24" s="7"/>
      <c r="AB24" s="7"/>
      <c r="AC24" s="7"/>
      <c r="AD24" s="7"/>
      <c r="AE24" s="7"/>
    </row>
    <row r="25" spans="1:31" ht="17.399999999999999" customHeight="1" x14ac:dyDescent="0.25">
      <c r="A25" s="201" t="str">
        <f>Zones!B25</f>
        <v>GuestRoom_3_Multi9_FloorT</v>
      </c>
      <c r="B25" s="570">
        <f>Zones!K25</f>
        <v>0.79211138952815097</v>
      </c>
      <c r="C25" s="195">
        <f>Zones!H25</f>
        <v>264.03712984271698</v>
      </c>
      <c r="D25" s="589">
        <f t="shared" si="13"/>
        <v>16.666666666666668</v>
      </c>
      <c r="E25" s="843">
        <v>0.06</v>
      </c>
      <c r="F25" s="205" t="s">
        <v>504</v>
      </c>
      <c r="G25" s="589">
        <f t="shared" si="8"/>
        <v>13.20185649213585</v>
      </c>
      <c r="H25" s="589">
        <f t="shared" si="9"/>
        <v>15.842227790563019</v>
      </c>
      <c r="I25" s="202">
        <v>50</v>
      </c>
      <c r="J25" s="588">
        <f t="shared" si="10"/>
        <v>50</v>
      </c>
      <c r="K25" s="1018"/>
      <c r="L25" s="207"/>
      <c r="M25" s="196"/>
      <c r="N25" s="7"/>
      <c r="O25" s="7"/>
      <c r="P25" s="7"/>
      <c r="Q25" s="7"/>
      <c r="R25" s="7"/>
      <c r="S25" s="7"/>
      <c r="T25" s="7"/>
      <c r="U25" s="7"/>
      <c r="V25" s="7"/>
      <c r="W25" s="7"/>
      <c r="X25" s="7"/>
      <c r="Y25" s="7"/>
      <c r="Z25" s="7"/>
      <c r="AA25" s="7"/>
      <c r="AB25" s="7"/>
      <c r="AC25" s="7"/>
      <c r="AD25" s="7"/>
      <c r="AE25" s="7"/>
    </row>
    <row r="26" spans="1:31" ht="17.399999999999999" customHeight="1" x14ac:dyDescent="0.25">
      <c r="A26" s="201" t="str">
        <f>Zones!B26</f>
        <v>Banquet_FloorT</v>
      </c>
      <c r="B26" s="195">
        <f>Zones!K26</f>
        <v>117.80792083000294</v>
      </c>
      <c r="C26" s="195">
        <f>Zones!H26</f>
        <v>3569.9369948485742</v>
      </c>
      <c r="D26" s="833">
        <v>15</v>
      </c>
      <c r="E26" s="833">
        <v>0.15</v>
      </c>
      <c r="F26" s="204"/>
      <c r="G26" s="202">
        <f t="shared" si="8"/>
        <v>1767.1188124500441</v>
      </c>
      <c r="H26" s="202">
        <f t="shared" si="9"/>
        <v>535.49054922728612</v>
      </c>
      <c r="I26" s="204"/>
      <c r="J26" s="269">
        <f t="shared" si="10"/>
        <v>1767.1188124500441</v>
      </c>
      <c r="K26" s="261"/>
      <c r="L26" s="100"/>
      <c r="M26" s="197"/>
      <c r="N26" s="7"/>
      <c r="O26" s="7"/>
      <c r="P26" s="7"/>
      <c r="Q26" s="7"/>
      <c r="R26" s="7"/>
      <c r="S26" s="7"/>
      <c r="T26" s="7"/>
      <c r="U26" s="7"/>
      <c r="V26" s="7"/>
      <c r="W26" s="7"/>
      <c r="X26" s="7"/>
      <c r="Y26" s="7"/>
      <c r="Z26" s="7"/>
      <c r="AA26" s="7"/>
      <c r="AB26" s="7"/>
      <c r="AC26" s="7"/>
      <c r="AD26" s="7"/>
      <c r="AE26" s="7"/>
    </row>
    <row r="27" spans="1:31" ht="17.399999999999999" customHeight="1" x14ac:dyDescent="0.25">
      <c r="A27" s="201" t="str">
        <f>Zones!B27</f>
        <v>Dining_FloorT</v>
      </c>
      <c r="B27" s="195">
        <f>Zones!K27</f>
        <v>117.80792083000294</v>
      </c>
      <c r="C27" s="195">
        <f>Zones!H27</f>
        <v>3569.9369948485742</v>
      </c>
      <c r="D27" s="833">
        <v>15</v>
      </c>
      <c r="E27" s="833">
        <v>0.15</v>
      </c>
      <c r="F27" s="204"/>
      <c r="G27" s="202">
        <f t="shared" si="8"/>
        <v>1767.1188124500441</v>
      </c>
      <c r="H27" s="202">
        <f t="shared" si="9"/>
        <v>535.49054922728612</v>
      </c>
      <c r="I27" s="204"/>
      <c r="J27" s="269">
        <f t="shared" si="10"/>
        <v>1767.1188124500441</v>
      </c>
      <c r="K27" s="261"/>
      <c r="L27" s="7"/>
      <c r="M27" s="7"/>
      <c r="N27" s="7"/>
      <c r="O27" s="7"/>
      <c r="P27" s="7"/>
      <c r="Q27" s="7"/>
      <c r="R27" s="7"/>
      <c r="S27" s="7"/>
      <c r="T27" s="7"/>
      <c r="U27" s="7"/>
      <c r="V27" s="7"/>
      <c r="W27" s="7"/>
      <c r="X27" s="7"/>
      <c r="Y27" s="7"/>
      <c r="Z27" s="7"/>
      <c r="AA27" s="7"/>
      <c r="AB27" s="7"/>
      <c r="AC27" s="7"/>
      <c r="AD27" s="7"/>
      <c r="AE27" s="7"/>
    </row>
    <row r="28" spans="1:31" ht="25.2" customHeight="1" x14ac:dyDescent="0.25">
      <c r="A28" s="201" t="str">
        <f>Zones!B28</f>
        <v>Kitchen_FloorT</v>
      </c>
      <c r="B28" s="195">
        <f>Zones!K28</f>
        <v>3.3357157170101095</v>
      </c>
      <c r="C28" s="195">
        <f>Zones!H28</f>
        <v>1111.9052390033698</v>
      </c>
      <c r="D28" s="833">
        <v>15</v>
      </c>
      <c r="E28" s="833">
        <v>0.15</v>
      </c>
      <c r="F28" s="203" t="s">
        <v>502</v>
      </c>
      <c r="G28" s="202">
        <f t="shared" si="8"/>
        <v>50.035735755151642</v>
      </c>
      <c r="H28" s="202">
        <f t="shared" si="9"/>
        <v>166.78578585050548</v>
      </c>
      <c r="I28" s="202">
        <f>0.7*C28</f>
        <v>778.33366730235889</v>
      </c>
      <c r="J28" s="269">
        <f t="shared" si="10"/>
        <v>778.33366730235889</v>
      </c>
      <c r="K28" s="366" t="s">
        <v>507</v>
      </c>
      <c r="L28" s="7"/>
      <c r="M28" s="7"/>
      <c r="N28" s="7"/>
      <c r="O28" s="7"/>
      <c r="P28" s="7"/>
      <c r="Q28" s="7"/>
      <c r="R28" s="7"/>
      <c r="S28" s="7"/>
      <c r="T28" s="7"/>
      <c r="U28" s="7"/>
      <c r="V28" s="7"/>
      <c r="W28" s="7"/>
      <c r="X28" s="7"/>
      <c r="Y28" s="7"/>
      <c r="Z28" s="7"/>
      <c r="AA28" s="7"/>
      <c r="AB28" s="7"/>
      <c r="AC28" s="7"/>
      <c r="AD28" s="7"/>
      <c r="AE28" s="7"/>
    </row>
    <row r="29" spans="1:31" ht="17.399999999999999" customHeight="1" x14ac:dyDescent="0.25">
      <c r="A29" s="201" t="str">
        <f>Zones!B29</f>
        <v>Corridor_FloorT</v>
      </c>
      <c r="B29" s="195">
        <f>Zones!K29</f>
        <v>22.17998001442734</v>
      </c>
      <c r="C29" s="195">
        <f>Zones!H29</f>
        <v>4435.9960028854675</v>
      </c>
      <c r="D29" s="833">
        <v>15</v>
      </c>
      <c r="E29" s="833">
        <v>0.15</v>
      </c>
      <c r="F29" s="202"/>
      <c r="G29" s="202">
        <f t="shared" si="8"/>
        <v>332.69970021641012</v>
      </c>
      <c r="H29" s="202">
        <f t="shared" si="9"/>
        <v>665.39940043282013</v>
      </c>
      <c r="I29" s="202"/>
      <c r="J29" s="269">
        <f t="shared" si="10"/>
        <v>665.39940043282013</v>
      </c>
      <c r="K29" s="260"/>
      <c r="L29" s="7"/>
      <c r="M29" s="7"/>
      <c r="N29" s="7"/>
      <c r="O29" s="7"/>
      <c r="P29" s="7"/>
      <c r="Q29" s="7"/>
      <c r="R29" s="7"/>
      <c r="S29" s="7"/>
      <c r="T29" s="7"/>
      <c r="U29" s="7"/>
      <c r="V29" s="7"/>
      <c r="W29" s="7"/>
      <c r="X29" s="7"/>
      <c r="Y29" s="7"/>
      <c r="Z29" s="7"/>
      <c r="AA29" s="7"/>
      <c r="AB29" s="7"/>
      <c r="AC29" s="7"/>
      <c r="AD29" s="7"/>
      <c r="AE29" s="7"/>
    </row>
    <row r="31" spans="1:31" ht="32.4" customHeight="1" x14ac:dyDescent="0.25">
      <c r="A31" s="1010"/>
      <c r="B31" s="1010"/>
      <c r="C31" s="1010"/>
      <c r="D31" s="1010"/>
      <c r="E31" s="1010"/>
      <c r="F31" s="1010"/>
      <c r="G31" s="1010"/>
      <c r="H31" s="7"/>
      <c r="I31" s="256" t="s">
        <v>508</v>
      </c>
      <c r="J31" s="590">
        <f>SUMPRODUCT(J16:J21,Zones!J16:J21)+SUMPRODUCT(J23:J25,Zones!J23:J25)</f>
        <v>13150</v>
      </c>
      <c r="K31" s="7"/>
      <c r="L31" s="7"/>
      <c r="M31" s="7"/>
      <c r="N31" s="7"/>
      <c r="O31" s="7"/>
      <c r="P31" s="7"/>
      <c r="Q31" s="7"/>
      <c r="R31" s="7"/>
      <c r="S31" s="7"/>
      <c r="T31" s="7"/>
      <c r="U31" s="7"/>
      <c r="V31" s="7"/>
      <c r="W31" s="7"/>
      <c r="X31" s="7"/>
      <c r="Y31" s="7"/>
      <c r="Z31" s="7"/>
      <c r="AA31" s="7"/>
      <c r="AB31" s="7"/>
      <c r="AC31" s="7"/>
      <c r="AD31" s="7"/>
      <c r="AE31" s="7"/>
    </row>
    <row r="32" spans="1:31" ht="26.4" customHeight="1" x14ac:dyDescent="0.25">
      <c r="A32" s="591"/>
      <c r="B32" s="591"/>
      <c r="C32" s="591"/>
      <c r="D32" s="591"/>
      <c r="E32" s="591"/>
      <c r="F32" s="591"/>
      <c r="G32" s="591"/>
      <c r="H32" s="7"/>
      <c r="I32" s="7"/>
      <c r="J32" s="7"/>
      <c r="K32" s="7"/>
      <c r="L32" s="7"/>
      <c r="M32" s="7"/>
      <c r="N32" s="7"/>
      <c r="O32" s="7"/>
      <c r="P32" s="7"/>
      <c r="Q32" s="7"/>
      <c r="R32" s="7"/>
      <c r="S32" s="7"/>
      <c r="T32" s="7"/>
      <c r="U32" s="7"/>
      <c r="V32" s="7"/>
      <c r="W32" s="7"/>
      <c r="X32" s="7"/>
      <c r="Y32" s="7"/>
      <c r="Z32" s="7"/>
      <c r="AA32" s="7"/>
      <c r="AB32" s="7"/>
      <c r="AC32" s="7"/>
      <c r="AD32" s="7"/>
      <c r="AE32" s="7"/>
    </row>
    <row r="33" spans="1:31" ht="14.4" x14ac:dyDescent="0.3">
      <c r="A33" s="4"/>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row>
    <row r="34" spans="1:31" ht="56.4" customHeight="1" x14ac:dyDescent="0.25">
      <c r="A34" s="1012" t="s">
        <v>509</v>
      </c>
      <c r="B34" s="1012"/>
      <c r="C34" s="844" t="s">
        <v>510</v>
      </c>
      <c r="D34" s="842" t="s">
        <v>511</v>
      </c>
      <c r="E34" s="842" t="s">
        <v>512</v>
      </c>
      <c r="F34" s="842" t="s">
        <v>358</v>
      </c>
      <c r="G34" s="7"/>
      <c r="H34" s="7"/>
      <c r="I34" s="541"/>
      <c r="J34" s="7"/>
      <c r="K34" s="7"/>
      <c r="L34" s="7"/>
      <c r="M34" s="7"/>
      <c r="N34" s="7"/>
      <c r="O34" s="7"/>
      <c r="P34" s="7"/>
      <c r="Q34" s="7"/>
      <c r="R34" s="7"/>
      <c r="S34" s="7"/>
      <c r="T34" s="7"/>
      <c r="U34" s="7"/>
      <c r="V34" s="7"/>
      <c r="W34" s="7"/>
      <c r="X34" s="7"/>
      <c r="Y34" s="7"/>
      <c r="Z34" s="7"/>
      <c r="AA34" s="7"/>
      <c r="AB34" s="7"/>
      <c r="AC34" s="7"/>
      <c r="AD34" s="7"/>
      <c r="AE34" s="7"/>
    </row>
    <row r="35" spans="1:31" ht="34.950000000000003" customHeight="1" x14ac:dyDescent="0.25">
      <c r="A35" s="917" t="s">
        <v>513</v>
      </c>
      <c r="B35" s="917"/>
      <c r="C35" s="833">
        <v>210</v>
      </c>
      <c r="D35" s="843">
        <v>16</v>
      </c>
      <c r="E35" s="833">
        <f>C35*D35</f>
        <v>3360</v>
      </c>
      <c r="F35" s="819" t="s">
        <v>514</v>
      </c>
      <c r="G35" s="9"/>
      <c r="H35" s="9"/>
      <c r="I35" s="9"/>
      <c r="J35" s="7"/>
      <c r="K35" s="7"/>
      <c r="L35" s="7"/>
      <c r="M35" s="7"/>
      <c r="N35" s="7"/>
      <c r="O35" s="7"/>
      <c r="P35" s="7"/>
      <c r="Q35" s="7"/>
      <c r="R35" s="7"/>
      <c r="S35" s="7"/>
      <c r="T35" s="7"/>
      <c r="U35" s="7"/>
      <c r="V35" s="7"/>
      <c r="W35" s="7"/>
      <c r="X35" s="7"/>
      <c r="Y35" s="7"/>
      <c r="Z35" s="7"/>
      <c r="AA35" s="7"/>
      <c r="AB35" s="7"/>
      <c r="AC35" s="7"/>
      <c r="AD35" s="7"/>
      <c r="AE35" s="7"/>
    </row>
    <row r="36" spans="1:31" ht="34.950000000000003" customHeight="1" x14ac:dyDescent="0.25">
      <c r="A36" s="1019" t="s">
        <v>515</v>
      </c>
      <c r="B36" s="1019"/>
      <c r="C36" s="843">
        <v>210</v>
      </c>
      <c r="D36" s="843">
        <v>11</v>
      </c>
      <c r="E36" s="843">
        <f>C36*D36</f>
        <v>2310</v>
      </c>
      <c r="F36" s="607" t="s">
        <v>514</v>
      </c>
      <c r="G36" s="9"/>
      <c r="H36" s="9"/>
      <c r="I36" s="9"/>
      <c r="J36" s="7"/>
      <c r="K36" s="7"/>
      <c r="L36" s="7"/>
      <c r="M36" s="7"/>
      <c r="N36" s="7"/>
      <c r="O36" s="7"/>
      <c r="P36" s="7"/>
      <c r="Q36" s="7"/>
      <c r="R36" s="7"/>
      <c r="S36" s="7"/>
      <c r="T36" s="7"/>
      <c r="U36" s="7"/>
      <c r="V36" s="7"/>
      <c r="W36" s="7"/>
      <c r="X36" s="7"/>
      <c r="Y36" s="7"/>
      <c r="Z36" s="7"/>
      <c r="AA36" s="7"/>
      <c r="AB36" s="7"/>
      <c r="AC36" s="7"/>
      <c r="AD36" s="7"/>
      <c r="AE36" s="7"/>
    </row>
    <row r="37" spans="1:31" ht="28.95" customHeight="1" x14ac:dyDescent="0.25">
      <c r="A37" s="1020" t="s">
        <v>516</v>
      </c>
      <c r="B37" s="1020"/>
      <c r="C37" s="1020"/>
      <c r="D37" s="1020"/>
      <c r="E37" s="1020"/>
      <c r="F37" s="1020"/>
      <c r="G37" s="9"/>
      <c r="H37" s="9"/>
      <c r="I37" s="9"/>
      <c r="J37" s="7"/>
      <c r="K37" s="7"/>
      <c r="L37" s="7"/>
      <c r="M37" s="7"/>
      <c r="N37" s="7"/>
      <c r="O37" s="7"/>
      <c r="P37" s="7"/>
      <c r="Q37" s="7"/>
      <c r="R37" s="7"/>
      <c r="S37" s="7"/>
      <c r="T37" s="7"/>
      <c r="U37" s="7"/>
      <c r="V37" s="7"/>
      <c r="W37" s="7"/>
      <c r="X37" s="7"/>
      <c r="Y37" s="7"/>
      <c r="Z37" s="7"/>
      <c r="AA37" s="7"/>
      <c r="AB37" s="7"/>
      <c r="AC37" s="7"/>
      <c r="AD37" s="7"/>
      <c r="AE37" s="7"/>
    </row>
    <row r="38" spans="1:31" ht="30.6" customHeight="1" x14ac:dyDescent="0.25">
      <c r="A38" s="904" t="s">
        <v>517</v>
      </c>
      <c r="B38" s="904"/>
      <c r="C38" s="904"/>
      <c r="D38" s="904"/>
      <c r="E38" s="904"/>
      <c r="F38" s="904"/>
      <c r="G38" s="9"/>
      <c r="H38" s="9"/>
      <c r="I38" s="9"/>
      <c r="J38" s="7"/>
      <c r="K38" s="7"/>
      <c r="L38" s="7"/>
      <c r="M38" s="7"/>
      <c r="N38" s="7"/>
      <c r="O38" s="7"/>
      <c r="P38" s="7"/>
      <c r="Q38" s="7"/>
      <c r="R38" s="7"/>
      <c r="S38" s="7"/>
      <c r="T38" s="7"/>
      <c r="U38" s="7"/>
      <c r="V38" s="7"/>
      <c r="W38" s="7"/>
      <c r="X38" s="7"/>
      <c r="Y38" s="7"/>
      <c r="Z38" s="7"/>
      <c r="AA38" s="7"/>
      <c r="AB38" s="7"/>
      <c r="AC38" s="7"/>
      <c r="AD38" s="7"/>
      <c r="AE38" s="7"/>
    </row>
    <row r="39" spans="1:31" ht="15.6" x14ac:dyDescent="0.3">
      <c r="A39" s="7"/>
      <c r="B39" s="9"/>
      <c r="C39" s="9"/>
      <c r="D39" s="9"/>
      <c r="E39" s="9"/>
      <c r="F39" s="9"/>
      <c r="G39" s="9"/>
      <c r="H39" s="9"/>
      <c r="I39" s="9"/>
      <c r="J39" s="7"/>
      <c r="K39" s="51"/>
      <c r="L39" s="7"/>
      <c r="M39" s="7"/>
      <c r="N39" s="7"/>
      <c r="O39" s="7"/>
      <c r="P39" s="7"/>
      <c r="Q39" s="7"/>
      <c r="R39" s="7"/>
      <c r="S39" s="7"/>
      <c r="T39" s="7"/>
      <c r="U39" s="7"/>
      <c r="V39" s="7"/>
      <c r="W39" s="7"/>
      <c r="X39" s="7"/>
      <c r="Y39" s="7"/>
      <c r="Z39" s="7"/>
      <c r="AA39" s="7"/>
      <c r="AB39" s="7"/>
      <c r="AC39" s="7"/>
      <c r="AD39" s="7"/>
      <c r="AE39" s="7"/>
    </row>
    <row r="40" spans="1:31" ht="26.4" customHeight="1" x14ac:dyDescent="0.25">
      <c r="A40" s="1011" t="s">
        <v>518</v>
      </c>
      <c r="B40" s="1011"/>
      <c r="C40" s="1011"/>
      <c r="D40" s="1011"/>
      <c r="E40" s="1011"/>
      <c r="F40" s="1011"/>
      <c r="G40" s="151"/>
      <c r="H40" s="151"/>
      <c r="I40" s="151"/>
      <c r="J40" s="151"/>
      <c r="K40" s="151"/>
      <c r="L40" s="7"/>
      <c r="M40" s="7"/>
      <c r="N40" s="7"/>
      <c r="O40" s="7"/>
      <c r="P40" s="7"/>
      <c r="Q40" s="7"/>
      <c r="R40" s="7"/>
      <c r="S40" s="7"/>
      <c r="T40" s="7"/>
      <c r="U40" s="7"/>
      <c r="V40" s="7"/>
      <c r="W40" s="7"/>
      <c r="X40" s="7"/>
      <c r="Y40" s="7"/>
      <c r="Z40" s="7"/>
      <c r="AA40" s="7"/>
      <c r="AB40" s="7"/>
      <c r="AC40" s="7"/>
      <c r="AD40" s="7"/>
      <c r="AE40" s="7"/>
    </row>
    <row r="41" spans="1:31" ht="15.6" x14ac:dyDescent="0.3">
      <c r="A41" s="828" t="s">
        <v>519</v>
      </c>
      <c r="B41" s="7"/>
      <c r="C41" s="7"/>
      <c r="D41" s="7"/>
      <c r="E41" s="7"/>
      <c r="F41" s="7"/>
      <c r="G41" s="7"/>
      <c r="H41" s="7"/>
      <c r="I41" s="7"/>
      <c r="J41" s="7"/>
      <c r="K41" s="51"/>
      <c r="L41" s="7"/>
      <c r="M41" s="7"/>
      <c r="N41" s="7"/>
      <c r="O41" s="7"/>
      <c r="P41" s="7"/>
      <c r="Q41" s="7"/>
      <c r="R41" s="7"/>
      <c r="S41" s="7"/>
      <c r="T41" s="7"/>
      <c r="U41" s="7"/>
      <c r="V41" s="7"/>
      <c r="W41" s="7"/>
      <c r="X41" s="7"/>
      <c r="Y41" s="7"/>
      <c r="Z41" s="7"/>
      <c r="AA41" s="7"/>
      <c r="AB41" s="7"/>
      <c r="AC41" s="7"/>
      <c r="AD41" s="7"/>
      <c r="AE41" s="7"/>
    </row>
    <row r="42" spans="1:31" ht="15.6" x14ac:dyDescent="0.3">
      <c r="A42" s="7"/>
      <c r="B42" s="7" t="s">
        <v>520</v>
      </c>
      <c r="C42" s="7"/>
      <c r="D42" s="7"/>
      <c r="E42" s="7"/>
      <c r="F42" s="7"/>
      <c r="G42" s="7"/>
      <c r="H42" s="7"/>
      <c r="I42" s="7"/>
      <c r="J42" s="7"/>
      <c r="K42" s="51"/>
      <c r="L42" s="7"/>
      <c r="M42" s="7"/>
      <c r="N42" s="7"/>
      <c r="O42" s="7"/>
      <c r="P42" s="7"/>
      <c r="Q42" s="7"/>
      <c r="R42" s="7"/>
      <c r="S42" s="7"/>
      <c r="T42" s="7"/>
      <c r="U42" s="7"/>
      <c r="V42" s="7"/>
      <c r="W42" s="7"/>
      <c r="X42" s="7"/>
      <c r="Y42" s="7"/>
      <c r="Z42" s="7"/>
      <c r="AA42" s="7"/>
      <c r="AB42" s="7"/>
      <c r="AC42" s="7"/>
      <c r="AD42" s="7"/>
      <c r="AE42" s="7"/>
    </row>
    <row r="43" spans="1:31" ht="15.6" x14ac:dyDescent="0.3">
      <c r="A43" s="7"/>
      <c r="B43" s="7"/>
      <c r="C43" s="7"/>
      <c r="D43" s="7"/>
      <c r="E43" s="7"/>
      <c r="F43" s="7"/>
      <c r="G43" s="7"/>
      <c r="H43" s="7"/>
      <c r="I43" s="7"/>
      <c r="J43" s="7"/>
      <c r="K43" s="51"/>
      <c r="L43" s="7"/>
      <c r="M43" s="7"/>
      <c r="N43" s="7"/>
      <c r="O43" s="7"/>
      <c r="P43" s="7"/>
      <c r="Q43" s="7"/>
      <c r="R43" s="7"/>
      <c r="S43" s="7"/>
      <c r="T43" s="7"/>
      <c r="U43" s="7"/>
      <c r="V43" s="7"/>
      <c r="W43" s="7"/>
      <c r="X43" s="7"/>
      <c r="Y43" s="7"/>
      <c r="Z43" s="7"/>
      <c r="AA43" s="7"/>
      <c r="AB43" s="7"/>
      <c r="AC43" s="7"/>
      <c r="AD43" s="7"/>
      <c r="AE43" s="7"/>
    </row>
    <row r="44" spans="1:31" s="52" customFormat="1" ht="17.399999999999999" hidden="1" x14ac:dyDescent="0.3">
      <c r="A44" s="23" t="s">
        <v>452</v>
      </c>
      <c r="B44" s="23"/>
      <c r="C44" s="144"/>
      <c r="D44" s="144"/>
      <c r="E44" s="144"/>
      <c r="F44" s="144"/>
      <c r="G44" s="144"/>
      <c r="H44" s="144"/>
      <c r="I44" s="144"/>
      <c r="J44" s="144"/>
      <c r="K44" s="145"/>
      <c r="L44" s="146"/>
      <c r="M44" s="147"/>
      <c r="N44" s="144"/>
      <c r="O44" s="144"/>
      <c r="P44" s="144"/>
      <c r="Q44" s="144"/>
      <c r="R44" s="144"/>
      <c r="S44" s="144"/>
      <c r="T44" s="144"/>
      <c r="U44" s="144"/>
      <c r="V44" s="144"/>
      <c r="W44" s="144"/>
      <c r="X44" s="144"/>
      <c r="Y44" s="144"/>
      <c r="Z44" s="144"/>
      <c r="AA44" s="144"/>
      <c r="AB44" s="144"/>
      <c r="AC44" s="144"/>
      <c r="AD44" s="144"/>
      <c r="AE44" s="144"/>
    </row>
    <row r="45" spans="1:31" hidden="1" x14ac:dyDescent="0.25">
      <c r="A45" s="74"/>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row>
    <row r="46" spans="1:31" hidden="1"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row>
    <row r="47" spans="1:31" hidden="1" x14ac:dyDescent="0.25">
      <c r="A47" s="10" t="s">
        <v>521</v>
      </c>
      <c r="B47" s="9"/>
      <c r="C47" s="9"/>
      <c r="D47" s="9"/>
      <c r="E47" s="7"/>
      <c r="F47" s="7"/>
      <c r="G47" s="7"/>
      <c r="H47" s="7"/>
      <c r="I47" s="7"/>
      <c r="J47" s="7"/>
      <c r="K47" s="7"/>
      <c r="L47" s="7"/>
      <c r="M47" s="7"/>
      <c r="N47" s="7"/>
      <c r="O47" s="7"/>
      <c r="P47" s="7"/>
      <c r="Q47" s="7"/>
      <c r="R47" s="7"/>
      <c r="S47" s="7"/>
      <c r="T47" s="7"/>
      <c r="U47" s="7"/>
      <c r="V47" s="7"/>
      <c r="W47" s="7"/>
      <c r="X47" s="7"/>
      <c r="Y47" s="7"/>
      <c r="Z47" s="7"/>
      <c r="AA47" s="7"/>
      <c r="AB47" s="7"/>
      <c r="AC47" s="7"/>
      <c r="AD47" s="7"/>
      <c r="AE47" s="7"/>
    </row>
    <row r="48" spans="1:31" ht="14.4" hidden="1" x14ac:dyDescent="0.3">
      <c r="A48" s="9"/>
      <c r="B48"/>
      <c r="C48" s="9"/>
      <c r="D48" s="9"/>
      <c r="E48" s="7"/>
      <c r="F48" s="7"/>
      <c r="G48" s="7"/>
      <c r="H48" s="7"/>
      <c r="I48" s="7"/>
      <c r="J48" s="7"/>
      <c r="K48" s="7"/>
      <c r="L48" s="7"/>
      <c r="M48" s="7"/>
      <c r="N48" s="7"/>
      <c r="O48" s="7"/>
      <c r="P48" s="7"/>
      <c r="Q48" s="7"/>
      <c r="R48" s="7"/>
      <c r="S48" s="7"/>
      <c r="T48" s="7"/>
      <c r="U48" s="7"/>
      <c r="V48" s="7"/>
      <c r="W48" s="7"/>
      <c r="X48" s="7"/>
      <c r="Y48" s="7"/>
      <c r="Z48" s="7"/>
      <c r="AA48" s="7"/>
      <c r="AB48" s="7"/>
      <c r="AC48" s="7"/>
      <c r="AD48" s="7"/>
      <c r="AE48" s="7"/>
    </row>
    <row r="49" spans="1:31" hidden="1" x14ac:dyDescent="0.25">
      <c r="A49" s="9"/>
      <c r="B49" s="9"/>
      <c r="C49" s="9"/>
      <c r="D49" s="9"/>
      <c r="E49" s="7"/>
      <c r="F49" s="7"/>
      <c r="G49" s="7"/>
      <c r="H49" s="7"/>
      <c r="I49" s="7"/>
      <c r="J49" s="7"/>
      <c r="K49" s="7"/>
      <c r="L49" s="7"/>
      <c r="M49" s="7"/>
      <c r="N49" s="7"/>
      <c r="O49" s="7"/>
      <c r="P49" s="7"/>
      <c r="Q49" s="7"/>
      <c r="R49" s="7"/>
      <c r="S49" s="7"/>
      <c r="T49" s="7"/>
      <c r="U49" s="7"/>
      <c r="V49" s="7"/>
      <c r="W49" s="7"/>
      <c r="X49" s="7"/>
      <c r="Y49" s="7"/>
      <c r="Z49" s="7"/>
      <c r="AA49" s="7"/>
      <c r="AB49" s="7"/>
      <c r="AC49" s="7"/>
      <c r="AD49" s="7"/>
      <c r="AE49" s="7"/>
    </row>
    <row r="50" spans="1:31" hidden="1" x14ac:dyDescent="0.25">
      <c r="A50" s="9"/>
      <c r="B50" s="9"/>
      <c r="C50" s="9"/>
      <c r="D50" s="9"/>
      <c r="E50" s="7"/>
      <c r="F50" s="7"/>
      <c r="G50" s="7"/>
      <c r="H50" s="7"/>
      <c r="I50" s="7"/>
      <c r="J50" s="7"/>
      <c r="K50" s="7"/>
      <c r="L50" s="7"/>
      <c r="M50" s="7"/>
      <c r="N50" s="7"/>
      <c r="O50" s="7"/>
      <c r="P50" s="7"/>
      <c r="Q50" s="7"/>
      <c r="R50" s="7"/>
      <c r="S50" s="7"/>
      <c r="T50" s="7"/>
      <c r="U50" s="7"/>
      <c r="V50" s="7"/>
      <c r="W50" s="7"/>
      <c r="X50" s="7"/>
      <c r="Y50" s="7"/>
      <c r="Z50" s="7"/>
      <c r="AA50" s="7"/>
      <c r="AB50" s="7"/>
      <c r="AC50" s="7"/>
      <c r="AD50" s="7"/>
      <c r="AE50" s="7"/>
    </row>
    <row r="51" spans="1:31" hidden="1" x14ac:dyDescent="0.25">
      <c r="A51" s="9"/>
      <c r="B51" s="9"/>
      <c r="C51" s="9"/>
      <c r="D51" s="9"/>
      <c r="E51" s="7"/>
      <c r="F51" s="7"/>
      <c r="G51" s="7"/>
      <c r="H51" s="7"/>
      <c r="I51" s="7"/>
      <c r="J51" s="7"/>
      <c r="K51" s="7"/>
      <c r="L51" s="7"/>
      <c r="M51" s="7"/>
      <c r="N51" s="7"/>
      <c r="O51" s="7"/>
      <c r="P51" s="7"/>
      <c r="Q51" s="7"/>
      <c r="R51" s="7"/>
      <c r="S51" s="7"/>
      <c r="T51" s="7"/>
      <c r="U51" s="7"/>
      <c r="V51" s="7"/>
      <c r="W51" s="7"/>
      <c r="X51" s="7"/>
      <c r="Y51" s="7"/>
      <c r="Z51" s="7"/>
      <c r="AA51" s="7"/>
      <c r="AB51" s="7"/>
      <c r="AC51" s="7"/>
      <c r="AD51" s="7"/>
      <c r="AE51" s="7"/>
    </row>
    <row r="52" spans="1:31" hidden="1" x14ac:dyDescent="0.25">
      <c r="A52" s="9"/>
      <c r="B52" s="9"/>
      <c r="C52" s="9"/>
      <c r="D52" s="9"/>
      <c r="E52" s="7"/>
      <c r="F52" s="7"/>
      <c r="G52" s="7"/>
      <c r="H52" s="7"/>
      <c r="I52" s="7"/>
      <c r="J52" s="7"/>
      <c r="K52" s="7"/>
      <c r="L52" s="7"/>
      <c r="M52" s="7"/>
      <c r="N52" s="7"/>
      <c r="O52" s="7"/>
      <c r="P52" s="7"/>
      <c r="Q52" s="7"/>
      <c r="R52" s="7"/>
      <c r="S52" s="7"/>
      <c r="T52" s="7"/>
      <c r="U52" s="7"/>
      <c r="V52" s="7"/>
      <c r="W52" s="7"/>
      <c r="X52" s="7"/>
      <c r="Y52" s="7"/>
      <c r="Z52" s="7"/>
      <c r="AA52" s="7"/>
      <c r="AB52" s="7"/>
      <c r="AC52" s="7"/>
      <c r="AD52" s="7"/>
      <c r="AE52" s="7"/>
    </row>
    <row r="53" spans="1:31" hidden="1" x14ac:dyDescent="0.25">
      <c r="A53" s="9"/>
      <c r="B53" s="9"/>
      <c r="C53" s="9"/>
      <c r="D53" s="9"/>
      <c r="E53" s="7"/>
      <c r="F53" s="7"/>
      <c r="G53" s="7"/>
      <c r="H53" s="7"/>
      <c r="I53" s="7"/>
      <c r="J53" s="7"/>
      <c r="K53" s="7"/>
      <c r="L53" s="7"/>
      <c r="M53" s="7"/>
      <c r="N53" s="7"/>
      <c r="O53" s="7"/>
      <c r="P53" s="7"/>
      <c r="Q53" s="7"/>
      <c r="R53" s="7"/>
      <c r="S53" s="7"/>
      <c r="T53" s="7"/>
      <c r="U53" s="7"/>
      <c r="V53" s="7"/>
      <c r="W53" s="7"/>
      <c r="X53" s="7"/>
      <c r="Y53" s="7"/>
      <c r="Z53" s="7"/>
      <c r="AA53" s="7"/>
      <c r="AB53" s="7"/>
      <c r="AC53" s="7"/>
      <c r="AD53" s="7"/>
      <c r="AE53" s="7"/>
    </row>
    <row r="54" spans="1:31" hidden="1" x14ac:dyDescent="0.25">
      <c r="A54" s="9"/>
      <c r="B54" s="9"/>
      <c r="C54" s="9"/>
      <c r="D54" s="9"/>
      <c r="E54" s="7"/>
      <c r="F54" s="7"/>
      <c r="G54" s="7"/>
      <c r="H54" s="7"/>
      <c r="I54" s="7"/>
      <c r="J54" s="7"/>
      <c r="K54" s="7"/>
      <c r="L54" s="7"/>
      <c r="M54" s="7"/>
      <c r="N54" s="7"/>
      <c r="O54" s="7"/>
      <c r="P54" s="7"/>
      <c r="Q54" s="7"/>
      <c r="R54" s="7"/>
      <c r="S54" s="7"/>
      <c r="T54" s="7"/>
      <c r="U54" s="7"/>
      <c r="V54" s="7"/>
      <c r="W54" s="7"/>
      <c r="X54" s="7"/>
      <c r="Y54" s="7"/>
      <c r="Z54" s="7"/>
      <c r="AA54" s="7"/>
      <c r="AB54" s="7"/>
      <c r="AC54" s="7"/>
      <c r="AD54" s="7"/>
      <c r="AE54" s="7"/>
    </row>
    <row r="55" spans="1:31" hidden="1" x14ac:dyDescent="0.25">
      <c r="A55" s="9"/>
      <c r="B55" s="9"/>
      <c r="C55" s="9"/>
      <c r="D55" s="9"/>
      <c r="E55" s="7"/>
      <c r="F55" s="7"/>
      <c r="G55" s="7"/>
      <c r="H55" s="7"/>
      <c r="I55" s="7"/>
      <c r="J55" s="7"/>
      <c r="K55" s="7"/>
      <c r="L55" s="7"/>
      <c r="M55" s="7"/>
      <c r="N55" s="7"/>
      <c r="O55" s="7"/>
      <c r="P55" s="7"/>
      <c r="Q55" s="7"/>
      <c r="R55" s="7"/>
      <c r="S55" s="7"/>
      <c r="T55" s="7"/>
      <c r="U55" s="7"/>
      <c r="V55" s="7"/>
      <c r="W55" s="7"/>
      <c r="X55" s="7"/>
      <c r="Y55" s="7"/>
      <c r="Z55" s="7"/>
      <c r="AA55" s="7"/>
      <c r="AB55" s="7"/>
      <c r="AC55" s="7"/>
      <c r="AD55" s="7"/>
      <c r="AE55" s="7"/>
    </row>
    <row r="56" spans="1:31" hidden="1" x14ac:dyDescent="0.25">
      <c r="A56" s="9"/>
      <c r="B56" s="9"/>
      <c r="C56" s="9"/>
      <c r="D56" s="9"/>
      <c r="E56" s="7"/>
      <c r="F56" s="7"/>
      <c r="G56" s="7"/>
      <c r="H56" s="7"/>
      <c r="I56" s="7"/>
      <c r="J56" s="7"/>
      <c r="K56" s="7"/>
      <c r="L56" s="7"/>
      <c r="M56" s="7"/>
      <c r="N56" s="7"/>
      <c r="O56" s="7"/>
      <c r="P56" s="7"/>
      <c r="Q56" s="7"/>
      <c r="R56" s="7"/>
      <c r="S56" s="7"/>
      <c r="T56" s="7"/>
      <c r="U56" s="7"/>
      <c r="V56" s="7"/>
      <c r="W56" s="7"/>
      <c r="X56" s="7"/>
      <c r="Y56" s="7"/>
      <c r="Z56" s="7"/>
      <c r="AA56" s="7"/>
      <c r="AB56" s="7"/>
      <c r="AC56" s="7"/>
      <c r="AD56" s="7"/>
      <c r="AE56" s="7"/>
    </row>
    <row r="57" spans="1:31" hidden="1" x14ac:dyDescent="0.25">
      <c r="A57" s="9"/>
      <c r="B57" s="9"/>
      <c r="C57" s="9"/>
      <c r="D57" s="9"/>
      <c r="E57" s="7"/>
      <c r="F57" s="7"/>
      <c r="G57" s="7"/>
      <c r="H57" s="7"/>
      <c r="I57" s="7"/>
      <c r="J57" s="7"/>
      <c r="K57" s="7"/>
      <c r="L57" s="7"/>
      <c r="M57" s="7"/>
      <c r="N57" s="7"/>
      <c r="O57" s="7"/>
      <c r="P57" s="7"/>
      <c r="Q57" s="7"/>
      <c r="R57" s="7"/>
      <c r="S57" s="7"/>
      <c r="T57" s="7"/>
      <c r="U57" s="7"/>
      <c r="V57" s="7"/>
      <c r="W57" s="7"/>
      <c r="X57" s="7"/>
      <c r="Y57" s="7"/>
      <c r="Z57" s="7"/>
      <c r="AA57" s="7"/>
      <c r="AB57" s="7"/>
      <c r="AC57" s="7"/>
      <c r="AD57" s="7"/>
      <c r="AE57" s="7"/>
    </row>
    <row r="58" spans="1:31" hidden="1" x14ac:dyDescent="0.25">
      <c r="A58" s="9"/>
      <c r="B58" s="9"/>
      <c r="C58" s="9"/>
      <c r="D58" s="9"/>
      <c r="E58" s="7"/>
      <c r="F58" s="7"/>
      <c r="G58" s="7"/>
      <c r="H58" s="7"/>
      <c r="I58" s="7"/>
      <c r="J58" s="7"/>
      <c r="K58" s="7"/>
      <c r="L58" s="7"/>
      <c r="M58" s="7"/>
      <c r="N58" s="7"/>
      <c r="O58" s="7"/>
      <c r="P58" s="7"/>
      <c r="Q58" s="7"/>
      <c r="R58" s="7"/>
      <c r="S58" s="7"/>
      <c r="T58" s="7"/>
      <c r="U58" s="7"/>
      <c r="V58" s="7"/>
      <c r="W58" s="7"/>
      <c r="X58" s="7"/>
      <c r="Y58" s="7"/>
      <c r="Z58" s="7"/>
      <c r="AA58" s="7"/>
      <c r="AB58" s="7"/>
      <c r="AC58" s="7"/>
      <c r="AD58" s="7"/>
      <c r="AE58" s="7"/>
    </row>
    <row r="59" spans="1:31" hidden="1"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row>
    <row r="60" spans="1:31" hidden="1"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row>
    <row r="61" spans="1:31" hidden="1"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row>
    <row r="62" spans="1:31" hidden="1"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row>
    <row r="63" spans="1:31" hidden="1"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row>
    <row r="64" spans="1:31" hidden="1"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row>
    <row r="65" spans="1:31" hidden="1"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row>
    <row r="66" spans="1:31" hidden="1"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row>
    <row r="67" spans="1:31" hidden="1" x14ac:dyDescent="0.25">
      <c r="A67" s="194" t="s">
        <v>522</v>
      </c>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row>
    <row r="68" spans="1:31" hidden="1"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row>
    <row r="69" spans="1:31" hidden="1"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row>
    <row r="70" spans="1:31" hidden="1"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row>
    <row r="71" spans="1:31" hidden="1"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row>
    <row r="72" spans="1:31" hidden="1"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row>
    <row r="73" spans="1:31" hidden="1"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row>
    <row r="74" spans="1:31" hidden="1"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row>
    <row r="75" spans="1:31" hidden="1"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row>
    <row r="76" spans="1:31" hidden="1"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row>
    <row r="77" spans="1:31" hidden="1"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row>
    <row r="78" spans="1:31" hidden="1"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row>
    <row r="79" spans="1:31" hidden="1"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row>
    <row r="80" spans="1:31" hidden="1"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row>
    <row r="81" spans="1:31" hidden="1"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row>
    <row r="82" spans="1:31" hidden="1"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row>
    <row r="83" spans="1:31" hidden="1"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row>
    <row r="84" spans="1:31" x14ac:dyDescent="0.25">
      <c r="A84" s="7" t="s">
        <v>523</v>
      </c>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row>
    <row r="85" spans="1:31" x14ac:dyDescent="0.25">
      <c r="A85" s="7"/>
      <c r="B85" s="7"/>
      <c r="C85" s="7"/>
      <c r="D85" s="7"/>
      <c r="E85" s="194" t="s">
        <v>524</v>
      </c>
      <c r="F85" s="7"/>
      <c r="G85" s="7"/>
      <c r="H85" s="7"/>
      <c r="I85" s="7"/>
      <c r="J85" s="194" t="s">
        <v>525</v>
      </c>
      <c r="K85" s="7"/>
      <c r="L85" s="7"/>
      <c r="M85" s="7"/>
      <c r="N85" s="7"/>
      <c r="O85" s="7"/>
      <c r="P85" s="7"/>
      <c r="Q85" s="7"/>
      <c r="R85" s="7"/>
      <c r="S85" s="7"/>
      <c r="T85" s="7"/>
      <c r="U85" s="7"/>
      <c r="V85" s="7"/>
      <c r="W85" s="7"/>
      <c r="X85" s="7"/>
      <c r="Y85" s="7"/>
      <c r="Z85" s="7"/>
      <c r="AA85" s="7"/>
      <c r="AB85" s="7"/>
      <c r="AC85" s="7"/>
      <c r="AD85" s="7"/>
      <c r="AE85" s="7"/>
    </row>
  </sheetData>
  <mergeCells count="11">
    <mergeCell ref="L16:L21"/>
    <mergeCell ref="A31:G31"/>
    <mergeCell ref="A1:K1"/>
    <mergeCell ref="A40:F40"/>
    <mergeCell ref="A34:B34"/>
    <mergeCell ref="A35:B35"/>
    <mergeCell ref="K16:K21"/>
    <mergeCell ref="K23:K25"/>
    <mergeCell ref="A36:B36"/>
    <mergeCell ref="A37:F37"/>
    <mergeCell ref="A38:F38"/>
  </mergeCells>
  <phoneticPr fontId="6"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49E9C-D7EB-4BEA-8603-6EC30342ADEA}">
  <dimension ref="A1:AM181"/>
  <sheetViews>
    <sheetView zoomScaleNormal="100" workbookViewId="0">
      <selection sqref="A1:G1"/>
    </sheetView>
  </sheetViews>
  <sheetFormatPr defaultColWidth="8.6640625" defaultRowHeight="13.2" x14ac:dyDescent="0.25"/>
  <cols>
    <col min="1" max="1" width="33.33203125" style="9" customWidth="1"/>
    <col min="2" max="2" width="29.6640625" style="9" customWidth="1"/>
    <col min="3" max="3" width="23.109375" style="9" customWidth="1"/>
    <col min="4" max="4" width="33" style="9" customWidth="1"/>
    <col min="5" max="5" width="32.44140625" style="9" customWidth="1"/>
    <col min="6" max="7" width="27.33203125" style="9" customWidth="1"/>
    <col min="8" max="8" width="27.44140625" style="9" customWidth="1"/>
    <col min="9" max="10" width="23" style="9" customWidth="1"/>
    <col min="11" max="11" width="19" style="9" customWidth="1"/>
    <col min="12" max="12" width="35.6640625" style="9" customWidth="1"/>
    <col min="13" max="13" width="15.33203125" style="9" customWidth="1"/>
    <col min="14" max="14" width="12.33203125" style="9" customWidth="1"/>
    <col min="15" max="15" width="13.33203125" style="9" customWidth="1"/>
    <col min="16" max="16" width="15.33203125" style="9" customWidth="1"/>
    <col min="17" max="17" width="11" style="9" customWidth="1"/>
    <col min="18" max="21" width="15.33203125" style="9" customWidth="1"/>
    <col min="22" max="22" width="7.6640625" style="9" hidden="1" customWidth="1"/>
    <col min="23" max="23" width="12.44140625" style="9" hidden="1" customWidth="1"/>
    <col min="24" max="39" width="6.5546875" style="9" hidden="1" customWidth="1"/>
    <col min="40" max="40" width="15.33203125" style="9" customWidth="1"/>
    <col min="41" max="41" width="11.33203125" style="9" customWidth="1"/>
    <col min="42" max="42" width="6.33203125" style="9" customWidth="1"/>
    <col min="43" max="46" width="4.6640625" style="9" customWidth="1"/>
    <col min="47" max="47" width="6.33203125" style="9" customWidth="1"/>
    <col min="48" max="62" width="4.6640625" style="9" customWidth="1"/>
    <col min="63" max="16384" width="8.6640625" style="9"/>
  </cols>
  <sheetData>
    <row r="1" spans="1:9" ht="24" customHeight="1" x14ac:dyDescent="0.25">
      <c r="A1" s="1021" t="str">
        <f>"Water Heater - "&amp;Prototype!A2</f>
        <v>Water Heater - HotelLarge</v>
      </c>
      <c r="B1" s="937"/>
      <c r="C1" s="937"/>
      <c r="D1" s="937"/>
      <c r="E1" s="937"/>
      <c r="F1" s="937"/>
      <c r="G1" s="937"/>
    </row>
    <row r="2" spans="1:9" ht="22.35" customHeight="1" x14ac:dyDescent="0.25">
      <c r="A2" s="789" t="s">
        <v>270</v>
      </c>
      <c r="B2" s="789" t="s">
        <v>526</v>
      </c>
      <c r="C2" s="789" t="s">
        <v>527</v>
      </c>
      <c r="D2" s="789" t="s">
        <v>528</v>
      </c>
      <c r="E2" s="789" t="s">
        <v>529</v>
      </c>
      <c r="F2" s="789" t="s">
        <v>530</v>
      </c>
      <c r="G2" s="789" t="s">
        <v>260</v>
      </c>
    </row>
    <row r="3" spans="1:9" ht="61.5" customHeight="1" x14ac:dyDescent="0.25">
      <c r="A3" s="820" t="s">
        <v>359</v>
      </c>
      <c r="B3" s="820" t="s">
        <v>173</v>
      </c>
      <c r="C3" s="651">
        <v>0.8</v>
      </c>
      <c r="D3" s="720">
        <f>B40</f>
        <v>5</v>
      </c>
      <c r="E3" s="824" t="s">
        <v>531</v>
      </c>
      <c r="F3" s="824" t="s">
        <v>532</v>
      </c>
      <c r="G3" s="824" t="s">
        <v>533</v>
      </c>
      <c r="H3" s="652"/>
    </row>
    <row r="4" spans="1:9" ht="63.75" customHeight="1" x14ac:dyDescent="0.25">
      <c r="A4" s="820" t="s">
        <v>371</v>
      </c>
      <c r="B4" s="820" t="s">
        <v>534</v>
      </c>
      <c r="C4" s="651">
        <v>0.8</v>
      </c>
      <c r="D4" s="720">
        <v>5</v>
      </c>
      <c r="E4" s="824" t="s">
        <v>531</v>
      </c>
      <c r="F4" s="824" t="s">
        <v>535</v>
      </c>
      <c r="G4" s="824" t="s">
        <v>533</v>
      </c>
      <c r="H4" s="652"/>
    </row>
    <row r="5" spans="1:9" ht="14.7" customHeight="1" x14ac:dyDescent="0.25">
      <c r="A5" s="13"/>
      <c r="B5" s="13"/>
      <c r="C5" s="13"/>
      <c r="D5" s="13"/>
      <c r="E5" s="13"/>
    </row>
    <row r="6" spans="1:9" ht="14.7" customHeight="1" x14ac:dyDescent="0.25"/>
    <row r="8" spans="1:9" ht="22.95" customHeight="1" x14ac:dyDescent="0.25">
      <c r="A8" s="922" t="s">
        <v>536</v>
      </c>
      <c r="B8" s="922"/>
      <c r="C8" s="922"/>
      <c r="D8" s="922"/>
      <c r="E8" s="922"/>
      <c r="F8" s="922"/>
      <c r="G8" s="922"/>
      <c r="H8" s="922"/>
    </row>
    <row r="9" spans="1:9" ht="66.599999999999994" customHeight="1" x14ac:dyDescent="0.25">
      <c r="A9" s="587" t="s">
        <v>537</v>
      </c>
      <c r="B9" s="822" t="s">
        <v>538</v>
      </c>
      <c r="C9" s="822" t="s">
        <v>539</v>
      </c>
      <c r="D9" s="822" t="s">
        <v>199</v>
      </c>
      <c r="E9" s="822" t="s">
        <v>540</v>
      </c>
      <c r="F9" s="822" t="s">
        <v>541</v>
      </c>
      <c r="G9" s="822" t="s">
        <v>542</v>
      </c>
      <c r="H9" s="75" t="s">
        <v>358</v>
      </c>
    </row>
    <row r="10" spans="1:9" x14ac:dyDescent="0.25">
      <c r="A10" s="218" t="str">
        <f>Zones!B3</f>
        <v>BasementConference</v>
      </c>
      <c r="B10" s="224" t="s">
        <v>173</v>
      </c>
      <c r="C10" s="219">
        <f>Zones!H3*Zones!J3</f>
        <v>7454.9371290799945</v>
      </c>
      <c r="D10" s="220">
        <f>Zones!K3*Zones!J3</f>
        <v>246.01292525963984</v>
      </c>
      <c r="E10" s="271">
        <f>Data!L84</f>
        <v>0.27239999999999998</v>
      </c>
      <c r="F10" s="220">
        <f>D10*E10</f>
        <v>67.013920840725888</v>
      </c>
      <c r="G10" s="653">
        <f>F10/60</f>
        <v>1.1168986806787649</v>
      </c>
      <c r="H10" s="1033" t="s">
        <v>543</v>
      </c>
      <c r="I10" s="12"/>
    </row>
    <row r="11" spans="1:9" x14ac:dyDescent="0.25">
      <c r="A11" s="608" t="str">
        <f>Zones!B4</f>
        <v xml:space="preserve">BasementOffice </v>
      </c>
      <c r="B11" s="609" t="s">
        <v>173</v>
      </c>
      <c r="C11" s="610">
        <f>Zones!H4*Zones!J4</f>
        <v>1652.0995887093086</v>
      </c>
      <c r="D11" s="611">
        <f>Zones!K4*Zones!J4</f>
        <v>8.2604979435465431</v>
      </c>
      <c r="E11" s="612">
        <v>0.18</v>
      </c>
      <c r="F11" s="611">
        <f t="shared" ref="F11:F36" si="0">D11*E11</f>
        <v>1.4868896298383778</v>
      </c>
      <c r="G11" s="654">
        <f t="shared" ref="G11:G36" si="1">F11/60</f>
        <v>2.4781493830639632E-2</v>
      </c>
      <c r="H11" s="1034"/>
      <c r="I11" s="12"/>
    </row>
    <row r="12" spans="1:9" x14ac:dyDescent="0.25">
      <c r="A12" s="608" t="str">
        <f>Zones!B5</f>
        <v>BasementMechanical</v>
      </c>
      <c r="B12" s="609" t="s">
        <v>173</v>
      </c>
      <c r="C12" s="610">
        <f>Zones!H5*Zones!J5</f>
        <v>1767.853983096936</v>
      </c>
      <c r="D12" s="611">
        <f>Zones!K5*Zones!J5</f>
        <v>0</v>
      </c>
      <c r="E12" s="612">
        <v>0.18</v>
      </c>
      <c r="F12" s="611">
        <f>D12*E12</f>
        <v>0</v>
      </c>
      <c r="G12" s="654">
        <f t="shared" si="1"/>
        <v>0</v>
      </c>
      <c r="H12" s="1034"/>
      <c r="I12" s="12"/>
    </row>
    <row r="13" spans="1:9" x14ac:dyDescent="0.25">
      <c r="A13" s="608" t="str">
        <f>Zones!B6</f>
        <v>BasementLaundry</v>
      </c>
      <c r="B13" s="609" t="s">
        <v>173</v>
      </c>
      <c r="C13" s="610">
        <f>Zones!H6*Zones!J6</f>
        <v>840.01050195375603</v>
      </c>
      <c r="D13" s="611">
        <f>Zones!K6*Zones!J6</f>
        <v>4.2000525097687804</v>
      </c>
      <c r="E13" s="612">
        <v>0.57999999999999996</v>
      </c>
      <c r="F13" s="611">
        <f>D13*E13</f>
        <v>2.4360304556658923</v>
      </c>
      <c r="G13" s="654">
        <f t="shared" si="1"/>
        <v>4.060050759443154E-2</v>
      </c>
      <c r="H13" s="1034"/>
      <c r="I13" s="12"/>
    </row>
    <row r="14" spans="1:9" x14ac:dyDescent="0.25">
      <c r="A14" s="218" t="str">
        <f>Zones!B7</f>
        <v>BasementService</v>
      </c>
      <c r="B14" s="224" t="s">
        <v>173</v>
      </c>
      <c r="C14" s="219">
        <f>Zones!H7*Zones!J7</f>
        <v>6389.9461106399949</v>
      </c>
      <c r="D14" s="220">
        <f>Zones!K7*Zones!J7</f>
        <v>19.169838331919987</v>
      </c>
      <c r="E14" s="271">
        <v>0.57799999999999996</v>
      </c>
      <c r="F14" s="220">
        <f t="shared" si="0"/>
        <v>11.080166555849752</v>
      </c>
      <c r="G14" s="653">
        <f t="shared" si="1"/>
        <v>0.18466944259749588</v>
      </c>
      <c r="H14" s="1034"/>
      <c r="I14" s="12"/>
    </row>
    <row r="15" spans="1:9" x14ac:dyDescent="0.25">
      <c r="A15" s="218" t="str">
        <f>Zones!B8</f>
        <v>BasementStorage</v>
      </c>
      <c r="B15" s="224" t="s">
        <v>173</v>
      </c>
      <c r="C15" s="219">
        <f>Zones!H8*Zones!J8</f>
        <v>3194.9730553199975</v>
      </c>
      <c r="D15" s="220">
        <f>Zones!K8*Zones!J8</f>
        <v>0</v>
      </c>
      <c r="E15" s="271">
        <v>0</v>
      </c>
      <c r="F15" s="220">
        <f t="shared" si="0"/>
        <v>0</v>
      </c>
      <c r="G15" s="653">
        <f t="shared" si="1"/>
        <v>0</v>
      </c>
      <c r="H15" s="1034"/>
      <c r="I15" s="12"/>
    </row>
    <row r="16" spans="1:9" x14ac:dyDescent="0.25">
      <c r="A16" s="218" t="str">
        <f>Zones!B9</f>
        <v>Retail_1_FloorG</v>
      </c>
      <c r="B16" s="224" t="s">
        <v>173</v>
      </c>
      <c r="C16" s="219">
        <f>Zones!H9*Zones!J9</f>
        <v>721.93111694052288</v>
      </c>
      <c r="D16" s="220">
        <f>Zones!K9*Zones!J9</f>
        <v>12.272828987988889</v>
      </c>
      <c r="E16" s="271">
        <v>0.18</v>
      </c>
      <c r="F16" s="220">
        <f t="shared" si="0"/>
        <v>2.2091092178379999</v>
      </c>
      <c r="G16" s="653">
        <f t="shared" si="1"/>
        <v>3.6818486963966661E-2</v>
      </c>
      <c r="H16" s="1034"/>
    </row>
    <row r="17" spans="1:8" x14ac:dyDescent="0.25">
      <c r="A17" s="218" t="str">
        <f>Zones!B10</f>
        <v>Retail_2_FloorG</v>
      </c>
      <c r="B17" s="224" t="s">
        <v>173</v>
      </c>
      <c r="C17" s="219">
        <f>Zones!H10*Zones!J10</f>
        <v>836.02787912286294</v>
      </c>
      <c r="D17" s="220">
        <f>Zones!K10*Zones!J10</f>
        <v>14.21247394508867</v>
      </c>
      <c r="E17" s="271">
        <v>0.18</v>
      </c>
      <c r="F17" s="220">
        <f t="shared" si="0"/>
        <v>2.5582453101159603</v>
      </c>
      <c r="G17" s="653">
        <f t="shared" si="1"/>
        <v>4.2637421835266004E-2</v>
      </c>
      <c r="H17" s="1034"/>
    </row>
    <row r="18" spans="1:8" x14ac:dyDescent="0.25">
      <c r="A18" s="608" t="str">
        <f>Zones!B11</f>
        <v>Office_FloorG</v>
      </c>
      <c r="B18" s="609" t="s">
        <v>173</v>
      </c>
      <c r="C18" s="610">
        <f>Zones!H11*Zones!J11</f>
        <v>1767.853983096936</v>
      </c>
      <c r="D18" s="611">
        <f>Zones!K11*Zones!J11</f>
        <v>8.8392699154846799</v>
      </c>
      <c r="E18" s="612">
        <v>0.18</v>
      </c>
      <c r="F18" s="611">
        <f t="shared" si="0"/>
        <v>1.5910685847872423</v>
      </c>
      <c r="G18" s="654">
        <f>F18/60</f>
        <v>2.6517809746454037E-2</v>
      </c>
      <c r="H18" s="1034"/>
    </row>
    <row r="19" spans="1:8" x14ac:dyDescent="0.25">
      <c r="A19" s="218" t="str">
        <f>Zones!B12</f>
        <v>Storage_FloorG</v>
      </c>
      <c r="B19" s="223" t="s">
        <v>104</v>
      </c>
      <c r="C19" s="219">
        <f>Zones!H12*Zones!J12</f>
        <v>1019.981998528164</v>
      </c>
      <c r="D19" s="220">
        <f>Zones!K12*Zones!J12</f>
        <v>0</v>
      </c>
      <c r="E19" s="272">
        <v>0</v>
      </c>
      <c r="F19" s="220">
        <f t="shared" si="0"/>
        <v>0</v>
      </c>
      <c r="G19" s="653">
        <f t="shared" si="1"/>
        <v>0</v>
      </c>
      <c r="H19" s="1034"/>
    </row>
    <row r="20" spans="1:8" x14ac:dyDescent="0.25">
      <c r="A20" s="608" t="str">
        <f>Zones!B13</f>
        <v>Kitchen_FloorG</v>
      </c>
      <c r="B20" s="609" t="s">
        <v>173</v>
      </c>
      <c r="C20" s="610">
        <f>Zones!H13*Zones!J13</f>
        <v>840.01050195375603</v>
      </c>
      <c r="D20" s="611">
        <f>Zones!K13*Zones!J13</f>
        <v>2.5200315058612683</v>
      </c>
      <c r="E20" s="613">
        <v>0.57799999999999996</v>
      </c>
      <c r="F20" s="611">
        <f t="shared" si="0"/>
        <v>1.4565782103878131</v>
      </c>
      <c r="G20" s="654">
        <f t="shared" si="1"/>
        <v>2.4276303506463551E-2</v>
      </c>
      <c r="H20" s="1034"/>
    </row>
    <row r="21" spans="1:8" x14ac:dyDescent="0.25">
      <c r="A21" s="218" t="str">
        <f>Zones!B14</f>
        <v>Cafe_FloorG</v>
      </c>
      <c r="B21" s="224" t="s">
        <v>173</v>
      </c>
      <c r="C21" s="219">
        <f>Zones!H14*Zones!J14</f>
        <v>2032.8598590336539</v>
      </c>
      <c r="D21" s="220">
        <f>Zones!K14*Zones!J14</f>
        <v>67.084375348110584</v>
      </c>
      <c r="E21" s="272">
        <v>0.57799999999999996</v>
      </c>
      <c r="F21" s="220">
        <f t="shared" si="0"/>
        <v>38.774768951207918</v>
      </c>
      <c r="G21" s="653">
        <f t="shared" si="1"/>
        <v>0.64624614918679868</v>
      </c>
      <c r="H21" s="1034"/>
    </row>
    <row r="22" spans="1:8" x14ac:dyDescent="0.25">
      <c r="A22" s="218" t="str">
        <f>Zones!B15</f>
        <v>Lobby_FloorG</v>
      </c>
      <c r="B22" s="224" t="s">
        <v>173</v>
      </c>
      <c r="C22" s="219">
        <f>Zones!H15*Zones!J15</f>
        <v>14081.155030124091</v>
      </c>
      <c r="D22" s="220">
        <f>Zones!K15*Zones!J15</f>
        <v>140.81155030124091</v>
      </c>
      <c r="E22" s="272">
        <v>0.09</v>
      </c>
      <c r="F22" s="220">
        <f t="shared" si="0"/>
        <v>12.673039527111682</v>
      </c>
      <c r="G22" s="653">
        <f t="shared" si="1"/>
        <v>0.21121732545186137</v>
      </c>
      <c r="H22" s="1034"/>
    </row>
    <row r="23" spans="1:8" x14ac:dyDescent="0.25">
      <c r="A23" s="218" t="str">
        <f>Zones!B16</f>
        <v>GuestRoom_1_FloorM</v>
      </c>
      <c r="B23" s="224" t="s">
        <v>173</v>
      </c>
      <c r="C23" s="219">
        <f>Zones!H16*Zones!J16</f>
        <v>2520.0315058612682</v>
      </c>
      <c r="D23" s="220">
        <f>Zones!K16*Zones!J16</f>
        <v>7.5600945175838046</v>
      </c>
      <c r="E23" s="272">
        <v>4.4800000000000004</v>
      </c>
      <c r="F23" s="220">
        <f t="shared" si="0"/>
        <v>33.86922343877545</v>
      </c>
      <c r="G23" s="653">
        <f t="shared" si="1"/>
        <v>0.56448705731292415</v>
      </c>
      <c r="H23" s="1034"/>
    </row>
    <row r="24" spans="1:8" x14ac:dyDescent="0.25">
      <c r="A24" s="218" t="str">
        <f>Zones!B17</f>
        <v>GuestRoom_2_FloorM</v>
      </c>
      <c r="B24" s="224" t="s">
        <v>173</v>
      </c>
      <c r="C24" s="219">
        <f>Zones!H17*Zones!J17</f>
        <v>2520.0315058612682</v>
      </c>
      <c r="D24" s="220">
        <f>Zones!K17*Zones!J17</f>
        <v>7.5600945175838046</v>
      </c>
      <c r="E24" s="272">
        <v>4.4800000000000004</v>
      </c>
      <c r="F24" s="220">
        <f t="shared" si="0"/>
        <v>33.86922343877545</v>
      </c>
      <c r="G24" s="653">
        <f t="shared" si="1"/>
        <v>0.56448705731292415</v>
      </c>
      <c r="H24" s="1034"/>
    </row>
    <row r="25" spans="1:8" x14ac:dyDescent="0.25">
      <c r="A25" s="218" t="str">
        <f>Zones!B18</f>
        <v>GuestRoom_3_Multi19_FloorM</v>
      </c>
      <c r="B25" s="224" t="s">
        <v>173</v>
      </c>
      <c r="C25" s="219">
        <f>Zones!H18*Zones!J18</f>
        <v>30087.962018212387</v>
      </c>
      <c r="D25" s="220">
        <f>Zones!K18*Zones!J18</f>
        <v>90.263886054637155</v>
      </c>
      <c r="E25" s="272">
        <v>4.4800000000000004</v>
      </c>
      <c r="F25" s="220">
        <f t="shared" si="0"/>
        <v>404.38220952477451</v>
      </c>
      <c r="G25" s="653">
        <f t="shared" si="1"/>
        <v>6.7397034920795749</v>
      </c>
      <c r="H25" s="1034"/>
    </row>
    <row r="26" spans="1:8" x14ac:dyDescent="0.25">
      <c r="A26" s="218" t="str">
        <f>Zones!B19</f>
        <v>GuestRoom_4_Multi19_FloorM</v>
      </c>
      <c r="B26" s="224" t="s">
        <v>173</v>
      </c>
      <c r="C26" s="219">
        <f>Zones!H19*Zones!J19</f>
        <v>30100.232802069735</v>
      </c>
      <c r="D26" s="220">
        <f>Zones!K19*Zones!J19</f>
        <v>90.300698406209207</v>
      </c>
      <c r="E26" s="272">
        <v>4.4800000000000004</v>
      </c>
      <c r="F26" s="220">
        <f t="shared" si="0"/>
        <v>404.54712885981729</v>
      </c>
      <c r="G26" s="653">
        <f t="shared" si="1"/>
        <v>6.7424521476636219</v>
      </c>
      <c r="H26" s="1034"/>
    </row>
    <row r="27" spans="1:8" x14ac:dyDescent="0.25">
      <c r="A27" s="218" t="str">
        <f>Zones!B20</f>
        <v>GuestRoom_5_FloorM</v>
      </c>
      <c r="B27" s="224" t="s">
        <v>173</v>
      </c>
      <c r="C27" s="219">
        <f>Zones!H20*Zones!J20</f>
        <v>2520.0315058612682</v>
      </c>
      <c r="D27" s="220">
        <f>Zones!K20*Zones!J20</f>
        <v>7.5600945175838046</v>
      </c>
      <c r="E27" s="272">
        <v>4.4800000000000004</v>
      </c>
      <c r="F27" s="220">
        <f t="shared" si="0"/>
        <v>33.86922343877545</v>
      </c>
      <c r="G27" s="653">
        <f t="shared" si="1"/>
        <v>0.56448705731292415</v>
      </c>
      <c r="H27" s="1034"/>
    </row>
    <row r="28" spans="1:8" x14ac:dyDescent="0.25">
      <c r="A28" s="218" t="str">
        <f>Zones!B21</f>
        <v>GuestRoom_6_FloorM</v>
      </c>
      <c r="B28" s="224" t="s">
        <v>173</v>
      </c>
      <c r="C28" s="219">
        <f>Zones!H21*Zones!J21</f>
        <v>2520.0315058612682</v>
      </c>
      <c r="D28" s="220">
        <f>Zones!K21*Zones!J21</f>
        <v>7.5600945175838046</v>
      </c>
      <c r="E28" s="272">
        <v>4.4800000000000004</v>
      </c>
      <c r="F28" s="220">
        <f t="shared" si="0"/>
        <v>33.86922343877545</v>
      </c>
      <c r="G28" s="653">
        <f t="shared" si="1"/>
        <v>0.56448705731292415</v>
      </c>
      <c r="H28" s="1034"/>
    </row>
    <row r="29" spans="1:8" ht="13.8" x14ac:dyDescent="0.25">
      <c r="A29" s="218" t="str">
        <f>Zones!B22</f>
        <v>Corridor_FloorM</v>
      </c>
      <c r="B29" s="225" t="s">
        <v>104</v>
      </c>
      <c r="C29" s="219">
        <f>Zones!H22*Zones!J22</f>
        <v>25148.648600265959</v>
      </c>
      <c r="D29" s="220">
        <f>Zones!K22*Zones!J22</f>
        <v>125.74324300132977</v>
      </c>
      <c r="E29" s="222">
        <v>0</v>
      </c>
      <c r="F29" s="220">
        <f t="shared" si="0"/>
        <v>0</v>
      </c>
      <c r="G29" s="653">
        <f t="shared" si="1"/>
        <v>0</v>
      </c>
      <c r="H29" s="1034"/>
    </row>
    <row r="30" spans="1:8" x14ac:dyDescent="0.25">
      <c r="A30" s="218" t="str">
        <f>Zones!B23</f>
        <v>GuestRoom_1_FloorT</v>
      </c>
      <c r="B30" s="224" t="s">
        <v>173</v>
      </c>
      <c r="C30" s="219">
        <f>Zones!H23*Zones!J23</f>
        <v>420.00525097687802</v>
      </c>
      <c r="D30" s="220">
        <f>Zones!K23*Zones!J23</f>
        <v>1.2600157529306342</v>
      </c>
      <c r="E30" s="272">
        <v>4.4800000000000004</v>
      </c>
      <c r="F30" s="220">
        <f t="shared" si="0"/>
        <v>5.6448705731292419</v>
      </c>
      <c r="G30" s="653">
        <f t="shared" si="1"/>
        <v>9.40811762188207E-2</v>
      </c>
      <c r="H30" s="1034"/>
    </row>
    <row r="31" spans="1:8" x14ac:dyDescent="0.25">
      <c r="A31" s="218" t="str">
        <f>Zones!B24</f>
        <v>GuestRoom_2_FloorT</v>
      </c>
      <c r="B31" s="224" t="s">
        <v>173</v>
      </c>
      <c r="C31" s="219">
        <f>Zones!H24*Zones!J24</f>
        <v>420.00525097687802</v>
      </c>
      <c r="D31" s="220">
        <f>Zones!K24*Zones!J24</f>
        <v>1.2600157529306342</v>
      </c>
      <c r="E31" s="272">
        <v>4.4800000000000004</v>
      </c>
      <c r="F31" s="220">
        <f t="shared" si="0"/>
        <v>5.6448705731292419</v>
      </c>
      <c r="G31" s="653">
        <f t="shared" si="1"/>
        <v>9.40811762188207E-2</v>
      </c>
      <c r="H31" s="1034"/>
    </row>
    <row r="32" spans="1:8" x14ac:dyDescent="0.25">
      <c r="A32" s="218" t="str">
        <f>Zones!B25</f>
        <v>GuestRoom_3_Multi9_FloorT</v>
      </c>
      <c r="B32" s="224" t="s">
        <v>173</v>
      </c>
      <c r="C32" s="219">
        <f>Zones!H25*Zones!J25</f>
        <v>2376.334168584453</v>
      </c>
      <c r="D32" s="220">
        <f>Zones!K25*Zones!J25</f>
        <v>7.129002505753359</v>
      </c>
      <c r="E32" s="272">
        <v>4.4800000000000004</v>
      </c>
      <c r="F32" s="220">
        <f t="shared" si="0"/>
        <v>31.937931225775053</v>
      </c>
      <c r="G32" s="653">
        <f t="shared" si="1"/>
        <v>0.53229885376291752</v>
      </c>
      <c r="H32" s="1034"/>
    </row>
    <row r="33" spans="1:13" x14ac:dyDescent="0.25">
      <c r="A33" s="218" t="str">
        <f>Zones!B26</f>
        <v>Banquet_FloorT</v>
      </c>
      <c r="B33" s="224" t="s">
        <v>173</v>
      </c>
      <c r="C33" s="219">
        <f>Zones!H26*Zones!J26</f>
        <v>3569.9369948485742</v>
      </c>
      <c r="D33" s="220">
        <f>Zones!K26*Zones!J26</f>
        <v>117.80792083000294</v>
      </c>
      <c r="E33" s="272">
        <v>0.57799999999999996</v>
      </c>
      <c r="F33" s="220">
        <f t="shared" si="0"/>
        <v>68.092978239741697</v>
      </c>
      <c r="G33" s="653">
        <f t="shared" si="1"/>
        <v>1.1348829706623615</v>
      </c>
      <c r="H33" s="1034"/>
    </row>
    <row r="34" spans="1:13" x14ac:dyDescent="0.25">
      <c r="A34" s="218" t="str">
        <f>Zones!B27</f>
        <v>Dining_FloorT</v>
      </c>
      <c r="B34" s="224" t="s">
        <v>173</v>
      </c>
      <c r="C34" s="219">
        <f>Zones!H27*Zones!J27</f>
        <v>3569.9369948485742</v>
      </c>
      <c r="D34" s="220">
        <f>Zones!K27*Zones!J27</f>
        <v>117.80792083000294</v>
      </c>
      <c r="E34" s="272">
        <v>0.57799999999999996</v>
      </c>
      <c r="F34" s="220">
        <f t="shared" si="0"/>
        <v>68.092978239741697</v>
      </c>
      <c r="G34" s="653">
        <f t="shared" si="1"/>
        <v>1.1348829706623615</v>
      </c>
      <c r="H34" s="1034"/>
    </row>
    <row r="35" spans="1:13" x14ac:dyDescent="0.25">
      <c r="A35" s="218" t="str">
        <f>Zones!B28</f>
        <v>Kitchen_FloorT</v>
      </c>
      <c r="B35" s="224" t="s">
        <v>173</v>
      </c>
      <c r="C35" s="219">
        <f>Zones!H28*Zones!J28</f>
        <v>1111.9052390033698</v>
      </c>
      <c r="D35" s="220">
        <f>Zones!K28*Zones!J28</f>
        <v>3.3357157170101095</v>
      </c>
      <c r="E35" s="272">
        <v>0.57799999999999996</v>
      </c>
      <c r="F35" s="220">
        <f t="shared" si="0"/>
        <v>1.9280436844318432</v>
      </c>
      <c r="G35" s="653">
        <f t="shared" si="1"/>
        <v>3.2134061407197385E-2</v>
      </c>
      <c r="H35" s="1034"/>
    </row>
    <row r="36" spans="1:13" x14ac:dyDescent="0.25">
      <c r="A36" s="218" t="str">
        <f>Zones!B29</f>
        <v>Corridor_FloorT</v>
      </c>
      <c r="B36" s="221"/>
      <c r="C36" s="219">
        <f>Zones!H29*Zones!J29</f>
        <v>4435.9960028854675</v>
      </c>
      <c r="D36" s="220">
        <f>Zones!K29*Zones!J29</f>
        <v>22.17998001442734</v>
      </c>
      <c r="E36" s="221">
        <v>0</v>
      </c>
      <c r="F36" s="220">
        <f t="shared" si="0"/>
        <v>0</v>
      </c>
      <c r="G36" s="653">
        <f t="shared" si="1"/>
        <v>0</v>
      </c>
      <c r="H36" s="1035"/>
    </row>
    <row r="37" spans="1:13" ht="20.25" customHeight="1" x14ac:dyDescent="0.25">
      <c r="A37" s="790" t="s">
        <v>544</v>
      </c>
      <c r="B37" s="1036" t="s">
        <v>545</v>
      </c>
      <c r="C37" s="1037"/>
      <c r="D37" s="1037"/>
      <c r="E37" s="1038"/>
      <c r="F37" s="791">
        <f>_xlfn.LET(
_xlpm.g,SUMIF($B$10:$B$36,"Gas*",$F$10:$F$36),
_xlpm.e,SUMIF($B$10:$B$36,"Electric*",$F$10:$F$36),
IF(AND(_xlpm.g&gt;0,_xlpm.e&gt;0),_xlpm.g,IF(_xlpm.g&gt;0,MAX(75,_xlpm.g),0)))</f>
        <v>1267.0277219591712</v>
      </c>
      <c r="G37" s="655"/>
      <c r="H37" s="1039" t="s">
        <v>546</v>
      </c>
    </row>
    <row r="38" spans="1:13" ht="19.5" customHeight="1" x14ac:dyDescent="0.25">
      <c r="A38" s="790" t="s">
        <v>547</v>
      </c>
      <c r="B38" s="1036" t="s">
        <v>548</v>
      </c>
      <c r="C38" s="1037"/>
      <c r="D38" s="1037"/>
      <c r="E38" s="1038"/>
      <c r="F38" s="791">
        <f>_xlfn.LET(
_xlpm.g,SUMIF($B$10:$B$36,"Gas*",$F$10:$F$36),
_xlpm.e,SUMIF($B$10:$B$36,"Electric*",$F$10:$F$36),
IF(AND(_xlpm.g&gt;0,_xlpm.e&gt;0),_xlpm.e,IF(_xlpm.e&gt;0,MAX(75,_xlpm.e),0)))</f>
        <v>0</v>
      </c>
      <c r="G38" s="655"/>
      <c r="H38" s="1040"/>
    </row>
    <row r="39" spans="1:13" s="649" customFormat="1" ht="14.4" x14ac:dyDescent="0.3">
      <c r="A39"/>
      <c r="B39"/>
      <c r="C39"/>
      <c r="D39"/>
      <c r="E39"/>
      <c r="F39"/>
      <c r="G39"/>
      <c r="H39"/>
      <c r="I39"/>
      <c r="J39"/>
    </row>
    <row r="40" spans="1:13" s="649" customFormat="1" ht="43.2" x14ac:dyDescent="0.3">
      <c r="A40" s="792" t="s">
        <v>549</v>
      </c>
      <c r="B40" s="792">
        <f>MAX(1,ROUNDUP(MAX(30,$F$37*$B$45)/MAX($E$69:$E$87),0))</f>
        <v>5</v>
      </c>
      <c r="C40" s="793" t="s">
        <v>550</v>
      </c>
      <c r="D40"/>
      <c r="E40"/>
      <c r="F40"/>
      <c r="G40"/>
      <c r="H40"/>
      <c r="I40"/>
      <c r="J40"/>
    </row>
    <row r="41" spans="1:13" s="649" customFormat="1" ht="14.4" x14ac:dyDescent="0.3">
      <c r="A41" t="s">
        <v>551</v>
      </c>
      <c r="B41" s="794">
        <v>1</v>
      </c>
      <c r="C41"/>
      <c r="D41"/>
      <c r="E41" s="663">
        <f>F37*(135-C48)*8.3*0.6</f>
        <v>549583.41062156612</v>
      </c>
      <c r="F41"/>
      <c r="G41"/>
      <c r="H41"/>
      <c r="I41"/>
      <c r="J41"/>
    </row>
    <row r="42" spans="1:13" s="649" customFormat="1" ht="15" customHeight="1" x14ac:dyDescent="0.3">
      <c r="A42" s="795" t="s">
        <v>552</v>
      </c>
      <c r="B42" s="794">
        <v>135</v>
      </c>
      <c r="C42" s="796" t="s">
        <v>553</v>
      </c>
      <c r="D42" s="656"/>
      <c r="E42" s="656">
        <f>110*5</f>
        <v>550</v>
      </c>
      <c r="F42"/>
      <c r="G42"/>
      <c r="H42"/>
      <c r="I42"/>
      <c r="J42"/>
    </row>
    <row r="43" spans="1:13" s="649" customFormat="1" ht="15" customHeight="1" x14ac:dyDescent="0.3">
      <c r="A43" s="656" t="s">
        <v>554</v>
      </c>
      <c r="B43" s="797">
        <v>0.6</v>
      </c>
      <c r="C43" s="796" t="s">
        <v>555</v>
      </c>
      <c r="D43" s="657"/>
      <c r="E43" s="657"/>
      <c r="F43"/>
      <c r="G43"/>
      <c r="H43"/>
      <c r="I43"/>
      <c r="J43"/>
    </row>
    <row r="44" spans="1:13" s="649" customFormat="1" ht="14.4" x14ac:dyDescent="0.3">
      <c r="A44" s="798" t="s">
        <v>556</v>
      </c>
      <c r="B44" s="799">
        <v>8.2876999999999992</v>
      </c>
      <c r="C44" s="796" t="s">
        <v>555</v>
      </c>
      <c r="D44" s="796"/>
      <c r="E44" s="796"/>
      <c r="F44"/>
      <c r="G44"/>
      <c r="H44"/>
      <c r="I44"/>
      <c r="J44"/>
    </row>
    <row r="45" spans="1:13" s="649" customFormat="1" ht="14.4" x14ac:dyDescent="0.3">
      <c r="A45" s="649" t="s">
        <v>557</v>
      </c>
      <c r="B45" s="658">
        <v>0.4</v>
      </c>
      <c r="C45" s="659" t="s">
        <v>558</v>
      </c>
      <c r="D45" s="659"/>
      <c r="F45" s="659"/>
      <c r="G45" s="659"/>
    </row>
    <row r="46" spans="1:13" s="649" customFormat="1" ht="26.1" customHeight="1" x14ac:dyDescent="0.25">
      <c r="A46" s="1031" t="s">
        <v>559</v>
      </c>
      <c r="B46" s="1032"/>
      <c r="C46" s="1032"/>
      <c r="D46" s="1032"/>
      <c r="E46" s="1032"/>
      <c r="F46" s="1032"/>
      <c r="G46" s="1032"/>
      <c r="H46" s="1032"/>
      <c r="I46" s="1032"/>
      <c r="J46" s="1032"/>
      <c r="K46" s="1032"/>
      <c r="L46" s="1032"/>
    </row>
    <row r="47" spans="1:13" s="649" customFormat="1" ht="48.75" customHeight="1" x14ac:dyDescent="0.3">
      <c r="A47" s="800" t="s">
        <v>560</v>
      </c>
      <c r="B47" s="800" t="s">
        <v>561</v>
      </c>
      <c r="C47" s="800" t="s">
        <v>562</v>
      </c>
      <c r="D47" s="800" t="s">
        <v>563</v>
      </c>
      <c r="E47" s="800" t="s">
        <v>564</v>
      </c>
      <c r="F47" s="800" t="s">
        <v>565</v>
      </c>
      <c r="G47" s="800" t="s">
        <v>566</v>
      </c>
      <c r="H47" s="1022" t="s">
        <v>567</v>
      </c>
      <c r="I47" s="1023"/>
      <c r="J47" s="1024" t="s">
        <v>568</v>
      </c>
      <c r="K47" s="1025"/>
      <c r="L47" s="801" t="s">
        <v>569</v>
      </c>
      <c r="M47"/>
    </row>
    <row r="48" spans="1:13" s="649" customFormat="1" ht="18.75" customHeight="1" x14ac:dyDescent="0.25">
      <c r="A48" s="666" t="s">
        <v>570</v>
      </c>
      <c r="B48" s="666" t="s">
        <v>571</v>
      </c>
      <c r="C48" s="667">
        <v>47.9</v>
      </c>
      <c r="D48" s="668">
        <f t="shared" ref="D48:D63" si="2">$F$37/$B$40*($B$42-C48)*$B$44</f>
        <v>182922.9892453154</v>
      </c>
      <c r="E48" s="668">
        <f>D48*$B$43</f>
        <v>109753.79354718924</v>
      </c>
      <c r="F48" s="668">
        <f t="shared" ref="F48:F63" si="3">_xlfn.LET(_xlpm.x,_xlfn.XLOOKUP(E48/$C$3,$A$69:$A$99,$A$69:$A$99,"",1),IF(_xlpm.x="",ROUNDUP(E48/$C$3,0),_xlpm.x))</f>
        <v>145000</v>
      </c>
      <c r="G48" s="668" cm="1">
        <f t="array" ref="G48">_xlfn.LET(_xlpm.v,MAX(30,$F$37/$B$40*$B$45),_xlpm.x,_xlfn.XLOOKUP(_xlpm.v,$E$69:$E$87,$E$69:$E$87,"",1),IF(_xlpm.x="",ROUNDUP(_xlpm.v,0),_xlpm.x))</f>
        <v>110</v>
      </c>
      <c r="H48" s="668">
        <f t="shared" ref="H48:H63" si="4">(F48/800)+110*SQRT(G48)</f>
        <v>1334.9397329871667</v>
      </c>
      <c r="I48" s="668" t="s">
        <v>572</v>
      </c>
      <c r="J48" s="669">
        <f t="shared" ref="J48:J63" si="5">H48/70</f>
        <v>19.070567614102384</v>
      </c>
      <c r="K48" s="670" t="s">
        <v>573</v>
      </c>
      <c r="L48" s="1026" t="s">
        <v>574</v>
      </c>
    </row>
    <row r="49" spans="1:12" s="649" customFormat="1" ht="18.75" customHeight="1" x14ac:dyDescent="0.25">
      <c r="A49" s="666" t="s">
        <v>570</v>
      </c>
      <c r="B49" s="666" t="s">
        <v>575</v>
      </c>
      <c r="C49" s="667">
        <v>50.8</v>
      </c>
      <c r="D49" s="668">
        <f t="shared" si="2"/>
        <v>176832.55676757242</v>
      </c>
      <c r="E49" s="668">
        <f t="shared" ref="E49:E63" si="6">D49*$B$43</f>
        <v>106099.53406054345</v>
      </c>
      <c r="F49" s="668">
        <f t="shared" si="3"/>
        <v>145000</v>
      </c>
      <c r="G49" s="668">
        <f t="shared" ref="G49:G63" si="7">_xlfn.LET(_xlpm.v,MAX(30,$F$37/$B$40*$B$45),_xlpm.x,_xlfn.XLOOKUP(_xlpm.v,$E$69:$E$87,$E$69:$E$87,"",1),IF(_xlpm.x="",ROUNDUP(_xlpm.v,0),_xlpm.x))</f>
        <v>110</v>
      </c>
      <c r="H49" s="668">
        <f t="shared" si="4"/>
        <v>1334.9397329871667</v>
      </c>
      <c r="I49" s="668" t="s">
        <v>572</v>
      </c>
      <c r="J49" s="669">
        <f t="shared" si="5"/>
        <v>19.070567614102384</v>
      </c>
      <c r="K49" s="670" t="s">
        <v>573</v>
      </c>
      <c r="L49" s="1027"/>
    </row>
    <row r="50" spans="1:12" s="649" customFormat="1" ht="18.75" customHeight="1" x14ac:dyDescent="0.25">
      <c r="A50" s="666" t="s">
        <v>570</v>
      </c>
      <c r="B50" s="666" t="s">
        <v>576</v>
      </c>
      <c r="C50" s="667">
        <v>52.2</v>
      </c>
      <c r="D50" s="668">
        <f t="shared" si="2"/>
        <v>173892.34798521371</v>
      </c>
      <c r="E50" s="668">
        <f t="shared" si="6"/>
        <v>104335.40879112823</v>
      </c>
      <c r="F50" s="668">
        <f t="shared" si="3"/>
        <v>145000</v>
      </c>
      <c r="G50" s="668">
        <f t="shared" si="7"/>
        <v>110</v>
      </c>
      <c r="H50" s="668">
        <f t="shared" si="4"/>
        <v>1334.9397329871667</v>
      </c>
      <c r="I50" s="668" t="s">
        <v>572</v>
      </c>
      <c r="J50" s="669">
        <f t="shared" si="5"/>
        <v>19.070567614102384</v>
      </c>
      <c r="K50" s="670" t="s">
        <v>573</v>
      </c>
      <c r="L50" s="1027"/>
    </row>
    <row r="51" spans="1:12" s="649" customFormat="1" ht="18.75" customHeight="1" x14ac:dyDescent="0.25">
      <c r="A51" s="666" t="s">
        <v>570</v>
      </c>
      <c r="B51" s="666" t="s">
        <v>577</v>
      </c>
      <c r="C51" s="667">
        <v>52.7</v>
      </c>
      <c r="D51" s="668">
        <f t="shared" si="2"/>
        <v>172842.27342008564</v>
      </c>
      <c r="E51" s="668">
        <f t="shared" si="6"/>
        <v>103705.36405205137</v>
      </c>
      <c r="F51" s="668">
        <f t="shared" si="3"/>
        <v>130000</v>
      </c>
      <c r="G51" s="668">
        <f t="shared" si="7"/>
        <v>110</v>
      </c>
      <c r="H51" s="668">
        <f t="shared" si="4"/>
        <v>1316.1897329871667</v>
      </c>
      <c r="I51" s="668" t="s">
        <v>572</v>
      </c>
      <c r="J51" s="669">
        <f t="shared" si="5"/>
        <v>18.802710471245238</v>
      </c>
      <c r="K51" s="670" t="s">
        <v>573</v>
      </c>
      <c r="L51" s="1027"/>
    </row>
    <row r="52" spans="1:12" s="649" customFormat="1" ht="18.75" customHeight="1" x14ac:dyDescent="0.25">
      <c r="A52" s="666" t="s">
        <v>570</v>
      </c>
      <c r="B52" s="666" t="s">
        <v>578</v>
      </c>
      <c r="C52" s="667">
        <v>51.6</v>
      </c>
      <c r="D52" s="668">
        <f t="shared" si="2"/>
        <v>175152.43746336747</v>
      </c>
      <c r="E52" s="668">
        <f t="shared" si="6"/>
        <v>105091.46247802048</v>
      </c>
      <c r="F52" s="668">
        <f t="shared" si="3"/>
        <v>145000</v>
      </c>
      <c r="G52" s="668">
        <f t="shared" si="7"/>
        <v>110</v>
      </c>
      <c r="H52" s="668">
        <f t="shared" si="4"/>
        <v>1334.9397329871667</v>
      </c>
      <c r="I52" s="668" t="s">
        <v>572</v>
      </c>
      <c r="J52" s="669">
        <f t="shared" si="5"/>
        <v>19.070567614102384</v>
      </c>
      <c r="K52" s="670" t="s">
        <v>573</v>
      </c>
      <c r="L52" s="1027"/>
    </row>
    <row r="53" spans="1:12" s="649" customFormat="1" ht="18.75" customHeight="1" x14ac:dyDescent="0.25">
      <c r="A53" s="666" t="s">
        <v>570</v>
      </c>
      <c r="B53" s="666" t="s">
        <v>579</v>
      </c>
      <c r="C53" s="667">
        <v>56.8</v>
      </c>
      <c r="D53" s="668">
        <f t="shared" si="2"/>
        <v>164231.66198603518</v>
      </c>
      <c r="E53" s="668">
        <f t="shared" si="6"/>
        <v>98538.997191621107</v>
      </c>
      <c r="F53" s="668">
        <f t="shared" si="3"/>
        <v>125000</v>
      </c>
      <c r="G53" s="668">
        <f t="shared" si="7"/>
        <v>110</v>
      </c>
      <c r="H53" s="668">
        <f t="shared" si="4"/>
        <v>1309.9397329871667</v>
      </c>
      <c r="I53" s="668" t="s">
        <v>572</v>
      </c>
      <c r="J53" s="669">
        <f t="shared" si="5"/>
        <v>18.713424756959526</v>
      </c>
      <c r="K53" s="670" t="s">
        <v>573</v>
      </c>
      <c r="L53" s="1027"/>
    </row>
    <row r="54" spans="1:12" s="649" customFormat="1" ht="18.75" customHeight="1" x14ac:dyDescent="0.25">
      <c r="A54" s="666" t="s">
        <v>570</v>
      </c>
      <c r="B54" s="666" t="s">
        <v>580</v>
      </c>
      <c r="C54" s="667">
        <v>58.4</v>
      </c>
      <c r="D54" s="668">
        <f t="shared" si="2"/>
        <v>160871.42337762527</v>
      </c>
      <c r="E54" s="668">
        <f t="shared" si="6"/>
        <v>96522.854026575151</v>
      </c>
      <c r="F54" s="668">
        <f t="shared" si="3"/>
        <v>125000</v>
      </c>
      <c r="G54" s="668">
        <f t="shared" si="7"/>
        <v>110</v>
      </c>
      <c r="H54" s="668">
        <f t="shared" si="4"/>
        <v>1309.9397329871667</v>
      </c>
      <c r="I54" s="668" t="s">
        <v>572</v>
      </c>
      <c r="J54" s="669">
        <f t="shared" si="5"/>
        <v>18.713424756959526</v>
      </c>
      <c r="K54" s="670" t="s">
        <v>573</v>
      </c>
      <c r="L54" s="1027"/>
    </row>
    <row r="55" spans="1:12" s="649" customFormat="1" ht="18.75" customHeight="1" x14ac:dyDescent="0.25">
      <c r="A55" s="666" t="s">
        <v>570</v>
      </c>
      <c r="B55" s="666" t="s">
        <v>581</v>
      </c>
      <c r="C55" s="667">
        <v>58.4</v>
      </c>
      <c r="D55" s="668">
        <f t="shared" si="2"/>
        <v>160871.42337762527</v>
      </c>
      <c r="E55" s="668">
        <f t="shared" si="6"/>
        <v>96522.854026575151</v>
      </c>
      <c r="F55" s="668">
        <f t="shared" si="3"/>
        <v>125000</v>
      </c>
      <c r="G55" s="668">
        <f t="shared" si="7"/>
        <v>110</v>
      </c>
      <c r="H55" s="668">
        <f t="shared" si="4"/>
        <v>1309.9397329871667</v>
      </c>
      <c r="I55" s="668" t="s">
        <v>572</v>
      </c>
      <c r="J55" s="669">
        <f t="shared" si="5"/>
        <v>18.713424756959526</v>
      </c>
      <c r="K55" s="670" t="s">
        <v>573</v>
      </c>
      <c r="L55" s="1027"/>
    </row>
    <row r="56" spans="1:12" s="649" customFormat="1" ht="18.75" customHeight="1" x14ac:dyDescent="0.25">
      <c r="A56" s="666" t="s">
        <v>570</v>
      </c>
      <c r="B56" s="666" t="s">
        <v>582</v>
      </c>
      <c r="C56" s="667">
        <v>57.6</v>
      </c>
      <c r="D56" s="668">
        <f t="shared" si="2"/>
        <v>162551.54268183024</v>
      </c>
      <c r="E56" s="668">
        <f t="shared" si="6"/>
        <v>97530.925609098136</v>
      </c>
      <c r="F56" s="668">
        <f t="shared" si="3"/>
        <v>125000</v>
      </c>
      <c r="G56" s="668">
        <f t="shared" si="7"/>
        <v>110</v>
      </c>
      <c r="H56" s="668">
        <f t="shared" si="4"/>
        <v>1309.9397329871667</v>
      </c>
      <c r="I56" s="668" t="s">
        <v>572</v>
      </c>
      <c r="J56" s="669">
        <f t="shared" si="5"/>
        <v>18.713424756959526</v>
      </c>
      <c r="K56" s="670" t="s">
        <v>573</v>
      </c>
      <c r="L56" s="1027"/>
    </row>
    <row r="57" spans="1:12" s="649" customFormat="1" ht="18.75" customHeight="1" x14ac:dyDescent="0.25">
      <c r="A57" s="666" t="s">
        <v>570</v>
      </c>
      <c r="B57" s="666" t="s">
        <v>281</v>
      </c>
      <c r="C57" s="667">
        <v>57.1</v>
      </c>
      <c r="D57" s="668">
        <f t="shared" si="2"/>
        <v>163601.61724695831</v>
      </c>
      <c r="E57" s="668">
        <f t="shared" si="6"/>
        <v>98160.970348174989</v>
      </c>
      <c r="F57" s="668">
        <f t="shared" si="3"/>
        <v>125000</v>
      </c>
      <c r="G57" s="668">
        <f t="shared" si="7"/>
        <v>110</v>
      </c>
      <c r="H57" s="668">
        <f t="shared" si="4"/>
        <v>1309.9397329871667</v>
      </c>
      <c r="I57" s="668" t="s">
        <v>572</v>
      </c>
      <c r="J57" s="669">
        <f t="shared" si="5"/>
        <v>18.713424756959526</v>
      </c>
      <c r="K57" s="670" t="s">
        <v>573</v>
      </c>
      <c r="L57" s="1027"/>
    </row>
    <row r="58" spans="1:12" s="649" customFormat="1" ht="18.75" customHeight="1" x14ac:dyDescent="0.25">
      <c r="A58" s="666" t="s">
        <v>570</v>
      </c>
      <c r="B58" s="666" t="s">
        <v>282</v>
      </c>
      <c r="C58" s="667">
        <v>50.5</v>
      </c>
      <c r="D58" s="668">
        <f t="shared" si="2"/>
        <v>177462.60150664928</v>
      </c>
      <c r="E58" s="668">
        <f t="shared" si="6"/>
        <v>106477.56090398956</v>
      </c>
      <c r="F58" s="668">
        <f t="shared" si="3"/>
        <v>145000</v>
      </c>
      <c r="G58" s="668">
        <f t="shared" si="7"/>
        <v>110</v>
      </c>
      <c r="H58" s="668">
        <f t="shared" si="4"/>
        <v>1334.9397329871667</v>
      </c>
      <c r="I58" s="668" t="s">
        <v>572</v>
      </c>
      <c r="J58" s="669">
        <f t="shared" si="5"/>
        <v>19.070567614102384</v>
      </c>
      <c r="K58" s="670" t="s">
        <v>573</v>
      </c>
      <c r="L58" s="1027"/>
    </row>
    <row r="59" spans="1:12" s="649" customFormat="1" ht="18.75" customHeight="1" x14ac:dyDescent="0.25">
      <c r="A59" s="666" t="s">
        <v>570</v>
      </c>
      <c r="B59" s="666" t="s">
        <v>283</v>
      </c>
      <c r="C59" s="667">
        <v>51.4</v>
      </c>
      <c r="D59" s="668">
        <f t="shared" si="2"/>
        <v>175572.46728941868</v>
      </c>
      <c r="E59" s="668">
        <f t="shared" si="6"/>
        <v>105343.48037365121</v>
      </c>
      <c r="F59" s="668">
        <f t="shared" si="3"/>
        <v>145000</v>
      </c>
      <c r="G59" s="668">
        <f t="shared" si="7"/>
        <v>110</v>
      </c>
      <c r="H59" s="668">
        <f t="shared" si="4"/>
        <v>1334.9397329871667</v>
      </c>
      <c r="I59" s="668" t="s">
        <v>572</v>
      </c>
      <c r="J59" s="669">
        <f t="shared" si="5"/>
        <v>19.070567614102384</v>
      </c>
      <c r="K59" s="670" t="s">
        <v>573</v>
      </c>
      <c r="L59" s="1027"/>
    </row>
    <row r="60" spans="1:12" s="649" customFormat="1" ht="18.75" customHeight="1" x14ac:dyDescent="0.25">
      <c r="A60" s="666" t="s">
        <v>570</v>
      </c>
      <c r="B60" s="666" t="s">
        <v>284</v>
      </c>
      <c r="C60" s="667">
        <v>51.7</v>
      </c>
      <c r="D60" s="668">
        <f t="shared" si="2"/>
        <v>174942.42255034181</v>
      </c>
      <c r="E60" s="668">
        <f t="shared" si="6"/>
        <v>104965.45353020508</v>
      </c>
      <c r="F60" s="668">
        <f t="shared" si="3"/>
        <v>145000</v>
      </c>
      <c r="G60" s="668">
        <f t="shared" si="7"/>
        <v>110</v>
      </c>
      <c r="H60" s="668">
        <f t="shared" si="4"/>
        <v>1334.9397329871667</v>
      </c>
      <c r="I60" s="668" t="s">
        <v>572</v>
      </c>
      <c r="J60" s="669">
        <f t="shared" si="5"/>
        <v>19.070567614102384</v>
      </c>
      <c r="K60" s="670" t="s">
        <v>573</v>
      </c>
      <c r="L60" s="1027"/>
    </row>
    <row r="61" spans="1:12" s="649" customFormat="1" ht="18.75" customHeight="1" x14ac:dyDescent="0.25">
      <c r="A61" s="666" t="s">
        <v>570</v>
      </c>
      <c r="B61" s="666" t="s">
        <v>285</v>
      </c>
      <c r="C61" s="667">
        <v>50.1</v>
      </c>
      <c r="D61" s="668">
        <f t="shared" si="2"/>
        <v>178302.66115875175</v>
      </c>
      <c r="E61" s="668">
        <f t="shared" si="6"/>
        <v>106981.59669525105</v>
      </c>
      <c r="F61" s="668">
        <f t="shared" si="3"/>
        <v>145000</v>
      </c>
      <c r="G61" s="668">
        <f t="shared" si="7"/>
        <v>110</v>
      </c>
      <c r="H61" s="668">
        <f t="shared" si="4"/>
        <v>1334.9397329871667</v>
      </c>
      <c r="I61" s="668" t="s">
        <v>572</v>
      </c>
      <c r="J61" s="669">
        <f t="shared" si="5"/>
        <v>19.070567614102384</v>
      </c>
      <c r="K61" s="670" t="s">
        <v>573</v>
      </c>
      <c r="L61" s="1027"/>
    </row>
    <row r="62" spans="1:12" s="649" customFormat="1" ht="18.75" customHeight="1" x14ac:dyDescent="0.25">
      <c r="A62" s="666" t="s">
        <v>570</v>
      </c>
      <c r="B62" s="666" t="s">
        <v>286</v>
      </c>
      <c r="C62" s="667">
        <v>63.2</v>
      </c>
      <c r="D62" s="668">
        <f t="shared" si="2"/>
        <v>150790.70755239547</v>
      </c>
      <c r="E62" s="668">
        <f t="shared" si="6"/>
        <v>90474.424531437282</v>
      </c>
      <c r="F62" s="668">
        <f t="shared" si="3"/>
        <v>120000</v>
      </c>
      <c r="G62" s="668">
        <f t="shared" si="7"/>
        <v>110</v>
      </c>
      <c r="H62" s="668">
        <f t="shared" si="4"/>
        <v>1303.6897329871667</v>
      </c>
      <c r="I62" s="668" t="s">
        <v>572</v>
      </c>
      <c r="J62" s="669">
        <f t="shared" si="5"/>
        <v>18.624139042673811</v>
      </c>
      <c r="K62" s="670" t="s">
        <v>573</v>
      </c>
      <c r="L62" s="1027"/>
    </row>
    <row r="63" spans="1:12" s="649" customFormat="1" ht="18.75" customHeight="1" x14ac:dyDescent="0.25">
      <c r="A63" s="666" t="s">
        <v>570</v>
      </c>
      <c r="B63" s="666" t="s">
        <v>287</v>
      </c>
      <c r="C63" s="667">
        <v>41.4</v>
      </c>
      <c r="D63" s="668">
        <f t="shared" si="2"/>
        <v>196573.95859198071</v>
      </c>
      <c r="E63" s="668">
        <f t="shared" si="6"/>
        <v>117944.37515518842</v>
      </c>
      <c r="F63" s="668">
        <f t="shared" si="3"/>
        <v>150000</v>
      </c>
      <c r="G63" s="668">
        <f t="shared" si="7"/>
        <v>110</v>
      </c>
      <c r="H63" s="668">
        <f t="shared" si="4"/>
        <v>1341.1897329871667</v>
      </c>
      <c r="I63" s="668" t="s">
        <v>572</v>
      </c>
      <c r="J63" s="669">
        <f t="shared" si="5"/>
        <v>19.159853328388095</v>
      </c>
      <c r="K63" s="670" t="s">
        <v>573</v>
      </c>
      <c r="L63" s="1028"/>
    </row>
    <row r="64" spans="1:12" s="649" customFormat="1" ht="14.4" x14ac:dyDescent="0.3">
      <c r="C64" s="659"/>
      <c r="D64" s="659"/>
      <c r="F64" s="659"/>
      <c r="G64" s="659"/>
    </row>
    <row r="65" spans="1:9" s="649" customFormat="1" ht="14.4" x14ac:dyDescent="0.3">
      <c r="C65" s="659"/>
      <c r="D65" s="659"/>
      <c r="F65" s="659"/>
      <c r="G65" s="659"/>
    </row>
    <row r="66" spans="1:9" s="649" customFormat="1" ht="14.4" x14ac:dyDescent="0.3">
      <c r="C66" s="659"/>
      <c r="D66" s="659"/>
      <c r="F66" s="659"/>
      <c r="G66" s="659"/>
    </row>
    <row r="67" spans="1:9" s="649" customFormat="1" ht="24.75" customHeight="1" x14ac:dyDescent="0.25">
      <c r="A67" s="1029" t="s">
        <v>583</v>
      </c>
      <c r="B67" s="1030"/>
      <c r="C67" s="1030"/>
      <c r="D67" s="1030"/>
      <c r="E67" s="1030"/>
      <c r="F67" s="1030"/>
      <c r="G67" s="1030"/>
      <c r="H67" s="1030"/>
    </row>
    <row r="68" spans="1:9" s="650" customFormat="1" ht="23.25" customHeight="1" x14ac:dyDescent="0.25">
      <c r="A68" s="802" t="s">
        <v>584</v>
      </c>
      <c r="B68" s="690" t="s">
        <v>585</v>
      </c>
      <c r="C68" s="691" t="s">
        <v>586</v>
      </c>
      <c r="D68" s="692" t="s">
        <v>587</v>
      </c>
      <c r="E68" s="803" t="s">
        <v>588</v>
      </c>
      <c r="F68" s="692" t="s">
        <v>589</v>
      </c>
      <c r="G68" s="693" t="s">
        <v>590</v>
      </c>
      <c r="H68" s="694" t="s">
        <v>591</v>
      </c>
      <c r="I68" s="695" t="str">
        <f>HYPERLINK("#'Note'!A1","Sources and links → Note tab")</f>
        <v>Sources and links → Note tab</v>
      </c>
    </row>
    <row r="69" spans="1:9" s="649" customFormat="1" ht="13.8" x14ac:dyDescent="0.25">
      <c r="A69" s="689">
        <v>60000</v>
      </c>
      <c r="B69" s="671" t="s">
        <v>592</v>
      </c>
      <c r="C69" s="672">
        <v>1.5</v>
      </c>
      <c r="D69" s="673">
        <v>5118</v>
      </c>
      <c r="E69" s="674">
        <v>34</v>
      </c>
      <c r="F69" s="674" t="s">
        <v>593</v>
      </c>
      <c r="G69" s="674">
        <v>6</v>
      </c>
      <c r="H69" s="675" t="s">
        <v>592</v>
      </c>
    </row>
    <row r="70" spans="1:9" s="649" customFormat="1" ht="13.8" x14ac:dyDescent="0.25">
      <c r="A70" s="678">
        <v>75100</v>
      </c>
      <c r="B70" s="676" t="s">
        <v>592</v>
      </c>
      <c r="C70" s="672">
        <v>2</v>
      </c>
      <c r="D70" s="673">
        <v>6824</v>
      </c>
      <c r="E70" s="674">
        <v>35</v>
      </c>
      <c r="F70" s="674" t="s">
        <v>592</v>
      </c>
      <c r="G70" s="674">
        <v>10</v>
      </c>
      <c r="H70" s="675" t="s">
        <v>592</v>
      </c>
    </row>
    <row r="71" spans="1:9" s="649" customFormat="1" ht="13.8" x14ac:dyDescent="0.25">
      <c r="A71" s="678">
        <v>76000</v>
      </c>
      <c r="B71" s="676" t="s">
        <v>594</v>
      </c>
      <c r="C71" s="672">
        <v>3</v>
      </c>
      <c r="D71" s="673">
        <v>10236</v>
      </c>
      <c r="E71" s="674">
        <v>48</v>
      </c>
      <c r="F71" s="674" t="s">
        <v>592</v>
      </c>
      <c r="G71" s="674">
        <v>15</v>
      </c>
      <c r="H71" s="675" t="s">
        <v>592</v>
      </c>
    </row>
    <row r="72" spans="1:9" s="649" customFormat="1" ht="13.8" x14ac:dyDescent="0.25">
      <c r="A72" s="678">
        <v>80000</v>
      </c>
      <c r="B72" s="676" t="s">
        <v>592</v>
      </c>
      <c r="C72" s="672">
        <v>4.5</v>
      </c>
      <c r="D72" s="673">
        <v>15355</v>
      </c>
      <c r="E72" s="674">
        <v>50</v>
      </c>
      <c r="F72" s="674" t="s">
        <v>594</v>
      </c>
      <c r="G72" s="674">
        <v>20</v>
      </c>
      <c r="H72" s="675" t="s">
        <v>592</v>
      </c>
    </row>
    <row r="73" spans="1:9" s="649" customFormat="1" ht="13.8" x14ac:dyDescent="0.25">
      <c r="A73" s="678">
        <v>99900</v>
      </c>
      <c r="B73" s="676" t="s">
        <v>593</v>
      </c>
      <c r="C73" s="672">
        <v>6</v>
      </c>
      <c r="D73" s="673">
        <v>20473</v>
      </c>
      <c r="E73" s="674">
        <v>55</v>
      </c>
      <c r="F73" s="674" t="s">
        <v>593</v>
      </c>
      <c r="G73" s="674">
        <v>28</v>
      </c>
      <c r="H73" s="675" t="s">
        <v>592</v>
      </c>
    </row>
    <row r="74" spans="1:9" s="649" customFormat="1" ht="13.8" x14ac:dyDescent="0.25">
      <c r="A74" s="678">
        <v>100000</v>
      </c>
      <c r="B74" s="676" t="s">
        <v>594</v>
      </c>
      <c r="C74" s="672">
        <v>8</v>
      </c>
      <c r="D74" s="673">
        <v>27297</v>
      </c>
      <c r="E74" s="674">
        <v>60</v>
      </c>
      <c r="F74" s="674" t="s">
        <v>593</v>
      </c>
      <c r="G74" s="674">
        <v>30</v>
      </c>
      <c r="H74" s="675" t="s">
        <v>592</v>
      </c>
    </row>
    <row r="75" spans="1:9" s="649" customFormat="1" ht="13.8" x14ac:dyDescent="0.25">
      <c r="A75" s="678">
        <v>120000</v>
      </c>
      <c r="B75" s="676" t="s">
        <v>593</v>
      </c>
      <c r="C75" s="672">
        <v>9</v>
      </c>
      <c r="D75" s="673">
        <v>30709</v>
      </c>
      <c r="E75" s="674">
        <v>65</v>
      </c>
      <c r="F75" s="674" t="s">
        <v>594</v>
      </c>
      <c r="G75" s="674">
        <v>36</v>
      </c>
      <c r="H75" s="675" t="s">
        <v>592</v>
      </c>
    </row>
    <row r="76" spans="1:9" s="649" customFormat="1" ht="13.8" x14ac:dyDescent="0.25">
      <c r="A76" s="678">
        <v>125000</v>
      </c>
      <c r="B76" s="676" t="s">
        <v>594</v>
      </c>
      <c r="C76" s="672">
        <v>10</v>
      </c>
      <c r="D76" s="673">
        <v>34121</v>
      </c>
      <c r="E76" s="674">
        <v>72</v>
      </c>
      <c r="F76" s="674" t="s">
        <v>592</v>
      </c>
      <c r="G76" s="674">
        <v>40</v>
      </c>
      <c r="H76" s="675" t="s">
        <v>592</v>
      </c>
    </row>
    <row r="77" spans="1:9" s="649" customFormat="1" ht="13.8" x14ac:dyDescent="0.25">
      <c r="A77" s="678">
        <v>130000</v>
      </c>
      <c r="B77" s="676" t="s">
        <v>594</v>
      </c>
      <c r="C77" s="672">
        <v>12</v>
      </c>
      <c r="D77" s="673">
        <v>40946</v>
      </c>
      <c r="E77" s="674">
        <v>75</v>
      </c>
      <c r="F77" s="674" t="s">
        <v>594</v>
      </c>
      <c r="G77" s="674">
        <v>47</v>
      </c>
      <c r="H77" s="675"/>
    </row>
    <row r="78" spans="1:9" s="649" customFormat="1" ht="13.8" x14ac:dyDescent="0.25">
      <c r="A78" s="678">
        <v>145000</v>
      </c>
      <c r="B78" s="676" t="s">
        <v>593</v>
      </c>
      <c r="C78" s="672">
        <v>12.1</v>
      </c>
      <c r="D78" s="673">
        <v>41287</v>
      </c>
      <c r="E78" s="674">
        <v>76</v>
      </c>
      <c r="F78" s="674" t="s">
        <v>592</v>
      </c>
      <c r="G78" s="674">
        <v>50</v>
      </c>
      <c r="H78" s="675"/>
    </row>
    <row r="79" spans="1:9" s="649" customFormat="1" ht="13.8" x14ac:dyDescent="0.25">
      <c r="A79" s="678">
        <v>150000</v>
      </c>
      <c r="B79" s="676" t="s">
        <v>593</v>
      </c>
      <c r="C79" s="672">
        <v>18</v>
      </c>
      <c r="D79" s="673">
        <v>61419</v>
      </c>
      <c r="E79" s="674">
        <v>80</v>
      </c>
      <c r="F79" s="674" t="s">
        <v>594</v>
      </c>
      <c r="G79" s="674">
        <v>65</v>
      </c>
      <c r="H79" s="675"/>
    </row>
    <row r="80" spans="1:9" s="649" customFormat="1" x14ac:dyDescent="0.25">
      <c r="A80" s="678">
        <v>156000</v>
      </c>
      <c r="B80" s="677" t="s">
        <v>592</v>
      </c>
      <c r="C80" s="672">
        <v>24</v>
      </c>
      <c r="D80" s="673">
        <v>81891</v>
      </c>
      <c r="E80" s="674">
        <v>82</v>
      </c>
      <c r="F80" s="674" t="s">
        <v>592</v>
      </c>
      <c r="G80" s="674">
        <v>80</v>
      </c>
      <c r="H80" s="675"/>
    </row>
    <row r="81" spans="1:8" s="649" customFormat="1" x14ac:dyDescent="0.25">
      <c r="A81" s="678">
        <v>160000</v>
      </c>
      <c r="B81" s="677" t="s">
        <v>594</v>
      </c>
      <c r="C81" s="672">
        <v>27</v>
      </c>
      <c r="D81" s="673">
        <v>92128</v>
      </c>
      <c r="E81" s="674">
        <v>85</v>
      </c>
      <c r="F81" s="674" t="s">
        <v>592</v>
      </c>
      <c r="G81" s="674">
        <v>85</v>
      </c>
      <c r="H81" s="675"/>
    </row>
    <row r="82" spans="1:8" s="649" customFormat="1" x14ac:dyDescent="0.25">
      <c r="A82" s="678">
        <v>175000</v>
      </c>
      <c r="B82" s="677" t="s">
        <v>593</v>
      </c>
      <c r="C82" s="672">
        <v>36</v>
      </c>
      <c r="D82" s="683">
        <v>122837</v>
      </c>
      <c r="E82" s="674">
        <v>90</v>
      </c>
      <c r="F82" s="674" t="s">
        <v>594</v>
      </c>
      <c r="G82" s="674">
        <v>105</v>
      </c>
      <c r="H82" s="675"/>
    </row>
    <row r="83" spans="1:8" s="649" customFormat="1" x14ac:dyDescent="0.25">
      <c r="A83" s="678">
        <v>180000</v>
      </c>
      <c r="B83" s="677" t="s">
        <v>592</v>
      </c>
      <c r="C83" s="685">
        <v>54</v>
      </c>
      <c r="D83" s="674">
        <v>184256</v>
      </c>
      <c r="E83" s="674">
        <v>91</v>
      </c>
      <c r="F83" s="674" t="s">
        <v>592</v>
      </c>
      <c r="G83" s="674">
        <v>120</v>
      </c>
      <c r="H83" s="687"/>
    </row>
    <row r="84" spans="1:8" s="649" customFormat="1" x14ac:dyDescent="0.25">
      <c r="A84" s="678">
        <v>199000</v>
      </c>
      <c r="B84" s="677" t="s">
        <v>593</v>
      </c>
      <c r="C84" s="685"/>
      <c r="D84" s="674"/>
      <c r="E84" s="674">
        <v>100</v>
      </c>
      <c r="F84" s="674" t="s">
        <v>594</v>
      </c>
      <c r="G84" s="674"/>
      <c r="H84" s="687"/>
    </row>
    <row r="85" spans="1:8" s="649" customFormat="1" x14ac:dyDescent="0.25">
      <c r="A85" s="678">
        <v>199900</v>
      </c>
      <c r="B85" s="677" t="s">
        <v>594</v>
      </c>
      <c r="C85" s="685"/>
      <c r="D85" s="674"/>
      <c r="E85" s="674">
        <v>110</v>
      </c>
      <c r="F85" s="674" t="s">
        <v>593</v>
      </c>
      <c r="G85" s="674"/>
      <c r="H85" s="687"/>
    </row>
    <row r="86" spans="1:8" s="649" customFormat="1" x14ac:dyDescent="0.25">
      <c r="A86" s="678">
        <v>200000</v>
      </c>
      <c r="B86" s="677" t="s">
        <v>593</v>
      </c>
      <c r="C86" s="685"/>
      <c r="D86" s="674"/>
      <c r="E86" s="674">
        <v>119</v>
      </c>
      <c r="F86" s="674" t="s">
        <v>594</v>
      </c>
      <c r="G86" s="674"/>
      <c r="H86" s="687"/>
    </row>
    <row r="87" spans="1:8" s="649" customFormat="1" x14ac:dyDescent="0.25">
      <c r="A87" s="678">
        <v>250000</v>
      </c>
      <c r="B87" s="677" t="s">
        <v>594</v>
      </c>
      <c r="C87" s="686"/>
      <c r="D87" s="684"/>
      <c r="E87" s="684">
        <v>125</v>
      </c>
      <c r="F87" s="684" t="s">
        <v>593</v>
      </c>
      <c r="G87" s="684"/>
      <c r="H87" s="688"/>
    </row>
    <row r="88" spans="1:8" s="649" customFormat="1" ht="14.4" x14ac:dyDescent="0.25">
      <c r="A88" s="678">
        <v>251000</v>
      </c>
      <c r="B88" s="678" t="s">
        <v>593</v>
      </c>
      <c r="C88" s="660"/>
      <c r="D88" s="660"/>
      <c r="E88" s="661"/>
      <c r="F88" s="660"/>
      <c r="G88" s="660"/>
    </row>
    <row r="89" spans="1:8" s="649" customFormat="1" ht="14.4" x14ac:dyDescent="0.25">
      <c r="A89" s="678">
        <v>270000</v>
      </c>
      <c r="B89" s="678" t="s">
        <v>592</v>
      </c>
      <c r="C89" s="660"/>
      <c r="D89" s="660"/>
      <c r="E89" s="661"/>
      <c r="F89" s="660"/>
      <c r="G89" s="660"/>
    </row>
    <row r="90" spans="1:8" s="649" customFormat="1" ht="14.4" x14ac:dyDescent="0.25">
      <c r="A90" s="678">
        <v>285000</v>
      </c>
      <c r="B90" s="678" t="s">
        <v>593</v>
      </c>
      <c r="C90" s="660"/>
      <c r="D90" s="660"/>
      <c r="E90" s="661"/>
      <c r="F90" s="660"/>
      <c r="G90" s="660"/>
    </row>
    <row r="91" spans="1:8" s="649" customFormat="1" ht="14.4" x14ac:dyDescent="0.25">
      <c r="A91" s="678">
        <v>300000</v>
      </c>
      <c r="B91" s="678" t="s">
        <v>594</v>
      </c>
      <c r="C91" s="660"/>
      <c r="D91" s="660"/>
      <c r="E91" s="661"/>
      <c r="F91" s="660"/>
      <c r="G91" s="660"/>
    </row>
    <row r="92" spans="1:8" s="649" customFormat="1" ht="14.4" x14ac:dyDescent="0.25">
      <c r="A92" s="678">
        <v>320000</v>
      </c>
      <c r="B92" s="678" t="s">
        <v>593</v>
      </c>
      <c r="C92" s="660"/>
      <c r="D92" s="660"/>
      <c r="E92" s="661"/>
      <c r="F92" s="660"/>
      <c r="G92" s="660"/>
    </row>
    <row r="93" spans="1:8" s="649" customFormat="1" ht="14.4" x14ac:dyDescent="0.25">
      <c r="A93" s="678">
        <v>360000</v>
      </c>
      <c r="B93" s="678" t="s">
        <v>592</v>
      </c>
      <c r="C93" s="660"/>
      <c r="D93" s="660"/>
      <c r="E93" s="661"/>
      <c r="F93" s="660"/>
      <c r="G93" s="660"/>
    </row>
    <row r="94" spans="1:8" s="649" customFormat="1" ht="14.4" x14ac:dyDescent="0.25">
      <c r="A94" s="678">
        <v>398000</v>
      </c>
      <c r="B94" s="678" t="s">
        <v>593</v>
      </c>
      <c r="C94" s="660"/>
      <c r="D94" s="660"/>
      <c r="E94" s="661"/>
      <c r="F94" s="660"/>
      <c r="G94" s="660"/>
    </row>
    <row r="95" spans="1:8" s="649" customFormat="1" ht="14.4" x14ac:dyDescent="0.25">
      <c r="A95" s="678">
        <v>399000</v>
      </c>
      <c r="B95" s="678" t="s">
        <v>593</v>
      </c>
      <c r="C95" s="660"/>
      <c r="D95" s="660"/>
      <c r="E95" s="661"/>
      <c r="F95" s="660"/>
      <c r="G95" s="660"/>
    </row>
    <row r="96" spans="1:8" s="649" customFormat="1" ht="14.4" x14ac:dyDescent="0.25">
      <c r="A96" s="678">
        <v>399900</v>
      </c>
      <c r="B96" s="678" t="s">
        <v>594</v>
      </c>
      <c r="C96" s="660"/>
      <c r="D96" s="660"/>
      <c r="E96" s="661"/>
      <c r="F96" s="660"/>
      <c r="G96" s="660"/>
    </row>
    <row r="97" spans="1:7" s="649" customFormat="1" ht="14.4" x14ac:dyDescent="0.25">
      <c r="A97" s="678">
        <v>499900</v>
      </c>
      <c r="B97" s="678" t="s">
        <v>592</v>
      </c>
      <c r="C97" s="660"/>
      <c r="D97" s="660"/>
      <c r="E97" s="661"/>
      <c r="F97" s="660"/>
      <c r="G97" s="660"/>
    </row>
    <row r="98" spans="1:7" s="649" customFormat="1" ht="14.4" x14ac:dyDescent="0.25">
      <c r="A98" s="678">
        <v>550000</v>
      </c>
      <c r="B98" s="678" t="s">
        <v>592</v>
      </c>
      <c r="C98" s="660"/>
      <c r="D98" s="660"/>
      <c r="E98" s="661"/>
      <c r="F98" s="660"/>
      <c r="G98" s="660"/>
    </row>
    <row r="99" spans="1:7" s="649" customFormat="1" ht="14.4" x14ac:dyDescent="0.25">
      <c r="A99" s="678">
        <v>715000</v>
      </c>
      <c r="B99" s="678" t="s">
        <v>592</v>
      </c>
      <c r="C99" s="660"/>
      <c r="D99" s="660"/>
      <c r="E99" s="661"/>
      <c r="F99" s="660"/>
      <c r="G99" s="660"/>
    </row>
    <row r="100" spans="1:7" s="649" customFormat="1" ht="14.4" x14ac:dyDescent="0.25">
      <c r="A100" s="678"/>
      <c r="B100" s="678"/>
      <c r="C100" s="660"/>
      <c r="D100" s="660"/>
      <c r="E100" s="661"/>
      <c r="F100" s="660"/>
      <c r="G100" s="660"/>
    </row>
    <row r="101" spans="1:7" s="649" customFormat="1" ht="14.4" x14ac:dyDescent="0.25">
      <c r="A101" s="678"/>
      <c r="B101" s="678"/>
      <c r="C101" s="660"/>
      <c r="D101" s="660"/>
      <c r="E101" s="661"/>
      <c r="F101" s="660"/>
      <c r="G101" s="660"/>
    </row>
    <row r="102" spans="1:7" s="649" customFormat="1" ht="14.4" x14ac:dyDescent="0.25">
      <c r="A102" s="678"/>
      <c r="B102" s="678"/>
      <c r="C102" s="660"/>
      <c r="D102" s="660"/>
      <c r="E102" s="661"/>
      <c r="F102" s="660"/>
      <c r="G102" s="660"/>
    </row>
    <row r="103" spans="1:7" s="649" customFormat="1" ht="14.4" x14ac:dyDescent="0.25">
      <c r="A103" s="678"/>
      <c r="B103" s="678"/>
      <c r="C103" s="660"/>
      <c r="D103" s="660"/>
      <c r="E103" s="661"/>
      <c r="F103" s="660"/>
      <c r="G103" s="660"/>
    </row>
    <row r="104" spans="1:7" s="649" customFormat="1" ht="14.4" x14ac:dyDescent="0.25">
      <c r="A104" s="678"/>
      <c r="B104" s="678"/>
      <c r="C104" s="660"/>
      <c r="D104" s="660"/>
      <c r="E104" s="661"/>
      <c r="F104" s="660"/>
      <c r="G104" s="660"/>
    </row>
    <row r="105" spans="1:7" s="649" customFormat="1" ht="14.4" x14ac:dyDescent="0.25">
      <c r="A105" s="678"/>
      <c r="B105" s="678"/>
      <c r="C105" s="660"/>
      <c r="D105" s="660"/>
      <c r="E105" s="661"/>
      <c r="F105" s="660"/>
      <c r="G105" s="660"/>
    </row>
    <row r="106" spans="1:7" s="649" customFormat="1" ht="14.4" x14ac:dyDescent="0.25">
      <c r="A106" s="678"/>
      <c r="B106" s="678"/>
      <c r="C106" s="660"/>
      <c r="D106" s="660"/>
      <c r="E106" s="661"/>
      <c r="F106" s="660"/>
      <c r="G106" s="660"/>
    </row>
    <row r="107" spans="1:7" s="649" customFormat="1" ht="14.4" x14ac:dyDescent="0.25">
      <c r="A107" s="678"/>
      <c r="B107" s="678"/>
      <c r="C107" s="660"/>
      <c r="D107" s="660"/>
      <c r="E107" s="661"/>
      <c r="F107" s="660"/>
      <c r="G107" s="660"/>
    </row>
    <row r="108" spans="1:7" s="649" customFormat="1" ht="14.4" x14ac:dyDescent="0.25">
      <c r="A108" s="678"/>
      <c r="B108" s="678"/>
      <c r="C108" s="660"/>
      <c r="D108" s="660"/>
      <c r="E108" s="661"/>
      <c r="F108" s="660"/>
      <c r="G108" s="660"/>
    </row>
    <row r="109" spans="1:7" s="649" customFormat="1" ht="14.4" x14ac:dyDescent="0.25">
      <c r="A109" s="689"/>
      <c r="B109" s="679"/>
      <c r="C109" s="660"/>
      <c r="D109" s="660"/>
      <c r="E109" s="661"/>
      <c r="F109" s="660"/>
      <c r="G109" s="660"/>
    </row>
    <row r="110" spans="1:7" customFormat="1" ht="14.4" x14ac:dyDescent="0.3"/>
    <row r="111" spans="1:7" customFormat="1" ht="14.4" x14ac:dyDescent="0.3"/>
    <row r="112" spans="1:7" customFormat="1" ht="14.4" x14ac:dyDescent="0.3"/>
    <row r="113" spans="2:7" x14ac:dyDescent="0.25">
      <c r="B113" s="617"/>
    </row>
    <row r="115" spans="2:7" x14ac:dyDescent="0.25">
      <c r="B115" s="30"/>
    </row>
    <row r="116" spans="2:7" s="23" customFormat="1" hidden="1" x14ac:dyDescent="0.25">
      <c r="E116" s="24"/>
      <c r="F116" s="25"/>
      <c r="G116" s="26"/>
    </row>
    <row r="117" spans="2:7" hidden="1" x14ac:dyDescent="0.25"/>
    <row r="118" spans="2:7" hidden="1" x14ac:dyDescent="0.25"/>
    <row r="119" spans="2:7" hidden="1" x14ac:dyDescent="0.25"/>
    <row r="120" spans="2:7" hidden="1" x14ac:dyDescent="0.25"/>
    <row r="121" spans="2:7" hidden="1" x14ac:dyDescent="0.25"/>
    <row r="122" spans="2:7" hidden="1" x14ac:dyDescent="0.25"/>
    <row r="123" spans="2:7" hidden="1" x14ac:dyDescent="0.25"/>
    <row r="124" spans="2:7" hidden="1" x14ac:dyDescent="0.25"/>
    <row r="125" spans="2:7" hidden="1" x14ac:dyDescent="0.25"/>
    <row r="126" spans="2:7" hidden="1" x14ac:dyDescent="0.25"/>
    <row r="127" spans="2:7" hidden="1" x14ac:dyDescent="0.25"/>
    <row r="128" spans="2:7"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spans="1:1" hidden="1" x14ac:dyDescent="0.25"/>
    <row r="162" spans="1:1" hidden="1" x14ac:dyDescent="0.25"/>
    <row r="163" spans="1:1" hidden="1" x14ac:dyDescent="0.25"/>
    <row r="164" spans="1:1" hidden="1" x14ac:dyDescent="0.25"/>
    <row r="165" spans="1:1" hidden="1" x14ac:dyDescent="0.25"/>
    <row r="166" spans="1:1" hidden="1" x14ac:dyDescent="0.25"/>
    <row r="167" spans="1:1" hidden="1" x14ac:dyDescent="0.25"/>
    <row r="168" spans="1:1" hidden="1" x14ac:dyDescent="0.25"/>
    <row r="169" spans="1:1" hidden="1" x14ac:dyDescent="0.25"/>
    <row r="170" spans="1:1" hidden="1" x14ac:dyDescent="0.25">
      <c r="A170" s="10" t="s">
        <v>595</v>
      </c>
    </row>
    <row r="171" spans="1:1" hidden="1" x14ac:dyDescent="0.25"/>
    <row r="172" spans="1:1" hidden="1" x14ac:dyDescent="0.25"/>
    <row r="173" spans="1:1" hidden="1" x14ac:dyDescent="0.25"/>
    <row r="174" spans="1:1" hidden="1" x14ac:dyDescent="0.25"/>
    <row r="175" spans="1:1" hidden="1" x14ac:dyDescent="0.25"/>
    <row r="176" spans="1:1" hidden="1" x14ac:dyDescent="0.25"/>
    <row r="177" spans="1:1" hidden="1" x14ac:dyDescent="0.25"/>
    <row r="178" spans="1:1" hidden="1" x14ac:dyDescent="0.25"/>
    <row r="179" spans="1:1" hidden="1" x14ac:dyDescent="0.25"/>
    <row r="180" spans="1:1" hidden="1" x14ac:dyDescent="0.25"/>
    <row r="181" spans="1:1" hidden="1" x14ac:dyDescent="0.25">
      <c r="A181" s="198" t="s">
        <v>596</v>
      </c>
    </row>
  </sheetData>
  <mergeCells count="11">
    <mergeCell ref="A1:G1"/>
    <mergeCell ref="H47:I47"/>
    <mergeCell ref="J47:K47"/>
    <mergeCell ref="L48:L63"/>
    <mergeCell ref="A67:H67"/>
    <mergeCell ref="A46:L46"/>
    <mergeCell ref="A8:H8"/>
    <mergeCell ref="H10:H36"/>
    <mergeCell ref="B37:E37"/>
    <mergeCell ref="H37:H38"/>
    <mergeCell ref="B38:E38"/>
  </mergeCells>
  <conditionalFormatting sqref="B29">
    <cfRule type="expression" dxfId="0" priority="1">
      <formula>IF($AW29="X",TRUE,FALSE)</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6AAB3-37D4-40C4-AD32-87DEB55DC747}">
  <sheetPr codeName="Sheet17"/>
  <dimension ref="A1:M26"/>
  <sheetViews>
    <sheetView zoomScale="85" zoomScaleNormal="85" workbookViewId="0">
      <selection sqref="A1:H1"/>
    </sheetView>
  </sheetViews>
  <sheetFormatPr defaultColWidth="8.6640625" defaultRowHeight="13.2" x14ac:dyDescent="0.25"/>
  <cols>
    <col min="1" max="1" width="54.44140625" style="9" customWidth="1"/>
    <col min="2" max="2" width="20.5546875" style="9" customWidth="1"/>
    <col min="3" max="3" width="28.33203125" style="9" customWidth="1"/>
    <col min="4" max="4" width="18.5546875" style="9" customWidth="1"/>
    <col min="5" max="5" width="20.33203125" style="9" customWidth="1"/>
    <col min="6" max="6" width="22.109375" style="9" customWidth="1"/>
    <col min="7" max="7" width="26.5546875" style="9" customWidth="1"/>
    <col min="8" max="8" width="44.33203125" style="9" customWidth="1"/>
    <col min="9" max="10" width="32.33203125" style="9" customWidth="1"/>
    <col min="11" max="11" width="13.6640625" style="9" customWidth="1"/>
    <col min="12" max="12" width="22.88671875" style="9" customWidth="1"/>
    <col min="13" max="13" width="24" style="9" customWidth="1"/>
    <col min="14" max="14" width="10.5546875" style="9" customWidth="1"/>
    <col min="15" max="15" width="11.44140625" style="9" customWidth="1"/>
    <col min="16" max="16" width="10.5546875" style="9" customWidth="1"/>
    <col min="17" max="17" width="13.33203125" style="9" customWidth="1"/>
    <col min="18" max="18" width="9.6640625" style="9" customWidth="1"/>
    <col min="19" max="19" width="9.44140625" style="9" customWidth="1"/>
    <col min="20" max="20" width="12.6640625" style="9" customWidth="1"/>
    <col min="21" max="21" width="14.6640625" style="9" customWidth="1"/>
    <col min="22" max="22" width="20.6640625" style="9" customWidth="1"/>
    <col min="23" max="23" width="19.6640625" style="9" customWidth="1"/>
    <col min="24" max="29" width="8.6640625" style="9"/>
    <col min="30" max="30" width="13.6640625" style="9" bestFit="1" customWidth="1"/>
    <col min="31" max="16384" width="8.6640625" style="9"/>
  </cols>
  <sheetData>
    <row r="1" spans="1:13" ht="24.6" customHeight="1" x14ac:dyDescent="0.25">
      <c r="A1" s="1043" t="str">
        <f>"Interior Lighting - "&amp;Prototype!A2</f>
        <v>Interior Lighting - HotelLarge</v>
      </c>
      <c r="B1" s="922"/>
      <c r="C1" s="922"/>
      <c r="D1" s="922"/>
      <c r="E1" s="922"/>
      <c r="F1" s="922"/>
      <c r="G1" s="922"/>
      <c r="H1" s="922"/>
    </row>
    <row r="2" spans="1:13" ht="21.6" customHeight="1" x14ac:dyDescent="0.25">
      <c r="A2" s="1012" t="s">
        <v>597</v>
      </c>
      <c r="B2" s="1042" t="s">
        <v>598</v>
      </c>
      <c r="C2" s="1042"/>
      <c r="D2" s="1042"/>
      <c r="E2" s="1042" t="s">
        <v>302</v>
      </c>
      <c r="F2" s="1042"/>
      <c r="G2" s="1042"/>
      <c r="H2" s="1042" t="s">
        <v>358</v>
      </c>
    </row>
    <row r="3" spans="1:13" ht="29.4" customHeight="1" x14ac:dyDescent="0.25">
      <c r="A3" s="1012"/>
      <c r="B3" s="844" t="s">
        <v>599</v>
      </c>
      <c r="C3" s="844" t="s">
        <v>600</v>
      </c>
      <c r="D3" s="844" t="s">
        <v>260</v>
      </c>
      <c r="E3" s="844" t="s">
        <v>601</v>
      </c>
      <c r="F3" s="844" t="s">
        <v>600</v>
      </c>
      <c r="G3" s="844" t="s">
        <v>260</v>
      </c>
      <c r="H3" s="1042"/>
      <c r="J3" s="11"/>
      <c r="K3" s="11"/>
      <c r="L3" s="11"/>
      <c r="M3" s="11"/>
    </row>
    <row r="4" spans="1:13" ht="37.200000000000003" customHeight="1" x14ac:dyDescent="0.25">
      <c r="A4" s="437" t="s">
        <v>202</v>
      </c>
      <c r="B4" s="263">
        <f>Data!I84</f>
        <v>0.72750000000000004</v>
      </c>
      <c r="C4" s="870">
        <v>0.25</v>
      </c>
      <c r="D4" s="916" t="s">
        <v>602</v>
      </c>
      <c r="E4" s="263">
        <f>Data!J84</f>
        <v>0.77249999999999996</v>
      </c>
      <c r="F4" s="804"/>
      <c r="G4" s="916" t="s">
        <v>603</v>
      </c>
      <c r="H4" s="366" t="s">
        <v>604</v>
      </c>
      <c r="J4" s="836"/>
      <c r="K4" s="836"/>
      <c r="L4" s="13"/>
      <c r="M4" s="11"/>
    </row>
    <row r="5" spans="1:13" ht="37.200000000000003" customHeight="1" x14ac:dyDescent="0.25">
      <c r="A5" s="438" t="s">
        <v>204</v>
      </c>
      <c r="B5" s="263">
        <v>0.6</v>
      </c>
      <c r="C5" s="818">
        <v>0.1</v>
      </c>
      <c r="D5" s="916"/>
      <c r="E5" s="263">
        <v>0.7</v>
      </c>
      <c r="F5" s="804"/>
      <c r="G5" s="916"/>
      <c r="H5" s="604" t="s">
        <v>605</v>
      </c>
      <c r="J5" s="836"/>
      <c r="K5" s="836"/>
      <c r="L5" s="13"/>
      <c r="M5" s="11"/>
    </row>
    <row r="6" spans="1:13" ht="37.200000000000003" customHeight="1" x14ac:dyDescent="0.25">
      <c r="A6" s="551" t="s">
        <v>213</v>
      </c>
      <c r="B6" s="821">
        <v>0.95</v>
      </c>
      <c r="C6" s="832"/>
      <c r="D6" s="916"/>
      <c r="E6" s="821">
        <v>0.95</v>
      </c>
      <c r="F6" s="804"/>
      <c r="G6" s="916"/>
      <c r="H6" s="366" t="s">
        <v>606</v>
      </c>
      <c r="J6" s="836"/>
      <c r="K6" s="836"/>
      <c r="L6" s="13"/>
      <c r="M6" s="11"/>
    </row>
    <row r="7" spans="1:13" ht="39.6" x14ac:dyDescent="0.25">
      <c r="A7" s="819" t="s">
        <v>218</v>
      </c>
      <c r="B7" s="821">
        <v>0.95</v>
      </c>
      <c r="C7" s="818">
        <v>0.1</v>
      </c>
      <c r="D7" s="916"/>
      <c r="E7" s="263">
        <v>1</v>
      </c>
      <c r="F7" s="255"/>
      <c r="G7" s="916"/>
      <c r="H7" s="366" t="s">
        <v>607</v>
      </c>
      <c r="J7" s="836"/>
      <c r="K7" s="836"/>
      <c r="L7" s="13"/>
      <c r="M7" s="11"/>
    </row>
    <row r="8" spans="1:13" ht="15" customHeight="1" x14ac:dyDescent="0.25">
      <c r="A8" s="819" t="s">
        <v>206</v>
      </c>
      <c r="B8" s="263">
        <v>0.4</v>
      </c>
      <c r="C8" s="832"/>
      <c r="D8" s="916"/>
      <c r="E8" s="263">
        <f>B8+2</f>
        <v>2.4</v>
      </c>
      <c r="F8" s="255"/>
      <c r="G8" s="916"/>
      <c r="H8" s="255"/>
      <c r="J8" s="836"/>
      <c r="K8" s="836"/>
      <c r="L8" s="11"/>
      <c r="M8" s="11"/>
    </row>
    <row r="9" spans="1:13" ht="15" customHeight="1" x14ac:dyDescent="0.25">
      <c r="A9" s="819" t="s">
        <v>216</v>
      </c>
      <c r="B9" s="264">
        <v>0.4</v>
      </c>
      <c r="C9" s="832"/>
      <c r="D9" s="916"/>
      <c r="E9" s="821">
        <v>0.4</v>
      </c>
      <c r="F9" s="265"/>
      <c r="G9" s="916"/>
      <c r="H9" s="255" t="s">
        <v>608</v>
      </c>
      <c r="J9" s="836"/>
      <c r="K9" s="836"/>
      <c r="L9" s="11"/>
      <c r="M9" s="11"/>
    </row>
    <row r="10" spans="1:13" ht="15" customHeight="1" x14ac:dyDescent="0.25">
      <c r="A10" s="819" t="s">
        <v>209</v>
      </c>
      <c r="B10" s="821">
        <v>0.45</v>
      </c>
      <c r="C10" s="832"/>
      <c r="D10" s="916"/>
      <c r="E10" s="821">
        <v>0.45</v>
      </c>
      <c r="F10" s="255"/>
      <c r="G10" s="916"/>
      <c r="H10" s="255"/>
    </row>
    <row r="11" spans="1:13" x14ac:dyDescent="0.25">
      <c r="A11" s="819" t="s">
        <v>226</v>
      </c>
      <c r="B11" s="821">
        <f>B16</f>
        <v>0.45</v>
      </c>
      <c r="C11" s="832">
        <v>0.25</v>
      </c>
      <c r="D11" s="916"/>
      <c r="E11" s="263">
        <v>0.55000000000000004</v>
      </c>
      <c r="F11" s="255"/>
      <c r="G11" s="916"/>
      <c r="H11" s="256" t="s">
        <v>609</v>
      </c>
    </row>
    <row r="12" spans="1:13" ht="15" customHeight="1" x14ac:dyDescent="0.25">
      <c r="A12" s="819" t="s">
        <v>228</v>
      </c>
      <c r="B12" s="263">
        <v>0.7</v>
      </c>
      <c r="C12" s="832">
        <v>0.25</v>
      </c>
      <c r="D12" s="916"/>
      <c r="E12" s="266">
        <v>0.85</v>
      </c>
      <c r="F12" s="879">
        <v>0.5</v>
      </c>
      <c r="G12" s="916"/>
      <c r="H12" s="255"/>
    </row>
    <row r="13" spans="1:13" ht="39.6" x14ac:dyDescent="0.25">
      <c r="A13" s="819" t="s">
        <v>232</v>
      </c>
      <c r="B13" s="821">
        <v>0.41</v>
      </c>
      <c r="C13" s="832"/>
      <c r="D13" s="916"/>
      <c r="E13" s="818">
        <v>0.77</v>
      </c>
      <c r="F13" s="255"/>
      <c r="G13" s="916"/>
      <c r="H13" s="604" t="s">
        <v>610</v>
      </c>
    </row>
    <row r="14" spans="1:13" ht="15" customHeight="1" x14ac:dyDescent="0.25">
      <c r="A14" s="819" t="s">
        <v>242</v>
      </c>
      <c r="B14" s="263">
        <v>0.4</v>
      </c>
      <c r="C14" s="832"/>
      <c r="D14" s="916"/>
      <c r="E14" s="832">
        <v>0.6</v>
      </c>
      <c r="F14" s="255"/>
      <c r="G14" s="916"/>
      <c r="H14" s="243"/>
    </row>
    <row r="15" spans="1:13" ht="15" customHeight="1" x14ac:dyDescent="0.25">
      <c r="A15" s="819" t="s">
        <v>247</v>
      </c>
      <c r="B15" s="821">
        <v>0.85</v>
      </c>
      <c r="C15" s="832"/>
      <c r="D15" s="916"/>
      <c r="E15" s="832">
        <v>0.85</v>
      </c>
      <c r="F15" s="255"/>
      <c r="G15" s="916"/>
      <c r="H15" s="243" t="s">
        <v>611</v>
      </c>
    </row>
    <row r="16" spans="1:13" x14ac:dyDescent="0.25">
      <c r="A16" s="819" t="s">
        <v>250</v>
      </c>
      <c r="B16" s="821">
        <v>0.45</v>
      </c>
      <c r="C16" s="832"/>
      <c r="D16" s="916"/>
      <c r="E16" s="263">
        <f>E11</f>
        <v>0.55000000000000004</v>
      </c>
      <c r="F16" s="255"/>
      <c r="G16" s="916"/>
      <c r="H16" s="366" t="s">
        <v>609</v>
      </c>
    </row>
    <row r="17" spans="1:8" ht="15" customHeight="1" x14ac:dyDescent="0.25">
      <c r="A17" s="819" t="s">
        <v>223</v>
      </c>
      <c r="B17" s="821">
        <v>0.95</v>
      </c>
      <c r="C17" s="832"/>
      <c r="D17" s="916"/>
      <c r="E17" s="821">
        <v>0.95</v>
      </c>
      <c r="F17" s="255"/>
      <c r="G17" s="916"/>
      <c r="H17" s="255"/>
    </row>
    <row r="18" spans="1:8" ht="15" customHeight="1" x14ac:dyDescent="0.25">
      <c r="A18" s="13"/>
      <c r="B18" s="262"/>
      <c r="C18" s="132"/>
      <c r="D18" s="132"/>
      <c r="E18" s="262"/>
      <c r="G18" s="132"/>
    </row>
    <row r="19" spans="1:8" ht="14.4" x14ac:dyDescent="0.25">
      <c r="A19" s="148" t="s">
        <v>612</v>
      </c>
      <c r="B19" s="193"/>
      <c r="C19" s="193"/>
      <c r="D19" s="193"/>
      <c r="E19" s="193"/>
      <c r="F19" s="158"/>
      <c r="G19" s="158"/>
      <c r="H19" s="180"/>
    </row>
    <row r="20" spans="1:8" ht="13.2" customHeight="1" x14ac:dyDescent="0.25">
      <c r="B20" s="20"/>
      <c r="C20" s="20"/>
      <c r="D20" s="1041"/>
      <c r="E20" s="1041"/>
      <c r="F20" s="1041"/>
      <c r="G20" s="1041"/>
    </row>
    <row r="21" spans="1:8" ht="13.2" customHeight="1" x14ac:dyDescent="0.3">
      <c r="A21" s="20"/>
      <c r="B21" s="20"/>
      <c r="C21" s="20"/>
      <c r="D21" s="20"/>
      <c r="E21" s="836"/>
      <c r="F21" s="20"/>
      <c r="G21" s="132"/>
      <c r="H21"/>
    </row>
    <row r="22" spans="1:8" ht="13.2" customHeight="1" x14ac:dyDescent="0.25">
      <c r="A22" s="20"/>
      <c r="B22" s="20"/>
      <c r="C22" s="20"/>
      <c r="H22" s="131"/>
    </row>
    <row r="23" spans="1:8" ht="13.2" customHeight="1" x14ac:dyDescent="0.25">
      <c r="A23" s="20"/>
      <c r="B23" s="20"/>
      <c r="C23" s="20"/>
      <c r="D23" s="20"/>
    </row>
    <row r="24" spans="1:8" ht="13.2" customHeight="1" x14ac:dyDescent="0.25">
      <c r="B24" s="20"/>
      <c r="C24" s="20"/>
      <c r="D24" s="20"/>
      <c r="E24" s="20"/>
    </row>
    <row r="25" spans="1:8" ht="13.2" customHeight="1" x14ac:dyDescent="0.25">
      <c r="A25" s="9" t="s">
        <v>613</v>
      </c>
      <c r="B25" s="20"/>
      <c r="C25" s="20"/>
      <c r="D25" s="20"/>
      <c r="E25" s="20"/>
    </row>
    <row r="26" spans="1:8" ht="13.2" customHeight="1" x14ac:dyDescent="0.25">
      <c r="B26" s="20"/>
      <c r="C26" s="20"/>
      <c r="D26" s="20"/>
      <c r="E26" s="20"/>
    </row>
  </sheetData>
  <mergeCells count="9">
    <mergeCell ref="F20:G20"/>
    <mergeCell ref="D20:E20"/>
    <mergeCell ref="H2:H3"/>
    <mergeCell ref="A1:H1"/>
    <mergeCell ref="A2:A3"/>
    <mergeCell ref="D4:D17"/>
    <mergeCell ref="B2:D2"/>
    <mergeCell ref="E2:G2"/>
    <mergeCell ref="G4:G17"/>
  </mergeCells>
  <phoneticPr fontId="6"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89E0192-57EB-4179-8795-BE2AD0E6398A}">
          <x14:formula1>
            <xm:f>Data!$A$2:$A$200</xm:f>
          </x14:formula1>
          <xm:sqref>A4:A6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98FA8-1D97-4D12-96EB-6911ACEC625A}">
  <sheetPr codeName="Sheet18"/>
  <dimension ref="A1:J27"/>
  <sheetViews>
    <sheetView zoomScale="85" zoomScaleNormal="85" workbookViewId="0">
      <selection sqref="A1:E1"/>
    </sheetView>
  </sheetViews>
  <sheetFormatPr defaultColWidth="8.6640625" defaultRowHeight="12.75" customHeight="1" x14ac:dyDescent="0.25"/>
  <cols>
    <col min="1" max="1" width="35.6640625" style="9" customWidth="1"/>
    <col min="2" max="2" width="50" style="9" customWidth="1"/>
    <col min="3" max="3" width="25.6640625" style="9" customWidth="1"/>
    <col min="4" max="4" width="34.33203125" style="9" customWidth="1"/>
    <col min="5" max="5" width="31.33203125" style="9" customWidth="1"/>
    <col min="6" max="6" width="19.33203125" style="9" customWidth="1"/>
    <col min="7" max="7" width="21.33203125" style="9" customWidth="1"/>
    <col min="8" max="8" width="23" style="9" customWidth="1"/>
    <col min="9" max="9" width="15.5546875" style="9" customWidth="1"/>
    <col min="10" max="10" width="18" style="9" customWidth="1"/>
    <col min="11" max="16384" width="8.6640625" style="9"/>
  </cols>
  <sheetData>
    <row r="1" spans="1:10" ht="25.2" customHeight="1" x14ac:dyDescent="0.25">
      <c r="A1" s="1047" t="str">
        <f>"Exterior Lighting - "&amp;Prototype!A2</f>
        <v>Exterior Lighting - HotelLarge</v>
      </c>
      <c r="B1" s="1047"/>
      <c r="C1" s="1047"/>
      <c r="D1" s="1047"/>
      <c r="E1" s="1047"/>
    </row>
    <row r="2" spans="1:10" ht="24.6" customHeight="1" x14ac:dyDescent="0.25">
      <c r="A2" s="869" t="s">
        <v>270</v>
      </c>
      <c r="B2" s="34" t="s">
        <v>614</v>
      </c>
      <c r="C2" s="34" t="s">
        <v>615</v>
      </c>
      <c r="D2" s="34" t="s">
        <v>616</v>
      </c>
      <c r="E2" s="34" t="s">
        <v>260</v>
      </c>
    </row>
    <row r="3" spans="1:10" ht="44.4" customHeight="1" x14ac:dyDescent="0.25">
      <c r="A3" s="817" t="s">
        <v>359</v>
      </c>
      <c r="B3" s="36">
        <f>J17</f>
        <v>4581.8328022324613</v>
      </c>
      <c r="C3" s="36">
        <f>J18</f>
        <v>1184.744511058602</v>
      </c>
      <c r="D3" s="36">
        <f>C3+B3</f>
        <v>5766.5773132910635</v>
      </c>
      <c r="E3" s="820" t="s">
        <v>617</v>
      </c>
    </row>
    <row r="4" spans="1:10" ht="37.5" customHeight="1" x14ac:dyDescent="0.25">
      <c r="A4" s="367" t="s">
        <v>371</v>
      </c>
      <c r="B4" s="36">
        <f>G17</f>
        <v>3676.7176351006983</v>
      </c>
      <c r="C4" s="36">
        <f>G18</f>
        <v>1184.744511058602</v>
      </c>
      <c r="D4" s="36">
        <f>C4+B4</f>
        <v>4861.4621461593006</v>
      </c>
      <c r="E4" s="820" t="s">
        <v>617</v>
      </c>
    </row>
    <row r="5" spans="1:10" ht="15.6" customHeight="1" x14ac:dyDescent="0.25">
      <c r="A5" s="166"/>
      <c r="B5" s="166"/>
      <c r="C5" s="166"/>
      <c r="D5" s="166"/>
      <c r="E5" s="166"/>
    </row>
    <row r="6" spans="1:10" ht="13.2" x14ac:dyDescent="0.25">
      <c r="A6" s="117"/>
      <c r="B6" s="117"/>
      <c r="C6" s="117"/>
      <c r="D6" s="117"/>
      <c r="E6" s="116"/>
    </row>
    <row r="7" spans="1:10" ht="13.2" x14ac:dyDescent="0.25"/>
    <row r="8" spans="1:10" ht="27" customHeight="1" x14ac:dyDescent="0.25">
      <c r="A8" s="883" t="s">
        <v>618</v>
      </c>
      <c r="B8" s="883"/>
      <c r="C8" s="883"/>
      <c r="D8" s="883"/>
      <c r="E8" s="883"/>
      <c r="F8" s="883"/>
      <c r="G8" s="883"/>
      <c r="H8" s="883"/>
      <c r="I8" s="883"/>
      <c r="J8" s="883"/>
    </row>
    <row r="9" spans="1:10" ht="27" customHeight="1" x14ac:dyDescent="0.25">
      <c r="A9" s="1049" t="s">
        <v>619</v>
      </c>
      <c r="B9" s="1050" t="s">
        <v>620</v>
      </c>
      <c r="C9" s="1050"/>
      <c r="D9" s="1048" t="s">
        <v>621</v>
      </c>
      <c r="E9" s="1045" t="s">
        <v>371</v>
      </c>
      <c r="F9" s="1045"/>
      <c r="G9" s="1045"/>
      <c r="H9" s="1045" t="s">
        <v>302</v>
      </c>
      <c r="I9" s="1045"/>
      <c r="J9" s="1045"/>
    </row>
    <row r="10" spans="1:10" ht="52.8" x14ac:dyDescent="0.25">
      <c r="A10" s="1049"/>
      <c r="B10" s="1051"/>
      <c r="C10" s="1051"/>
      <c r="D10" s="1049"/>
      <c r="E10" s="567" t="s">
        <v>622</v>
      </c>
      <c r="F10" s="566" t="s">
        <v>621</v>
      </c>
      <c r="G10" s="566" t="s">
        <v>623</v>
      </c>
      <c r="H10" s="566" t="s">
        <v>624</v>
      </c>
      <c r="I10" s="566" t="s">
        <v>621</v>
      </c>
      <c r="J10" s="566" t="s">
        <v>625</v>
      </c>
    </row>
    <row r="11" spans="1:10" ht="15.6" customHeight="1" x14ac:dyDescent="0.25">
      <c r="A11" s="568" t="s">
        <v>626</v>
      </c>
      <c r="B11" s="16"/>
      <c r="C11" s="172"/>
      <c r="D11" s="872"/>
      <c r="E11" s="823">
        <v>200</v>
      </c>
      <c r="F11" s="823" t="s">
        <v>627</v>
      </c>
      <c r="G11" s="211">
        <f>$E11</f>
        <v>200</v>
      </c>
      <c r="H11" s="13">
        <v>250</v>
      </c>
      <c r="I11" s="823" t="s">
        <v>627</v>
      </c>
      <c r="J11" s="211">
        <f>$H11</f>
        <v>250</v>
      </c>
    </row>
    <row r="12" spans="1:10" ht="52.8" x14ac:dyDescent="0.25">
      <c r="A12" s="17" t="s">
        <v>628</v>
      </c>
      <c r="B12" s="17" t="s">
        <v>629</v>
      </c>
      <c r="C12" s="165">
        <f>B24/360*400</f>
        <v>171023.03342635254</v>
      </c>
      <c r="D12" s="823" t="s">
        <v>630</v>
      </c>
      <c r="E12" s="823">
        <v>1.9E-2</v>
      </c>
      <c r="F12" s="823" t="s">
        <v>631</v>
      </c>
      <c r="G12" s="211">
        <f>$E12*C12</f>
        <v>3249.4376351006981</v>
      </c>
      <c r="H12" s="823">
        <v>2.4E-2</v>
      </c>
      <c r="I12" s="823" t="s">
        <v>631</v>
      </c>
      <c r="J12" s="211">
        <f>$C12*H12</f>
        <v>4104.5528022324615</v>
      </c>
    </row>
    <row r="13" spans="1:10" ht="16.95" customHeight="1" x14ac:dyDescent="0.25">
      <c r="A13" s="16" t="s">
        <v>632</v>
      </c>
      <c r="B13" s="212" t="s">
        <v>633</v>
      </c>
      <c r="C13" s="213">
        <f>2</f>
        <v>2</v>
      </c>
      <c r="D13" s="823" t="s">
        <v>634</v>
      </c>
      <c r="E13" s="823">
        <v>15</v>
      </c>
      <c r="F13" s="823" t="s">
        <v>635</v>
      </c>
      <c r="G13" s="211">
        <f>E13*2</f>
        <v>30</v>
      </c>
      <c r="H13" s="823">
        <v>15</v>
      </c>
      <c r="I13" s="823" t="s">
        <v>635</v>
      </c>
      <c r="J13" s="211">
        <f t="shared" ref="J13:J16" si="0">$C13*H13</f>
        <v>30</v>
      </c>
    </row>
    <row r="14" spans="1:10" ht="26.4" x14ac:dyDescent="0.25">
      <c r="A14" s="16" t="s">
        <v>636</v>
      </c>
      <c r="B14" s="212" t="s">
        <v>637</v>
      </c>
      <c r="C14" s="215">
        <f>B24*0.1</f>
        <v>15392.07300837173</v>
      </c>
      <c r="D14" s="823" t="s">
        <v>630</v>
      </c>
      <c r="E14" s="823">
        <v>7.0000000000000001E-3</v>
      </c>
      <c r="F14" s="823" t="s">
        <v>631</v>
      </c>
      <c r="G14" s="214">
        <f>E14*C14</f>
        <v>107.74451105860211</v>
      </c>
      <c r="H14" s="823">
        <v>7.0000000000000001E-3</v>
      </c>
      <c r="I14" s="823" t="s">
        <v>631</v>
      </c>
      <c r="J14" s="211">
        <f t="shared" si="0"/>
        <v>107.74451105860211</v>
      </c>
    </row>
    <row r="15" spans="1:10" ht="79.2" x14ac:dyDescent="0.25">
      <c r="A15" s="16" t="s">
        <v>638</v>
      </c>
      <c r="B15" s="212" t="s">
        <v>639</v>
      </c>
      <c r="C15" s="714">
        <f>B23*0.5*30</f>
        <v>10770</v>
      </c>
      <c r="D15" s="823" t="s">
        <v>630</v>
      </c>
      <c r="E15" s="823">
        <v>0.1</v>
      </c>
      <c r="F15" s="823" t="s">
        <v>631</v>
      </c>
      <c r="G15" s="214">
        <f>E15*C15</f>
        <v>1077</v>
      </c>
      <c r="H15" s="836">
        <v>0.1</v>
      </c>
      <c r="I15" s="823" t="s">
        <v>631</v>
      </c>
      <c r="J15" s="211">
        <f t="shared" si="0"/>
        <v>1077</v>
      </c>
    </row>
    <row r="16" spans="1:10" ht="26.4" customHeight="1" x14ac:dyDescent="0.25">
      <c r="A16" s="216" t="s">
        <v>640</v>
      </c>
      <c r="B16" s="614" t="s">
        <v>641</v>
      </c>
      <c r="C16" s="715">
        <f>60*24</f>
        <v>1440</v>
      </c>
      <c r="D16" s="871" t="s">
        <v>630</v>
      </c>
      <c r="E16" s="871">
        <v>0.13700000000000001</v>
      </c>
      <c r="F16" s="871" t="s">
        <v>631</v>
      </c>
      <c r="G16" s="214">
        <f>E16*C16</f>
        <v>197.28000000000003</v>
      </c>
      <c r="H16" s="871">
        <v>0.13700000000000001</v>
      </c>
      <c r="I16" s="871" t="s">
        <v>631</v>
      </c>
      <c r="J16" s="211">
        <f t="shared" si="0"/>
        <v>197.28000000000003</v>
      </c>
    </row>
    <row r="17" spans="1:10" ht="15.6" customHeight="1" x14ac:dyDescent="0.25">
      <c r="A17" s="1046" t="s">
        <v>642</v>
      </c>
      <c r="B17" s="1046"/>
      <c r="C17" s="1046"/>
      <c r="D17" s="1046"/>
      <c r="E17" s="1046"/>
      <c r="F17" s="1046"/>
      <c r="G17" s="564">
        <f>G12+G11+G16+G13</f>
        <v>3676.7176351006983</v>
      </c>
      <c r="H17" s="1044"/>
      <c r="I17" s="1044"/>
      <c r="J17" s="217">
        <f>J12+J11+J16+J13</f>
        <v>4581.8328022324613</v>
      </c>
    </row>
    <row r="18" spans="1:10" ht="15.6" customHeight="1" x14ac:dyDescent="0.25">
      <c r="A18" s="1046" t="s">
        <v>643</v>
      </c>
      <c r="B18" s="1046"/>
      <c r="C18" s="1046"/>
      <c r="D18" s="1046"/>
      <c r="E18" s="1046"/>
      <c r="F18" s="1046"/>
      <c r="G18" s="565">
        <f>G14+G15</f>
        <v>1184.744511058602</v>
      </c>
      <c r="H18" s="1044"/>
      <c r="I18" s="1044"/>
      <c r="J18" s="217">
        <f>J14+J15</f>
        <v>1184.744511058602</v>
      </c>
    </row>
    <row r="19" spans="1:10" ht="15.6" customHeight="1" x14ac:dyDescent="0.25">
      <c r="A19" s="1046" t="s">
        <v>544</v>
      </c>
      <c r="B19" s="1046"/>
      <c r="C19" s="1046"/>
      <c r="D19" s="1046"/>
      <c r="E19" s="1046"/>
      <c r="F19" s="1046"/>
      <c r="G19" s="565">
        <f>G17+G18</f>
        <v>4861.4621461593006</v>
      </c>
      <c r="H19" s="1044"/>
      <c r="I19" s="1044"/>
      <c r="J19" s="217">
        <f>J17+J18</f>
        <v>5766.5773132910635</v>
      </c>
    </row>
    <row r="20" spans="1:10" ht="14.4" x14ac:dyDescent="0.25">
      <c r="A20" s="102"/>
      <c r="B20" s="102"/>
      <c r="C20" s="102"/>
      <c r="D20" s="102"/>
      <c r="E20" s="102"/>
      <c r="F20" s="102"/>
      <c r="G20" s="168"/>
    </row>
    <row r="21" spans="1:10" ht="14.4" x14ac:dyDescent="0.3">
      <c r="A21" s="9" t="s">
        <v>644</v>
      </c>
      <c r="C21" s="836"/>
      <c r="D21" s="62"/>
      <c r="F21" s="164"/>
    </row>
    <row r="22" spans="1:10" ht="14.4" x14ac:dyDescent="0.3">
      <c r="C22" s="836"/>
      <c r="D22" s="62"/>
      <c r="F22" s="164"/>
    </row>
    <row r="23" spans="1:10" ht="14.4" x14ac:dyDescent="0.3">
      <c r="A23" s="9" t="s">
        <v>645</v>
      </c>
      <c r="B23" s="169">
        <f>(284+75)*2</f>
        <v>718</v>
      </c>
      <c r="C23" s="836"/>
      <c r="D23" s="62"/>
      <c r="F23" s="164"/>
    </row>
    <row r="24" spans="1:10" ht="14.4" x14ac:dyDescent="0.3">
      <c r="A24" s="9" t="s">
        <v>134</v>
      </c>
      <c r="B24" s="167">
        <f>Zones!H30</f>
        <v>153920.7300837173</v>
      </c>
      <c r="D24" s="62"/>
      <c r="F24" s="164"/>
    </row>
    <row r="25" spans="1:10" ht="14.4" x14ac:dyDescent="0.3">
      <c r="A25" s="9" t="s">
        <v>646</v>
      </c>
      <c r="B25" s="169">
        <v>8</v>
      </c>
      <c r="D25" s="62"/>
      <c r="F25" s="164"/>
    </row>
    <row r="26" spans="1:10" ht="14.4" x14ac:dyDescent="0.3">
      <c r="A26"/>
      <c r="B26"/>
      <c r="D26" s="62"/>
      <c r="F26" s="164"/>
    </row>
    <row r="27" spans="1:10" ht="14.4" x14ac:dyDescent="0.3">
      <c r="A27"/>
      <c r="B27"/>
      <c r="D27" s="62"/>
      <c r="F27" s="164"/>
    </row>
  </sheetData>
  <mergeCells count="13">
    <mergeCell ref="A1:E1"/>
    <mergeCell ref="D9:D10"/>
    <mergeCell ref="B9:C10"/>
    <mergeCell ref="A9:A10"/>
    <mergeCell ref="A8:J8"/>
    <mergeCell ref="H17:I17"/>
    <mergeCell ref="H18:I18"/>
    <mergeCell ref="H19:I19"/>
    <mergeCell ref="H9:J9"/>
    <mergeCell ref="E9:G9"/>
    <mergeCell ref="A19:F19"/>
    <mergeCell ref="A18:F18"/>
    <mergeCell ref="A17:F17"/>
  </mergeCells>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9C81-B0B9-4AE9-9154-3628732CA590}">
  <sheetPr codeName="Sheet9"/>
  <dimension ref="A1:N50"/>
  <sheetViews>
    <sheetView zoomScale="87" zoomScaleNormal="70" workbookViewId="0">
      <selection sqref="A1:F1"/>
    </sheetView>
  </sheetViews>
  <sheetFormatPr defaultColWidth="8.6640625" defaultRowHeight="13.2" x14ac:dyDescent="0.25"/>
  <cols>
    <col min="1" max="1" width="41.5546875" style="9" customWidth="1"/>
    <col min="2" max="2" width="36.6640625" style="9" customWidth="1"/>
    <col min="3" max="3" width="26.109375" style="9" customWidth="1"/>
    <col min="4" max="4" width="26.6640625" style="9" customWidth="1"/>
    <col min="5" max="5" width="45.109375" style="9" customWidth="1"/>
    <col min="6" max="6" width="36.5546875" style="9" customWidth="1"/>
    <col min="7" max="7" width="41.109375" style="9" customWidth="1"/>
    <col min="8" max="8" width="31" style="9" customWidth="1"/>
    <col min="9" max="9" width="18.6640625" style="9" customWidth="1"/>
    <col min="10" max="11" width="14.33203125" style="9" customWidth="1"/>
    <col min="12" max="12" width="45.109375" style="9" customWidth="1"/>
    <col min="13" max="13" width="16.109375" style="9" customWidth="1"/>
    <col min="14" max="14" width="16.33203125" style="9" customWidth="1"/>
    <col min="15" max="15" width="10.6640625" style="9" bestFit="1" customWidth="1"/>
    <col min="16" max="16" width="10.5546875" style="9" bestFit="1" customWidth="1"/>
    <col min="17" max="16384" width="8.6640625" style="9"/>
  </cols>
  <sheetData>
    <row r="1" spans="1:11" ht="27" customHeight="1" x14ac:dyDescent="0.25">
      <c r="A1" s="1047" t="str">
        <f>"Equipment - "&amp;Prototype!A2</f>
        <v>Equipment - HotelLarge</v>
      </c>
      <c r="B1" s="1047"/>
      <c r="C1" s="1047"/>
      <c r="D1" s="1047"/>
      <c r="E1" s="1047"/>
      <c r="F1" s="1047"/>
      <c r="G1" s="48"/>
    </row>
    <row r="2" spans="1:11" ht="40.950000000000003" customHeight="1" x14ac:dyDescent="0.25">
      <c r="A2" s="867" t="s">
        <v>597</v>
      </c>
      <c r="B2" s="149" t="s">
        <v>647</v>
      </c>
      <c r="C2" s="149" t="s">
        <v>648</v>
      </c>
      <c r="D2" s="149" t="s">
        <v>649</v>
      </c>
      <c r="E2" s="149" t="s">
        <v>650</v>
      </c>
      <c r="F2" s="867" t="s">
        <v>260</v>
      </c>
      <c r="G2" s="11"/>
    </row>
    <row r="3" spans="1:11" ht="16.5" customHeight="1" x14ac:dyDescent="0.25">
      <c r="A3" s="548" t="s">
        <v>202</v>
      </c>
      <c r="B3" s="823">
        <v>1</v>
      </c>
      <c r="C3" s="823"/>
      <c r="D3" s="823">
        <f>Data!H84</f>
        <v>0</v>
      </c>
      <c r="E3" s="823">
        <f>Data!G84</f>
        <v>0</v>
      </c>
      <c r="F3" s="552" t="s">
        <v>651</v>
      </c>
      <c r="G3" s="12"/>
    </row>
    <row r="4" spans="1:11" ht="19.5" customHeight="1" x14ac:dyDescent="0.25">
      <c r="A4" s="549" t="s">
        <v>204</v>
      </c>
      <c r="B4" s="823">
        <v>0.7</v>
      </c>
      <c r="C4" s="823"/>
      <c r="D4" s="823"/>
      <c r="E4" s="823"/>
      <c r="F4" s="552" t="s">
        <v>652</v>
      </c>
      <c r="G4" s="12"/>
    </row>
    <row r="5" spans="1:11" ht="18" customHeight="1" x14ac:dyDescent="0.25">
      <c r="A5" s="550" t="s">
        <v>213</v>
      </c>
      <c r="B5" s="823">
        <v>1.5</v>
      </c>
      <c r="C5" s="823"/>
      <c r="D5" s="823"/>
      <c r="E5" s="823"/>
      <c r="F5" s="552" t="s">
        <v>653</v>
      </c>
      <c r="G5" s="12"/>
    </row>
    <row r="6" spans="1:11" ht="27" customHeight="1" x14ac:dyDescent="0.25">
      <c r="A6" s="134" t="s">
        <v>218</v>
      </c>
      <c r="B6" s="823">
        <v>0.4</v>
      </c>
      <c r="C6" s="823"/>
      <c r="D6" s="823"/>
      <c r="E6" s="823"/>
      <c r="F6" s="552" t="s">
        <v>654</v>
      </c>
      <c r="G6" s="12"/>
      <c r="H6" s="49"/>
      <c r="I6" s="49"/>
      <c r="J6" s="49"/>
      <c r="K6" s="49"/>
    </row>
    <row r="7" spans="1:11" ht="18" customHeight="1" x14ac:dyDescent="0.25">
      <c r="A7" s="134" t="s">
        <v>206</v>
      </c>
      <c r="B7" s="228">
        <v>3</v>
      </c>
      <c r="C7" s="823"/>
      <c r="D7" s="823"/>
      <c r="E7" s="823"/>
      <c r="F7" s="948" t="s">
        <v>651</v>
      </c>
      <c r="G7" s="12"/>
      <c r="H7" s="49"/>
    </row>
    <row r="8" spans="1:11" ht="18" customHeight="1" x14ac:dyDescent="0.25">
      <c r="A8" s="134" t="s">
        <v>216</v>
      </c>
      <c r="B8" s="823">
        <v>0.2</v>
      </c>
      <c r="C8" s="823"/>
      <c r="D8" s="823"/>
      <c r="E8" s="823"/>
      <c r="F8" s="948"/>
      <c r="G8" s="12"/>
      <c r="H8" s="49"/>
    </row>
    <row r="9" spans="1:11" ht="18" customHeight="1" x14ac:dyDescent="0.25">
      <c r="A9" s="134" t="s">
        <v>209</v>
      </c>
      <c r="B9" s="823">
        <v>3</v>
      </c>
      <c r="C9" s="823"/>
      <c r="D9" s="823"/>
      <c r="E9" s="823">
        <v>0.75</v>
      </c>
      <c r="F9" s="948"/>
      <c r="G9" s="12"/>
      <c r="H9" s="49"/>
    </row>
    <row r="10" spans="1:11" ht="18" customHeight="1" x14ac:dyDescent="0.25">
      <c r="A10" s="134" t="s">
        <v>226</v>
      </c>
      <c r="B10" s="823">
        <v>0.5</v>
      </c>
      <c r="C10" s="823"/>
      <c r="D10" s="823"/>
      <c r="E10" s="823"/>
      <c r="F10" s="948" t="s">
        <v>654</v>
      </c>
      <c r="G10" s="12"/>
      <c r="H10" s="49"/>
    </row>
    <row r="11" spans="1:11" ht="18" customHeight="1" x14ac:dyDescent="0.25">
      <c r="A11" s="134" t="s">
        <v>228</v>
      </c>
      <c r="B11" s="823">
        <v>0.5</v>
      </c>
      <c r="C11" s="823"/>
      <c r="D11" s="823"/>
      <c r="E11" s="823"/>
      <c r="F11" s="948"/>
      <c r="G11" s="12"/>
      <c r="H11" s="49"/>
    </row>
    <row r="12" spans="1:11" ht="18" customHeight="1" x14ac:dyDescent="0.25">
      <c r="A12" s="134" t="s">
        <v>232</v>
      </c>
      <c r="B12" s="823">
        <v>0.5</v>
      </c>
      <c r="C12" s="823"/>
      <c r="D12" s="823"/>
      <c r="E12" s="823"/>
      <c r="F12" s="948"/>
      <c r="G12" s="12"/>
      <c r="H12" s="49"/>
    </row>
    <row r="13" spans="1:11" ht="18" customHeight="1" x14ac:dyDescent="0.25">
      <c r="A13" s="134" t="s">
        <v>242</v>
      </c>
      <c r="B13" s="823">
        <v>0</v>
      </c>
      <c r="C13" s="823"/>
      <c r="D13" s="823"/>
      <c r="E13" s="823"/>
      <c r="F13" s="820" t="s">
        <v>651</v>
      </c>
      <c r="G13" s="12"/>
      <c r="H13" s="49"/>
    </row>
    <row r="14" spans="1:11" ht="18" customHeight="1" x14ac:dyDescent="0.25">
      <c r="A14" s="134" t="s">
        <v>247</v>
      </c>
      <c r="B14" s="823">
        <v>0.5</v>
      </c>
      <c r="C14" s="823"/>
      <c r="D14" s="823"/>
      <c r="E14" s="823"/>
      <c r="F14" s="938" t="s">
        <v>655</v>
      </c>
      <c r="G14" s="12"/>
      <c r="H14" s="49"/>
    </row>
    <row r="15" spans="1:11" ht="22.5" customHeight="1" x14ac:dyDescent="0.25">
      <c r="A15" s="134" t="s">
        <v>250</v>
      </c>
      <c r="B15" s="823">
        <v>0.5</v>
      </c>
      <c r="C15" s="823"/>
      <c r="D15" s="823"/>
      <c r="E15" s="823"/>
      <c r="F15" s="939"/>
      <c r="G15" s="12"/>
      <c r="H15" s="49"/>
    </row>
    <row r="16" spans="1:11" ht="22.5" customHeight="1" x14ac:dyDescent="0.25">
      <c r="A16" s="134" t="s">
        <v>223</v>
      </c>
      <c r="B16" s="823">
        <v>1.5</v>
      </c>
      <c r="C16" s="823">
        <f>277.5+156.7</f>
        <v>434.2</v>
      </c>
      <c r="D16" s="823">
        <v>1.1200000000000001</v>
      </c>
      <c r="E16" s="823">
        <v>17.54</v>
      </c>
      <c r="F16" s="940"/>
      <c r="G16" s="12"/>
      <c r="H16" s="18"/>
    </row>
    <row r="17" spans="1:12" ht="18" customHeight="1" x14ac:dyDescent="0.25">
      <c r="A17" s="10"/>
      <c r="B17" s="11"/>
      <c r="C17" s="11"/>
      <c r="D17" s="11"/>
      <c r="E17" s="11"/>
      <c r="F17" s="13"/>
      <c r="G17" s="11"/>
      <c r="H17" s="12"/>
      <c r="I17" s="18"/>
    </row>
    <row r="18" spans="1:12" ht="14.4" x14ac:dyDescent="0.3">
      <c r="A18" s="3"/>
      <c r="B18" s="11"/>
      <c r="C18" s="11"/>
      <c r="D18" s="11"/>
      <c r="E18" s="11"/>
      <c r="F18" s="13"/>
      <c r="G18" s="11"/>
      <c r="H18" s="12"/>
      <c r="I18" s="18"/>
    </row>
    <row r="19" spans="1:12" ht="18" customHeight="1" x14ac:dyDescent="0.3">
      <c r="A19" s="1055" t="s">
        <v>656</v>
      </c>
      <c r="B19" s="1055"/>
      <c r="C19" s="1055"/>
      <c r="D19" s="1055"/>
      <c r="E19" s="1055"/>
      <c r="F19" s="1055"/>
      <c r="G19" s="1055"/>
      <c r="H19" s="1055"/>
      <c r="I19" s="1055"/>
      <c r="J19" s="1055"/>
      <c r="K19" s="1055"/>
      <c r="L19"/>
    </row>
    <row r="20" spans="1:12" ht="44.25" customHeight="1" x14ac:dyDescent="0.25">
      <c r="A20" s="582" t="s">
        <v>270</v>
      </c>
      <c r="B20" s="582" t="s">
        <v>657</v>
      </c>
      <c r="C20" s="582" t="s">
        <v>658</v>
      </c>
      <c r="D20" s="582" t="s">
        <v>659</v>
      </c>
      <c r="E20" s="582" t="s">
        <v>660</v>
      </c>
      <c r="F20" s="582" t="s">
        <v>661</v>
      </c>
      <c r="G20" s="582" t="s">
        <v>662</v>
      </c>
      <c r="H20" s="582" t="s">
        <v>663</v>
      </c>
      <c r="I20" s="582" t="s">
        <v>664</v>
      </c>
      <c r="J20" s="680" t="s">
        <v>665</v>
      </c>
      <c r="K20" s="582" t="s">
        <v>358</v>
      </c>
    </row>
    <row r="21" spans="1:12" ht="57.6" customHeight="1" x14ac:dyDescent="0.25">
      <c r="A21" s="845" t="s">
        <v>302</v>
      </c>
      <c r="B21" s="845" t="s">
        <v>666</v>
      </c>
      <c r="C21" s="845">
        <v>6</v>
      </c>
      <c r="D21" s="805">
        <v>1.1399999999999999</v>
      </c>
      <c r="E21" s="805">
        <v>0.33</v>
      </c>
      <c r="F21" s="845" t="s">
        <v>667</v>
      </c>
      <c r="G21" s="805">
        <f>ROUND(INDEX($C:$C,MATCH("Annual energy consumption of the elevator - Existing",$B:$B,0))/INDEX($C:$C,MATCH("Equivalent full load hours",$B:$B,0))*1000,2)</f>
        <v>96087.14</v>
      </c>
      <c r="H21" s="805">
        <f>ROUND(C21*INDEX($C:$C,MATCH("Cab fan airflow",$B:$B,0))*E21,2)</f>
        <v>495</v>
      </c>
      <c r="I21" s="805">
        <f>ROUND(C21*INDEX($C:$C,MATCH("Cab floor area",$B:$B,0))*D21,2)</f>
        <v>204.52</v>
      </c>
      <c r="J21" s="805">
        <f>ROUND(SUM(G21:I21),2)</f>
        <v>96786.66</v>
      </c>
      <c r="K21" s="845" t="s">
        <v>668</v>
      </c>
    </row>
    <row r="22" spans="1:12" ht="72.599999999999994" customHeight="1" x14ac:dyDescent="0.25">
      <c r="A22" s="845" t="s">
        <v>371</v>
      </c>
      <c r="B22" s="845" t="s">
        <v>669</v>
      </c>
      <c r="C22" s="845">
        <v>6</v>
      </c>
      <c r="D22" s="805">
        <v>0.6</v>
      </c>
      <c r="E22" s="805">
        <v>0.33</v>
      </c>
      <c r="F22" s="845" t="s">
        <v>670</v>
      </c>
      <c r="G22" s="805">
        <f>ROUND(INDEX($C:$C,MATCH("Annual energy consumption of the elevator - New Construction",$B:$B,0))/INDEX($C:$C,MATCH("Equivalent full load hours",$B:$B,0))*1000,2)</f>
        <v>58776.2</v>
      </c>
      <c r="H22" s="805">
        <f>ROUND(C22*INDEX($C:$C,MATCH("Cab fan airflow",$B:$B,0))*E22,2)</f>
        <v>495</v>
      </c>
      <c r="I22" s="805">
        <f>ROUND(C22*INDEX($C:$C,MATCH("Cab floor area",$B:$B,0))*D22,2)</f>
        <v>107.64</v>
      </c>
      <c r="J22" s="805">
        <f>ROUND(SUM(G22:I22),2)</f>
        <v>59378.84</v>
      </c>
      <c r="K22" s="845" t="s">
        <v>671</v>
      </c>
    </row>
    <row r="23" spans="1:12" ht="16.2" customHeight="1" x14ac:dyDescent="0.3">
      <c r="A23"/>
      <c r="B23"/>
      <c r="C23"/>
      <c r="D23"/>
      <c r="E23"/>
      <c r="F23"/>
      <c r="G23"/>
      <c r="H23"/>
      <c r="I23"/>
      <c r="J23"/>
      <c r="K23"/>
      <c r="L23"/>
    </row>
    <row r="24" spans="1:12" ht="18.600000000000001" customHeight="1" x14ac:dyDescent="0.3">
      <c r="A24"/>
      <c r="B24"/>
      <c r="C24"/>
      <c r="D24"/>
      <c r="E24"/>
      <c r="F24"/>
      <c r="G24"/>
      <c r="H24"/>
      <c r="I24"/>
      <c r="J24"/>
      <c r="K24"/>
      <c r="L24"/>
    </row>
    <row r="25" spans="1:12" ht="19.5" customHeight="1" x14ac:dyDescent="0.3">
      <c r="A25" s="1052" t="s">
        <v>672</v>
      </c>
      <c r="B25" s="1053"/>
      <c r="C25" s="1053"/>
      <c r="D25" s="1053"/>
      <c r="E25" s="1053"/>
      <c r="F25"/>
      <c r="G25"/>
      <c r="H25"/>
      <c r="I25"/>
      <c r="J25"/>
      <c r="K25"/>
      <c r="L25"/>
    </row>
    <row r="26" spans="1:12" ht="19.5" customHeight="1" x14ac:dyDescent="0.3">
      <c r="A26" s="582" t="s">
        <v>673</v>
      </c>
      <c r="B26" s="582" t="s">
        <v>674</v>
      </c>
      <c r="C26" s="582" t="s">
        <v>75</v>
      </c>
      <c r="D26" s="582" t="s">
        <v>675</v>
      </c>
      <c r="E26" s="582" t="s">
        <v>260</v>
      </c>
      <c r="F26"/>
      <c r="G26"/>
      <c r="H26"/>
      <c r="I26"/>
      <c r="J26"/>
      <c r="K26"/>
      <c r="L26"/>
    </row>
    <row r="27" spans="1:12" ht="28.8" x14ac:dyDescent="0.3">
      <c r="A27" s="1054" t="s">
        <v>669</v>
      </c>
      <c r="B27" s="845" t="s">
        <v>676</v>
      </c>
      <c r="C27" s="845">
        <v>218146.63</v>
      </c>
      <c r="D27" s="845" t="s">
        <v>677</v>
      </c>
      <c r="E27" s="845" t="s">
        <v>678</v>
      </c>
      <c r="F27"/>
      <c r="G27"/>
      <c r="H27"/>
      <c r="I27"/>
      <c r="J27"/>
      <c r="K27"/>
      <c r="L27"/>
    </row>
    <row r="28" spans="1:12" ht="28.8" x14ac:dyDescent="0.3">
      <c r="A28" s="1054"/>
      <c r="B28" s="845" t="s">
        <v>679</v>
      </c>
      <c r="C28" s="845">
        <v>133439.6</v>
      </c>
      <c r="D28" s="845" t="s">
        <v>677</v>
      </c>
      <c r="E28" s="845" t="s">
        <v>678</v>
      </c>
      <c r="F28"/>
      <c r="G28"/>
      <c r="H28"/>
      <c r="I28"/>
      <c r="J28"/>
      <c r="K28"/>
      <c r="L28"/>
    </row>
    <row r="29" spans="1:12" ht="28.8" x14ac:dyDescent="0.3">
      <c r="A29" s="845" t="s">
        <v>680</v>
      </c>
      <c r="B29" s="845" t="s">
        <v>681</v>
      </c>
      <c r="C29" s="845" t="s">
        <v>682</v>
      </c>
      <c r="D29" s="845" t="s">
        <v>683</v>
      </c>
      <c r="E29" s="845" t="s">
        <v>684</v>
      </c>
      <c r="F29"/>
      <c r="G29"/>
      <c r="H29"/>
      <c r="I29"/>
      <c r="J29"/>
      <c r="K29"/>
      <c r="L29"/>
    </row>
    <row r="30" spans="1:12" ht="28.8" x14ac:dyDescent="0.3">
      <c r="A30" s="845" t="s">
        <v>685</v>
      </c>
      <c r="B30" s="845" t="s">
        <v>686</v>
      </c>
      <c r="C30" s="845" t="s">
        <v>687</v>
      </c>
      <c r="D30" s="845" t="s">
        <v>683</v>
      </c>
      <c r="E30" s="845" t="s">
        <v>684</v>
      </c>
      <c r="F30"/>
      <c r="G30"/>
      <c r="H30"/>
      <c r="I30"/>
      <c r="J30"/>
      <c r="K30"/>
      <c r="L30"/>
    </row>
    <row r="31" spans="1:12" ht="14.4" x14ac:dyDescent="0.3">
      <c r="A31" s="845" t="s">
        <v>688</v>
      </c>
      <c r="B31" s="845" t="s">
        <v>689</v>
      </c>
      <c r="C31" s="845">
        <v>1361</v>
      </c>
      <c r="D31" s="845" t="s">
        <v>690</v>
      </c>
      <c r="E31" s="845" t="s">
        <v>691</v>
      </c>
      <c r="F31"/>
      <c r="G31"/>
      <c r="H31"/>
      <c r="I31"/>
      <c r="J31"/>
      <c r="K31"/>
      <c r="L31"/>
    </row>
    <row r="32" spans="1:12" ht="28.8" x14ac:dyDescent="0.3">
      <c r="A32" s="845" t="s">
        <v>692</v>
      </c>
      <c r="B32" s="845" t="s">
        <v>693</v>
      </c>
      <c r="C32" s="845">
        <v>29.9</v>
      </c>
      <c r="D32" s="845" t="s">
        <v>694</v>
      </c>
      <c r="E32" s="845" t="s">
        <v>695</v>
      </c>
      <c r="F32"/>
      <c r="G32"/>
      <c r="H32"/>
      <c r="I32"/>
      <c r="J32"/>
      <c r="K32"/>
      <c r="L32"/>
    </row>
    <row r="33" spans="1:14" ht="28.95" customHeight="1" x14ac:dyDescent="0.3">
      <c r="A33" s="845" t="s">
        <v>696</v>
      </c>
      <c r="B33" s="845" t="s">
        <v>697</v>
      </c>
      <c r="C33" s="845">
        <v>250</v>
      </c>
      <c r="D33" s="845" t="s">
        <v>698</v>
      </c>
      <c r="E33" s="845" t="s">
        <v>699</v>
      </c>
      <c r="F33"/>
      <c r="G33"/>
      <c r="H33"/>
      <c r="I33"/>
      <c r="J33"/>
      <c r="K33"/>
      <c r="L33"/>
    </row>
    <row r="34" spans="1:14" ht="18" customHeight="1" x14ac:dyDescent="0.3">
      <c r="A34" s="845" t="s">
        <v>700</v>
      </c>
      <c r="B34" s="845" t="s">
        <v>701</v>
      </c>
      <c r="C34" s="845">
        <v>4</v>
      </c>
      <c r="D34" s="845" t="s">
        <v>104</v>
      </c>
      <c r="E34" s="845" t="s">
        <v>702</v>
      </c>
      <c r="F34"/>
      <c r="G34"/>
      <c r="H34"/>
      <c r="I34"/>
      <c r="J34"/>
      <c r="K34"/>
      <c r="L34"/>
    </row>
    <row r="35" spans="1:14" ht="14.4" x14ac:dyDescent="0.3">
      <c r="A35" s="845" t="s">
        <v>703</v>
      </c>
      <c r="B35" s="845" t="s">
        <v>704</v>
      </c>
      <c r="C35" s="845">
        <v>360</v>
      </c>
      <c r="D35" s="845" t="s">
        <v>705</v>
      </c>
      <c r="E35" s="845" t="s">
        <v>702</v>
      </c>
      <c r="F35"/>
      <c r="G35"/>
      <c r="H35"/>
      <c r="I35"/>
      <c r="J35"/>
      <c r="K35"/>
      <c r="L35"/>
    </row>
    <row r="36" spans="1:14" ht="14.4" x14ac:dyDescent="0.3">
      <c r="A36" s="845" t="s">
        <v>706</v>
      </c>
      <c r="B36" s="845" t="s">
        <v>707</v>
      </c>
      <c r="C36" s="845">
        <v>9</v>
      </c>
      <c r="D36" s="845" t="s">
        <v>708</v>
      </c>
      <c r="E36" s="845" t="s">
        <v>709</v>
      </c>
      <c r="F36"/>
      <c r="G36"/>
      <c r="H36"/>
      <c r="I36"/>
      <c r="J36"/>
      <c r="K36"/>
      <c r="L36"/>
    </row>
    <row r="37" spans="1:14" ht="14.4" x14ac:dyDescent="0.3">
      <c r="A37" s="845" t="s">
        <v>710</v>
      </c>
      <c r="B37" s="845" t="s">
        <v>711</v>
      </c>
      <c r="C37" s="845">
        <v>3.05</v>
      </c>
      <c r="D37" s="845" t="s">
        <v>712</v>
      </c>
      <c r="E37" s="845" t="s">
        <v>709</v>
      </c>
      <c r="F37"/>
      <c r="G37"/>
      <c r="H37"/>
      <c r="I37"/>
      <c r="J37"/>
      <c r="K37"/>
      <c r="L37"/>
    </row>
    <row r="38" spans="1:14" ht="14.4" x14ac:dyDescent="0.3">
      <c r="A38" s="845" t="s">
        <v>713</v>
      </c>
      <c r="B38" s="845" t="s">
        <v>714</v>
      </c>
      <c r="C38" s="845">
        <v>2.5</v>
      </c>
      <c r="D38" s="845" t="s">
        <v>715</v>
      </c>
      <c r="E38" s="845" t="s">
        <v>702</v>
      </c>
      <c r="F38"/>
      <c r="G38"/>
      <c r="H38"/>
      <c r="I38"/>
      <c r="J38"/>
      <c r="K38"/>
      <c r="L38"/>
    </row>
    <row r="39" spans="1:14" ht="13.95" customHeight="1" x14ac:dyDescent="0.3">
      <c r="A39" s="845" t="s">
        <v>716</v>
      </c>
      <c r="B39" s="845" t="s">
        <v>717</v>
      </c>
      <c r="C39" s="845">
        <v>750</v>
      </c>
      <c r="D39" s="845" t="s">
        <v>718</v>
      </c>
      <c r="E39" s="845" t="s">
        <v>702</v>
      </c>
      <c r="F39"/>
      <c r="G39"/>
      <c r="H39"/>
      <c r="I39"/>
      <c r="J39"/>
      <c r="K39"/>
      <c r="L39"/>
    </row>
    <row r="40" spans="1:14" ht="13.95" customHeight="1" x14ac:dyDescent="0.3">
      <c r="A40" s="845" t="s">
        <v>719</v>
      </c>
      <c r="B40" s="845" t="s">
        <v>720</v>
      </c>
      <c r="C40" s="845">
        <v>0.44</v>
      </c>
      <c r="D40" s="845" t="s">
        <v>721</v>
      </c>
      <c r="E40" s="845" t="s">
        <v>722</v>
      </c>
      <c r="F40"/>
      <c r="G40"/>
      <c r="H40"/>
      <c r="I40"/>
      <c r="J40"/>
      <c r="K40"/>
      <c r="L40"/>
    </row>
    <row r="41" spans="1:14" ht="13.95" customHeight="1" x14ac:dyDescent="0.3">
      <c r="A41" s="845" t="s">
        <v>723</v>
      </c>
      <c r="B41" s="845" t="s">
        <v>724</v>
      </c>
      <c r="C41" s="845">
        <v>1</v>
      </c>
      <c r="D41" s="845" t="s">
        <v>725</v>
      </c>
      <c r="E41" s="845" t="s">
        <v>726</v>
      </c>
      <c r="F41"/>
      <c r="G41"/>
      <c r="H41"/>
      <c r="I41"/>
      <c r="J41"/>
      <c r="K41"/>
      <c r="L41"/>
    </row>
    <row r="42" spans="1:14" s="10" customFormat="1" ht="13.2" customHeight="1" x14ac:dyDescent="0.3">
      <c r="A42" s="845" t="s">
        <v>727</v>
      </c>
      <c r="B42" s="845" t="s">
        <v>728</v>
      </c>
      <c r="C42" s="845">
        <v>1.25</v>
      </c>
      <c r="D42" s="845" t="s">
        <v>729</v>
      </c>
      <c r="E42" s="845" t="s">
        <v>726</v>
      </c>
      <c r="F42"/>
      <c r="G42"/>
      <c r="H42"/>
      <c r="I42"/>
      <c r="J42"/>
      <c r="K42"/>
      <c r="L42"/>
    </row>
    <row r="43" spans="1:14" ht="13.2" customHeight="1" x14ac:dyDescent="0.3">
      <c r="A43" s="845" t="s">
        <v>730</v>
      </c>
      <c r="B43" s="845" t="s">
        <v>731</v>
      </c>
      <c r="C43" s="845">
        <v>8</v>
      </c>
      <c r="D43" s="845" t="s">
        <v>732</v>
      </c>
      <c r="E43" s="845" t="s">
        <v>726</v>
      </c>
      <c r="F43"/>
      <c r="G43"/>
      <c r="H43"/>
      <c r="I43"/>
      <c r="J43"/>
      <c r="K43"/>
      <c r="L43"/>
    </row>
    <row r="44" spans="1:14" ht="13.2" customHeight="1" x14ac:dyDescent="0.3">
      <c r="A44" s="845" t="s">
        <v>733</v>
      </c>
      <c r="B44" s="845" t="s">
        <v>734</v>
      </c>
      <c r="C44" s="845">
        <v>12.08</v>
      </c>
      <c r="D44" s="845" t="s">
        <v>735</v>
      </c>
      <c r="E44" s="845" t="s">
        <v>736</v>
      </c>
      <c r="F44"/>
      <c r="G44"/>
      <c r="H44"/>
      <c r="I44"/>
      <c r="J44"/>
      <c r="K44"/>
      <c r="L44"/>
    </row>
    <row r="45" spans="1:14" ht="13.2" customHeight="1" x14ac:dyDescent="0.3">
      <c r="A45" s="845" t="s">
        <v>737</v>
      </c>
      <c r="B45" s="845" t="s">
        <v>738</v>
      </c>
      <c r="C45" s="845">
        <v>16.13</v>
      </c>
      <c r="D45" s="845" t="s">
        <v>739</v>
      </c>
      <c r="E45" s="845" t="s">
        <v>740</v>
      </c>
      <c r="F45"/>
      <c r="G45"/>
      <c r="H45"/>
      <c r="I45"/>
      <c r="J45"/>
      <c r="K45"/>
      <c r="L45"/>
    </row>
    <row r="46" spans="1:14" ht="13.2" customHeight="1" x14ac:dyDescent="0.3">
      <c r="A46" s="845" t="s">
        <v>741</v>
      </c>
      <c r="B46" s="845" t="s">
        <v>742</v>
      </c>
      <c r="C46" s="845">
        <v>20.64</v>
      </c>
      <c r="D46" s="845" t="s">
        <v>743</v>
      </c>
      <c r="E46" s="845" t="s">
        <v>744</v>
      </c>
      <c r="F46"/>
      <c r="G46"/>
      <c r="H46"/>
      <c r="I46"/>
      <c r="J46"/>
      <c r="K46"/>
      <c r="L46"/>
    </row>
    <row r="47" spans="1:14" ht="14.4" customHeight="1" x14ac:dyDescent="0.3">
      <c r="A47" s="845" t="s">
        <v>745</v>
      </c>
      <c r="B47" s="845" t="s">
        <v>746</v>
      </c>
      <c r="C47" s="845">
        <v>7550.16</v>
      </c>
      <c r="D47" s="845" t="s">
        <v>747</v>
      </c>
      <c r="E47" s="845" t="s">
        <v>748</v>
      </c>
      <c r="F47"/>
      <c r="G47"/>
      <c r="H47"/>
      <c r="I47"/>
      <c r="J47"/>
      <c r="K47"/>
      <c r="L47"/>
    </row>
    <row r="48" spans="1:14" ht="28.95" customHeight="1" x14ac:dyDescent="0.3">
      <c r="A48" s="845" t="s">
        <v>749</v>
      </c>
      <c r="B48" s="845" t="s">
        <v>749</v>
      </c>
      <c r="C48" s="845">
        <v>40</v>
      </c>
      <c r="D48" s="845" t="s">
        <v>750</v>
      </c>
      <c r="E48" s="845" t="s">
        <v>751</v>
      </c>
      <c r="F48"/>
      <c r="G48"/>
      <c r="H48"/>
      <c r="I48"/>
      <c r="J48"/>
      <c r="K48"/>
      <c r="L48"/>
      <c r="M48" s="158"/>
      <c r="N48" s="1"/>
    </row>
    <row r="49" spans="1:12" ht="14.4" customHeight="1" x14ac:dyDescent="0.3">
      <c r="A49" s="845" t="s">
        <v>752</v>
      </c>
      <c r="B49" s="845" t="s">
        <v>753</v>
      </c>
      <c r="C49" s="806">
        <f>Schedules!AD219</f>
        <v>2270.3000000000002</v>
      </c>
      <c r="D49" s="845" t="s">
        <v>754</v>
      </c>
      <c r="E49" s="845" t="s">
        <v>755</v>
      </c>
      <c r="F49"/>
      <c r="G49"/>
      <c r="H49"/>
      <c r="I49"/>
      <c r="J49"/>
      <c r="K49"/>
      <c r="L49"/>
    </row>
    <row r="50" spans="1:12" ht="14.4" x14ac:dyDescent="0.3">
      <c r="A50" s="807"/>
      <c r="G50"/>
      <c r="H50" s="11"/>
      <c r="I50" s="583"/>
      <c r="J50" s="583"/>
      <c r="K50" s="584"/>
      <c r="L50" s="584"/>
    </row>
  </sheetData>
  <mergeCells count="7">
    <mergeCell ref="A25:E25"/>
    <mergeCell ref="A27:A28"/>
    <mergeCell ref="A1:F1"/>
    <mergeCell ref="F10:F12"/>
    <mergeCell ref="F7:F9"/>
    <mergeCell ref="F14:F16"/>
    <mergeCell ref="A19:K19"/>
  </mergeCells>
  <phoneticPr fontId="6"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854CA02-FA9D-4CB9-B868-164D55D88E43}">
          <x14:formula1>
            <xm:f>Data!$A$2:$A$200</xm:f>
          </x14:formula1>
          <xm:sqref>A3:A5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AEBC7-570E-431D-A891-0E68E13886AA}">
  <sheetPr codeName="Sheet11"/>
  <dimension ref="A1:BO402"/>
  <sheetViews>
    <sheetView zoomScale="85" zoomScaleNormal="85" workbookViewId="0">
      <pane xSplit="5" ySplit="3" topLeftCell="F4" activePane="bottomRight" state="frozen"/>
      <selection pane="topRight" activeCell="F1" sqref="F1"/>
      <selection pane="bottomLeft" activeCell="A4" sqref="A4"/>
      <selection pane="bottomRight" sqref="A1:AC1"/>
    </sheetView>
  </sheetViews>
  <sheetFormatPr defaultColWidth="9.33203125" defaultRowHeight="11.4" x14ac:dyDescent="0.3"/>
  <cols>
    <col min="1" max="1" width="15.6640625" style="37" customWidth="1"/>
    <col min="2" max="2" width="19.5546875" style="37" customWidth="1"/>
    <col min="3" max="3" width="27.6640625" style="37" customWidth="1"/>
    <col min="4" max="4" width="27.5546875" style="37" customWidth="1"/>
    <col min="5" max="5" width="17.109375" style="37" customWidth="1"/>
    <col min="6" max="6" width="9.33203125" style="37"/>
    <col min="7" max="30" width="5.6640625" style="37" customWidth="1"/>
    <col min="31" max="16384" width="9.33203125" style="37"/>
  </cols>
  <sheetData>
    <row r="1" spans="1:39" ht="24" customHeight="1" x14ac:dyDescent="0.3">
      <c r="A1" s="937" t="str">
        <f>"Schedules - "&amp;Prototype!A2</f>
        <v>Schedules - HotelLarge</v>
      </c>
      <c r="B1" s="937"/>
      <c r="C1" s="937"/>
      <c r="D1" s="937"/>
      <c r="E1" s="937"/>
      <c r="F1" s="937"/>
      <c r="G1" s="937"/>
      <c r="H1" s="937"/>
      <c r="I1" s="937"/>
      <c r="J1" s="937"/>
      <c r="K1" s="937"/>
      <c r="L1" s="937"/>
      <c r="M1" s="937"/>
      <c r="N1" s="937"/>
      <c r="O1" s="937"/>
      <c r="P1" s="937"/>
      <c r="Q1" s="937"/>
      <c r="R1" s="937"/>
      <c r="S1" s="937"/>
      <c r="T1" s="937"/>
      <c r="U1" s="937"/>
      <c r="V1" s="937"/>
      <c r="W1" s="937"/>
      <c r="X1" s="937"/>
      <c r="Y1" s="937"/>
      <c r="Z1" s="937"/>
      <c r="AA1" s="937"/>
      <c r="AB1" s="937"/>
      <c r="AC1" s="1196"/>
      <c r="AD1" s="38"/>
      <c r="AE1" s="38"/>
      <c r="AF1" s="38"/>
      <c r="AG1" s="38"/>
      <c r="AH1" s="38"/>
      <c r="AI1" s="39"/>
      <c r="AJ1" s="39"/>
      <c r="AK1" s="39"/>
    </row>
    <row r="2" spans="1:39" ht="24" customHeight="1" x14ac:dyDescent="0.3">
      <c r="A2" s="1111" t="s">
        <v>756</v>
      </c>
      <c r="B2" s="1111" t="s">
        <v>193</v>
      </c>
      <c r="C2" s="1111" t="s">
        <v>757</v>
      </c>
      <c r="D2" s="1111" t="s">
        <v>260</v>
      </c>
      <c r="E2" s="1111" t="s">
        <v>758</v>
      </c>
      <c r="F2" s="1130" t="s">
        <v>759</v>
      </c>
      <c r="G2" s="1130"/>
      <c r="H2" s="1130"/>
      <c r="I2" s="1130"/>
      <c r="J2" s="1130"/>
      <c r="K2" s="1130"/>
      <c r="L2" s="1130"/>
      <c r="M2" s="1130"/>
      <c r="N2" s="1130"/>
      <c r="O2" s="1130"/>
      <c r="P2" s="1130"/>
      <c r="Q2" s="1130"/>
      <c r="R2" s="1130"/>
      <c r="S2" s="1130"/>
      <c r="T2" s="1130"/>
      <c r="U2" s="1130"/>
      <c r="V2" s="1130"/>
      <c r="W2" s="1130"/>
      <c r="X2" s="1130"/>
      <c r="Y2" s="1130"/>
      <c r="Z2" s="1130"/>
      <c r="AA2" s="1130"/>
      <c r="AB2" s="1130"/>
      <c r="AC2" s="1130"/>
      <c r="AD2" s="38"/>
      <c r="AE2" s="38"/>
      <c r="AF2" s="38"/>
      <c r="AG2" s="38"/>
      <c r="AH2" s="38"/>
      <c r="AI2" s="39"/>
      <c r="AJ2" s="39"/>
      <c r="AK2" s="39"/>
    </row>
    <row r="3" spans="1:39" ht="25.2" customHeight="1" thickBot="1" x14ac:dyDescent="0.35">
      <c r="A3" s="1112"/>
      <c r="B3" s="1112"/>
      <c r="C3" s="1112"/>
      <c r="D3" s="1112"/>
      <c r="E3" s="1112"/>
      <c r="F3" s="868">
        <v>1</v>
      </c>
      <c r="G3" s="868">
        <v>2</v>
      </c>
      <c r="H3" s="868">
        <v>3</v>
      </c>
      <c r="I3" s="868">
        <v>4</v>
      </c>
      <c r="J3" s="868">
        <v>5</v>
      </c>
      <c r="K3" s="868">
        <v>6</v>
      </c>
      <c r="L3" s="868">
        <v>7</v>
      </c>
      <c r="M3" s="868">
        <v>8</v>
      </c>
      <c r="N3" s="868">
        <v>9</v>
      </c>
      <c r="O3" s="868">
        <v>10</v>
      </c>
      <c r="P3" s="868">
        <v>11</v>
      </c>
      <c r="Q3" s="868">
        <v>12</v>
      </c>
      <c r="R3" s="868">
        <v>13</v>
      </c>
      <c r="S3" s="868">
        <v>14</v>
      </c>
      <c r="T3" s="868">
        <v>15</v>
      </c>
      <c r="U3" s="868">
        <v>16</v>
      </c>
      <c r="V3" s="868">
        <v>17</v>
      </c>
      <c r="W3" s="868">
        <v>18</v>
      </c>
      <c r="X3" s="868">
        <v>19</v>
      </c>
      <c r="Y3" s="868">
        <v>20</v>
      </c>
      <c r="Z3" s="868">
        <v>21</v>
      </c>
      <c r="AA3" s="868">
        <v>22</v>
      </c>
      <c r="AB3" s="868">
        <v>23</v>
      </c>
      <c r="AC3" s="868">
        <v>24</v>
      </c>
      <c r="AD3" s="39"/>
      <c r="AE3" s="39"/>
      <c r="AF3" s="39"/>
      <c r="AG3" s="39"/>
      <c r="AH3" s="39"/>
      <c r="AI3" s="39"/>
      <c r="AJ3" s="39"/>
      <c r="AK3" s="39"/>
    </row>
    <row r="4" spans="1:39" ht="25.2" customHeight="1" x14ac:dyDescent="0.3">
      <c r="A4" s="1068" t="s">
        <v>760</v>
      </c>
      <c r="B4" s="1059" t="s">
        <v>214</v>
      </c>
      <c r="C4" s="1074" t="s">
        <v>761</v>
      </c>
      <c r="D4" s="1077" t="s">
        <v>762</v>
      </c>
      <c r="E4" s="370" t="s">
        <v>468</v>
      </c>
      <c r="F4" s="371">
        <v>0.9</v>
      </c>
      <c r="G4" s="371">
        <v>0.9</v>
      </c>
      <c r="H4" s="371">
        <v>0.9</v>
      </c>
      <c r="I4" s="371">
        <v>0.9</v>
      </c>
      <c r="J4" s="371">
        <v>0.9</v>
      </c>
      <c r="K4" s="371">
        <v>0.9</v>
      </c>
      <c r="L4" s="371">
        <v>0.7</v>
      </c>
      <c r="M4" s="371">
        <v>0.4</v>
      </c>
      <c r="N4" s="371">
        <v>0.4</v>
      </c>
      <c r="O4" s="371">
        <v>0.2</v>
      </c>
      <c r="P4" s="371">
        <v>0.2</v>
      </c>
      <c r="Q4" s="371">
        <v>0.2</v>
      </c>
      <c r="R4" s="371">
        <v>0.2</v>
      </c>
      <c r="S4" s="371">
        <v>0.2</v>
      </c>
      <c r="T4" s="371">
        <v>0.2</v>
      </c>
      <c r="U4" s="371">
        <v>0.3</v>
      </c>
      <c r="V4" s="371">
        <v>0.5</v>
      </c>
      <c r="W4" s="371">
        <v>0.5</v>
      </c>
      <c r="X4" s="371">
        <v>0.5</v>
      </c>
      <c r="Y4" s="371">
        <v>0.7</v>
      </c>
      <c r="Z4" s="371">
        <v>0.7</v>
      </c>
      <c r="AA4" s="371">
        <v>0.8</v>
      </c>
      <c r="AB4" s="371">
        <v>0.9</v>
      </c>
      <c r="AC4" s="372">
        <v>0.9</v>
      </c>
      <c r="AD4" s="39"/>
      <c r="AE4" s="39"/>
      <c r="AF4" s="39"/>
      <c r="AG4" s="39"/>
      <c r="AH4" s="39"/>
      <c r="AI4" s="39"/>
      <c r="AJ4" s="39"/>
      <c r="AK4" s="39"/>
    </row>
    <row r="5" spans="1:39" ht="25.2" customHeight="1" x14ac:dyDescent="0.3">
      <c r="A5" s="1069"/>
      <c r="B5" s="1060"/>
      <c r="C5" s="1075"/>
      <c r="D5" s="1078"/>
      <c r="E5" s="310" t="s">
        <v>475</v>
      </c>
      <c r="F5" s="303">
        <v>0.9</v>
      </c>
      <c r="G5" s="303">
        <v>0.9</v>
      </c>
      <c r="H5" s="303">
        <v>0.9</v>
      </c>
      <c r="I5" s="303">
        <v>0.9</v>
      </c>
      <c r="J5" s="303">
        <v>0.9</v>
      </c>
      <c r="K5" s="303">
        <v>0.9</v>
      </c>
      <c r="L5" s="303">
        <v>0.7</v>
      </c>
      <c r="M5" s="303">
        <v>0.5</v>
      </c>
      <c r="N5" s="303">
        <v>0.5</v>
      </c>
      <c r="O5" s="303">
        <v>0.3</v>
      </c>
      <c r="P5" s="303">
        <v>0.3</v>
      </c>
      <c r="Q5" s="303">
        <v>0.3</v>
      </c>
      <c r="R5" s="303">
        <v>0.3</v>
      </c>
      <c r="S5" s="303">
        <v>0.3</v>
      </c>
      <c r="T5" s="303">
        <v>0.3</v>
      </c>
      <c r="U5" s="303">
        <v>0.3</v>
      </c>
      <c r="V5" s="303">
        <v>0.3</v>
      </c>
      <c r="W5" s="303">
        <v>0.5</v>
      </c>
      <c r="X5" s="303">
        <v>0.6</v>
      </c>
      <c r="Y5" s="303">
        <v>0.6</v>
      </c>
      <c r="Z5" s="303">
        <v>0.6</v>
      </c>
      <c r="AA5" s="303">
        <v>0.7</v>
      </c>
      <c r="AB5" s="303">
        <v>0.7</v>
      </c>
      <c r="AC5" s="373">
        <v>0.7</v>
      </c>
      <c r="AD5" s="39"/>
      <c r="AE5" s="39"/>
      <c r="AF5" s="39"/>
      <c r="AG5" s="39"/>
      <c r="AH5" s="39"/>
      <c r="AI5" s="39"/>
      <c r="AJ5" s="39"/>
      <c r="AK5" s="39"/>
    </row>
    <row r="6" spans="1:39" ht="25.2" customHeight="1" thickBot="1" x14ac:dyDescent="0.35">
      <c r="A6" s="1070"/>
      <c r="B6" s="1061"/>
      <c r="C6" s="1076"/>
      <c r="D6" s="1079"/>
      <c r="E6" s="374" t="s">
        <v>477</v>
      </c>
      <c r="F6" s="375">
        <v>0.7</v>
      </c>
      <c r="G6" s="375">
        <v>0.7</v>
      </c>
      <c r="H6" s="375">
        <v>0.7</v>
      </c>
      <c r="I6" s="375">
        <v>0.7</v>
      </c>
      <c r="J6" s="375">
        <v>0.7</v>
      </c>
      <c r="K6" s="375">
        <v>0.7</v>
      </c>
      <c r="L6" s="375">
        <v>0.7</v>
      </c>
      <c r="M6" s="375">
        <v>0.7</v>
      </c>
      <c r="N6" s="375">
        <v>0.5</v>
      </c>
      <c r="O6" s="375">
        <v>0.5</v>
      </c>
      <c r="P6" s="375">
        <v>0.5</v>
      </c>
      <c r="Q6" s="375">
        <v>0.3</v>
      </c>
      <c r="R6" s="375">
        <v>0.3</v>
      </c>
      <c r="S6" s="375">
        <v>0.2</v>
      </c>
      <c r="T6" s="375">
        <v>0.2</v>
      </c>
      <c r="U6" s="375">
        <v>0.2</v>
      </c>
      <c r="V6" s="375">
        <v>0.3</v>
      </c>
      <c r="W6" s="375">
        <v>0.4</v>
      </c>
      <c r="X6" s="375">
        <v>0.4</v>
      </c>
      <c r="Y6" s="375">
        <v>0.6</v>
      </c>
      <c r="Z6" s="375">
        <v>0.6</v>
      </c>
      <c r="AA6" s="375">
        <v>0.8</v>
      </c>
      <c r="AB6" s="375">
        <v>0.8</v>
      </c>
      <c r="AC6" s="376">
        <v>0.8</v>
      </c>
      <c r="AD6" s="39"/>
      <c r="AE6" s="39"/>
      <c r="AF6" s="39"/>
      <c r="AG6" s="39"/>
      <c r="AH6" s="39"/>
      <c r="AI6" s="39"/>
      <c r="AJ6" s="39"/>
      <c r="AK6" s="39"/>
    </row>
    <row r="7" spans="1:39" ht="38.700000000000003" customHeight="1" x14ac:dyDescent="0.3">
      <c r="A7" s="1080" t="str">
        <f>A4</f>
        <v>Service and Back Up prep in Basement</v>
      </c>
      <c r="B7" s="1083" t="str">
        <f>B4</f>
        <v>ServiceAndBackUpPrep</v>
      </c>
      <c r="C7" s="1085" t="s">
        <v>763</v>
      </c>
      <c r="D7" s="1071" t="s">
        <v>764</v>
      </c>
      <c r="E7" s="312" t="s">
        <v>468</v>
      </c>
      <c r="F7" s="325">
        <v>0.2</v>
      </c>
      <c r="G7" s="325">
        <v>0.15</v>
      </c>
      <c r="H7" s="325">
        <v>0.1</v>
      </c>
      <c r="I7" s="325">
        <v>0.1</v>
      </c>
      <c r="J7" s="325">
        <v>0.1</v>
      </c>
      <c r="K7" s="325">
        <v>0.2</v>
      </c>
      <c r="L7" s="325">
        <v>0.4</v>
      </c>
      <c r="M7" s="325">
        <v>0.5</v>
      </c>
      <c r="N7" s="325">
        <v>0.4</v>
      </c>
      <c r="O7" s="325">
        <v>0.4</v>
      </c>
      <c r="P7" s="325">
        <v>0.25</v>
      </c>
      <c r="Q7" s="325">
        <v>0.25</v>
      </c>
      <c r="R7" s="325">
        <v>0.25</v>
      </c>
      <c r="S7" s="325">
        <v>0.25</v>
      </c>
      <c r="T7" s="325">
        <v>0.25</v>
      </c>
      <c r="U7" s="325">
        <v>0.25</v>
      </c>
      <c r="V7" s="325">
        <v>0.25</v>
      </c>
      <c r="W7" s="325">
        <v>0.25</v>
      </c>
      <c r="X7" s="325">
        <v>0.6</v>
      </c>
      <c r="Y7" s="325">
        <v>0.8</v>
      </c>
      <c r="Z7" s="325">
        <v>0.9</v>
      </c>
      <c r="AA7" s="325">
        <v>0.8</v>
      </c>
      <c r="AB7" s="325">
        <v>0.6</v>
      </c>
      <c r="AC7" s="326">
        <v>0.3</v>
      </c>
      <c r="AD7" s="39"/>
      <c r="AE7" s="39"/>
      <c r="AF7" s="39"/>
      <c r="AG7" s="39"/>
      <c r="AH7" s="39"/>
      <c r="AI7" s="39"/>
      <c r="AJ7" s="39"/>
      <c r="AK7" s="39"/>
      <c r="AM7" s="47"/>
    </row>
    <row r="8" spans="1:39" ht="38.700000000000003" customHeight="1" x14ac:dyDescent="0.3">
      <c r="A8" s="1081"/>
      <c r="B8" s="1060"/>
      <c r="C8" s="1075"/>
      <c r="D8" s="1072"/>
      <c r="E8" s="310" t="s">
        <v>475</v>
      </c>
      <c r="F8" s="303">
        <v>0.2</v>
      </c>
      <c r="G8" s="303">
        <v>0.2</v>
      </c>
      <c r="H8" s="303">
        <v>0.1</v>
      </c>
      <c r="I8" s="303">
        <v>0.1</v>
      </c>
      <c r="J8" s="303">
        <v>0.1</v>
      </c>
      <c r="K8" s="303">
        <v>0.1</v>
      </c>
      <c r="L8" s="303">
        <v>0.3</v>
      </c>
      <c r="M8" s="303">
        <v>0.3</v>
      </c>
      <c r="N8" s="303">
        <v>0.4</v>
      </c>
      <c r="O8" s="303">
        <v>0.4</v>
      </c>
      <c r="P8" s="303">
        <v>0.3</v>
      </c>
      <c r="Q8" s="303">
        <v>0.25</v>
      </c>
      <c r="R8" s="303">
        <v>0.25</v>
      </c>
      <c r="S8" s="303">
        <v>0.25</v>
      </c>
      <c r="T8" s="303">
        <v>0.25</v>
      </c>
      <c r="U8" s="303">
        <v>0.25</v>
      </c>
      <c r="V8" s="303">
        <v>0.25</v>
      </c>
      <c r="W8" s="303">
        <v>0.25</v>
      </c>
      <c r="X8" s="303">
        <v>0.6</v>
      </c>
      <c r="Y8" s="303">
        <v>0.7</v>
      </c>
      <c r="Z8" s="303">
        <v>0.7</v>
      </c>
      <c r="AA8" s="303">
        <v>0.7</v>
      </c>
      <c r="AB8" s="303">
        <v>0.6</v>
      </c>
      <c r="AC8" s="306">
        <v>0.3</v>
      </c>
      <c r="AD8" s="39"/>
      <c r="AE8" s="39"/>
      <c r="AF8" s="39"/>
      <c r="AG8" s="39"/>
      <c r="AH8" s="39"/>
      <c r="AI8" s="39"/>
      <c r="AJ8" s="39"/>
      <c r="AK8" s="39"/>
      <c r="AM8" s="47"/>
    </row>
    <row r="9" spans="1:39" ht="38.700000000000003" customHeight="1" thickBot="1" x14ac:dyDescent="0.35">
      <c r="A9" s="1082"/>
      <c r="B9" s="1084"/>
      <c r="C9" s="1086"/>
      <c r="D9" s="1073"/>
      <c r="E9" s="311" t="s">
        <v>477</v>
      </c>
      <c r="F9" s="307">
        <v>0.3</v>
      </c>
      <c r="G9" s="307">
        <v>0.3</v>
      </c>
      <c r="H9" s="307">
        <v>0.2</v>
      </c>
      <c r="I9" s="307">
        <v>0.2</v>
      </c>
      <c r="J9" s="307">
        <v>0.2</v>
      </c>
      <c r="K9" s="307">
        <v>0.2</v>
      </c>
      <c r="L9" s="307">
        <v>0.3</v>
      </c>
      <c r="M9" s="307">
        <v>0.4</v>
      </c>
      <c r="N9" s="307">
        <v>0.4</v>
      </c>
      <c r="O9" s="307">
        <v>0.3</v>
      </c>
      <c r="P9" s="307">
        <v>0.3</v>
      </c>
      <c r="Q9" s="307">
        <v>0.3</v>
      </c>
      <c r="R9" s="307">
        <v>0.3</v>
      </c>
      <c r="S9" s="307">
        <v>0.2</v>
      </c>
      <c r="T9" s="307">
        <v>0.2</v>
      </c>
      <c r="U9" s="307">
        <v>0.2</v>
      </c>
      <c r="V9" s="307">
        <v>0.2</v>
      </c>
      <c r="W9" s="307">
        <v>0.2</v>
      </c>
      <c r="X9" s="307">
        <v>0.5</v>
      </c>
      <c r="Y9" s="307">
        <v>0.7</v>
      </c>
      <c r="Z9" s="307">
        <v>0.8</v>
      </c>
      <c r="AA9" s="307">
        <v>0.6</v>
      </c>
      <c r="AB9" s="307">
        <v>0.5</v>
      </c>
      <c r="AC9" s="308">
        <v>0.3</v>
      </c>
      <c r="AD9" s="39"/>
      <c r="AE9" s="39"/>
      <c r="AF9" s="39"/>
      <c r="AG9" s="39"/>
      <c r="AH9" s="39"/>
      <c r="AI9" s="39"/>
      <c r="AJ9" s="39"/>
      <c r="AK9" s="39"/>
      <c r="AM9" s="47"/>
    </row>
    <row r="10" spans="1:39" ht="38.700000000000003" customHeight="1" x14ac:dyDescent="0.3">
      <c r="A10" s="1087" t="str">
        <f>A4</f>
        <v>Service and Back Up prep in Basement</v>
      </c>
      <c r="B10" s="1089" t="str">
        <f>B4</f>
        <v>ServiceAndBackUpPrep</v>
      </c>
      <c r="C10" s="1091" t="s">
        <v>765</v>
      </c>
      <c r="D10" s="1071"/>
      <c r="E10" s="312" t="s">
        <v>468</v>
      </c>
      <c r="F10" s="325">
        <v>0.3</v>
      </c>
      <c r="G10" s="325">
        <v>0.25</v>
      </c>
      <c r="H10" s="325">
        <v>0.2</v>
      </c>
      <c r="I10" s="325">
        <v>0.2</v>
      </c>
      <c r="J10" s="325">
        <v>0.2</v>
      </c>
      <c r="K10" s="325">
        <v>0.3</v>
      </c>
      <c r="L10" s="325">
        <v>0.5</v>
      </c>
      <c r="M10" s="325">
        <v>0.6</v>
      </c>
      <c r="N10" s="325">
        <v>0.5</v>
      </c>
      <c r="O10" s="325">
        <v>0.5</v>
      </c>
      <c r="P10" s="325">
        <v>0.35</v>
      </c>
      <c r="Q10" s="325">
        <v>0.35</v>
      </c>
      <c r="R10" s="325">
        <v>0.35</v>
      </c>
      <c r="S10" s="325">
        <v>0.35</v>
      </c>
      <c r="T10" s="325">
        <v>0.35</v>
      </c>
      <c r="U10" s="325">
        <v>0.35</v>
      </c>
      <c r="V10" s="325">
        <v>0.35</v>
      </c>
      <c r="W10" s="325">
        <v>0.35</v>
      </c>
      <c r="X10" s="325">
        <v>0.7</v>
      </c>
      <c r="Y10" s="325">
        <v>0.9</v>
      </c>
      <c r="Z10" s="325">
        <v>0.95</v>
      </c>
      <c r="AA10" s="325">
        <v>0.9</v>
      </c>
      <c r="AB10" s="325">
        <v>0.7</v>
      </c>
      <c r="AC10" s="326">
        <v>0.4</v>
      </c>
      <c r="AD10" s="39"/>
      <c r="AE10" s="39"/>
      <c r="AF10" s="39"/>
      <c r="AG10" s="39"/>
      <c r="AH10" s="39"/>
      <c r="AI10" s="39"/>
      <c r="AJ10" s="39"/>
      <c r="AK10" s="39"/>
      <c r="AM10" s="47"/>
    </row>
    <row r="11" spans="1:39" ht="38.700000000000003" customHeight="1" x14ac:dyDescent="0.3">
      <c r="A11" s="1081"/>
      <c r="B11" s="1060"/>
      <c r="C11" s="1092"/>
      <c r="D11" s="1072"/>
      <c r="E11" s="310" t="s">
        <v>475</v>
      </c>
      <c r="F11" s="303">
        <v>0.3</v>
      </c>
      <c r="G11" s="303">
        <v>0.3</v>
      </c>
      <c r="H11" s="303">
        <v>0.2</v>
      </c>
      <c r="I11" s="303">
        <v>0.2</v>
      </c>
      <c r="J11" s="303">
        <v>0.2</v>
      </c>
      <c r="K11" s="303">
        <v>0.2</v>
      </c>
      <c r="L11" s="303">
        <v>0.4</v>
      </c>
      <c r="M11" s="303">
        <v>0.4</v>
      </c>
      <c r="N11" s="303">
        <v>0.5</v>
      </c>
      <c r="O11" s="303">
        <v>0.5</v>
      </c>
      <c r="P11" s="303">
        <v>0.4</v>
      </c>
      <c r="Q11" s="303">
        <v>0.35</v>
      </c>
      <c r="R11" s="303">
        <v>0.35</v>
      </c>
      <c r="S11" s="303">
        <v>0.35</v>
      </c>
      <c r="T11" s="303">
        <v>0.35</v>
      </c>
      <c r="U11" s="303">
        <v>0.35</v>
      </c>
      <c r="V11" s="303">
        <v>0.35</v>
      </c>
      <c r="W11" s="303">
        <v>0.35</v>
      </c>
      <c r="X11" s="303">
        <v>0.7</v>
      </c>
      <c r="Y11" s="303">
        <v>0.8</v>
      </c>
      <c r="Z11" s="303">
        <v>0.8</v>
      </c>
      <c r="AA11" s="303">
        <v>0.8</v>
      </c>
      <c r="AB11" s="303">
        <v>0.7</v>
      </c>
      <c r="AC11" s="306">
        <v>0.4</v>
      </c>
      <c r="AD11" s="39"/>
      <c r="AE11" s="39"/>
      <c r="AF11" s="39"/>
      <c r="AG11" s="39"/>
      <c r="AH11" s="39"/>
      <c r="AI11" s="39"/>
      <c r="AJ11" s="39"/>
      <c r="AK11" s="39"/>
      <c r="AM11" s="47"/>
    </row>
    <row r="12" spans="1:39" ht="38.700000000000003" customHeight="1" thickBot="1" x14ac:dyDescent="0.35">
      <c r="A12" s="1088"/>
      <c r="B12" s="1090"/>
      <c r="C12" s="1093"/>
      <c r="D12" s="1073"/>
      <c r="E12" s="324" t="s">
        <v>477</v>
      </c>
      <c r="F12" s="327">
        <v>0.4</v>
      </c>
      <c r="G12" s="327">
        <v>0.4</v>
      </c>
      <c r="H12" s="327">
        <v>0.3</v>
      </c>
      <c r="I12" s="327">
        <v>0.3</v>
      </c>
      <c r="J12" s="327">
        <v>0.3</v>
      </c>
      <c r="K12" s="327">
        <v>0.3</v>
      </c>
      <c r="L12" s="327">
        <v>0.4</v>
      </c>
      <c r="M12" s="327">
        <v>0.5</v>
      </c>
      <c r="N12" s="327">
        <v>0.5</v>
      </c>
      <c r="O12" s="327">
        <v>0.4</v>
      </c>
      <c r="P12" s="327">
        <v>0.4</v>
      </c>
      <c r="Q12" s="327">
        <v>0.4</v>
      </c>
      <c r="R12" s="327">
        <v>0.4</v>
      </c>
      <c r="S12" s="327">
        <v>0.3</v>
      </c>
      <c r="T12" s="327">
        <v>0.3</v>
      </c>
      <c r="U12" s="327">
        <v>0.3</v>
      </c>
      <c r="V12" s="327">
        <v>0.3</v>
      </c>
      <c r="W12" s="327">
        <v>0.3</v>
      </c>
      <c r="X12" s="327">
        <v>0.6</v>
      </c>
      <c r="Y12" s="327">
        <v>0.8</v>
      </c>
      <c r="Z12" s="327">
        <v>0.9</v>
      </c>
      <c r="AA12" s="327">
        <v>0.7</v>
      </c>
      <c r="AB12" s="327">
        <v>0.6</v>
      </c>
      <c r="AC12" s="328">
        <v>0.4</v>
      </c>
      <c r="AD12" s="39"/>
      <c r="AE12" s="39"/>
      <c r="AF12" s="39"/>
      <c r="AG12" s="39"/>
      <c r="AH12" s="39"/>
      <c r="AI12" s="39"/>
      <c r="AJ12" s="39"/>
      <c r="AK12" s="39"/>
      <c r="AM12" s="47"/>
    </row>
    <row r="13" spans="1:39" ht="38.4" customHeight="1" x14ac:dyDescent="0.3">
      <c r="A13" s="1068" t="str">
        <f>A4</f>
        <v>Service and Back Up prep in Basement</v>
      </c>
      <c r="B13" s="1059" t="str">
        <f>B4</f>
        <v>ServiceAndBackUpPrep</v>
      </c>
      <c r="C13" s="1059" t="s">
        <v>766</v>
      </c>
      <c r="D13" s="1071" t="s">
        <v>767</v>
      </c>
      <c r="E13" s="498" t="s">
        <v>468</v>
      </c>
      <c r="F13" s="499">
        <v>1</v>
      </c>
      <c r="G13" s="499">
        <v>1</v>
      </c>
      <c r="H13" s="499">
        <v>1</v>
      </c>
      <c r="I13" s="499">
        <v>1</v>
      </c>
      <c r="J13" s="499">
        <v>1</v>
      </c>
      <c r="K13" s="499">
        <v>1</v>
      </c>
      <c r="L13" s="499">
        <v>1</v>
      </c>
      <c r="M13" s="499">
        <v>1</v>
      </c>
      <c r="N13" s="499">
        <v>1</v>
      </c>
      <c r="O13" s="499">
        <v>1</v>
      </c>
      <c r="P13" s="499">
        <v>1</v>
      </c>
      <c r="Q13" s="499">
        <v>1</v>
      </c>
      <c r="R13" s="499">
        <v>1</v>
      </c>
      <c r="S13" s="499">
        <v>1</v>
      </c>
      <c r="T13" s="499">
        <v>1</v>
      </c>
      <c r="U13" s="499">
        <v>1</v>
      </c>
      <c r="V13" s="499">
        <v>1</v>
      </c>
      <c r="W13" s="499">
        <v>1</v>
      </c>
      <c r="X13" s="499">
        <v>1</v>
      </c>
      <c r="Y13" s="499">
        <v>1</v>
      </c>
      <c r="Z13" s="499">
        <v>1</v>
      </c>
      <c r="AA13" s="499">
        <v>1</v>
      </c>
      <c r="AB13" s="499">
        <v>1</v>
      </c>
      <c r="AC13" s="500">
        <v>1</v>
      </c>
      <c r="AD13" s="39"/>
      <c r="AE13" s="39"/>
      <c r="AF13" s="39"/>
      <c r="AG13" s="39"/>
      <c r="AH13" s="39"/>
      <c r="AI13" s="39"/>
      <c r="AJ13" s="39"/>
      <c r="AK13" s="39"/>
      <c r="AM13" s="47"/>
    </row>
    <row r="14" spans="1:39" ht="38.700000000000003" customHeight="1" x14ac:dyDescent="0.3">
      <c r="A14" s="1069"/>
      <c r="B14" s="1060"/>
      <c r="C14" s="1060"/>
      <c r="D14" s="1072"/>
      <c r="E14" s="472" t="s">
        <v>475</v>
      </c>
      <c r="F14" s="489">
        <v>1</v>
      </c>
      <c r="G14" s="489">
        <v>1</v>
      </c>
      <c r="H14" s="489">
        <v>1</v>
      </c>
      <c r="I14" s="489">
        <v>1</v>
      </c>
      <c r="J14" s="489">
        <v>1</v>
      </c>
      <c r="K14" s="489">
        <v>1</v>
      </c>
      <c r="L14" s="489">
        <v>1</v>
      </c>
      <c r="M14" s="489">
        <v>1</v>
      </c>
      <c r="N14" s="489">
        <v>1</v>
      </c>
      <c r="O14" s="489">
        <v>1</v>
      </c>
      <c r="P14" s="489">
        <v>1</v>
      </c>
      <c r="Q14" s="489">
        <v>1</v>
      </c>
      <c r="R14" s="489">
        <v>1</v>
      </c>
      <c r="S14" s="489">
        <v>1</v>
      </c>
      <c r="T14" s="489">
        <v>1</v>
      </c>
      <c r="U14" s="489">
        <v>1</v>
      </c>
      <c r="V14" s="489">
        <v>1</v>
      </c>
      <c r="W14" s="489">
        <v>1</v>
      </c>
      <c r="X14" s="489">
        <v>1</v>
      </c>
      <c r="Y14" s="489">
        <v>1</v>
      </c>
      <c r="Z14" s="489">
        <v>1</v>
      </c>
      <c r="AA14" s="489">
        <v>1</v>
      </c>
      <c r="AB14" s="489">
        <v>1</v>
      </c>
      <c r="AC14" s="501">
        <v>1</v>
      </c>
      <c r="AD14" s="39"/>
      <c r="AE14" s="39"/>
      <c r="AF14" s="39"/>
      <c r="AG14" s="39"/>
      <c r="AH14" s="39"/>
      <c r="AI14" s="39"/>
      <c r="AJ14" s="39"/>
      <c r="AK14" s="39"/>
      <c r="AM14" s="47"/>
    </row>
    <row r="15" spans="1:39" ht="38.4" customHeight="1" thickBot="1" x14ac:dyDescent="0.35">
      <c r="A15" s="1070"/>
      <c r="B15" s="1061"/>
      <c r="C15" s="1061"/>
      <c r="D15" s="1073"/>
      <c r="E15" s="502" t="s">
        <v>477</v>
      </c>
      <c r="F15" s="503">
        <v>1</v>
      </c>
      <c r="G15" s="503">
        <v>1</v>
      </c>
      <c r="H15" s="503">
        <v>1</v>
      </c>
      <c r="I15" s="503">
        <v>1</v>
      </c>
      <c r="J15" s="503">
        <v>1</v>
      </c>
      <c r="K15" s="503">
        <v>1</v>
      </c>
      <c r="L15" s="503">
        <v>1</v>
      </c>
      <c r="M15" s="503">
        <v>1</v>
      </c>
      <c r="N15" s="503">
        <v>1</v>
      </c>
      <c r="O15" s="503">
        <v>1</v>
      </c>
      <c r="P15" s="503">
        <v>1</v>
      </c>
      <c r="Q15" s="503">
        <v>1</v>
      </c>
      <c r="R15" s="503">
        <v>1</v>
      </c>
      <c r="S15" s="503">
        <v>1</v>
      </c>
      <c r="T15" s="503">
        <v>1</v>
      </c>
      <c r="U15" s="503">
        <v>1</v>
      </c>
      <c r="V15" s="503">
        <v>1</v>
      </c>
      <c r="W15" s="503">
        <v>1</v>
      </c>
      <c r="X15" s="503">
        <v>1</v>
      </c>
      <c r="Y15" s="503">
        <v>1</v>
      </c>
      <c r="Z15" s="503">
        <v>1</v>
      </c>
      <c r="AA15" s="503">
        <v>1</v>
      </c>
      <c r="AB15" s="503">
        <v>1</v>
      </c>
      <c r="AC15" s="504">
        <v>1</v>
      </c>
      <c r="AD15" s="39"/>
      <c r="AE15" s="39"/>
      <c r="AF15" s="39"/>
      <c r="AG15" s="39"/>
      <c r="AH15" s="39"/>
      <c r="AI15" s="39"/>
      <c r="AJ15" s="39"/>
      <c r="AK15" s="39"/>
      <c r="AM15" s="47"/>
    </row>
    <row r="16" spans="1:39" ht="38.700000000000003" customHeight="1" x14ac:dyDescent="0.3">
      <c r="A16" s="1056" t="str">
        <f>A4</f>
        <v>Service and Back Up prep in Basement</v>
      </c>
      <c r="B16" s="1059" t="str">
        <f>B4</f>
        <v>ServiceAndBackUpPrep</v>
      </c>
      <c r="C16" s="1059" t="s">
        <v>768</v>
      </c>
      <c r="D16" s="1071" t="s">
        <v>769</v>
      </c>
      <c r="E16" s="370" t="s">
        <v>468</v>
      </c>
      <c r="F16" s="371">
        <v>1</v>
      </c>
      <c r="G16" s="371">
        <v>1</v>
      </c>
      <c r="H16" s="371">
        <v>1</v>
      </c>
      <c r="I16" s="371">
        <v>1</v>
      </c>
      <c r="J16" s="371">
        <v>1</v>
      </c>
      <c r="K16" s="371">
        <v>0.75</v>
      </c>
      <c r="L16" s="371">
        <v>0.75</v>
      </c>
      <c r="M16" s="371">
        <v>0.75</v>
      </c>
      <c r="N16" s="371">
        <v>0.4</v>
      </c>
      <c r="O16" s="371">
        <v>0.4</v>
      </c>
      <c r="P16" s="371">
        <v>0.4</v>
      </c>
      <c r="Q16" s="371">
        <v>0.4</v>
      </c>
      <c r="R16" s="371">
        <v>0.4</v>
      </c>
      <c r="S16" s="371">
        <v>0.4</v>
      </c>
      <c r="T16" s="371">
        <v>0.4</v>
      </c>
      <c r="U16" s="371">
        <v>0.4</v>
      </c>
      <c r="V16" s="371">
        <v>0.4</v>
      </c>
      <c r="W16" s="371">
        <v>0.75</v>
      </c>
      <c r="X16" s="371">
        <v>0.75</v>
      </c>
      <c r="Y16" s="371">
        <v>0.75</v>
      </c>
      <c r="Z16" s="371">
        <v>0.75</v>
      </c>
      <c r="AA16" s="371">
        <v>1</v>
      </c>
      <c r="AB16" s="371">
        <v>1</v>
      </c>
      <c r="AC16" s="372">
        <v>1</v>
      </c>
      <c r="AD16" s="39"/>
      <c r="AE16" s="39"/>
      <c r="AF16" s="39"/>
      <c r="AG16" s="39"/>
      <c r="AH16" s="39"/>
      <c r="AI16" s="39"/>
      <c r="AJ16" s="39"/>
      <c r="AK16" s="39"/>
      <c r="AM16" s="47"/>
    </row>
    <row r="17" spans="1:39" ht="38.700000000000003" customHeight="1" x14ac:dyDescent="0.3">
      <c r="A17" s="1057"/>
      <c r="B17" s="1060"/>
      <c r="C17" s="1060"/>
      <c r="D17" s="1072"/>
      <c r="E17" s="310" t="s">
        <v>475</v>
      </c>
      <c r="F17" s="303">
        <v>0.9</v>
      </c>
      <c r="G17" s="303">
        <v>0.9</v>
      </c>
      <c r="H17" s="303">
        <v>0.9</v>
      </c>
      <c r="I17" s="303">
        <v>0.9</v>
      </c>
      <c r="J17" s="303">
        <v>0.9</v>
      </c>
      <c r="K17" s="303">
        <v>0.65</v>
      </c>
      <c r="L17" s="303">
        <v>0.65</v>
      </c>
      <c r="M17" s="303">
        <v>0.65</v>
      </c>
      <c r="N17" s="303">
        <v>0.3</v>
      </c>
      <c r="O17" s="303">
        <v>0.3</v>
      </c>
      <c r="P17" s="303">
        <v>0.3</v>
      </c>
      <c r="Q17" s="303">
        <v>0.3</v>
      </c>
      <c r="R17" s="303">
        <v>0.3</v>
      </c>
      <c r="S17" s="303">
        <v>0.3</v>
      </c>
      <c r="T17" s="303">
        <v>0.3</v>
      </c>
      <c r="U17" s="303">
        <v>0.3</v>
      </c>
      <c r="V17" s="303">
        <v>0.3</v>
      </c>
      <c r="W17" s="303">
        <v>0.7</v>
      </c>
      <c r="X17" s="303">
        <v>0.7</v>
      </c>
      <c r="Y17" s="303">
        <v>0.7</v>
      </c>
      <c r="Z17" s="303">
        <v>0.7</v>
      </c>
      <c r="AA17" s="303">
        <v>0.9</v>
      </c>
      <c r="AB17" s="303">
        <v>0.9</v>
      </c>
      <c r="AC17" s="373">
        <v>0.9</v>
      </c>
      <c r="AD17" s="39"/>
      <c r="AE17" s="39"/>
      <c r="AF17" s="39"/>
      <c r="AG17" s="39"/>
      <c r="AH17" s="39"/>
      <c r="AI17" s="39"/>
      <c r="AJ17" s="39"/>
      <c r="AK17" s="39"/>
      <c r="AM17" s="47"/>
    </row>
    <row r="18" spans="1:39" ht="38.700000000000003" customHeight="1" thickBot="1" x14ac:dyDescent="0.35">
      <c r="A18" s="1058"/>
      <c r="B18" s="1061"/>
      <c r="C18" s="1061"/>
      <c r="D18" s="1073"/>
      <c r="E18" s="324" t="s">
        <v>477</v>
      </c>
      <c r="F18" s="327">
        <f>F17</f>
        <v>0.9</v>
      </c>
      <c r="G18" s="327">
        <f t="shared" ref="G18:AB18" si="0">G17</f>
        <v>0.9</v>
      </c>
      <c r="H18" s="327">
        <f t="shared" si="0"/>
        <v>0.9</v>
      </c>
      <c r="I18" s="327">
        <f t="shared" si="0"/>
        <v>0.9</v>
      </c>
      <c r="J18" s="327">
        <f t="shared" si="0"/>
        <v>0.9</v>
      </c>
      <c r="K18" s="327">
        <f t="shared" si="0"/>
        <v>0.65</v>
      </c>
      <c r="L18" s="327">
        <f t="shared" si="0"/>
        <v>0.65</v>
      </c>
      <c r="M18" s="327">
        <f t="shared" si="0"/>
        <v>0.65</v>
      </c>
      <c r="N18" s="327">
        <f t="shared" si="0"/>
        <v>0.3</v>
      </c>
      <c r="O18" s="327">
        <f t="shared" si="0"/>
        <v>0.3</v>
      </c>
      <c r="P18" s="327">
        <f t="shared" si="0"/>
        <v>0.3</v>
      </c>
      <c r="Q18" s="327">
        <f t="shared" si="0"/>
        <v>0.3</v>
      </c>
      <c r="R18" s="327">
        <f t="shared" si="0"/>
        <v>0.3</v>
      </c>
      <c r="S18" s="327">
        <f t="shared" si="0"/>
        <v>0.3</v>
      </c>
      <c r="T18" s="327">
        <f t="shared" si="0"/>
        <v>0.3</v>
      </c>
      <c r="U18" s="327">
        <f t="shared" si="0"/>
        <v>0.3</v>
      </c>
      <c r="V18" s="327">
        <f t="shared" si="0"/>
        <v>0.3</v>
      </c>
      <c r="W18" s="327">
        <f t="shared" si="0"/>
        <v>0.7</v>
      </c>
      <c r="X18" s="327">
        <f t="shared" si="0"/>
        <v>0.7</v>
      </c>
      <c r="Y18" s="327">
        <f t="shared" si="0"/>
        <v>0.7</v>
      </c>
      <c r="Z18" s="327">
        <f t="shared" si="0"/>
        <v>0.7</v>
      </c>
      <c r="AA18" s="327">
        <f t="shared" si="0"/>
        <v>0.9</v>
      </c>
      <c r="AB18" s="327">
        <f t="shared" si="0"/>
        <v>0.9</v>
      </c>
      <c r="AC18" s="563">
        <f>AC17</f>
        <v>0.9</v>
      </c>
      <c r="AD18" s="39"/>
      <c r="AE18" s="39"/>
      <c r="AF18" s="39"/>
      <c r="AG18" s="39"/>
      <c r="AH18" s="39"/>
      <c r="AI18" s="39"/>
      <c r="AJ18" s="39"/>
      <c r="AK18" s="39"/>
      <c r="AM18" s="47"/>
    </row>
    <row r="19" spans="1:39" ht="33" customHeight="1" x14ac:dyDescent="0.3">
      <c r="A19" s="1056" t="str">
        <f>A7</f>
        <v>Service and Back Up prep in Basement</v>
      </c>
      <c r="B19" s="1059" t="str">
        <f>B7</f>
        <v>ServiceAndBackUpPrep</v>
      </c>
      <c r="C19" s="1059" t="s">
        <v>337</v>
      </c>
      <c r="D19" s="1062"/>
      <c r="E19" s="530" t="s">
        <v>468</v>
      </c>
      <c r="F19" s="863">
        <f>IF(F13=1,0.25,1)</f>
        <v>0.25</v>
      </c>
      <c r="G19" s="863">
        <f t="shared" ref="G19:AC21" si="1">IF(G13=1,0.25,1)</f>
        <v>0.25</v>
      </c>
      <c r="H19" s="863">
        <f t="shared" si="1"/>
        <v>0.25</v>
      </c>
      <c r="I19" s="863">
        <f t="shared" si="1"/>
        <v>0.25</v>
      </c>
      <c r="J19" s="863">
        <f t="shared" si="1"/>
        <v>0.25</v>
      </c>
      <c r="K19" s="863">
        <f t="shared" si="1"/>
        <v>0.25</v>
      </c>
      <c r="L19" s="863">
        <f t="shared" si="1"/>
        <v>0.25</v>
      </c>
      <c r="M19" s="863">
        <f t="shared" si="1"/>
        <v>0.25</v>
      </c>
      <c r="N19" s="863">
        <f t="shared" si="1"/>
        <v>0.25</v>
      </c>
      <c r="O19" s="863">
        <f t="shared" si="1"/>
        <v>0.25</v>
      </c>
      <c r="P19" s="863">
        <f t="shared" si="1"/>
        <v>0.25</v>
      </c>
      <c r="Q19" s="863">
        <f t="shared" si="1"/>
        <v>0.25</v>
      </c>
      <c r="R19" s="863">
        <f t="shared" si="1"/>
        <v>0.25</v>
      </c>
      <c r="S19" s="863">
        <f t="shared" si="1"/>
        <v>0.25</v>
      </c>
      <c r="T19" s="863">
        <f t="shared" si="1"/>
        <v>0.25</v>
      </c>
      <c r="U19" s="863">
        <f t="shared" si="1"/>
        <v>0.25</v>
      </c>
      <c r="V19" s="863">
        <f t="shared" si="1"/>
        <v>0.25</v>
      </c>
      <c r="W19" s="863">
        <f t="shared" si="1"/>
        <v>0.25</v>
      </c>
      <c r="X19" s="863">
        <f t="shared" si="1"/>
        <v>0.25</v>
      </c>
      <c r="Y19" s="863">
        <f t="shared" si="1"/>
        <v>0.25</v>
      </c>
      <c r="Z19" s="863">
        <f t="shared" si="1"/>
        <v>0.25</v>
      </c>
      <c r="AA19" s="863">
        <f t="shared" si="1"/>
        <v>0.25</v>
      </c>
      <c r="AB19" s="863">
        <f t="shared" si="1"/>
        <v>0.25</v>
      </c>
      <c r="AC19" s="545">
        <f t="shared" si="1"/>
        <v>0.25</v>
      </c>
    </row>
    <row r="20" spans="1:39" ht="33" customHeight="1" x14ac:dyDescent="0.3">
      <c r="A20" s="1057"/>
      <c r="B20" s="1060"/>
      <c r="C20" s="1060"/>
      <c r="D20" s="1063"/>
      <c r="E20" s="533" t="s">
        <v>475</v>
      </c>
      <c r="F20" s="864">
        <f t="shared" ref="F20:U21" si="2">IF(F14=1,0.25,1)</f>
        <v>0.25</v>
      </c>
      <c r="G20" s="864">
        <f t="shared" si="2"/>
        <v>0.25</v>
      </c>
      <c r="H20" s="864">
        <f t="shared" si="2"/>
        <v>0.25</v>
      </c>
      <c r="I20" s="864">
        <f t="shared" si="2"/>
        <v>0.25</v>
      </c>
      <c r="J20" s="864">
        <f t="shared" si="2"/>
        <v>0.25</v>
      </c>
      <c r="K20" s="864">
        <f t="shared" si="2"/>
        <v>0.25</v>
      </c>
      <c r="L20" s="864">
        <f t="shared" si="2"/>
        <v>0.25</v>
      </c>
      <c r="M20" s="864">
        <f t="shared" si="2"/>
        <v>0.25</v>
      </c>
      <c r="N20" s="864">
        <f t="shared" si="2"/>
        <v>0.25</v>
      </c>
      <c r="O20" s="864">
        <f t="shared" si="2"/>
        <v>0.25</v>
      </c>
      <c r="P20" s="864">
        <f t="shared" si="2"/>
        <v>0.25</v>
      </c>
      <c r="Q20" s="864">
        <f t="shared" si="2"/>
        <v>0.25</v>
      </c>
      <c r="R20" s="864">
        <f t="shared" si="2"/>
        <v>0.25</v>
      </c>
      <c r="S20" s="864">
        <f t="shared" si="2"/>
        <v>0.25</v>
      </c>
      <c r="T20" s="864">
        <f t="shared" si="2"/>
        <v>0.25</v>
      </c>
      <c r="U20" s="864">
        <f t="shared" si="2"/>
        <v>0.25</v>
      </c>
      <c r="V20" s="864">
        <f t="shared" si="1"/>
        <v>0.25</v>
      </c>
      <c r="W20" s="864">
        <f t="shared" si="1"/>
        <v>0.25</v>
      </c>
      <c r="X20" s="864">
        <f t="shared" si="1"/>
        <v>0.25</v>
      </c>
      <c r="Y20" s="864">
        <f t="shared" si="1"/>
        <v>0.25</v>
      </c>
      <c r="Z20" s="864">
        <f t="shared" si="1"/>
        <v>0.25</v>
      </c>
      <c r="AA20" s="864">
        <f t="shared" si="1"/>
        <v>0.25</v>
      </c>
      <c r="AB20" s="864">
        <f t="shared" si="1"/>
        <v>0.25</v>
      </c>
      <c r="AC20" s="546">
        <f t="shared" si="1"/>
        <v>0.25</v>
      </c>
    </row>
    <row r="21" spans="1:39" ht="33" customHeight="1" thickBot="1" x14ac:dyDescent="0.35">
      <c r="A21" s="1058"/>
      <c r="B21" s="1061"/>
      <c r="C21" s="1061"/>
      <c r="D21" s="1064"/>
      <c r="E21" s="535" t="s">
        <v>477</v>
      </c>
      <c r="F21" s="865">
        <f t="shared" si="2"/>
        <v>0.25</v>
      </c>
      <c r="G21" s="865">
        <f t="shared" si="1"/>
        <v>0.25</v>
      </c>
      <c r="H21" s="865">
        <f t="shared" si="1"/>
        <v>0.25</v>
      </c>
      <c r="I21" s="865">
        <f t="shared" si="1"/>
        <v>0.25</v>
      </c>
      <c r="J21" s="865">
        <f t="shared" si="1"/>
        <v>0.25</v>
      </c>
      <c r="K21" s="865">
        <f t="shared" si="1"/>
        <v>0.25</v>
      </c>
      <c r="L21" s="865">
        <f t="shared" si="1"/>
        <v>0.25</v>
      </c>
      <c r="M21" s="865">
        <f t="shared" si="1"/>
        <v>0.25</v>
      </c>
      <c r="N21" s="865">
        <f t="shared" si="1"/>
        <v>0.25</v>
      </c>
      <c r="O21" s="865">
        <f t="shared" si="1"/>
        <v>0.25</v>
      </c>
      <c r="P21" s="865">
        <f t="shared" si="1"/>
        <v>0.25</v>
      </c>
      <c r="Q21" s="865">
        <f t="shared" si="1"/>
        <v>0.25</v>
      </c>
      <c r="R21" s="865">
        <f t="shared" si="1"/>
        <v>0.25</v>
      </c>
      <c r="S21" s="865">
        <f t="shared" si="1"/>
        <v>0.25</v>
      </c>
      <c r="T21" s="865">
        <f t="shared" si="1"/>
        <v>0.25</v>
      </c>
      <c r="U21" s="865">
        <f t="shared" si="1"/>
        <v>0.25</v>
      </c>
      <c r="V21" s="865">
        <f t="shared" si="1"/>
        <v>0.25</v>
      </c>
      <c r="W21" s="865">
        <f t="shared" si="1"/>
        <v>0.25</v>
      </c>
      <c r="X21" s="865">
        <f t="shared" si="1"/>
        <v>0.25</v>
      </c>
      <c r="Y21" s="865">
        <f t="shared" si="1"/>
        <v>0.25</v>
      </c>
      <c r="Z21" s="865">
        <f t="shared" si="1"/>
        <v>0.25</v>
      </c>
      <c r="AA21" s="865">
        <f t="shared" si="1"/>
        <v>0.25</v>
      </c>
      <c r="AB21" s="865">
        <f t="shared" si="1"/>
        <v>0.25</v>
      </c>
      <c r="AC21" s="547">
        <f t="shared" si="1"/>
        <v>0.25</v>
      </c>
    </row>
    <row r="22" spans="1:39" ht="33" customHeight="1" x14ac:dyDescent="0.3">
      <c r="A22" s="1056" t="str">
        <f>A10</f>
        <v>Service and Back Up prep in Basement</v>
      </c>
      <c r="B22" s="1059" t="str">
        <f>B10</f>
        <v>ServiceAndBackUpPrep</v>
      </c>
      <c r="C22" s="1059" t="s">
        <v>770</v>
      </c>
      <c r="D22" s="1062"/>
      <c r="E22" s="530" t="s">
        <v>468</v>
      </c>
      <c r="F22" s="863">
        <f>IF(F13=1,Thermostat!$B$3,Thermostat!$B$4)</f>
        <v>70</v>
      </c>
      <c r="G22" s="863">
        <f>IF(G13=1,Thermostat!$B$3,Thermostat!$B$4)</f>
        <v>70</v>
      </c>
      <c r="H22" s="863">
        <f>IF(H13=1,Thermostat!$B$3,Thermostat!$B$4)</f>
        <v>70</v>
      </c>
      <c r="I22" s="863">
        <f>IF(I13=1,Thermostat!$B$3,Thermostat!$B$4)</f>
        <v>70</v>
      </c>
      <c r="J22" s="863">
        <f>IF(J13=1,Thermostat!$B$3,Thermostat!$B$4)</f>
        <v>70</v>
      </c>
      <c r="K22" s="863">
        <f>IF(K13=1,Thermostat!$B$3,Thermostat!$B$4)</f>
        <v>70</v>
      </c>
      <c r="L22" s="863">
        <f>IF(L13=1,Thermostat!$B$3,Thermostat!$B$4)</f>
        <v>70</v>
      </c>
      <c r="M22" s="863">
        <f>IF(M13=1,Thermostat!$B$3,Thermostat!$B$4)</f>
        <v>70</v>
      </c>
      <c r="N22" s="863">
        <f>IF(N13=1,Thermostat!$B$3,Thermostat!$B$4)</f>
        <v>70</v>
      </c>
      <c r="O22" s="863">
        <f>IF(O13=1,Thermostat!$B$3,Thermostat!$B$4)</f>
        <v>70</v>
      </c>
      <c r="P22" s="863">
        <f>IF(P13=1,Thermostat!$B$3,Thermostat!$B$4)</f>
        <v>70</v>
      </c>
      <c r="Q22" s="863">
        <f>IF(Q13=1,Thermostat!$B$3,Thermostat!$B$4)</f>
        <v>70</v>
      </c>
      <c r="R22" s="863">
        <f>IF(R13=1,Thermostat!$B$3,Thermostat!$B$4)</f>
        <v>70</v>
      </c>
      <c r="S22" s="863">
        <f>IF(S13=1,Thermostat!$B$3,Thermostat!$B$4)</f>
        <v>70</v>
      </c>
      <c r="T22" s="863">
        <f>IF(T13=1,Thermostat!$B$3,Thermostat!$B$4)</f>
        <v>70</v>
      </c>
      <c r="U22" s="863">
        <f>IF(U13=1,Thermostat!$B$3,Thermostat!$B$4)</f>
        <v>70</v>
      </c>
      <c r="V22" s="863">
        <f>IF(V13=1,Thermostat!$B$3,Thermostat!$B$4)</f>
        <v>70</v>
      </c>
      <c r="W22" s="863">
        <f>IF(W13=1,Thermostat!$B$3,Thermostat!$B$4)</f>
        <v>70</v>
      </c>
      <c r="X22" s="863">
        <f>IF(X13=1,Thermostat!$B$3,Thermostat!$B$4)</f>
        <v>70</v>
      </c>
      <c r="Y22" s="863">
        <f>IF(Y13=1,Thermostat!$B$3,Thermostat!$B$4)</f>
        <v>70</v>
      </c>
      <c r="Z22" s="863">
        <f>IF(Z13=1,Thermostat!$B$3,Thermostat!$B$4)</f>
        <v>70</v>
      </c>
      <c r="AA22" s="863">
        <f>IF(AA13=1,Thermostat!$B$3,Thermostat!$B$4)</f>
        <v>70</v>
      </c>
      <c r="AB22" s="863">
        <f>IF(AB13=1,Thermostat!$B$3,Thermostat!$B$4)</f>
        <v>70</v>
      </c>
      <c r="AC22" s="545">
        <f>IF(AC13=1,Thermostat!$B$3,Thermostat!$B$4)</f>
        <v>70</v>
      </c>
    </row>
    <row r="23" spans="1:39" ht="33" customHeight="1" x14ac:dyDescent="0.3">
      <c r="A23" s="1057"/>
      <c r="B23" s="1060"/>
      <c r="C23" s="1060"/>
      <c r="D23" s="1063"/>
      <c r="E23" s="533" t="s">
        <v>475</v>
      </c>
      <c r="F23" s="864">
        <f>IF(F14=1,Thermostat!$B$3,Thermostat!$B$4)</f>
        <v>70</v>
      </c>
      <c r="G23" s="864">
        <f>IF(G14=1,Thermostat!$B$3,Thermostat!$B$4)</f>
        <v>70</v>
      </c>
      <c r="H23" s="864">
        <f>IF(H14=1,Thermostat!$B$3,Thermostat!$B$4)</f>
        <v>70</v>
      </c>
      <c r="I23" s="864">
        <f>IF(I14=1,Thermostat!$B$3,Thermostat!$B$4)</f>
        <v>70</v>
      </c>
      <c r="J23" s="864">
        <f>IF(J14=1,Thermostat!$B$3,Thermostat!$B$4)</f>
        <v>70</v>
      </c>
      <c r="K23" s="864">
        <f>IF(K14=1,Thermostat!$B$3,Thermostat!$B$4)</f>
        <v>70</v>
      </c>
      <c r="L23" s="864">
        <f>IF(L14=1,Thermostat!$B$3,Thermostat!$B$4)</f>
        <v>70</v>
      </c>
      <c r="M23" s="864">
        <f>IF(M14=1,Thermostat!$B$3,Thermostat!$B$4)</f>
        <v>70</v>
      </c>
      <c r="N23" s="864">
        <f>IF(N14=1,Thermostat!$B$3,Thermostat!$B$4)</f>
        <v>70</v>
      </c>
      <c r="O23" s="864">
        <f>IF(O14=1,Thermostat!$B$3,Thermostat!$B$4)</f>
        <v>70</v>
      </c>
      <c r="P23" s="864">
        <f>IF(P14=1,Thermostat!$B$3,Thermostat!$B$4)</f>
        <v>70</v>
      </c>
      <c r="Q23" s="864">
        <f>IF(Q14=1,Thermostat!$B$3,Thermostat!$B$4)</f>
        <v>70</v>
      </c>
      <c r="R23" s="864">
        <f>IF(R14=1,Thermostat!$B$3,Thermostat!$B$4)</f>
        <v>70</v>
      </c>
      <c r="S23" s="864">
        <f>IF(S14=1,Thermostat!$B$3,Thermostat!$B$4)</f>
        <v>70</v>
      </c>
      <c r="T23" s="864">
        <f>IF(T14=1,Thermostat!$B$3,Thermostat!$B$4)</f>
        <v>70</v>
      </c>
      <c r="U23" s="864">
        <f>IF(U14=1,Thermostat!$B$3,Thermostat!$B$4)</f>
        <v>70</v>
      </c>
      <c r="V23" s="864">
        <f>IF(V14=1,Thermostat!$B$3,Thermostat!$B$4)</f>
        <v>70</v>
      </c>
      <c r="W23" s="864">
        <f>IF(W14=1,Thermostat!$B$3,Thermostat!$B$4)</f>
        <v>70</v>
      </c>
      <c r="X23" s="864">
        <f>IF(X14=1,Thermostat!$B$3,Thermostat!$B$4)</f>
        <v>70</v>
      </c>
      <c r="Y23" s="864">
        <f>IF(Y14=1,Thermostat!$B$3,Thermostat!$B$4)</f>
        <v>70</v>
      </c>
      <c r="Z23" s="864">
        <f>IF(Z14=1,Thermostat!$B$3,Thermostat!$B$4)</f>
        <v>70</v>
      </c>
      <c r="AA23" s="864">
        <f>IF(AA14=1,Thermostat!$B$3,Thermostat!$B$4)</f>
        <v>70</v>
      </c>
      <c r="AB23" s="864">
        <f>IF(AB14=1,Thermostat!$B$3,Thermostat!$B$4)</f>
        <v>70</v>
      </c>
      <c r="AC23" s="546">
        <f>IF(AC14=1,Thermostat!$B$3,Thermostat!$B$4)</f>
        <v>70</v>
      </c>
    </row>
    <row r="24" spans="1:39" ht="33" customHeight="1" thickBot="1" x14ac:dyDescent="0.35">
      <c r="A24" s="1058"/>
      <c r="B24" s="1061"/>
      <c r="C24" s="1061"/>
      <c r="D24" s="1064"/>
      <c r="E24" s="535" t="s">
        <v>477</v>
      </c>
      <c r="F24" s="865">
        <f>IF(F15=1,Thermostat!$B$3,Thermostat!$B$4)</f>
        <v>70</v>
      </c>
      <c r="G24" s="865">
        <f>IF(G15=1,Thermostat!$B$3,Thermostat!$B$4)</f>
        <v>70</v>
      </c>
      <c r="H24" s="865">
        <f>IF(H15=1,Thermostat!$B$3,Thermostat!$B$4)</f>
        <v>70</v>
      </c>
      <c r="I24" s="865">
        <f>IF(I15=1,Thermostat!$B$3,Thermostat!$B$4)</f>
        <v>70</v>
      </c>
      <c r="J24" s="865">
        <f>IF(J15=1,Thermostat!$B$3,Thermostat!$B$4)</f>
        <v>70</v>
      </c>
      <c r="K24" s="865">
        <f>IF(K15=1,Thermostat!$B$3,Thermostat!$B$4)</f>
        <v>70</v>
      </c>
      <c r="L24" s="865">
        <f>IF(L15=1,Thermostat!$B$3,Thermostat!$B$4)</f>
        <v>70</v>
      </c>
      <c r="M24" s="865">
        <f>IF(M15=1,Thermostat!$B$3,Thermostat!$B$4)</f>
        <v>70</v>
      </c>
      <c r="N24" s="865">
        <f>IF(N15=1,Thermostat!$B$3,Thermostat!$B$4)</f>
        <v>70</v>
      </c>
      <c r="O24" s="865">
        <f>IF(O15=1,Thermostat!$B$3,Thermostat!$B$4)</f>
        <v>70</v>
      </c>
      <c r="P24" s="865">
        <f>IF(P15=1,Thermostat!$B$3,Thermostat!$B$4)</f>
        <v>70</v>
      </c>
      <c r="Q24" s="865">
        <f>IF(Q15=1,Thermostat!$B$3,Thermostat!$B$4)</f>
        <v>70</v>
      </c>
      <c r="R24" s="865">
        <f>IF(R15=1,Thermostat!$B$3,Thermostat!$B$4)</f>
        <v>70</v>
      </c>
      <c r="S24" s="865">
        <f>IF(S15=1,Thermostat!$B$3,Thermostat!$B$4)</f>
        <v>70</v>
      </c>
      <c r="T24" s="865">
        <f>IF(T15=1,Thermostat!$B$3,Thermostat!$B$4)</f>
        <v>70</v>
      </c>
      <c r="U24" s="865">
        <f>IF(U15=1,Thermostat!$B$3,Thermostat!$B$4)</f>
        <v>70</v>
      </c>
      <c r="V24" s="865">
        <f>IF(V15=1,Thermostat!$B$3,Thermostat!$B$4)</f>
        <v>70</v>
      </c>
      <c r="W24" s="865">
        <f>IF(W15=1,Thermostat!$B$3,Thermostat!$B$4)</f>
        <v>70</v>
      </c>
      <c r="X24" s="865">
        <f>IF(X15=1,Thermostat!$B$3,Thermostat!$B$4)</f>
        <v>70</v>
      </c>
      <c r="Y24" s="865">
        <f>IF(Y15=1,Thermostat!$B$3,Thermostat!$B$4)</f>
        <v>70</v>
      </c>
      <c r="Z24" s="865">
        <f>IF(Z15=1,Thermostat!$B$3,Thermostat!$B$4)</f>
        <v>70</v>
      </c>
      <c r="AA24" s="865">
        <f>IF(AA15=1,Thermostat!$B$3,Thermostat!$B$4)</f>
        <v>70</v>
      </c>
      <c r="AB24" s="865">
        <f>IF(AB15=1,Thermostat!$B$3,Thermostat!$B$4)</f>
        <v>70</v>
      </c>
      <c r="AC24" s="547">
        <f>IF(AC15=1,Thermostat!$B$3,Thermostat!$B$4)</f>
        <v>70</v>
      </c>
    </row>
    <row r="25" spans="1:39" ht="33" customHeight="1" x14ac:dyDescent="0.3">
      <c r="A25" s="1056" t="str">
        <f>A13</f>
        <v>Service and Back Up prep in Basement</v>
      </c>
      <c r="B25" s="1059" t="str">
        <f>B13</f>
        <v>ServiceAndBackUpPrep</v>
      </c>
      <c r="C25" s="1059" t="s">
        <v>771</v>
      </c>
      <c r="D25" s="1065"/>
      <c r="E25" s="530" t="s">
        <v>468</v>
      </c>
      <c r="F25" s="863">
        <f>IF(F13=1,Thermostat!$B$5,Thermostat!$B$6)</f>
        <v>75</v>
      </c>
      <c r="G25" s="863">
        <f>IF(G13=1,Thermostat!$B$5,Thermostat!$B$6)</f>
        <v>75</v>
      </c>
      <c r="H25" s="863">
        <f>IF(H13=1,Thermostat!$B$5,Thermostat!$B$6)</f>
        <v>75</v>
      </c>
      <c r="I25" s="863">
        <f>IF(I13=1,Thermostat!$B$5,Thermostat!$B$6)</f>
        <v>75</v>
      </c>
      <c r="J25" s="863">
        <f>IF(J13=1,Thermostat!$B$5,Thermostat!$B$6)</f>
        <v>75</v>
      </c>
      <c r="K25" s="863">
        <f>IF(K13=1,Thermostat!$B$5,Thermostat!$B$6)</f>
        <v>75</v>
      </c>
      <c r="L25" s="863">
        <f>IF(L13=1,Thermostat!$B$5,Thermostat!$B$6)</f>
        <v>75</v>
      </c>
      <c r="M25" s="863">
        <f>IF(M13=1,Thermostat!$B$5,Thermostat!$B$6)</f>
        <v>75</v>
      </c>
      <c r="N25" s="863">
        <f>IF(N13=1,Thermostat!$B$5,Thermostat!$B$6)</f>
        <v>75</v>
      </c>
      <c r="O25" s="863">
        <f>IF(O13=1,Thermostat!$B$5,Thermostat!$B$6)</f>
        <v>75</v>
      </c>
      <c r="P25" s="863">
        <f>IF(P13=1,Thermostat!$B$5,Thermostat!$B$6)</f>
        <v>75</v>
      </c>
      <c r="Q25" s="863">
        <f>IF(Q13=1,Thermostat!$B$5,Thermostat!$B$6)</f>
        <v>75</v>
      </c>
      <c r="R25" s="863">
        <f>IF(R13=1,Thermostat!$B$5,Thermostat!$B$6)</f>
        <v>75</v>
      </c>
      <c r="S25" s="863">
        <f>IF(S13=1,Thermostat!$B$5,Thermostat!$B$6)</f>
        <v>75</v>
      </c>
      <c r="T25" s="863">
        <f>IF(T13=1,Thermostat!$B$5,Thermostat!$B$6)</f>
        <v>75</v>
      </c>
      <c r="U25" s="863">
        <f>IF(U13=1,Thermostat!$B$5,Thermostat!$B$6)</f>
        <v>75</v>
      </c>
      <c r="V25" s="863">
        <f>IF(V13=1,Thermostat!$B$5,Thermostat!$B$6)</f>
        <v>75</v>
      </c>
      <c r="W25" s="863">
        <f>IF(W13=1,Thermostat!$B$5,Thermostat!$B$6)</f>
        <v>75</v>
      </c>
      <c r="X25" s="863">
        <f>IF(X13=1,Thermostat!$B$5,Thermostat!$B$6)</f>
        <v>75</v>
      </c>
      <c r="Y25" s="863">
        <f>IF(Y13=1,Thermostat!$B$5,Thermostat!$B$6)</f>
        <v>75</v>
      </c>
      <c r="Z25" s="863">
        <f>IF(Z13=1,Thermostat!$B$5,Thermostat!$B$6)</f>
        <v>75</v>
      </c>
      <c r="AA25" s="863">
        <f>IF(AA13=1,Thermostat!$B$5,Thermostat!$B$6)</f>
        <v>75</v>
      </c>
      <c r="AB25" s="863">
        <f>IF(AB13=1,Thermostat!$B$5,Thermostat!$B$6)</f>
        <v>75</v>
      </c>
      <c r="AC25" s="545">
        <f>IF(AC13=1,Thermostat!$B$5,Thermostat!$B$6)</f>
        <v>75</v>
      </c>
    </row>
    <row r="26" spans="1:39" ht="33" customHeight="1" x14ac:dyDescent="0.3">
      <c r="A26" s="1057"/>
      <c r="B26" s="1060"/>
      <c r="C26" s="1060"/>
      <c r="D26" s="1066"/>
      <c r="E26" s="533" t="s">
        <v>475</v>
      </c>
      <c r="F26" s="864">
        <f>IF(F14=1,Thermostat!$B$5,Thermostat!$B$6)</f>
        <v>75</v>
      </c>
      <c r="G26" s="864">
        <f>IF(G14=1,Thermostat!$B$5,Thermostat!$B$6)</f>
        <v>75</v>
      </c>
      <c r="H26" s="864">
        <f>IF(H14=1,Thermostat!$B$5,Thermostat!$B$6)</f>
        <v>75</v>
      </c>
      <c r="I26" s="864">
        <f>IF(I14=1,Thermostat!$B$5,Thermostat!$B$6)</f>
        <v>75</v>
      </c>
      <c r="J26" s="864">
        <f>IF(J14=1,Thermostat!$B$5,Thermostat!$B$6)</f>
        <v>75</v>
      </c>
      <c r="K26" s="864">
        <f>IF(K14=1,Thermostat!$B$5,Thermostat!$B$6)</f>
        <v>75</v>
      </c>
      <c r="L26" s="864">
        <f>IF(L14=1,Thermostat!$B$5,Thermostat!$B$6)</f>
        <v>75</v>
      </c>
      <c r="M26" s="864">
        <f>IF(M14=1,Thermostat!$B$5,Thermostat!$B$6)</f>
        <v>75</v>
      </c>
      <c r="N26" s="864">
        <f>IF(N14=1,Thermostat!$B$5,Thermostat!$B$6)</f>
        <v>75</v>
      </c>
      <c r="O26" s="864">
        <f>IF(O14=1,Thermostat!$B$5,Thermostat!$B$6)</f>
        <v>75</v>
      </c>
      <c r="P26" s="864">
        <f>IF(P14=1,Thermostat!$B$5,Thermostat!$B$6)</f>
        <v>75</v>
      </c>
      <c r="Q26" s="864">
        <f>IF(Q14=1,Thermostat!$B$5,Thermostat!$B$6)</f>
        <v>75</v>
      </c>
      <c r="R26" s="864">
        <f>IF(R14=1,Thermostat!$B$5,Thermostat!$B$6)</f>
        <v>75</v>
      </c>
      <c r="S26" s="864">
        <f>IF(S14=1,Thermostat!$B$5,Thermostat!$B$6)</f>
        <v>75</v>
      </c>
      <c r="T26" s="864">
        <f>IF(T14=1,Thermostat!$B$5,Thermostat!$B$6)</f>
        <v>75</v>
      </c>
      <c r="U26" s="864">
        <f>IF(U14=1,Thermostat!$B$5,Thermostat!$B$6)</f>
        <v>75</v>
      </c>
      <c r="V26" s="864">
        <f>IF(V14=1,Thermostat!$B$5,Thermostat!$B$6)</f>
        <v>75</v>
      </c>
      <c r="W26" s="864">
        <f>IF(W14=1,Thermostat!$B$5,Thermostat!$B$6)</f>
        <v>75</v>
      </c>
      <c r="X26" s="864">
        <f>IF(X14=1,Thermostat!$B$5,Thermostat!$B$6)</f>
        <v>75</v>
      </c>
      <c r="Y26" s="864">
        <f>IF(Y14=1,Thermostat!$B$5,Thermostat!$B$6)</f>
        <v>75</v>
      </c>
      <c r="Z26" s="864">
        <f>IF(Z14=1,Thermostat!$B$5,Thermostat!$B$6)</f>
        <v>75</v>
      </c>
      <c r="AA26" s="864">
        <f>IF(AA14=1,Thermostat!$B$5,Thermostat!$B$6)</f>
        <v>75</v>
      </c>
      <c r="AB26" s="864">
        <f>IF(AB14=1,Thermostat!$B$5,Thermostat!$B$6)</f>
        <v>75</v>
      </c>
      <c r="AC26" s="546">
        <f>IF(AC14=1,Thermostat!$B$5,Thermostat!$B$6)</f>
        <v>75</v>
      </c>
    </row>
    <row r="27" spans="1:39" ht="33" customHeight="1" thickBot="1" x14ac:dyDescent="0.35">
      <c r="A27" s="1058"/>
      <c r="B27" s="1061"/>
      <c r="C27" s="1061"/>
      <c r="D27" s="1067"/>
      <c r="E27" s="535" t="s">
        <v>477</v>
      </c>
      <c r="F27" s="865">
        <f>IF(F15=1,Thermostat!$B$5,Thermostat!$B$6)</f>
        <v>75</v>
      </c>
      <c r="G27" s="865">
        <f>IF(G15=1,Thermostat!$B$5,Thermostat!$B$6)</f>
        <v>75</v>
      </c>
      <c r="H27" s="865">
        <f>IF(H15=1,Thermostat!$B$5,Thermostat!$B$6)</f>
        <v>75</v>
      </c>
      <c r="I27" s="865">
        <f>IF(I15=1,Thermostat!$B$5,Thermostat!$B$6)</f>
        <v>75</v>
      </c>
      <c r="J27" s="865">
        <f>IF(J15=1,Thermostat!$B$5,Thermostat!$B$6)</f>
        <v>75</v>
      </c>
      <c r="K27" s="865">
        <f>IF(K15=1,Thermostat!$B$5,Thermostat!$B$6)</f>
        <v>75</v>
      </c>
      <c r="L27" s="865">
        <f>IF(L15=1,Thermostat!$B$5,Thermostat!$B$6)</f>
        <v>75</v>
      </c>
      <c r="M27" s="865">
        <f>IF(M15=1,Thermostat!$B$5,Thermostat!$B$6)</f>
        <v>75</v>
      </c>
      <c r="N27" s="865">
        <f>IF(N15=1,Thermostat!$B$5,Thermostat!$B$6)</f>
        <v>75</v>
      </c>
      <c r="O27" s="865">
        <f>IF(O15=1,Thermostat!$B$5,Thermostat!$B$6)</f>
        <v>75</v>
      </c>
      <c r="P27" s="865">
        <f>IF(P15=1,Thermostat!$B$5,Thermostat!$B$6)</f>
        <v>75</v>
      </c>
      <c r="Q27" s="865">
        <f>IF(Q15=1,Thermostat!$B$5,Thermostat!$B$6)</f>
        <v>75</v>
      </c>
      <c r="R27" s="865">
        <f>IF(R15=1,Thermostat!$B$5,Thermostat!$B$6)</f>
        <v>75</v>
      </c>
      <c r="S27" s="865">
        <f>IF(S15=1,Thermostat!$B$5,Thermostat!$B$6)</f>
        <v>75</v>
      </c>
      <c r="T27" s="865">
        <f>IF(T15=1,Thermostat!$B$5,Thermostat!$B$6)</f>
        <v>75</v>
      </c>
      <c r="U27" s="865">
        <f>IF(U15=1,Thermostat!$B$5,Thermostat!$B$6)</f>
        <v>75</v>
      </c>
      <c r="V27" s="865">
        <f>IF(V15=1,Thermostat!$B$5,Thermostat!$B$6)</f>
        <v>75</v>
      </c>
      <c r="W27" s="865">
        <f>IF(W15=1,Thermostat!$B$5,Thermostat!$B$6)</f>
        <v>75</v>
      </c>
      <c r="X27" s="865">
        <f>IF(X15=1,Thermostat!$B$5,Thermostat!$B$6)</f>
        <v>75</v>
      </c>
      <c r="Y27" s="865">
        <f>IF(Y15=1,Thermostat!$B$5,Thermostat!$B$6)</f>
        <v>75</v>
      </c>
      <c r="Z27" s="865">
        <f>IF(Z15=1,Thermostat!$B$5,Thermostat!$B$6)</f>
        <v>75</v>
      </c>
      <c r="AA27" s="865">
        <f>IF(AA15=1,Thermostat!$B$5,Thermostat!$B$6)</f>
        <v>75</v>
      </c>
      <c r="AB27" s="865">
        <f>IF(AB15=1,Thermostat!$B$5,Thermostat!$B$6)</f>
        <v>75</v>
      </c>
      <c r="AC27" s="547">
        <f>IF(AC15=1,Thermostat!$B$5,Thermostat!$B$6)</f>
        <v>75</v>
      </c>
    </row>
    <row r="28" spans="1:39" ht="34.950000000000003" customHeight="1" thickBot="1" x14ac:dyDescent="0.35">
      <c r="A28" s="1140" t="s">
        <v>210</v>
      </c>
      <c r="B28" s="1141"/>
      <c r="C28" s="1141"/>
      <c r="D28" s="1141"/>
      <c r="E28" s="1141"/>
      <c r="F28" s="1141"/>
      <c r="G28" s="1141"/>
      <c r="H28" s="1141"/>
      <c r="I28" s="1141"/>
      <c r="J28" s="1141"/>
      <c r="K28" s="1141"/>
      <c r="L28" s="1141"/>
      <c r="M28" s="1141"/>
      <c r="N28" s="1141"/>
      <c r="O28" s="1141"/>
      <c r="P28" s="1141"/>
      <c r="Q28" s="1141"/>
      <c r="R28" s="1141"/>
      <c r="S28" s="1141"/>
      <c r="T28" s="1141"/>
      <c r="U28" s="1141"/>
      <c r="V28" s="1141"/>
      <c r="W28" s="1141"/>
      <c r="X28" s="1141"/>
      <c r="Y28" s="1141"/>
      <c r="Z28" s="1141"/>
      <c r="AA28" s="1141"/>
      <c r="AB28" s="1141"/>
      <c r="AC28" s="1142"/>
      <c r="AD28" s="39"/>
      <c r="AE28" s="39"/>
      <c r="AF28" s="39"/>
      <c r="AG28" s="39"/>
      <c r="AH28" s="39"/>
      <c r="AI28" s="39"/>
      <c r="AJ28" s="39"/>
      <c r="AK28" s="39"/>
    </row>
    <row r="29" spans="1:39" ht="37.950000000000003" customHeight="1" x14ac:dyDescent="0.3">
      <c r="A29" s="1056" t="s">
        <v>772</v>
      </c>
      <c r="B29" s="1074" t="s">
        <v>210</v>
      </c>
      <c r="C29" s="1074" t="s">
        <v>761</v>
      </c>
      <c r="D29" s="1077" t="s">
        <v>773</v>
      </c>
      <c r="E29" s="370" t="s">
        <v>468</v>
      </c>
      <c r="F29" s="371">
        <v>0</v>
      </c>
      <c r="G29" s="371">
        <v>0</v>
      </c>
      <c r="H29" s="371">
        <v>0</v>
      </c>
      <c r="I29" s="371">
        <v>0</v>
      </c>
      <c r="J29" s="371">
        <v>0</v>
      </c>
      <c r="K29" s="371">
        <v>0</v>
      </c>
      <c r="L29" s="371">
        <v>0</v>
      </c>
      <c r="M29" s="371">
        <v>0</v>
      </c>
      <c r="N29" s="371">
        <v>0.2</v>
      </c>
      <c r="O29" s="371">
        <v>0.2</v>
      </c>
      <c r="P29" s="371">
        <v>0.2</v>
      </c>
      <c r="Q29" s="371">
        <v>0.8</v>
      </c>
      <c r="R29" s="371">
        <v>0.8</v>
      </c>
      <c r="S29" s="371">
        <v>0.8</v>
      </c>
      <c r="T29" s="371">
        <v>0.8</v>
      </c>
      <c r="U29" s="371">
        <v>0.8</v>
      </c>
      <c r="V29" s="371">
        <v>0.8</v>
      </c>
      <c r="W29" s="371">
        <v>0.8</v>
      </c>
      <c r="X29" s="371">
        <v>0.2</v>
      </c>
      <c r="Y29" s="371">
        <v>0.2</v>
      </c>
      <c r="Z29" s="371">
        <v>0.2</v>
      </c>
      <c r="AA29" s="371">
        <v>0.2</v>
      </c>
      <c r="AB29" s="371">
        <v>0.1</v>
      </c>
      <c r="AC29" s="372">
        <v>0</v>
      </c>
      <c r="AD29" s="39"/>
      <c r="AE29" s="39"/>
      <c r="AF29" s="39"/>
      <c r="AG29" s="39"/>
      <c r="AH29" s="39"/>
      <c r="AI29" s="39"/>
      <c r="AJ29" s="39"/>
      <c r="AK29" s="39"/>
    </row>
    <row r="30" spans="1:39" ht="37.950000000000003" customHeight="1" x14ac:dyDescent="0.3">
      <c r="A30" s="1057"/>
      <c r="B30" s="1075"/>
      <c r="C30" s="1075"/>
      <c r="D30" s="1078"/>
      <c r="E30" s="310" t="s">
        <v>475</v>
      </c>
      <c r="F30" s="303">
        <v>0</v>
      </c>
      <c r="G30" s="303">
        <v>0</v>
      </c>
      <c r="H30" s="303">
        <v>0</v>
      </c>
      <c r="I30" s="303">
        <v>0</v>
      </c>
      <c r="J30" s="303">
        <v>0</v>
      </c>
      <c r="K30" s="303">
        <v>0</v>
      </c>
      <c r="L30" s="303">
        <v>0</v>
      </c>
      <c r="M30" s="303">
        <v>0</v>
      </c>
      <c r="N30" s="303">
        <v>0.2</v>
      </c>
      <c r="O30" s="303">
        <v>0.2</v>
      </c>
      <c r="P30" s="303">
        <v>0.2</v>
      </c>
      <c r="Q30" s="303">
        <v>0.6</v>
      </c>
      <c r="R30" s="303">
        <v>0.6</v>
      </c>
      <c r="S30" s="303">
        <v>0.6</v>
      </c>
      <c r="T30" s="303">
        <v>0.6</v>
      </c>
      <c r="U30" s="303">
        <v>0.6</v>
      </c>
      <c r="V30" s="303">
        <v>0.6</v>
      </c>
      <c r="W30" s="303">
        <v>0.6</v>
      </c>
      <c r="X30" s="303">
        <v>0.6</v>
      </c>
      <c r="Y30" s="303">
        <v>0.6</v>
      </c>
      <c r="Z30" s="303">
        <v>0.6</v>
      </c>
      <c r="AA30" s="303">
        <v>0.8</v>
      </c>
      <c r="AB30" s="303">
        <v>0.1</v>
      </c>
      <c r="AC30" s="373">
        <v>0</v>
      </c>
      <c r="AD30" s="39"/>
      <c r="AE30" s="39"/>
      <c r="AF30" s="39"/>
      <c r="AG30" s="39"/>
      <c r="AH30" s="39"/>
      <c r="AI30" s="39"/>
      <c r="AJ30" s="39"/>
      <c r="AK30" s="39"/>
    </row>
    <row r="31" spans="1:39" ht="37.950000000000003" customHeight="1" thickBot="1" x14ac:dyDescent="0.35">
      <c r="A31" s="1058"/>
      <c r="B31" s="1076"/>
      <c r="C31" s="1076"/>
      <c r="D31" s="1079"/>
      <c r="E31" s="374" t="s">
        <v>477</v>
      </c>
      <c r="F31" s="375">
        <v>0</v>
      </c>
      <c r="G31" s="375">
        <v>0</v>
      </c>
      <c r="H31" s="375">
        <v>0</v>
      </c>
      <c r="I31" s="375">
        <v>0</v>
      </c>
      <c r="J31" s="375">
        <v>0</v>
      </c>
      <c r="K31" s="375">
        <v>0</v>
      </c>
      <c r="L31" s="375">
        <v>0</v>
      </c>
      <c r="M31" s="375">
        <v>0</v>
      </c>
      <c r="N31" s="375">
        <v>0.1</v>
      </c>
      <c r="O31" s="375">
        <v>0.1</v>
      </c>
      <c r="P31" s="375">
        <v>0.1</v>
      </c>
      <c r="Q31" s="375">
        <v>0.1</v>
      </c>
      <c r="R31" s="375">
        <v>0.1</v>
      </c>
      <c r="S31" s="375">
        <v>0.7</v>
      </c>
      <c r="T31" s="375">
        <v>0.7</v>
      </c>
      <c r="U31" s="375">
        <v>0.7</v>
      </c>
      <c r="V31" s="375">
        <v>0.7</v>
      </c>
      <c r="W31" s="375">
        <v>0.7</v>
      </c>
      <c r="X31" s="375">
        <v>0.7</v>
      </c>
      <c r="Y31" s="375">
        <v>0.7</v>
      </c>
      <c r="Z31" s="375">
        <v>0.7</v>
      </c>
      <c r="AA31" s="375">
        <v>0.7</v>
      </c>
      <c r="AB31" s="375">
        <v>0.2</v>
      </c>
      <c r="AC31" s="376">
        <v>0</v>
      </c>
      <c r="AD31" s="39"/>
      <c r="AE31" s="39"/>
      <c r="AF31" s="39"/>
      <c r="AG31" s="39"/>
      <c r="AH31" s="39"/>
      <c r="AI31" s="39"/>
      <c r="AJ31" s="39"/>
      <c r="AK31" s="39"/>
    </row>
    <row r="32" spans="1:39" ht="38.700000000000003" customHeight="1" x14ac:dyDescent="0.3">
      <c r="A32" s="1056" t="s">
        <v>774</v>
      </c>
      <c r="B32" s="1192" t="str">
        <f>B29</f>
        <v>Assembly</v>
      </c>
      <c r="C32" s="1085" t="s">
        <v>763</v>
      </c>
      <c r="D32" s="1134" t="str">
        <f>D29</f>
        <v>T24 2022 - Appendix 5.4B, [Assembly]</v>
      </c>
      <c r="E32" s="312" t="s">
        <v>468</v>
      </c>
      <c r="F32" s="325">
        <v>0.05</v>
      </c>
      <c r="G32" s="325">
        <v>0.05</v>
      </c>
      <c r="H32" s="325">
        <v>0.05</v>
      </c>
      <c r="I32" s="325">
        <v>0.05</v>
      </c>
      <c r="J32" s="325">
        <v>0.05</v>
      </c>
      <c r="K32" s="325">
        <v>0.05</v>
      </c>
      <c r="L32" s="325">
        <v>0.35</v>
      </c>
      <c r="M32" s="325">
        <v>0.35</v>
      </c>
      <c r="N32" s="325">
        <v>0.35</v>
      </c>
      <c r="O32" s="325">
        <v>0.65</v>
      </c>
      <c r="P32" s="325">
        <v>0.65</v>
      </c>
      <c r="Q32" s="325">
        <v>0.65</v>
      </c>
      <c r="R32" s="325">
        <v>0.65</v>
      </c>
      <c r="S32" s="325">
        <v>0.65</v>
      </c>
      <c r="T32" s="325">
        <v>0.65</v>
      </c>
      <c r="U32" s="325">
        <v>0.65</v>
      </c>
      <c r="V32" s="325">
        <v>0.65</v>
      </c>
      <c r="W32" s="325">
        <v>0.65</v>
      </c>
      <c r="X32" s="325">
        <v>0.65</v>
      </c>
      <c r="Y32" s="325">
        <v>0.65</v>
      </c>
      <c r="Z32" s="325">
        <v>0.65</v>
      </c>
      <c r="AA32" s="325">
        <v>0.65</v>
      </c>
      <c r="AB32" s="325">
        <v>0.25</v>
      </c>
      <c r="AC32" s="326">
        <v>0.05</v>
      </c>
      <c r="AD32" s="39"/>
      <c r="AE32" s="39"/>
      <c r="AF32" s="39"/>
      <c r="AG32" s="39"/>
      <c r="AH32" s="39"/>
      <c r="AI32" s="39"/>
      <c r="AJ32" s="39"/>
      <c r="AK32" s="39"/>
      <c r="AM32" s="47"/>
    </row>
    <row r="33" spans="1:39" ht="38.700000000000003" customHeight="1" x14ac:dyDescent="0.3">
      <c r="A33" s="1057"/>
      <c r="B33" s="1144"/>
      <c r="C33" s="1075"/>
      <c r="D33" s="1078"/>
      <c r="E33" s="310" t="s">
        <v>475</v>
      </c>
      <c r="F33" s="303">
        <v>0.05</v>
      </c>
      <c r="G33" s="303">
        <v>0.05</v>
      </c>
      <c r="H33" s="303">
        <v>0.05</v>
      </c>
      <c r="I33" s="303">
        <v>0.05</v>
      </c>
      <c r="J33" s="303">
        <v>0.05</v>
      </c>
      <c r="K33" s="303">
        <v>0.05</v>
      </c>
      <c r="L33" s="303">
        <v>0.05</v>
      </c>
      <c r="M33" s="303">
        <v>0.3</v>
      </c>
      <c r="N33" s="303">
        <v>0.3</v>
      </c>
      <c r="O33" s="303">
        <v>0.4</v>
      </c>
      <c r="P33" s="303">
        <v>0.4</v>
      </c>
      <c r="Q33" s="303">
        <v>0.4</v>
      </c>
      <c r="R33" s="303">
        <v>0.4</v>
      </c>
      <c r="S33" s="303">
        <v>0.4</v>
      </c>
      <c r="T33" s="303">
        <v>0.4</v>
      </c>
      <c r="U33" s="303">
        <v>0.4</v>
      </c>
      <c r="V33" s="303">
        <v>0.4</v>
      </c>
      <c r="W33" s="303">
        <v>0.4</v>
      </c>
      <c r="X33" s="303">
        <v>0.4</v>
      </c>
      <c r="Y33" s="303">
        <v>0.4</v>
      </c>
      <c r="Z33" s="303">
        <v>0.4</v>
      </c>
      <c r="AA33" s="303">
        <v>0.4</v>
      </c>
      <c r="AB33" s="303">
        <v>0.4</v>
      </c>
      <c r="AC33" s="306">
        <v>0.05</v>
      </c>
      <c r="AD33" s="39"/>
      <c r="AE33" s="39"/>
      <c r="AF33" s="39"/>
      <c r="AG33" s="39"/>
      <c r="AH33" s="39"/>
      <c r="AI33" s="39"/>
      <c r="AJ33" s="39"/>
      <c r="AK33" s="39"/>
      <c r="AM33" s="47"/>
    </row>
    <row r="34" spans="1:39" ht="38.700000000000003" customHeight="1" thickBot="1" x14ac:dyDescent="0.35">
      <c r="A34" s="1058"/>
      <c r="B34" s="1145"/>
      <c r="C34" s="1086"/>
      <c r="D34" s="1135"/>
      <c r="E34" s="311" t="s">
        <v>477</v>
      </c>
      <c r="F34" s="307">
        <v>0.05</v>
      </c>
      <c r="G34" s="307">
        <v>0.05</v>
      </c>
      <c r="H34" s="307">
        <v>0.05</v>
      </c>
      <c r="I34" s="307">
        <v>0.05</v>
      </c>
      <c r="J34" s="307">
        <v>0.05</v>
      </c>
      <c r="K34" s="307">
        <v>0.05</v>
      </c>
      <c r="L34" s="307">
        <v>0.05</v>
      </c>
      <c r="M34" s="307">
        <v>0.3</v>
      </c>
      <c r="N34" s="307">
        <v>0.3</v>
      </c>
      <c r="O34" s="307">
        <v>0.3</v>
      </c>
      <c r="P34" s="307">
        <v>0.3</v>
      </c>
      <c r="Q34" s="307">
        <v>0.3</v>
      </c>
      <c r="R34" s="307">
        <v>0.55000000000000004</v>
      </c>
      <c r="S34" s="307">
        <v>0.55000000000000004</v>
      </c>
      <c r="T34" s="307">
        <v>0.55000000000000004</v>
      </c>
      <c r="U34" s="307">
        <v>0.55000000000000004</v>
      </c>
      <c r="V34" s="307">
        <v>0.55000000000000004</v>
      </c>
      <c r="W34" s="307">
        <v>0.55000000000000004</v>
      </c>
      <c r="X34" s="307">
        <v>0.55000000000000004</v>
      </c>
      <c r="Y34" s="307">
        <v>0.55000000000000004</v>
      </c>
      <c r="Z34" s="307">
        <v>0.55000000000000004</v>
      </c>
      <c r="AA34" s="307">
        <v>0.55000000000000004</v>
      </c>
      <c r="AB34" s="307">
        <v>0.05</v>
      </c>
      <c r="AC34" s="308">
        <v>0.05</v>
      </c>
      <c r="AD34" s="39"/>
      <c r="AE34" s="39"/>
      <c r="AF34" s="39"/>
      <c r="AG34" s="39"/>
      <c r="AH34" s="39"/>
      <c r="AI34" s="39"/>
      <c r="AJ34" s="39"/>
      <c r="AK34" s="39"/>
      <c r="AM34" s="47"/>
    </row>
    <row r="35" spans="1:39" ht="38.700000000000003" customHeight="1" x14ac:dyDescent="0.3">
      <c r="A35" s="1056" t="str">
        <f>A29</f>
        <v>Storage, Mech, Laundry, Banquet</v>
      </c>
      <c r="B35" s="1143" t="str">
        <f t="shared" ref="B35" si="3">B32</f>
        <v>Assembly</v>
      </c>
      <c r="C35" s="1089" t="s">
        <v>765</v>
      </c>
      <c r="D35" s="1134" t="str">
        <f t="shared" ref="D35" si="4">D32</f>
        <v>T24 2022 - Appendix 5.4B, [Assembly]</v>
      </c>
      <c r="E35" s="309" t="s">
        <v>468</v>
      </c>
      <c r="F35" s="304">
        <v>0.05</v>
      </c>
      <c r="G35" s="304">
        <v>0.05</v>
      </c>
      <c r="H35" s="304">
        <v>0.05</v>
      </c>
      <c r="I35" s="304">
        <v>0.05</v>
      </c>
      <c r="J35" s="304">
        <v>0.05</v>
      </c>
      <c r="K35" s="304">
        <v>0.05</v>
      </c>
      <c r="L35" s="304">
        <v>0.4</v>
      </c>
      <c r="M35" s="304">
        <v>0.4</v>
      </c>
      <c r="N35" s="304">
        <v>0.4</v>
      </c>
      <c r="O35" s="304">
        <v>0.75</v>
      </c>
      <c r="P35" s="304">
        <v>0.75</v>
      </c>
      <c r="Q35" s="304">
        <v>0.75</v>
      </c>
      <c r="R35" s="304">
        <v>0.75</v>
      </c>
      <c r="S35" s="304">
        <v>0.75</v>
      </c>
      <c r="T35" s="304">
        <v>0.75</v>
      </c>
      <c r="U35" s="304">
        <v>0.75</v>
      </c>
      <c r="V35" s="304">
        <v>0.75</v>
      </c>
      <c r="W35" s="304">
        <v>0.75</v>
      </c>
      <c r="X35" s="304">
        <v>0.75</v>
      </c>
      <c r="Y35" s="304">
        <v>0.75</v>
      </c>
      <c r="Z35" s="304">
        <v>0.75</v>
      </c>
      <c r="AA35" s="304">
        <v>0.75</v>
      </c>
      <c r="AB35" s="304">
        <v>0.25</v>
      </c>
      <c r="AC35" s="305">
        <v>0.05</v>
      </c>
      <c r="AD35" s="39"/>
      <c r="AE35" s="39"/>
      <c r="AF35" s="39"/>
      <c r="AG35" s="39"/>
      <c r="AH35" s="39"/>
      <c r="AI35" s="39"/>
      <c r="AJ35" s="39"/>
      <c r="AK35" s="39"/>
      <c r="AM35" s="47"/>
    </row>
    <row r="36" spans="1:39" ht="38.700000000000003" customHeight="1" x14ac:dyDescent="0.3">
      <c r="A36" s="1057"/>
      <c r="B36" s="1144"/>
      <c r="C36" s="1060"/>
      <c r="D36" s="1078"/>
      <c r="E36" s="310" t="s">
        <v>475</v>
      </c>
      <c r="F36" s="303">
        <v>0.05</v>
      </c>
      <c r="G36" s="303">
        <v>0.05</v>
      </c>
      <c r="H36" s="303">
        <v>0.05</v>
      </c>
      <c r="I36" s="303">
        <v>0.05</v>
      </c>
      <c r="J36" s="303">
        <v>0.05</v>
      </c>
      <c r="K36" s="303">
        <v>0.05</v>
      </c>
      <c r="L36" s="303">
        <v>0.05</v>
      </c>
      <c r="M36" s="303">
        <v>0.3</v>
      </c>
      <c r="N36" s="303">
        <v>0.3</v>
      </c>
      <c r="O36" s="303">
        <v>0.5</v>
      </c>
      <c r="P36" s="303">
        <v>0.5</v>
      </c>
      <c r="Q36" s="303">
        <v>0.5</v>
      </c>
      <c r="R36" s="303">
        <v>0.5</v>
      </c>
      <c r="S36" s="303">
        <v>0.5</v>
      </c>
      <c r="T36" s="303">
        <v>0.5</v>
      </c>
      <c r="U36" s="303">
        <v>0.5</v>
      </c>
      <c r="V36" s="303">
        <v>0.5</v>
      </c>
      <c r="W36" s="303">
        <v>0.5</v>
      </c>
      <c r="X36" s="303">
        <v>0.5</v>
      </c>
      <c r="Y36" s="303">
        <v>0.5</v>
      </c>
      <c r="Z36" s="303">
        <v>0.5</v>
      </c>
      <c r="AA36" s="303">
        <v>0.5</v>
      </c>
      <c r="AB36" s="303">
        <v>0.5</v>
      </c>
      <c r="AC36" s="306">
        <v>0.05</v>
      </c>
      <c r="AD36" s="39"/>
      <c r="AE36" s="39"/>
      <c r="AF36" s="39"/>
      <c r="AG36" s="39"/>
      <c r="AH36" s="39"/>
      <c r="AI36" s="39"/>
      <c r="AJ36" s="39"/>
      <c r="AK36" s="39"/>
      <c r="AM36" s="47"/>
    </row>
    <row r="37" spans="1:39" ht="38.700000000000003" customHeight="1" thickBot="1" x14ac:dyDescent="0.35">
      <c r="A37" s="1058"/>
      <c r="B37" s="1145"/>
      <c r="C37" s="1090"/>
      <c r="D37" s="1135"/>
      <c r="E37" s="324" t="s">
        <v>477</v>
      </c>
      <c r="F37" s="327">
        <v>0.05</v>
      </c>
      <c r="G37" s="327">
        <v>0.05</v>
      </c>
      <c r="H37" s="327">
        <v>0.05</v>
      </c>
      <c r="I37" s="327">
        <v>0.05</v>
      </c>
      <c r="J37" s="327">
        <v>0.05</v>
      </c>
      <c r="K37" s="327">
        <v>0.05</v>
      </c>
      <c r="L37" s="327">
        <v>0.05</v>
      </c>
      <c r="M37" s="327">
        <v>0.3</v>
      </c>
      <c r="N37" s="327">
        <v>0.3</v>
      </c>
      <c r="O37" s="327">
        <v>0.3</v>
      </c>
      <c r="P37" s="327">
        <v>0.3</v>
      </c>
      <c r="Q37" s="327">
        <v>0.3</v>
      </c>
      <c r="R37" s="327">
        <v>0.65</v>
      </c>
      <c r="S37" s="327">
        <v>0.65</v>
      </c>
      <c r="T37" s="327">
        <v>0.65</v>
      </c>
      <c r="U37" s="327">
        <v>0.65</v>
      </c>
      <c r="V37" s="327">
        <v>0.65</v>
      </c>
      <c r="W37" s="327">
        <v>0.65</v>
      </c>
      <c r="X37" s="327">
        <v>0.65</v>
      </c>
      <c r="Y37" s="327">
        <v>0.65</v>
      </c>
      <c r="Z37" s="327">
        <v>0.65</v>
      </c>
      <c r="AA37" s="327">
        <v>0.65</v>
      </c>
      <c r="AB37" s="327">
        <v>0.05</v>
      </c>
      <c r="AC37" s="328">
        <v>0.05</v>
      </c>
      <c r="AD37" s="39"/>
      <c r="AE37" s="39"/>
      <c r="AF37" s="39"/>
      <c r="AG37" s="39"/>
      <c r="AH37" s="39"/>
      <c r="AI37" s="39"/>
      <c r="AJ37" s="39"/>
      <c r="AK37" s="39"/>
      <c r="AM37" s="47"/>
    </row>
    <row r="38" spans="1:39" ht="38.4" customHeight="1" x14ac:dyDescent="0.3">
      <c r="A38" s="1056" t="str">
        <f>A29</f>
        <v>Storage, Mech, Laundry, Banquet</v>
      </c>
      <c r="B38" s="1143" t="str">
        <f t="shared" ref="B38" si="5">B35</f>
        <v>Assembly</v>
      </c>
      <c r="C38" s="1089" t="s">
        <v>766</v>
      </c>
      <c r="D38" s="1134" t="str">
        <f t="shared" ref="D38" si="6">D35</f>
        <v>T24 2022 - Appendix 5.4B, [Assembly]</v>
      </c>
      <c r="E38" s="309" t="s">
        <v>468</v>
      </c>
      <c r="F38" s="304">
        <v>0</v>
      </c>
      <c r="G38" s="304">
        <v>0</v>
      </c>
      <c r="H38" s="304">
        <v>0</v>
      </c>
      <c r="I38" s="304">
        <v>0</v>
      </c>
      <c r="J38" s="304">
        <v>0</v>
      </c>
      <c r="K38" s="304">
        <v>0</v>
      </c>
      <c r="L38" s="304">
        <v>0</v>
      </c>
      <c r="M38" s="304">
        <v>1</v>
      </c>
      <c r="N38" s="304">
        <v>1</v>
      </c>
      <c r="O38" s="304">
        <v>1</v>
      </c>
      <c r="P38" s="304">
        <v>1</v>
      </c>
      <c r="Q38" s="304">
        <v>1</v>
      </c>
      <c r="R38" s="304">
        <v>1</v>
      </c>
      <c r="S38" s="304">
        <v>1</v>
      </c>
      <c r="T38" s="304">
        <v>1</v>
      </c>
      <c r="U38" s="304">
        <v>1</v>
      </c>
      <c r="V38" s="304">
        <v>1</v>
      </c>
      <c r="W38" s="304">
        <v>1</v>
      </c>
      <c r="X38" s="304">
        <v>1</v>
      </c>
      <c r="Y38" s="304">
        <v>1</v>
      </c>
      <c r="Z38" s="304">
        <v>1</v>
      </c>
      <c r="AA38" s="304">
        <v>1</v>
      </c>
      <c r="AB38" s="304">
        <v>1</v>
      </c>
      <c r="AC38" s="305">
        <v>0</v>
      </c>
      <c r="AD38" s="39"/>
      <c r="AE38" s="39"/>
      <c r="AF38" s="39"/>
      <c r="AG38" s="39"/>
      <c r="AH38" s="39"/>
      <c r="AI38" s="39"/>
      <c r="AJ38" s="39"/>
      <c r="AK38" s="39"/>
      <c r="AM38" s="47"/>
    </row>
    <row r="39" spans="1:39" ht="38.700000000000003" customHeight="1" x14ac:dyDescent="0.3">
      <c r="A39" s="1057"/>
      <c r="B39" s="1144"/>
      <c r="C39" s="1060"/>
      <c r="D39" s="1078"/>
      <c r="E39" s="310" t="s">
        <v>475</v>
      </c>
      <c r="F39" s="303">
        <v>0</v>
      </c>
      <c r="G39" s="303">
        <v>0</v>
      </c>
      <c r="H39" s="303">
        <v>0</v>
      </c>
      <c r="I39" s="303">
        <v>0</v>
      </c>
      <c r="J39" s="303">
        <v>0</v>
      </c>
      <c r="K39" s="303">
        <v>0</v>
      </c>
      <c r="L39" s="303">
        <v>0</v>
      </c>
      <c r="M39" s="303">
        <v>1</v>
      </c>
      <c r="N39" s="303">
        <v>1</v>
      </c>
      <c r="O39" s="303">
        <v>1</v>
      </c>
      <c r="P39" s="303">
        <v>1</v>
      </c>
      <c r="Q39" s="303">
        <v>1</v>
      </c>
      <c r="R39" s="303">
        <v>1</v>
      </c>
      <c r="S39" s="303">
        <v>1</v>
      </c>
      <c r="T39" s="303">
        <v>1</v>
      </c>
      <c r="U39" s="303">
        <v>1</v>
      </c>
      <c r="V39" s="303">
        <v>1</v>
      </c>
      <c r="W39" s="303">
        <v>1</v>
      </c>
      <c r="X39" s="303">
        <v>1</v>
      </c>
      <c r="Y39" s="303">
        <v>1</v>
      </c>
      <c r="Z39" s="303">
        <v>1</v>
      </c>
      <c r="AA39" s="303">
        <v>1</v>
      </c>
      <c r="AB39" s="303">
        <v>1</v>
      </c>
      <c r="AC39" s="306">
        <v>0</v>
      </c>
      <c r="AD39" s="39"/>
      <c r="AE39" s="39"/>
      <c r="AF39" s="39"/>
      <c r="AG39" s="39"/>
      <c r="AH39" s="39"/>
      <c r="AI39" s="39"/>
      <c r="AJ39" s="39"/>
      <c r="AK39" s="39"/>
      <c r="AM39" s="47"/>
    </row>
    <row r="40" spans="1:39" ht="38.4" customHeight="1" thickBot="1" x14ac:dyDescent="0.35">
      <c r="A40" s="1058"/>
      <c r="B40" s="1145"/>
      <c r="C40" s="1084"/>
      <c r="D40" s="1135"/>
      <c r="E40" s="311" t="s">
        <v>477</v>
      </c>
      <c r="F40" s="307">
        <v>0</v>
      </c>
      <c r="G40" s="307">
        <v>0</v>
      </c>
      <c r="H40" s="307">
        <v>0</v>
      </c>
      <c r="I40" s="307">
        <v>0</v>
      </c>
      <c r="J40" s="307">
        <v>0</v>
      </c>
      <c r="K40" s="307">
        <v>0</v>
      </c>
      <c r="L40" s="307">
        <v>0</v>
      </c>
      <c r="M40" s="307">
        <v>1</v>
      </c>
      <c r="N40" s="307">
        <v>1</v>
      </c>
      <c r="O40" s="307">
        <v>1</v>
      </c>
      <c r="P40" s="307">
        <v>1</v>
      </c>
      <c r="Q40" s="307">
        <v>1</v>
      </c>
      <c r="R40" s="307">
        <v>1</v>
      </c>
      <c r="S40" s="307">
        <v>1</v>
      </c>
      <c r="T40" s="307">
        <v>1</v>
      </c>
      <c r="U40" s="307">
        <v>1</v>
      </c>
      <c r="V40" s="307">
        <v>1</v>
      </c>
      <c r="W40" s="307">
        <v>1</v>
      </c>
      <c r="X40" s="307">
        <v>1</v>
      </c>
      <c r="Y40" s="307">
        <v>1</v>
      </c>
      <c r="Z40" s="307">
        <v>1</v>
      </c>
      <c r="AA40" s="307">
        <v>1</v>
      </c>
      <c r="AB40" s="307">
        <v>1</v>
      </c>
      <c r="AC40" s="308">
        <v>0</v>
      </c>
      <c r="AD40" s="39"/>
      <c r="AE40" s="39"/>
      <c r="AF40" s="39"/>
      <c r="AG40" s="39"/>
      <c r="AH40" s="39"/>
      <c r="AI40" s="39"/>
      <c r="AJ40" s="39"/>
      <c r="AK40" s="39"/>
      <c r="AM40" s="47"/>
    </row>
    <row r="41" spans="1:39" ht="38.700000000000003" customHeight="1" x14ac:dyDescent="0.3">
      <c r="A41" s="1056" t="str">
        <f>A29</f>
        <v>Storage, Mech, Laundry, Banquet</v>
      </c>
      <c r="B41" s="1143" t="str">
        <f>B38</f>
        <v>Assembly</v>
      </c>
      <c r="C41" s="1083" t="s">
        <v>768</v>
      </c>
      <c r="D41" s="1134" t="str">
        <f>D38</f>
        <v>T24 2022 - Appendix 5.4B, [Assembly]</v>
      </c>
      <c r="E41" s="312" t="s">
        <v>468</v>
      </c>
      <c r="F41" s="325">
        <v>0</v>
      </c>
      <c r="G41" s="325">
        <v>0</v>
      </c>
      <c r="H41" s="325">
        <v>0</v>
      </c>
      <c r="I41" s="325">
        <v>0</v>
      </c>
      <c r="J41" s="325">
        <v>0</v>
      </c>
      <c r="K41" s="325">
        <v>0</v>
      </c>
      <c r="L41" s="325">
        <v>0</v>
      </c>
      <c r="M41" s="325">
        <v>0</v>
      </c>
      <c r="N41" s="325">
        <v>0</v>
      </c>
      <c r="O41" s="325">
        <v>0.05</v>
      </c>
      <c r="P41" s="325">
        <v>0.05</v>
      </c>
      <c r="Q41" s="325">
        <v>0.35</v>
      </c>
      <c r="R41" s="325">
        <v>0.05</v>
      </c>
      <c r="S41" s="325">
        <v>0.05</v>
      </c>
      <c r="T41" s="325">
        <v>0.05</v>
      </c>
      <c r="U41" s="325">
        <v>0.05</v>
      </c>
      <c r="V41" s="325">
        <v>0.05</v>
      </c>
      <c r="W41" s="325">
        <v>0</v>
      </c>
      <c r="X41" s="325">
        <v>0</v>
      </c>
      <c r="Y41" s="325">
        <v>0</v>
      </c>
      <c r="Z41" s="325">
        <v>0</v>
      </c>
      <c r="AA41" s="325">
        <v>0</v>
      </c>
      <c r="AB41" s="325">
        <v>0</v>
      </c>
      <c r="AC41" s="326">
        <v>0</v>
      </c>
      <c r="AD41" s="39"/>
      <c r="AE41" s="39"/>
      <c r="AF41" s="39"/>
      <c r="AG41" s="39"/>
      <c r="AH41" s="39"/>
      <c r="AI41" s="39"/>
      <c r="AJ41" s="39"/>
      <c r="AK41" s="39"/>
      <c r="AM41" s="47"/>
    </row>
    <row r="42" spans="1:39" ht="38.700000000000003" customHeight="1" x14ac:dyDescent="0.3">
      <c r="A42" s="1057"/>
      <c r="B42" s="1144"/>
      <c r="C42" s="1060"/>
      <c r="D42" s="1078"/>
      <c r="E42" s="310" t="s">
        <v>475</v>
      </c>
      <c r="F42" s="303">
        <v>0</v>
      </c>
      <c r="G42" s="303">
        <v>0</v>
      </c>
      <c r="H42" s="303">
        <v>0</v>
      </c>
      <c r="I42" s="303">
        <v>0</v>
      </c>
      <c r="J42" s="303">
        <v>0</v>
      </c>
      <c r="K42" s="303">
        <v>0</v>
      </c>
      <c r="L42" s="303">
        <v>0</v>
      </c>
      <c r="M42" s="303">
        <v>0</v>
      </c>
      <c r="N42" s="303">
        <v>0</v>
      </c>
      <c r="O42" s="303">
        <v>0.05</v>
      </c>
      <c r="P42" s="303">
        <v>0.05</v>
      </c>
      <c r="Q42" s="303">
        <v>0.2</v>
      </c>
      <c r="R42" s="303">
        <v>0</v>
      </c>
      <c r="S42" s="303">
        <v>0</v>
      </c>
      <c r="T42" s="303">
        <v>0</v>
      </c>
      <c r="U42" s="303">
        <v>0</v>
      </c>
      <c r="V42" s="303">
        <v>0</v>
      </c>
      <c r="W42" s="303">
        <v>0</v>
      </c>
      <c r="X42" s="303">
        <v>0</v>
      </c>
      <c r="Y42" s="303">
        <v>0.65</v>
      </c>
      <c r="Z42" s="303">
        <v>0.3</v>
      </c>
      <c r="AA42" s="303">
        <v>0</v>
      </c>
      <c r="AB42" s="303">
        <v>0</v>
      </c>
      <c r="AC42" s="306">
        <v>0</v>
      </c>
      <c r="AD42" s="39"/>
      <c r="AE42" s="39"/>
      <c r="AF42" s="39"/>
      <c r="AG42" s="39"/>
      <c r="AH42" s="39"/>
      <c r="AI42" s="39"/>
      <c r="AJ42" s="39"/>
      <c r="AK42" s="39"/>
      <c r="AM42" s="47"/>
    </row>
    <row r="43" spans="1:39" ht="38.700000000000003" customHeight="1" thickBot="1" x14ac:dyDescent="0.35">
      <c r="A43" s="1058"/>
      <c r="B43" s="1145"/>
      <c r="C43" s="1084"/>
      <c r="D43" s="1135"/>
      <c r="E43" s="311" t="s">
        <v>477</v>
      </c>
      <c r="F43" s="307">
        <v>0</v>
      </c>
      <c r="G43" s="307">
        <v>0</v>
      </c>
      <c r="H43" s="307">
        <v>0</v>
      </c>
      <c r="I43" s="307">
        <v>0</v>
      </c>
      <c r="J43" s="307">
        <v>0</v>
      </c>
      <c r="K43" s="307">
        <v>0</v>
      </c>
      <c r="L43" s="307">
        <v>0</v>
      </c>
      <c r="M43" s="307">
        <v>0</v>
      </c>
      <c r="N43" s="307">
        <v>0</v>
      </c>
      <c r="O43" s="307">
        <v>0.05</v>
      </c>
      <c r="P43" s="307">
        <v>0.05</v>
      </c>
      <c r="Q43" s="307">
        <v>0.1</v>
      </c>
      <c r="R43" s="307">
        <v>0</v>
      </c>
      <c r="S43" s="307">
        <v>0</v>
      </c>
      <c r="T43" s="307">
        <v>0</v>
      </c>
      <c r="U43" s="307">
        <v>0</v>
      </c>
      <c r="V43" s="307">
        <v>0</v>
      </c>
      <c r="W43" s="307">
        <v>0</v>
      </c>
      <c r="X43" s="307">
        <v>0</v>
      </c>
      <c r="Y43" s="307">
        <v>0.65</v>
      </c>
      <c r="Z43" s="307">
        <v>0.3</v>
      </c>
      <c r="AA43" s="307">
        <v>0</v>
      </c>
      <c r="AB43" s="307">
        <v>0</v>
      </c>
      <c r="AC43" s="308">
        <v>0</v>
      </c>
      <c r="AD43" s="39"/>
      <c r="AE43" s="39"/>
      <c r="AF43" s="39"/>
      <c r="AG43" s="39"/>
      <c r="AH43" s="39"/>
      <c r="AI43" s="39"/>
      <c r="AJ43" s="39"/>
      <c r="AK43" s="39"/>
      <c r="AM43" s="47"/>
    </row>
    <row r="44" spans="1:39" ht="38.700000000000003" customHeight="1" x14ac:dyDescent="0.3">
      <c r="A44" s="1056" t="str">
        <f>A29</f>
        <v>Storage, Mech, Laundry, Banquet</v>
      </c>
      <c r="B44" s="1143" t="str">
        <f t="shared" ref="B44" si="7">B41</f>
        <v>Assembly</v>
      </c>
      <c r="C44" s="1083" t="s">
        <v>337</v>
      </c>
      <c r="D44" s="1134" t="str">
        <f>D41</f>
        <v>T24 2022 - Appendix 5.4B, [Assembly]</v>
      </c>
      <c r="E44" s="312" t="s">
        <v>468</v>
      </c>
      <c r="F44" s="325">
        <v>1</v>
      </c>
      <c r="G44" s="325">
        <v>1</v>
      </c>
      <c r="H44" s="325">
        <v>1</v>
      </c>
      <c r="I44" s="325">
        <v>1</v>
      </c>
      <c r="J44" s="325">
        <v>1</v>
      </c>
      <c r="K44" s="325">
        <v>1</v>
      </c>
      <c r="L44" s="325">
        <v>1</v>
      </c>
      <c r="M44" s="325">
        <v>0.25</v>
      </c>
      <c r="N44" s="325">
        <v>0.25</v>
      </c>
      <c r="O44" s="325">
        <v>0.25</v>
      </c>
      <c r="P44" s="325">
        <v>0.25</v>
      </c>
      <c r="Q44" s="325">
        <v>0.25</v>
      </c>
      <c r="R44" s="325">
        <v>0.25</v>
      </c>
      <c r="S44" s="325">
        <v>0.25</v>
      </c>
      <c r="T44" s="325">
        <v>0.25</v>
      </c>
      <c r="U44" s="325">
        <v>0.25</v>
      </c>
      <c r="V44" s="325">
        <v>0.25</v>
      </c>
      <c r="W44" s="325">
        <v>0.25</v>
      </c>
      <c r="X44" s="325">
        <v>0.25</v>
      </c>
      <c r="Y44" s="325">
        <v>0.25</v>
      </c>
      <c r="Z44" s="325">
        <v>0.25</v>
      </c>
      <c r="AA44" s="325">
        <v>0.25</v>
      </c>
      <c r="AB44" s="325">
        <v>0.25</v>
      </c>
      <c r="AC44" s="326">
        <v>1</v>
      </c>
      <c r="AD44" s="39"/>
      <c r="AE44" s="39"/>
      <c r="AF44" s="39"/>
      <c r="AG44" s="39"/>
      <c r="AH44" s="39"/>
      <c r="AI44" s="39"/>
      <c r="AJ44" s="39"/>
      <c r="AK44" s="39"/>
      <c r="AM44" s="47"/>
    </row>
    <row r="45" spans="1:39" ht="38.700000000000003" customHeight="1" x14ac:dyDescent="0.3">
      <c r="A45" s="1057"/>
      <c r="B45" s="1144"/>
      <c r="C45" s="1060"/>
      <c r="D45" s="1078"/>
      <c r="E45" s="310" t="s">
        <v>475</v>
      </c>
      <c r="F45" s="303">
        <v>1</v>
      </c>
      <c r="G45" s="303">
        <v>1</v>
      </c>
      <c r="H45" s="303">
        <v>1</v>
      </c>
      <c r="I45" s="303">
        <v>1</v>
      </c>
      <c r="J45" s="303">
        <v>1</v>
      </c>
      <c r="K45" s="303">
        <v>1</v>
      </c>
      <c r="L45" s="303">
        <v>1</v>
      </c>
      <c r="M45" s="303">
        <v>0.25</v>
      </c>
      <c r="N45" s="303">
        <v>0.25</v>
      </c>
      <c r="O45" s="303">
        <v>0.25</v>
      </c>
      <c r="P45" s="303">
        <v>0.25</v>
      </c>
      <c r="Q45" s="303">
        <v>0.25</v>
      </c>
      <c r="R45" s="303">
        <v>0.25</v>
      </c>
      <c r="S45" s="303">
        <v>0.25</v>
      </c>
      <c r="T45" s="303">
        <v>0.25</v>
      </c>
      <c r="U45" s="303">
        <v>0.25</v>
      </c>
      <c r="V45" s="303">
        <v>0.25</v>
      </c>
      <c r="W45" s="303">
        <v>0.25</v>
      </c>
      <c r="X45" s="303">
        <v>0.25</v>
      </c>
      <c r="Y45" s="303">
        <v>0.25</v>
      </c>
      <c r="Z45" s="303">
        <v>0.25</v>
      </c>
      <c r="AA45" s="303">
        <v>0.25</v>
      </c>
      <c r="AB45" s="303">
        <v>0.25</v>
      </c>
      <c r="AC45" s="306">
        <v>1</v>
      </c>
      <c r="AD45" s="39"/>
      <c r="AE45" s="39"/>
      <c r="AF45" s="39"/>
      <c r="AG45" s="39"/>
      <c r="AH45" s="39"/>
      <c r="AI45" s="39"/>
      <c r="AJ45" s="39"/>
      <c r="AK45" s="39"/>
      <c r="AM45" s="47"/>
    </row>
    <row r="46" spans="1:39" ht="38.700000000000003" customHeight="1" thickBot="1" x14ac:dyDescent="0.35">
      <c r="A46" s="1058"/>
      <c r="B46" s="1145"/>
      <c r="C46" s="1090"/>
      <c r="D46" s="1135"/>
      <c r="E46" s="324" t="s">
        <v>477</v>
      </c>
      <c r="F46" s="327">
        <v>1</v>
      </c>
      <c r="G46" s="327">
        <v>1</v>
      </c>
      <c r="H46" s="327">
        <v>1</v>
      </c>
      <c r="I46" s="327">
        <v>1</v>
      </c>
      <c r="J46" s="327">
        <v>1</v>
      </c>
      <c r="K46" s="327">
        <v>1</v>
      </c>
      <c r="L46" s="327">
        <v>1</v>
      </c>
      <c r="M46" s="327">
        <v>0.25</v>
      </c>
      <c r="N46" s="327">
        <v>0.25</v>
      </c>
      <c r="O46" s="327">
        <v>0.25</v>
      </c>
      <c r="P46" s="327">
        <v>0.25</v>
      </c>
      <c r="Q46" s="327">
        <v>0.25</v>
      </c>
      <c r="R46" s="327">
        <v>0.25</v>
      </c>
      <c r="S46" s="327">
        <v>0.25</v>
      </c>
      <c r="T46" s="327">
        <v>0.25</v>
      </c>
      <c r="U46" s="327">
        <v>0.25</v>
      </c>
      <c r="V46" s="327">
        <v>0.25</v>
      </c>
      <c r="W46" s="327">
        <v>0.25</v>
      </c>
      <c r="X46" s="327">
        <v>0.25</v>
      </c>
      <c r="Y46" s="327">
        <v>0.25</v>
      </c>
      <c r="Z46" s="327">
        <v>0.25</v>
      </c>
      <c r="AA46" s="327">
        <v>0.25</v>
      </c>
      <c r="AB46" s="327">
        <v>0.25</v>
      </c>
      <c r="AC46" s="328">
        <v>1</v>
      </c>
      <c r="AD46" s="39"/>
      <c r="AE46" s="39"/>
      <c r="AF46" s="39"/>
      <c r="AG46" s="39"/>
      <c r="AH46" s="39"/>
      <c r="AI46" s="39"/>
      <c r="AJ46" s="39"/>
      <c r="AK46" s="39"/>
      <c r="AM46" s="47"/>
    </row>
    <row r="47" spans="1:39" ht="36" customHeight="1" x14ac:dyDescent="0.3">
      <c r="A47" s="1056" t="s">
        <v>148</v>
      </c>
      <c r="B47" s="1143" t="str">
        <f>B44</f>
        <v>Assembly</v>
      </c>
      <c r="C47" s="1089" t="s">
        <v>775</v>
      </c>
      <c r="D47" s="1134" t="str">
        <f t="shared" ref="D47" si="8">D44</f>
        <v>T24 2022 - Appendix 5.4B, [Assembly]</v>
      </c>
      <c r="E47" s="309" t="s">
        <v>468</v>
      </c>
      <c r="F47" s="304">
        <v>0</v>
      </c>
      <c r="G47" s="304">
        <v>0</v>
      </c>
      <c r="H47" s="304">
        <v>0</v>
      </c>
      <c r="I47" s="304">
        <v>0</v>
      </c>
      <c r="J47" s="304">
        <v>0</v>
      </c>
      <c r="K47" s="304">
        <v>0</v>
      </c>
      <c r="L47" s="304">
        <v>0</v>
      </c>
      <c r="M47" s="304">
        <v>0</v>
      </c>
      <c r="N47" s="304">
        <v>0.3</v>
      </c>
      <c r="O47" s="304">
        <v>0.3</v>
      </c>
      <c r="P47" s="304">
        <v>0.2</v>
      </c>
      <c r="Q47" s="304">
        <v>0.9</v>
      </c>
      <c r="R47" s="304">
        <v>0.9</v>
      </c>
      <c r="S47" s="304">
        <v>0.9</v>
      </c>
      <c r="T47" s="304">
        <v>0.2</v>
      </c>
      <c r="U47" s="304">
        <v>0.2</v>
      </c>
      <c r="V47" s="304">
        <v>0.2</v>
      </c>
      <c r="W47" s="304">
        <v>0.5</v>
      </c>
      <c r="X47" s="304">
        <v>0.5</v>
      </c>
      <c r="Y47" s="304">
        <v>0.1</v>
      </c>
      <c r="Z47" s="304">
        <v>0.1</v>
      </c>
      <c r="AA47" s="304">
        <v>0.1</v>
      </c>
      <c r="AB47" s="304">
        <v>0</v>
      </c>
      <c r="AC47" s="305">
        <v>0</v>
      </c>
      <c r="AD47" s="40"/>
      <c r="AE47" s="39"/>
      <c r="AF47" s="39"/>
      <c r="AG47" s="39"/>
      <c r="AH47" s="39"/>
      <c r="AI47" s="39"/>
      <c r="AJ47" s="39"/>
      <c r="AK47" s="39"/>
      <c r="AM47" s="47"/>
    </row>
    <row r="48" spans="1:39" ht="36" customHeight="1" x14ac:dyDescent="0.3">
      <c r="A48" s="1057"/>
      <c r="B48" s="1144"/>
      <c r="C48" s="1060"/>
      <c r="D48" s="1078"/>
      <c r="E48" s="310" t="s">
        <v>475</v>
      </c>
      <c r="F48" s="303">
        <v>0</v>
      </c>
      <c r="G48" s="303">
        <v>0</v>
      </c>
      <c r="H48" s="303">
        <v>0</v>
      </c>
      <c r="I48" s="303">
        <v>0</v>
      </c>
      <c r="J48" s="303">
        <v>0</v>
      </c>
      <c r="K48" s="303">
        <v>0</v>
      </c>
      <c r="L48" s="303">
        <v>0</v>
      </c>
      <c r="M48" s="303">
        <v>0</v>
      </c>
      <c r="N48" s="303">
        <v>0.3</v>
      </c>
      <c r="O48" s="303">
        <v>0.3</v>
      </c>
      <c r="P48" s="303">
        <v>0.2</v>
      </c>
      <c r="Q48" s="303">
        <v>0.7</v>
      </c>
      <c r="R48" s="303">
        <v>0.7</v>
      </c>
      <c r="S48" s="303">
        <v>0.7</v>
      </c>
      <c r="T48" s="303">
        <v>0.2</v>
      </c>
      <c r="U48" s="303">
        <v>0.2</v>
      </c>
      <c r="V48" s="303">
        <v>0.2</v>
      </c>
      <c r="W48" s="303">
        <v>0.4</v>
      </c>
      <c r="X48" s="303">
        <v>0.4</v>
      </c>
      <c r="Y48" s="303">
        <v>0.1</v>
      </c>
      <c r="Z48" s="303">
        <v>0.1</v>
      </c>
      <c r="AA48" s="303">
        <v>0.1</v>
      </c>
      <c r="AB48" s="303">
        <v>0</v>
      </c>
      <c r="AC48" s="306">
        <v>0</v>
      </c>
      <c r="AD48" s="40"/>
      <c r="AE48" s="39"/>
      <c r="AF48" s="39"/>
      <c r="AG48" s="39"/>
      <c r="AH48" s="39"/>
      <c r="AI48" s="39"/>
      <c r="AJ48" s="39"/>
      <c r="AK48" s="39"/>
      <c r="AM48" s="47"/>
    </row>
    <row r="49" spans="1:39" ht="36" customHeight="1" thickBot="1" x14ac:dyDescent="0.35">
      <c r="A49" s="1058"/>
      <c r="B49" s="1145"/>
      <c r="C49" s="1084"/>
      <c r="D49" s="1135"/>
      <c r="E49" s="311" t="s">
        <v>477</v>
      </c>
      <c r="F49" s="307">
        <v>0</v>
      </c>
      <c r="G49" s="307">
        <v>0</v>
      </c>
      <c r="H49" s="307">
        <v>0</v>
      </c>
      <c r="I49" s="307">
        <v>0</v>
      </c>
      <c r="J49" s="307">
        <v>0</v>
      </c>
      <c r="K49" s="307">
        <v>0</v>
      </c>
      <c r="L49" s="307">
        <v>0</v>
      </c>
      <c r="M49" s="307">
        <v>0</v>
      </c>
      <c r="N49" s="307">
        <v>0.2</v>
      </c>
      <c r="O49" s="307">
        <v>0.2</v>
      </c>
      <c r="P49" s="307">
        <v>0.1</v>
      </c>
      <c r="Q49" s="307">
        <v>0.1</v>
      </c>
      <c r="R49" s="307">
        <v>0.3</v>
      </c>
      <c r="S49" s="307">
        <v>0.8</v>
      </c>
      <c r="T49" s="307">
        <v>0.2</v>
      </c>
      <c r="U49" s="307">
        <v>0.2</v>
      </c>
      <c r="V49" s="307">
        <v>0.2</v>
      </c>
      <c r="W49" s="307">
        <v>0.5</v>
      </c>
      <c r="X49" s="307">
        <v>0.5</v>
      </c>
      <c r="Y49" s="307">
        <v>0.1</v>
      </c>
      <c r="Z49" s="307">
        <v>0.1</v>
      </c>
      <c r="AA49" s="307">
        <v>0.1</v>
      </c>
      <c r="AB49" s="307">
        <v>0</v>
      </c>
      <c r="AC49" s="308">
        <v>0</v>
      </c>
      <c r="AD49" s="40"/>
      <c r="AE49" s="39"/>
      <c r="AF49" s="39"/>
      <c r="AG49" s="39"/>
      <c r="AH49" s="39"/>
      <c r="AI49" s="39"/>
      <c r="AJ49" s="39"/>
      <c r="AK49" s="39"/>
      <c r="AM49" s="47"/>
    </row>
    <row r="50" spans="1:39" ht="36" customHeight="1" x14ac:dyDescent="0.3">
      <c r="A50" s="1056" t="str">
        <f>A29</f>
        <v>Storage, Mech, Laundry, Banquet</v>
      </c>
      <c r="B50" s="1143" t="str">
        <f>B47</f>
        <v>Assembly</v>
      </c>
      <c r="C50" s="1085" t="s">
        <v>770</v>
      </c>
      <c r="D50" s="1134" t="str">
        <f t="shared" ref="D50" si="9">D47</f>
        <v>T24 2022 - Appendix 5.4B, [Assembly]</v>
      </c>
      <c r="E50" s="312" t="s">
        <v>468</v>
      </c>
      <c r="F50" s="860">
        <f>IF((F38=1),Thermostat!$B$3,Thermostat!$B$4)</f>
        <v>60</v>
      </c>
      <c r="G50" s="860">
        <f>IF((G38=1),Thermostat!$B$3,Thermostat!$B$4)</f>
        <v>60</v>
      </c>
      <c r="H50" s="860">
        <f>IF((H38=1),Thermostat!$B$3,Thermostat!$B$4)</f>
        <v>60</v>
      </c>
      <c r="I50" s="860">
        <f>IF((I38=1),Thermostat!$B$3,Thermostat!$B$4)</f>
        <v>60</v>
      </c>
      <c r="J50" s="860">
        <f>IF((J38=1),Thermostat!$B$3,Thermostat!$B$4)</f>
        <v>60</v>
      </c>
      <c r="K50" s="860">
        <f>IF((K38=1),Thermostat!$B$3,Thermostat!$B$4)</f>
        <v>60</v>
      </c>
      <c r="L50" s="860">
        <f>IF((L38=1),Thermostat!$B$3,Thermostat!$B$4)</f>
        <v>60</v>
      </c>
      <c r="M50" s="860">
        <f>IF((M38=1),Thermostat!$B$3,Thermostat!$B$4)</f>
        <v>70</v>
      </c>
      <c r="N50" s="860">
        <f>IF((N38=1),Thermostat!$B$3,Thermostat!$B$4)</f>
        <v>70</v>
      </c>
      <c r="O50" s="860">
        <f>IF((O38=1),Thermostat!$B$3,Thermostat!$B$4)</f>
        <v>70</v>
      </c>
      <c r="P50" s="860">
        <f>IF((P38=1),Thermostat!$B$3,Thermostat!$B$4)</f>
        <v>70</v>
      </c>
      <c r="Q50" s="860">
        <f>IF((Q38=1),Thermostat!$B$3,Thermostat!$B$4)</f>
        <v>70</v>
      </c>
      <c r="R50" s="860">
        <f>IF((R38=1),Thermostat!$B$3,Thermostat!$B$4)</f>
        <v>70</v>
      </c>
      <c r="S50" s="860">
        <f>IF((S38=1),Thermostat!$B$3,Thermostat!$B$4)</f>
        <v>70</v>
      </c>
      <c r="T50" s="860">
        <f>IF((T38=1),Thermostat!$B$3,Thermostat!$B$4)</f>
        <v>70</v>
      </c>
      <c r="U50" s="860">
        <f>IF((U38=1),Thermostat!$B$3,Thermostat!$B$4)</f>
        <v>70</v>
      </c>
      <c r="V50" s="860">
        <f>IF((V38=1),Thermostat!$B$3,Thermostat!$B$4)</f>
        <v>70</v>
      </c>
      <c r="W50" s="860">
        <f>IF((W38=1),Thermostat!$B$3,Thermostat!$B$4)</f>
        <v>70</v>
      </c>
      <c r="X50" s="860">
        <f>IF((X38=1),Thermostat!$B$3,Thermostat!$B$4)</f>
        <v>70</v>
      </c>
      <c r="Y50" s="860">
        <f>IF((Y38=1),Thermostat!$B$3,Thermostat!$B$4)</f>
        <v>70</v>
      </c>
      <c r="Z50" s="860">
        <f>IF((Z38=1),Thermostat!$B$3,Thermostat!$B$4)</f>
        <v>70</v>
      </c>
      <c r="AA50" s="860">
        <f>IF((AA38=1),Thermostat!$B$3,Thermostat!$B$4)</f>
        <v>70</v>
      </c>
      <c r="AB50" s="860">
        <f>IF((AB38=1),Thermostat!$B$3,Thermostat!$B$4)</f>
        <v>70</v>
      </c>
      <c r="AC50" s="302">
        <f>IF((AC38=1),Thermostat!$B$3,Thermostat!$B$4)</f>
        <v>60</v>
      </c>
      <c r="AD50" s="40"/>
      <c r="AE50" s="39"/>
      <c r="AF50" s="39"/>
      <c r="AG50" s="39"/>
      <c r="AH50" s="39"/>
      <c r="AI50" s="39"/>
      <c r="AJ50" s="39"/>
      <c r="AK50" s="39"/>
      <c r="AM50" s="47"/>
    </row>
    <row r="51" spans="1:39" ht="36" customHeight="1" x14ac:dyDescent="0.3">
      <c r="A51" s="1057"/>
      <c r="B51" s="1144"/>
      <c r="C51" s="1075"/>
      <c r="D51" s="1078"/>
      <c r="E51" s="310" t="s">
        <v>475</v>
      </c>
      <c r="F51" s="858">
        <f>IF((F39=1),Thermostat!$B$3,Thermostat!$B$4)</f>
        <v>60</v>
      </c>
      <c r="G51" s="858">
        <f>IF((G39=1),Thermostat!$B$3,Thermostat!$B$4)</f>
        <v>60</v>
      </c>
      <c r="H51" s="858">
        <f>IF((H39=1),Thermostat!$B$3,Thermostat!$B$4)</f>
        <v>60</v>
      </c>
      <c r="I51" s="858">
        <f>IF((I39=1),Thermostat!$B$3,Thermostat!$B$4)</f>
        <v>60</v>
      </c>
      <c r="J51" s="858">
        <f>IF((J39=1),Thermostat!$B$3,Thermostat!$B$4)</f>
        <v>60</v>
      </c>
      <c r="K51" s="858">
        <f>IF((K39=1),Thermostat!$B$3,Thermostat!$B$4)</f>
        <v>60</v>
      </c>
      <c r="L51" s="858">
        <f>IF((L39=1),Thermostat!$B$3,Thermostat!$B$4)</f>
        <v>60</v>
      </c>
      <c r="M51" s="858">
        <f>IF((M39=1),Thermostat!$B$3,Thermostat!$B$4)</f>
        <v>70</v>
      </c>
      <c r="N51" s="858">
        <f>IF((N39=1),Thermostat!$B$3,Thermostat!$B$4)</f>
        <v>70</v>
      </c>
      <c r="O51" s="858">
        <f>IF((O39=1),Thermostat!$B$3,Thermostat!$B$4)</f>
        <v>70</v>
      </c>
      <c r="P51" s="858">
        <f>IF((P39=1),Thermostat!$B$3,Thermostat!$B$4)</f>
        <v>70</v>
      </c>
      <c r="Q51" s="858">
        <f>IF((Q39=1),Thermostat!$B$3,Thermostat!$B$4)</f>
        <v>70</v>
      </c>
      <c r="R51" s="858">
        <f>IF((R39=1),Thermostat!$B$3,Thermostat!$B$4)</f>
        <v>70</v>
      </c>
      <c r="S51" s="858">
        <f>IF((S39=1),Thermostat!$B$3,Thermostat!$B$4)</f>
        <v>70</v>
      </c>
      <c r="T51" s="858">
        <f>IF((T39=1),Thermostat!$B$3,Thermostat!$B$4)</f>
        <v>70</v>
      </c>
      <c r="U51" s="858">
        <f>IF((U39=1),Thermostat!$B$3,Thermostat!$B$4)</f>
        <v>70</v>
      </c>
      <c r="V51" s="858">
        <f>IF((V39=1),Thermostat!$B$3,Thermostat!$B$4)</f>
        <v>70</v>
      </c>
      <c r="W51" s="858">
        <f>IF((W39=1),Thermostat!$B$3,Thermostat!$B$4)</f>
        <v>70</v>
      </c>
      <c r="X51" s="858">
        <f>IF((X39=1),Thermostat!$B$3,Thermostat!$B$4)</f>
        <v>70</v>
      </c>
      <c r="Y51" s="858">
        <f>IF((Y39=1),Thermostat!$B$3,Thermostat!$B$4)</f>
        <v>70</v>
      </c>
      <c r="Z51" s="858">
        <f>IF((Z39=1),Thermostat!$B$3,Thermostat!$B$4)</f>
        <v>70</v>
      </c>
      <c r="AA51" s="858">
        <f>IF((AA39=1),Thermostat!$B$3,Thermostat!$B$4)</f>
        <v>70</v>
      </c>
      <c r="AB51" s="858">
        <f>IF((AB39=1),Thermostat!$B$3,Thermostat!$B$4)</f>
        <v>70</v>
      </c>
      <c r="AC51" s="314">
        <f>IF((AC39=1),Thermostat!$B$3,Thermostat!$B$4)</f>
        <v>60</v>
      </c>
      <c r="AD51" s="40"/>
      <c r="AE51" s="39"/>
      <c r="AF51" s="39"/>
      <c r="AG51" s="39"/>
      <c r="AH51" s="39"/>
      <c r="AI51" s="39"/>
      <c r="AJ51" s="39"/>
      <c r="AK51" s="39"/>
      <c r="AM51" s="47"/>
    </row>
    <row r="52" spans="1:39" ht="36" customHeight="1" thickBot="1" x14ac:dyDescent="0.35">
      <c r="A52" s="1058"/>
      <c r="B52" s="1145"/>
      <c r="C52" s="1198"/>
      <c r="D52" s="1135"/>
      <c r="E52" s="324" t="s">
        <v>477</v>
      </c>
      <c r="F52" s="866">
        <f>IF((F40=1),Thermostat!$B$3,Thermostat!$B$4)</f>
        <v>60</v>
      </c>
      <c r="G52" s="866">
        <f>IF((G40=1),Thermostat!$B$3,Thermostat!$B$4)</f>
        <v>60</v>
      </c>
      <c r="H52" s="866">
        <f>IF((H40=1),Thermostat!$B$3,Thermostat!$B$4)</f>
        <v>60</v>
      </c>
      <c r="I52" s="866">
        <f>IF((I40=1),Thermostat!$B$3,Thermostat!$B$4)</f>
        <v>60</v>
      </c>
      <c r="J52" s="866">
        <f>IF((J40=1),Thermostat!$B$3,Thermostat!$B$4)</f>
        <v>60</v>
      </c>
      <c r="K52" s="866">
        <f>IF((K40=1),Thermostat!$B$3,Thermostat!$B$4)</f>
        <v>60</v>
      </c>
      <c r="L52" s="866">
        <f>IF((L40=1),Thermostat!$B$3,Thermostat!$B$4)</f>
        <v>60</v>
      </c>
      <c r="M52" s="866">
        <f>IF((M40=1),Thermostat!$B$3,Thermostat!$B$4)</f>
        <v>70</v>
      </c>
      <c r="N52" s="866">
        <f>IF((N40=1),Thermostat!$B$3,Thermostat!$B$4)</f>
        <v>70</v>
      </c>
      <c r="O52" s="866">
        <f>IF((O40=1),Thermostat!$B$3,Thermostat!$B$4)</f>
        <v>70</v>
      </c>
      <c r="P52" s="866">
        <f>IF((P40=1),Thermostat!$B$3,Thermostat!$B$4)</f>
        <v>70</v>
      </c>
      <c r="Q52" s="866">
        <f>IF((Q40=1),Thermostat!$B$3,Thermostat!$B$4)</f>
        <v>70</v>
      </c>
      <c r="R52" s="866">
        <f>IF((R40=1),Thermostat!$B$3,Thermostat!$B$4)</f>
        <v>70</v>
      </c>
      <c r="S52" s="866">
        <f>IF((S40=1),Thermostat!$B$3,Thermostat!$B$4)</f>
        <v>70</v>
      </c>
      <c r="T52" s="866">
        <f>IF((T40=1),Thermostat!$B$3,Thermostat!$B$4)</f>
        <v>70</v>
      </c>
      <c r="U52" s="866">
        <f>IF((U40=1),Thermostat!$B$3,Thermostat!$B$4)</f>
        <v>70</v>
      </c>
      <c r="V52" s="866">
        <f>IF((V40=1),Thermostat!$B$3,Thermostat!$B$4)</f>
        <v>70</v>
      </c>
      <c r="W52" s="866">
        <f>IF((W40=1),Thermostat!$B$3,Thermostat!$B$4)</f>
        <v>70</v>
      </c>
      <c r="X52" s="866">
        <f>IF((X40=1),Thermostat!$B$3,Thermostat!$B$4)</f>
        <v>70</v>
      </c>
      <c r="Y52" s="866">
        <f>IF((Y40=1),Thermostat!$B$3,Thermostat!$B$4)</f>
        <v>70</v>
      </c>
      <c r="Z52" s="866">
        <f>IF((Z40=1),Thermostat!$B$3,Thermostat!$B$4)</f>
        <v>70</v>
      </c>
      <c r="AA52" s="866">
        <f>IF((AA40=1),Thermostat!$B$3,Thermostat!$B$4)</f>
        <v>70</v>
      </c>
      <c r="AB52" s="866">
        <f>IF((AB40=1),Thermostat!$B$3,Thermostat!$B$4)</f>
        <v>70</v>
      </c>
      <c r="AC52" s="329">
        <f>IF((AC40=1),Thermostat!$B$3,Thermostat!$B$4)</f>
        <v>60</v>
      </c>
      <c r="AD52" s="40"/>
      <c r="AE52" s="39"/>
      <c r="AF52" s="39"/>
      <c r="AG52" s="39"/>
      <c r="AH52" s="39"/>
      <c r="AI52" s="39"/>
      <c r="AJ52" s="39"/>
      <c r="AK52" s="39"/>
      <c r="AM52" s="47"/>
    </row>
    <row r="53" spans="1:39" ht="36" customHeight="1" x14ac:dyDescent="0.3">
      <c r="A53" s="1056" t="str">
        <f>A29</f>
        <v>Storage, Mech, Laundry, Banquet</v>
      </c>
      <c r="B53" s="1143" t="str">
        <f>B50</f>
        <v>Assembly</v>
      </c>
      <c r="C53" s="1146" t="s">
        <v>771</v>
      </c>
      <c r="D53" s="1134" t="str">
        <f t="shared" ref="D53" si="10">D50</f>
        <v>T24 2022 - Appendix 5.4B, [Assembly]</v>
      </c>
      <c r="E53" s="309" t="s">
        <v>468</v>
      </c>
      <c r="F53" s="862">
        <f>IF((F38=1),Thermostat!$B$5,Thermostat!$B$6)</f>
        <v>85</v>
      </c>
      <c r="G53" s="862">
        <f>IF((G38=1),Thermostat!$B$5,Thermostat!$B$6)</f>
        <v>85</v>
      </c>
      <c r="H53" s="862">
        <f>IF((H38=1),Thermostat!$B$5,Thermostat!$B$6)</f>
        <v>85</v>
      </c>
      <c r="I53" s="862">
        <f>IF((I38=1),Thermostat!$B$5,Thermostat!$B$6)</f>
        <v>85</v>
      </c>
      <c r="J53" s="862">
        <f>IF((J38=1),Thermostat!$B$5,Thermostat!$B$6)</f>
        <v>85</v>
      </c>
      <c r="K53" s="862">
        <f>IF((K38=1),Thermostat!$B$5,Thermostat!$B$6)</f>
        <v>85</v>
      </c>
      <c r="L53" s="862">
        <f>IF((L38=1),Thermostat!$B$5,Thermostat!$B$6)</f>
        <v>85</v>
      </c>
      <c r="M53" s="862">
        <f>IF((M38=1),Thermostat!$B$5,Thermostat!$B$6)</f>
        <v>75</v>
      </c>
      <c r="N53" s="862">
        <f>IF((N38=1),Thermostat!$B$5,Thermostat!$B$6)</f>
        <v>75</v>
      </c>
      <c r="O53" s="862">
        <f>IF((O38=1),Thermostat!$B$5,Thermostat!$B$6)</f>
        <v>75</v>
      </c>
      <c r="P53" s="862">
        <f>IF((P38=1),Thermostat!$B$5,Thermostat!$B$6)</f>
        <v>75</v>
      </c>
      <c r="Q53" s="862">
        <f>IF((Q38=1),Thermostat!$B$5,Thermostat!$B$6)</f>
        <v>75</v>
      </c>
      <c r="R53" s="862">
        <f>IF((R38=1),Thermostat!$B$5,Thermostat!$B$6)</f>
        <v>75</v>
      </c>
      <c r="S53" s="862">
        <f>IF((S38=1),Thermostat!$B$5,Thermostat!$B$6)</f>
        <v>75</v>
      </c>
      <c r="T53" s="862">
        <f>IF((T38=1),Thermostat!$B$5,Thermostat!$B$6)</f>
        <v>75</v>
      </c>
      <c r="U53" s="862">
        <f>IF((U38=1),Thermostat!$B$5,Thermostat!$B$6)</f>
        <v>75</v>
      </c>
      <c r="V53" s="862">
        <f>IF((V38=1),Thermostat!$B$5,Thermostat!$B$6)</f>
        <v>75</v>
      </c>
      <c r="W53" s="862">
        <f>IF((W38=1),Thermostat!$B$5,Thermostat!$B$6)</f>
        <v>75</v>
      </c>
      <c r="X53" s="862">
        <f>IF((X38=1),Thermostat!$B$5,Thermostat!$B$6)</f>
        <v>75</v>
      </c>
      <c r="Y53" s="862">
        <f>IF((Y38=1),Thermostat!$B$5,Thermostat!$B$6)</f>
        <v>75</v>
      </c>
      <c r="Z53" s="862">
        <f>IF((Z38=1),Thermostat!$B$5,Thermostat!$B$6)</f>
        <v>75</v>
      </c>
      <c r="AA53" s="862">
        <f>IF((AA38=1),Thermostat!$B$5,Thermostat!$B$6)</f>
        <v>75</v>
      </c>
      <c r="AB53" s="862">
        <f>IF((AB38=1),Thermostat!$B$5,Thermostat!$B$6)</f>
        <v>75</v>
      </c>
      <c r="AC53" s="313">
        <f>IF((AC38=1),Thermostat!$B$5,Thermostat!$B$6)</f>
        <v>85</v>
      </c>
      <c r="AD53" s="40"/>
      <c r="AE53" s="39"/>
      <c r="AF53" s="39"/>
      <c r="AG53" s="39"/>
      <c r="AH53" s="39"/>
      <c r="AI53" s="39"/>
      <c r="AJ53" s="39"/>
      <c r="AK53" s="39"/>
      <c r="AM53" s="47"/>
    </row>
    <row r="54" spans="1:39" ht="36" customHeight="1" x14ac:dyDescent="0.3">
      <c r="A54" s="1057"/>
      <c r="B54" s="1144"/>
      <c r="C54" s="1075"/>
      <c r="D54" s="1078"/>
      <c r="E54" s="310" t="s">
        <v>475</v>
      </c>
      <c r="F54" s="858">
        <f>IF((F39=1),Thermostat!$B$5,Thermostat!$B$6)</f>
        <v>85</v>
      </c>
      <c r="G54" s="858">
        <f>IF((G39=1),Thermostat!$B$5,Thermostat!$B$6)</f>
        <v>85</v>
      </c>
      <c r="H54" s="858">
        <f>IF((H39=1),Thermostat!$B$5,Thermostat!$B$6)</f>
        <v>85</v>
      </c>
      <c r="I54" s="858">
        <f>IF((I39=1),Thermostat!$B$5,Thermostat!$B$6)</f>
        <v>85</v>
      </c>
      <c r="J54" s="858">
        <f>IF((J39=1),Thermostat!$B$5,Thermostat!$B$6)</f>
        <v>85</v>
      </c>
      <c r="K54" s="858">
        <f>IF((K39=1),Thermostat!$B$5,Thermostat!$B$6)</f>
        <v>85</v>
      </c>
      <c r="L54" s="858">
        <f>IF((L39=1),Thermostat!$B$5,Thermostat!$B$6)</f>
        <v>85</v>
      </c>
      <c r="M54" s="858">
        <f>IF((M39=1),Thermostat!$B$5,Thermostat!$B$6)</f>
        <v>75</v>
      </c>
      <c r="N54" s="858">
        <f>IF((N39=1),Thermostat!$B$5,Thermostat!$B$6)</f>
        <v>75</v>
      </c>
      <c r="O54" s="858">
        <f>IF((O39=1),Thermostat!$B$5,Thermostat!$B$6)</f>
        <v>75</v>
      </c>
      <c r="P54" s="858">
        <f>IF((P39=1),Thermostat!$B$5,Thermostat!$B$6)</f>
        <v>75</v>
      </c>
      <c r="Q54" s="858">
        <f>IF((Q39=1),Thermostat!$B$5,Thermostat!$B$6)</f>
        <v>75</v>
      </c>
      <c r="R54" s="858">
        <f>IF((R39=1),Thermostat!$B$5,Thermostat!$B$6)</f>
        <v>75</v>
      </c>
      <c r="S54" s="858">
        <f>IF((S39=1),Thermostat!$B$5,Thermostat!$B$6)</f>
        <v>75</v>
      </c>
      <c r="T54" s="858">
        <f>IF((T39=1),Thermostat!$B$5,Thermostat!$B$6)</f>
        <v>75</v>
      </c>
      <c r="U54" s="858">
        <f>IF((U39=1),Thermostat!$B$5,Thermostat!$B$6)</f>
        <v>75</v>
      </c>
      <c r="V54" s="858">
        <f>IF((V39=1),Thermostat!$B$5,Thermostat!$B$6)</f>
        <v>75</v>
      </c>
      <c r="W54" s="858">
        <f>IF((W39=1),Thermostat!$B$5,Thermostat!$B$6)</f>
        <v>75</v>
      </c>
      <c r="X54" s="858">
        <f>IF((X39=1),Thermostat!$B$5,Thermostat!$B$6)</f>
        <v>75</v>
      </c>
      <c r="Y54" s="858">
        <f>IF((Y39=1),Thermostat!$B$5,Thermostat!$B$6)</f>
        <v>75</v>
      </c>
      <c r="Z54" s="858">
        <f>IF((Z39=1),Thermostat!$B$5,Thermostat!$B$6)</f>
        <v>75</v>
      </c>
      <c r="AA54" s="858">
        <f>IF((AA39=1),Thermostat!$B$5,Thermostat!$B$6)</f>
        <v>75</v>
      </c>
      <c r="AB54" s="858">
        <f>IF((AB39=1),Thermostat!$B$5,Thermostat!$B$6)</f>
        <v>75</v>
      </c>
      <c r="AC54" s="314">
        <f>IF((AC39=1),Thermostat!$B$5,Thermostat!$B$6)</f>
        <v>85</v>
      </c>
      <c r="AD54" s="40"/>
      <c r="AE54" s="39"/>
      <c r="AF54" s="39"/>
      <c r="AG54" s="39"/>
      <c r="AH54" s="39"/>
      <c r="AI54" s="39"/>
      <c r="AJ54" s="39"/>
      <c r="AK54" s="39"/>
      <c r="AM54" s="47"/>
    </row>
    <row r="55" spans="1:39" ht="36" customHeight="1" thickBot="1" x14ac:dyDescent="0.35">
      <c r="A55" s="1058"/>
      <c r="B55" s="1145"/>
      <c r="C55" s="1086"/>
      <c r="D55" s="1135"/>
      <c r="E55" s="311" t="s">
        <v>477</v>
      </c>
      <c r="F55" s="861">
        <f>IF((F40=1),Thermostat!$B$5,Thermostat!$B$6)</f>
        <v>85</v>
      </c>
      <c r="G55" s="861">
        <f>IF((G40=1),Thermostat!$B$5,Thermostat!$B$6)</f>
        <v>85</v>
      </c>
      <c r="H55" s="861">
        <f>IF((H40=1),Thermostat!$B$5,Thermostat!$B$6)</f>
        <v>85</v>
      </c>
      <c r="I55" s="861">
        <f>IF((I40=1),Thermostat!$B$5,Thermostat!$B$6)</f>
        <v>85</v>
      </c>
      <c r="J55" s="861">
        <f>IF((J40=1),Thermostat!$B$5,Thermostat!$B$6)</f>
        <v>85</v>
      </c>
      <c r="K55" s="861">
        <f>IF((K40=1),Thermostat!$B$5,Thermostat!$B$6)</f>
        <v>85</v>
      </c>
      <c r="L55" s="861">
        <f>IF((L40=1),Thermostat!$B$5,Thermostat!$B$6)</f>
        <v>85</v>
      </c>
      <c r="M55" s="861">
        <f>IF((M40=1),Thermostat!$B$5,Thermostat!$B$6)</f>
        <v>75</v>
      </c>
      <c r="N55" s="861">
        <f>IF((N40=1),Thermostat!$B$5,Thermostat!$B$6)</f>
        <v>75</v>
      </c>
      <c r="O55" s="861">
        <f>IF((O40=1),Thermostat!$B$5,Thermostat!$B$6)</f>
        <v>75</v>
      </c>
      <c r="P55" s="861">
        <f>IF((P40=1),Thermostat!$B$5,Thermostat!$B$6)</f>
        <v>75</v>
      </c>
      <c r="Q55" s="861">
        <f>IF((Q40=1),Thermostat!$B$5,Thermostat!$B$6)</f>
        <v>75</v>
      </c>
      <c r="R55" s="861">
        <f>IF((R40=1),Thermostat!$B$5,Thermostat!$B$6)</f>
        <v>75</v>
      </c>
      <c r="S55" s="861">
        <f>IF((S40=1),Thermostat!$B$5,Thermostat!$B$6)</f>
        <v>75</v>
      </c>
      <c r="T55" s="861">
        <f>IF((T40=1),Thermostat!$B$5,Thermostat!$B$6)</f>
        <v>75</v>
      </c>
      <c r="U55" s="861">
        <f>IF((U40=1),Thermostat!$B$5,Thermostat!$B$6)</f>
        <v>75</v>
      </c>
      <c r="V55" s="861">
        <f>IF((V40=1),Thermostat!$B$5,Thermostat!$B$6)</f>
        <v>75</v>
      </c>
      <c r="W55" s="861">
        <f>IF((W40=1),Thermostat!$B$5,Thermostat!$B$6)</f>
        <v>75</v>
      </c>
      <c r="X55" s="861">
        <f>IF((X40=1),Thermostat!$B$5,Thermostat!$B$6)</f>
        <v>75</v>
      </c>
      <c r="Y55" s="861">
        <f>IF((Y40=1),Thermostat!$B$5,Thermostat!$B$6)</f>
        <v>75</v>
      </c>
      <c r="Z55" s="861">
        <f>IF((Z40=1),Thermostat!$B$5,Thermostat!$B$6)</f>
        <v>75</v>
      </c>
      <c r="AA55" s="861">
        <f>IF((AA40=1),Thermostat!$B$5,Thermostat!$B$6)</f>
        <v>75</v>
      </c>
      <c r="AB55" s="861">
        <f>IF((AB40=1),Thermostat!$B$5,Thermostat!$B$6)</f>
        <v>75</v>
      </c>
      <c r="AC55" s="315">
        <f>IF((AC40=1),Thermostat!$B$5,Thermostat!$B$6)</f>
        <v>85</v>
      </c>
      <c r="AD55" s="40"/>
      <c r="AE55" s="39"/>
      <c r="AF55" s="39"/>
      <c r="AG55" s="39"/>
      <c r="AH55" s="39"/>
      <c r="AI55" s="39"/>
      <c r="AJ55" s="39"/>
      <c r="AK55" s="39"/>
      <c r="AM55" s="47"/>
    </row>
    <row r="56" spans="1:39" ht="29.4" customHeight="1" thickBot="1" x14ac:dyDescent="0.35">
      <c r="A56" s="1140" t="s">
        <v>776</v>
      </c>
      <c r="B56" s="1141"/>
      <c r="C56" s="1141"/>
      <c r="D56" s="1141"/>
      <c r="E56" s="1141"/>
      <c r="F56" s="1141"/>
      <c r="G56" s="1141"/>
      <c r="H56" s="1141"/>
      <c r="I56" s="1141"/>
      <c r="J56" s="1141"/>
      <c r="K56" s="1141"/>
      <c r="L56" s="1141"/>
      <c r="M56" s="1141"/>
      <c r="N56" s="1141"/>
      <c r="O56" s="1141"/>
      <c r="P56" s="1141"/>
      <c r="Q56" s="1141"/>
      <c r="R56" s="1141"/>
      <c r="S56" s="1141"/>
      <c r="T56" s="1141"/>
      <c r="U56" s="1141"/>
      <c r="V56" s="1141"/>
      <c r="W56" s="1141"/>
      <c r="X56" s="1141"/>
      <c r="Y56" s="1141"/>
      <c r="Z56" s="1141"/>
      <c r="AA56" s="1141"/>
      <c r="AB56" s="1141"/>
      <c r="AC56" s="1142"/>
      <c r="AD56" s="40"/>
      <c r="AE56" s="39"/>
      <c r="AF56" s="39"/>
      <c r="AG56" s="39"/>
      <c r="AH56" s="39"/>
      <c r="AI56" s="39"/>
      <c r="AJ56" s="39"/>
      <c r="AK56" s="39"/>
    </row>
    <row r="57" spans="1:39" ht="31.95" customHeight="1" x14ac:dyDescent="0.3">
      <c r="A57" s="1087" t="s">
        <v>777</v>
      </c>
      <c r="B57" s="1175" t="str">
        <f>Zones!E22</f>
        <v>ResidentialCommon</v>
      </c>
      <c r="C57" s="1089" t="s">
        <v>761</v>
      </c>
      <c r="D57" s="1138" t="s">
        <v>778</v>
      </c>
      <c r="E57" s="309" t="s">
        <v>468</v>
      </c>
      <c r="F57" s="304">
        <v>0.1</v>
      </c>
      <c r="G57" s="304">
        <v>0.1</v>
      </c>
      <c r="H57" s="304">
        <v>0.1</v>
      </c>
      <c r="I57" s="304">
        <v>0.1</v>
      </c>
      <c r="J57" s="304">
        <v>0.1</v>
      </c>
      <c r="K57" s="304">
        <v>0.3</v>
      </c>
      <c r="L57" s="304">
        <v>0.45</v>
      </c>
      <c r="M57" s="304">
        <v>0.45</v>
      </c>
      <c r="N57" s="304">
        <v>0.45</v>
      </c>
      <c r="O57" s="304">
        <v>0.45</v>
      </c>
      <c r="P57" s="304">
        <v>0.3</v>
      </c>
      <c r="Q57" s="304">
        <v>0.3</v>
      </c>
      <c r="R57" s="304">
        <v>0.3</v>
      </c>
      <c r="S57" s="304">
        <v>0.3</v>
      </c>
      <c r="T57" s="304">
        <v>0.3</v>
      </c>
      <c r="U57" s="304">
        <v>0.3</v>
      </c>
      <c r="V57" s="304">
        <v>0.3</v>
      </c>
      <c r="W57" s="304">
        <v>0.3</v>
      </c>
      <c r="X57" s="304">
        <v>0.6</v>
      </c>
      <c r="Y57" s="304">
        <v>0.8</v>
      </c>
      <c r="Z57" s="304">
        <v>0.9</v>
      </c>
      <c r="AA57" s="304">
        <v>0.8</v>
      </c>
      <c r="AB57" s="304">
        <v>0.6</v>
      </c>
      <c r="AC57" s="305">
        <v>0.3</v>
      </c>
      <c r="AD57" s="39"/>
      <c r="AE57" s="39"/>
      <c r="AF57" s="39"/>
      <c r="AG57" s="39"/>
      <c r="AH57" s="39"/>
      <c r="AI57" s="39"/>
      <c r="AJ57" s="39"/>
      <c r="AK57" s="39"/>
    </row>
    <row r="58" spans="1:39" ht="33" customHeight="1" x14ac:dyDescent="0.3">
      <c r="A58" s="1081"/>
      <c r="B58" s="1060"/>
      <c r="C58" s="1060"/>
      <c r="D58" s="1078"/>
      <c r="E58" s="310" t="s">
        <v>475</v>
      </c>
      <c r="F58" s="303">
        <v>0.1</v>
      </c>
      <c r="G58" s="303">
        <v>0.1</v>
      </c>
      <c r="H58" s="303">
        <v>0.1</v>
      </c>
      <c r="I58" s="303">
        <v>0.1</v>
      </c>
      <c r="J58" s="303">
        <v>0.1</v>
      </c>
      <c r="K58" s="303">
        <v>0.3</v>
      </c>
      <c r="L58" s="303">
        <v>0.45</v>
      </c>
      <c r="M58" s="303">
        <v>0.45</v>
      </c>
      <c r="N58" s="303">
        <v>0.45</v>
      </c>
      <c r="O58" s="303">
        <v>0.45</v>
      </c>
      <c r="P58" s="303">
        <v>0.3</v>
      </c>
      <c r="Q58" s="303">
        <v>0.3</v>
      </c>
      <c r="R58" s="303">
        <v>0.3</v>
      </c>
      <c r="S58" s="303">
        <v>0.3</v>
      </c>
      <c r="T58" s="303">
        <v>0.3</v>
      </c>
      <c r="U58" s="303">
        <v>0.3</v>
      </c>
      <c r="V58" s="303">
        <v>0.3</v>
      </c>
      <c r="W58" s="303">
        <v>0.3</v>
      </c>
      <c r="X58" s="303">
        <v>0.6</v>
      </c>
      <c r="Y58" s="303">
        <v>0.8</v>
      </c>
      <c r="Z58" s="303">
        <v>0.9</v>
      </c>
      <c r="AA58" s="303">
        <v>0.8</v>
      </c>
      <c r="AB58" s="303">
        <v>0.6</v>
      </c>
      <c r="AC58" s="306">
        <v>0.3</v>
      </c>
      <c r="AD58" s="39"/>
      <c r="AE58" s="39"/>
      <c r="AF58" s="39"/>
      <c r="AG58" s="39"/>
      <c r="AH58" s="39"/>
      <c r="AI58" s="39"/>
      <c r="AJ58" s="39"/>
      <c r="AK58" s="39"/>
    </row>
    <row r="59" spans="1:39" ht="33" customHeight="1" thickBot="1" x14ac:dyDescent="0.35">
      <c r="A59" s="1082"/>
      <c r="B59" s="1084"/>
      <c r="C59" s="1084"/>
      <c r="D59" s="1135"/>
      <c r="E59" s="311" t="s">
        <v>477</v>
      </c>
      <c r="F59" s="307">
        <v>0.1</v>
      </c>
      <c r="G59" s="307">
        <v>0.1</v>
      </c>
      <c r="H59" s="307">
        <v>0.1</v>
      </c>
      <c r="I59" s="307">
        <v>0.1</v>
      </c>
      <c r="J59" s="307">
        <v>0.1</v>
      </c>
      <c r="K59" s="307">
        <v>0.3</v>
      </c>
      <c r="L59" s="307">
        <v>0.45</v>
      </c>
      <c r="M59" s="307">
        <v>0.45</v>
      </c>
      <c r="N59" s="307">
        <v>0.45</v>
      </c>
      <c r="O59" s="307">
        <v>0.45</v>
      </c>
      <c r="P59" s="307">
        <v>0.3</v>
      </c>
      <c r="Q59" s="307">
        <v>0.3</v>
      </c>
      <c r="R59" s="307">
        <v>0.3</v>
      </c>
      <c r="S59" s="307">
        <v>0.3</v>
      </c>
      <c r="T59" s="307">
        <v>0.3</v>
      </c>
      <c r="U59" s="307">
        <v>0.3</v>
      </c>
      <c r="V59" s="307">
        <v>0.3</v>
      </c>
      <c r="W59" s="307">
        <v>0.3</v>
      </c>
      <c r="X59" s="307">
        <v>0.6</v>
      </c>
      <c r="Y59" s="307">
        <v>0.8</v>
      </c>
      <c r="Z59" s="307">
        <v>0.9</v>
      </c>
      <c r="AA59" s="307">
        <v>0.8</v>
      </c>
      <c r="AB59" s="307">
        <v>0.6</v>
      </c>
      <c r="AC59" s="308">
        <v>0.3</v>
      </c>
      <c r="AD59" s="39"/>
      <c r="AE59" s="39"/>
      <c r="AF59" s="39"/>
      <c r="AG59" s="39"/>
      <c r="AH59" s="39"/>
      <c r="AI59" s="39"/>
      <c r="AJ59" s="39"/>
      <c r="AK59" s="39"/>
    </row>
    <row r="60" spans="1:39" ht="38.700000000000003" customHeight="1" x14ac:dyDescent="0.3">
      <c r="A60" s="1087" t="str">
        <f>A57</f>
        <v>Corridors and Lobby</v>
      </c>
      <c r="B60" s="1175" t="str">
        <f>B57</f>
        <v>ResidentialCommon</v>
      </c>
      <c r="C60" s="1089" t="s">
        <v>763</v>
      </c>
      <c r="D60" s="1138" t="s">
        <v>778</v>
      </c>
      <c r="E60" s="309" t="s">
        <v>468</v>
      </c>
      <c r="F60" s="304">
        <v>1</v>
      </c>
      <c r="G60" s="304">
        <v>1</v>
      </c>
      <c r="H60" s="304">
        <v>1</v>
      </c>
      <c r="I60" s="304">
        <v>1</v>
      </c>
      <c r="J60" s="304">
        <v>1</v>
      </c>
      <c r="K60" s="304">
        <v>1</v>
      </c>
      <c r="L60" s="304">
        <v>1</v>
      </c>
      <c r="M60" s="304">
        <v>1</v>
      </c>
      <c r="N60" s="304">
        <v>1</v>
      </c>
      <c r="O60" s="304">
        <v>1</v>
      </c>
      <c r="P60" s="304">
        <v>1</v>
      </c>
      <c r="Q60" s="304">
        <v>1</v>
      </c>
      <c r="R60" s="304">
        <v>1</v>
      </c>
      <c r="S60" s="304">
        <v>1</v>
      </c>
      <c r="T60" s="304">
        <v>1</v>
      </c>
      <c r="U60" s="304">
        <v>1</v>
      </c>
      <c r="V60" s="304">
        <v>1</v>
      </c>
      <c r="W60" s="304">
        <v>1</v>
      </c>
      <c r="X60" s="304">
        <v>1</v>
      </c>
      <c r="Y60" s="304">
        <v>1</v>
      </c>
      <c r="Z60" s="304">
        <v>1</v>
      </c>
      <c r="AA60" s="304">
        <v>1</v>
      </c>
      <c r="AB60" s="304">
        <v>1</v>
      </c>
      <c r="AC60" s="305">
        <v>1</v>
      </c>
      <c r="AD60" s="39"/>
      <c r="AE60" s="39"/>
      <c r="AF60" s="39"/>
      <c r="AG60" s="39"/>
      <c r="AH60" s="39"/>
      <c r="AI60" s="39"/>
      <c r="AJ60" s="39"/>
      <c r="AK60" s="39"/>
      <c r="AM60" s="47"/>
    </row>
    <row r="61" spans="1:39" ht="38.700000000000003" customHeight="1" x14ac:dyDescent="0.3">
      <c r="A61" s="1081"/>
      <c r="B61" s="1060"/>
      <c r="C61" s="1060"/>
      <c r="D61" s="1078"/>
      <c r="E61" s="310" t="s">
        <v>475</v>
      </c>
      <c r="F61" s="303">
        <v>1</v>
      </c>
      <c r="G61" s="303">
        <v>1</v>
      </c>
      <c r="H61" s="303">
        <v>1</v>
      </c>
      <c r="I61" s="303">
        <v>1</v>
      </c>
      <c r="J61" s="303">
        <v>1</v>
      </c>
      <c r="K61" s="303">
        <v>1</v>
      </c>
      <c r="L61" s="303">
        <v>1</v>
      </c>
      <c r="M61" s="303">
        <v>1</v>
      </c>
      <c r="N61" s="303">
        <v>1</v>
      </c>
      <c r="O61" s="303">
        <v>1</v>
      </c>
      <c r="P61" s="303">
        <v>1</v>
      </c>
      <c r="Q61" s="303">
        <v>1</v>
      </c>
      <c r="R61" s="303">
        <v>1</v>
      </c>
      <c r="S61" s="303">
        <v>1</v>
      </c>
      <c r="T61" s="303">
        <v>1</v>
      </c>
      <c r="U61" s="303">
        <v>1</v>
      </c>
      <c r="V61" s="303">
        <v>1</v>
      </c>
      <c r="W61" s="303">
        <v>1</v>
      </c>
      <c r="X61" s="303">
        <v>1</v>
      </c>
      <c r="Y61" s="303">
        <v>1</v>
      </c>
      <c r="Z61" s="303">
        <v>1</v>
      </c>
      <c r="AA61" s="303">
        <v>1</v>
      </c>
      <c r="AB61" s="303">
        <v>1</v>
      </c>
      <c r="AC61" s="306">
        <v>1</v>
      </c>
      <c r="AD61" s="39"/>
      <c r="AE61" s="39"/>
      <c r="AF61" s="39"/>
      <c r="AG61" s="39"/>
      <c r="AH61" s="39"/>
      <c r="AI61" s="39"/>
      <c r="AJ61" s="39"/>
      <c r="AK61" s="39"/>
      <c r="AM61" s="47"/>
    </row>
    <row r="62" spans="1:39" ht="38.4" customHeight="1" thickBot="1" x14ac:dyDescent="0.35">
      <c r="A62" s="1082"/>
      <c r="B62" s="1084"/>
      <c r="C62" s="1084"/>
      <c r="D62" s="1135"/>
      <c r="E62" s="311" t="s">
        <v>477</v>
      </c>
      <c r="F62" s="307">
        <v>1</v>
      </c>
      <c r="G62" s="307">
        <v>1</v>
      </c>
      <c r="H62" s="307">
        <v>1</v>
      </c>
      <c r="I62" s="307">
        <v>1</v>
      </c>
      <c r="J62" s="307">
        <v>1</v>
      </c>
      <c r="K62" s="307">
        <v>1</v>
      </c>
      <c r="L62" s="307">
        <v>1</v>
      </c>
      <c r="M62" s="307">
        <v>1</v>
      </c>
      <c r="N62" s="307">
        <v>1</v>
      </c>
      <c r="O62" s="307">
        <v>1</v>
      </c>
      <c r="P62" s="307">
        <v>1</v>
      </c>
      <c r="Q62" s="307">
        <v>1</v>
      </c>
      <c r="R62" s="307">
        <v>1</v>
      </c>
      <c r="S62" s="307">
        <v>1</v>
      </c>
      <c r="T62" s="307">
        <v>1</v>
      </c>
      <c r="U62" s="307">
        <v>1</v>
      </c>
      <c r="V62" s="307">
        <v>1</v>
      </c>
      <c r="W62" s="307">
        <v>1</v>
      </c>
      <c r="X62" s="307">
        <v>1</v>
      </c>
      <c r="Y62" s="307">
        <v>1</v>
      </c>
      <c r="Z62" s="307">
        <v>1</v>
      </c>
      <c r="AA62" s="307">
        <v>1</v>
      </c>
      <c r="AB62" s="307">
        <v>1</v>
      </c>
      <c r="AC62" s="308">
        <v>1</v>
      </c>
      <c r="AD62" s="39"/>
      <c r="AE62" s="39"/>
      <c r="AF62" s="39"/>
      <c r="AG62" s="39"/>
      <c r="AH62" s="39"/>
      <c r="AI62" s="39"/>
      <c r="AJ62" s="39"/>
      <c r="AK62" s="39"/>
      <c r="AM62" s="47"/>
    </row>
    <row r="63" spans="1:39" ht="30.6" customHeight="1" x14ac:dyDescent="0.3">
      <c r="A63" s="1087" t="str">
        <f t="shared" ref="A63:B63" si="11">A60</f>
        <v>Corridors and Lobby</v>
      </c>
      <c r="B63" s="1175" t="str">
        <f t="shared" si="11"/>
        <v>ResidentialCommon</v>
      </c>
      <c r="C63" s="1089" t="s">
        <v>765</v>
      </c>
      <c r="D63" s="1134" t="s">
        <v>778</v>
      </c>
      <c r="E63" s="312" t="s">
        <v>468</v>
      </c>
      <c r="F63" s="325">
        <v>0.1</v>
      </c>
      <c r="G63" s="325">
        <v>0.1</v>
      </c>
      <c r="H63" s="325">
        <v>0.1</v>
      </c>
      <c r="I63" s="325">
        <v>0.1</v>
      </c>
      <c r="J63" s="325">
        <v>0.1</v>
      </c>
      <c r="K63" s="325">
        <v>0.3</v>
      </c>
      <c r="L63" s="325">
        <v>0.45</v>
      </c>
      <c r="M63" s="325">
        <v>0.45</v>
      </c>
      <c r="N63" s="325">
        <v>0.45</v>
      </c>
      <c r="O63" s="325">
        <v>0.45</v>
      </c>
      <c r="P63" s="325">
        <v>0.3</v>
      </c>
      <c r="Q63" s="325">
        <v>0.3</v>
      </c>
      <c r="R63" s="325">
        <v>0.3</v>
      </c>
      <c r="S63" s="325">
        <v>0.3</v>
      </c>
      <c r="T63" s="325">
        <v>0.3</v>
      </c>
      <c r="U63" s="325">
        <v>0.3</v>
      </c>
      <c r="V63" s="325">
        <v>0.3</v>
      </c>
      <c r="W63" s="325">
        <v>0.3</v>
      </c>
      <c r="X63" s="325">
        <v>0.6</v>
      </c>
      <c r="Y63" s="325">
        <v>0.8</v>
      </c>
      <c r="Z63" s="325">
        <v>0.9</v>
      </c>
      <c r="AA63" s="325">
        <v>0.8</v>
      </c>
      <c r="AB63" s="325">
        <v>0.6</v>
      </c>
      <c r="AC63" s="326">
        <v>0.3</v>
      </c>
      <c r="AD63" s="39"/>
      <c r="AE63" s="39"/>
      <c r="AF63" s="39"/>
      <c r="AG63" s="39"/>
      <c r="AH63" s="39"/>
      <c r="AI63" s="39"/>
      <c r="AJ63" s="39"/>
      <c r="AK63" s="39"/>
    </row>
    <row r="64" spans="1:39" ht="30.6" customHeight="1" x14ac:dyDescent="0.3">
      <c r="A64" s="1081"/>
      <c r="B64" s="1060"/>
      <c r="C64" s="1060"/>
      <c r="D64" s="1078"/>
      <c r="E64" s="310" t="s">
        <v>475</v>
      </c>
      <c r="F64" s="303">
        <v>0.1</v>
      </c>
      <c r="G64" s="303">
        <v>0.1</v>
      </c>
      <c r="H64" s="303">
        <v>0.1</v>
      </c>
      <c r="I64" s="303">
        <v>0.1</v>
      </c>
      <c r="J64" s="303">
        <v>0.1</v>
      </c>
      <c r="K64" s="303">
        <v>0.3</v>
      </c>
      <c r="L64" s="303">
        <v>0.45</v>
      </c>
      <c r="M64" s="303">
        <v>0.45</v>
      </c>
      <c r="N64" s="303">
        <v>0.45</v>
      </c>
      <c r="O64" s="303">
        <v>0.45</v>
      </c>
      <c r="P64" s="303">
        <v>0.3</v>
      </c>
      <c r="Q64" s="303">
        <v>0.3</v>
      </c>
      <c r="R64" s="303">
        <v>0.3</v>
      </c>
      <c r="S64" s="303">
        <v>0.3</v>
      </c>
      <c r="T64" s="303">
        <v>0.3</v>
      </c>
      <c r="U64" s="303">
        <v>0.3</v>
      </c>
      <c r="V64" s="303">
        <v>0.3</v>
      </c>
      <c r="W64" s="303">
        <v>0.3</v>
      </c>
      <c r="X64" s="303">
        <v>0.6</v>
      </c>
      <c r="Y64" s="303">
        <v>0.8</v>
      </c>
      <c r="Z64" s="303">
        <v>0.9</v>
      </c>
      <c r="AA64" s="303">
        <v>0.8</v>
      </c>
      <c r="AB64" s="303">
        <v>0.6</v>
      </c>
      <c r="AC64" s="306">
        <v>0.3</v>
      </c>
      <c r="AD64" s="39"/>
      <c r="AE64" s="39"/>
      <c r="AF64" s="39"/>
      <c r="AG64" s="39"/>
      <c r="AH64" s="39"/>
      <c r="AI64" s="39"/>
      <c r="AJ64" s="39"/>
      <c r="AK64" s="39"/>
    </row>
    <row r="65" spans="1:67" ht="30.6" customHeight="1" thickBot="1" x14ac:dyDescent="0.35">
      <c r="A65" s="1088"/>
      <c r="B65" s="1090"/>
      <c r="C65" s="1090"/>
      <c r="D65" s="1139"/>
      <c r="E65" s="324" t="s">
        <v>477</v>
      </c>
      <c r="F65" s="327">
        <v>0.1</v>
      </c>
      <c r="G65" s="327">
        <v>0.1</v>
      </c>
      <c r="H65" s="327">
        <v>0.1</v>
      </c>
      <c r="I65" s="327">
        <v>0.1</v>
      </c>
      <c r="J65" s="327">
        <v>0.1</v>
      </c>
      <c r="K65" s="327">
        <v>0.3</v>
      </c>
      <c r="L65" s="327">
        <v>0.45</v>
      </c>
      <c r="M65" s="327">
        <v>0.45</v>
      </c>
      <c r="N65" s="327">
        <v>0.45</v>
      </c>
      <c r="O65" s="327">
        <v>0.45</v>
      </c>
      <c r="P65" s="327">
        <v>0.3</v>
      </c>
      <c r="Q65" s="327">
        <v>0.3</v>
      </c>
      <c r="R65" s="327">
        <v>0.3</v>
      </c>
      <c r="S65" s="327">
        <v>0.3</v>
      </c>
      <c r="T65" s="327">
        <v>0.3</v>
      </c>
      <c r="U65" s="327">
        <v>0.3</v>
      </c>
      <c r="V65" s="327">
        <v>0.3</v>
      </c>
      <c r="W65" s="327">
        <v>0.3</v>
      </c>
      <c r="X65" s="327">
        <v>0.6</v>
      </c>
      <c r="Y65" s="327">
        <v>0.8</v>
      </c>
      <c r="Z65" s="327">
        <v>0.9</v>
      </c>
      <c r="AA65" s="327">
        <v>0.8</v>
      </c>
      <c r="AB65" s="327">
        <v>0.6</v>
      </c>
      <c r="AC65" s="328">
        <v>0.3</v>
      </c>
      <c r="AD65" s="39"/>
      <c r="AE65" s="39"/>
      <c r="AF65" s="39"/>
      <c r="AG65" s="39"/>
      <c r="AH65" s="39"/>
      <c r="AI65" s="39"/>
      <c r="AJ65" s="39"/>
      <c r="AK65" s="39"/>
    </row>
    <row r="66" spans="1:67" ht="30.6" customHeight="1" x14ac:dyDescent="0.3">
      <c r="A66" s="1068" t="str">
        <f t="shared" ref="A66:B66" si="12">A63</f>
        <v>Corridors and Lobby</v>
      </c>
      <c r="B66" s="1254" t="str">
        <f t="shared" si="12"/>
        <v>ResidentialCommon</v>
      </c>
      <c r="C66" s="1059" t="s">
        <v>768</v>
      </c>
      <c r="D66" s="1062" t="s">
        <v>778</v>
      </c>
      <c r="E66" s="377" t="s">
        <v>468</v>
      </c>
      <c r="F66" s="371">
        <v>0</v>
      </c>
      <c r="G66" s="371">
        <v>0</v>
      </c>
      <c r="H66" s="371">
        <v>0</v>
      </c>
      <c r="I66" s="371">
        <v>0.05</v>
      </c>
      <c r="J66" s="371">
        <v>0.05</v>
      </c>
      <c r="K66" s="371">
        <v>0.05</v>
      </c>
      <c r="L66" s="371">
        <v>0.8</v>
      </c>
      <c r="M66" s="371">
        <v>0.7</v>
      </c>
      <c r="N66" s="371">
        <v>0.5</v>
      </c>
      <c r="O66" s="371">
        <v>0.4</v>
      </c>
      <c r="P66" s="371">
        <v>0.25</v>
      </c>
      <c r="Q66" s="371">
        <v>0.25</v>
      </c>
      <c r="R66" s="371">
        <v>0.25</v>
      </c>
      <c r="S66" s="371">
        <v>0.25</v>
      </c>
      <c r="T66" s="371">
        <v>0.5</v>
      </c>
      <c r="U66" s="371">
        <v>0.6</v>
      </c>
      <c r="V66" s="371">
        <v>0.7</v>
      </c>
      <c r="W66" s="371">
        <v>0.7</v>
      </c>
      <c r="X66" s="371">
        <v>0.4</v>
      </c>
      <c r="Y66" s="371">
        <v>0.25</v>
      </c>
      <c r="Z66" s="371">
        <v>0.2</v>
      </c>
      <c r="AA66" s="371">
        <v>0.2</v>
      </c>
      <c r="AB66" s="371">
        <v>0.05</v>
      </c>
      <c r="AC66" s="372">
        <v>0.05</v>
      </c>
      <c r="AD66" s="39"/>
      <c r="AE66" s="39"/>
      <c r="AF66" s="39"/>
      <c r="AG66" s="39"/>
      <c r="AH66" s="39"/>
      <c r="AI66" s="39"/>
      <c r="AJ66" s="39"/>
      <c r="AK66" s="39"/>
    </row>
    <row r="67" spans="1:67" ht="30.6" customHeight="1" x14ac:dyDescent="0.3">
      <c r="A67" s="1069"/>
      <c r="B67" s="1060"/>
      <c r="C67" s="1060"/>
      <c r="D67" s="1063"/>
      <c r="E67" s="378" t="s">
        <v>475</v>
      </c>
      <c r="F67" s="303">
        <v>0</v>
      </c>
      <c r="G67" s="303">
        <v>0</v>
      </c>
      <c r="H67" s="303">
        <v>0</v>
      </c>
      <c r="I67" s="303">
        <v>0.05</v>
      </c>
      <c r="J67" s="303">
        <v>0.05</v>
      </c>
      <c r="K67" s="303">
        <v>0.05</v>
      </c>
      <c r="L67" s="303">
        <v>0.8</v>
      </c>
      <c r="M67" s="303">
        <v>0.7</v>
      </c>
      <c r="N67" s="303">
        <v>0.5</v>
      </c>
      <c r="O67" s="303">
        <v>0.4</v>
      </c>
      <c r="P67" s="303">
        <v>0.25</v>
      </c>
      <c r="Q67" s="303">
        <v>0.25</v>
      </c>
      <c r="R67" s="303">
        <v>0.25</v>
      </c>
      <c r="S67" s="303">
        <v>0.25</v>
      </c>
      <c r="T67" s="303">
        <v>0.5</v>
      </c>
      <c r="U67" s="303">
        <v>0.6</v>
      </c>
      <c r="V67" s="303">
        <v>0.7</v>
      </c>
      <c r="W67" s="303">
        <v>0.7</v>
      </c>
      <c r="X67" s="303">
        <v>0.4</v>
      </c>
      <c r="Y67" s="303">
        <v>0.25</v>
      </c>
      <c r="Z67" s="303">
        <v>0.2</v>
      </c>
      <c r="AA67" s="303">
        <v>0.2</v>
      </c>
      <c r="AB67" s="303">
        <v>0.05</v>
      </c>
      <c r="AC67" s="373">
        <v>0.05</v>
      </c>
      <c r="AD67" s="39"/>
      <c r="AE67" s="39"/>
      <c r="AF67" s="39"/>
      <c r="AG67" s="39"/>
      <c r="AH67" s="39"/>
      <c r="AI67" s="39"/>
      <c r="AJ67" s="39"/>
      <c r="AK67" s="39"/>
    </row>
    <row r="68" spans="1:67" ht="30.6" customHeight="1" thickBot="1" x14ac:dyDescent="0.35">
      <c r="A68" s="1070"/>
      <c r="B68" s="1061"/>
      <c r="C68" s="1061"/>
      <c r="D68" s="1064"/>
      <c r="E68" s="379" t="s">
        <v>477</v>
      </c>
      <c r="F68" s="375">
        <v>0</v>
      </c>
      <c r="G68" s="375">
        <v>0</v>
      </c>
      <c r="H68" s="375">
        <v>0</v>
      </c>
      <c r="I68" s="375">
        <v>0.05</v>
      </c>
      <c r="J68" s="375">
        <v>0.05</v>
      </c>
      <c r="K68" s="375">
        <v>0.05</v>
      </c>
      <c r="L68" s="375">
        <v>0.8</v>
      </c>
      <c r="M68" s="375">
        <v>0.7</v>
      </c>
      <c r="N68" s="375">
        <v>0.5</v>
      </c>
      <c r="O68" s="375">
        <v>0.4</v>
      </c>
      <c r="P68" s="375">
        <v>0.25</v>
      </c>
      <c r="Q68" s="375">
        <v>0.25</v>
      </c>
      <c r="R68" s="375">
        <v>0.25</v>
      </c>
      <c r="S68" s="375">
        <v>0.25</v>
      </c>
      <c r="T68" s="375">
        <v>0.5</v>
      </c>
      <c r="U68" s="375">
        <v>0.6</v>
      </c>
      <c r="V68" s="375">
        <v>0.7</v>
      </c>
      <c r="W68" s="375">
        <v>0.7</v>
      </c>
      <c r="X68" s="375">
        <v>0.4</v>
      </c>
      <c r="Y68" s="375">
        <v>0.25</v>
      </c>
      <c r="Z68" s="375">
        <v>0.2</v>
      </c>
      <c r="AA68" s="375">
        <v>0.2</v>
      </c>
      <c r="AB68" s="375">
        <v>0.05</v>
      </c>
      <c r="AC68" s="376">
        <v>0.05</v>
      </c>
      <c r="AD68" s="39"/>
      <c r="AE68" s="39"/>
      <c r="AF68" s="39"/>
      <c r="AG68" s="39"/>
      <c r="AH68" s="39"/>
      <c r="AI68" s="39"/>
      <c r="AJ68" s="39"/>
      <c r="AK68" s="39"/>
    </row>
    <row r="69" spans="1:67" ht="38.700000000000003" customHeight="1" x14ac:dyDescent="0.3">
      <c r="A69" s="1080" t="str">
        <f t="shared" ref="A69:B69" si="13">A63</f>
        <v>Corridors and Lobby</v>
      </c>
      <c r="B69" s="1197" t="str">
        <f t="shared" si="13"/>
        <v>ResidentialCommon</v>
      </c>
      <c r="C69" s="1083" t="s">
        <v>766</v>
      </c>
      <c r="D69" s="1136" t="s">
        <v>778</v>
      </c>
      <c r="E69" s="377" t="s">
        <v>468</v>
      </c>
      <c r="F69" s="371">
        <v>1</v>
      </c>
      <c r="G69" s="371">
        <v>1</v>
      </c>
      <c r="H69" s="371">
        <v>1</v>
      </c>
      <c r="I69" s="371">
        <v>1</v>
      </c>
      <c r="J69" s="371">
        <v>1</v>
      </c>
      <c r="K69" s="371">
        <v>1</v>
      </c>
      <c r="L69" s="371">
        <v>1</v>
      </c>
      <c r="M69" s="371">
        <v>1</v>
      </c>
      <c r="N69" s="371">
        <v>1</v>
      </c>
      <c r="O69" s="371">
        <v>1</v>
      </c>
      <c r="P69" s="371">
        <v>1</v>
      </c>
      <c r="Q69" s="371">
        <v>1</v>
      </c>
      <c r="R69" s="371">
        <v>1</v>
      </c>
      <c r="S69" s="371">
        <v>1</v>
      </c>
      <c r="T69" s="371">
        <v>1</v>
      </c>
      <c r="U69" s="371">
        <v>1</v>
      </c>
      <c r="V69" s="371">
        <v>1</v>
      </c>
      <c r="W69" s="371">
        <v>1</v>
      </c>
      <c r="X69" s="371">
        <v>1</v>
      </c>
      <c r="Y69" s="371">
        <v>1</v>
      </c>
      <c r="Z69" s="371">
        <v>1</v>
      </c>
      <c r="AA69" s="371">
        <v>1</v>
      </c>
      <c r="AB69" s="371">
        <v>1</v>
      </c>
      <c r="AC69" s="372">
        <v>1</v>
      </c>
      <c r="AD69" s="39"/>
      <c r="AE69" s="39"/>
      <c r="AF69" s="39"/>
      <c r="AG69" s="39"/>
      <c r="AH69" s="39"/>
      <c r="AI69" s="39"/>
      <c r="AJ69" s="39"/>
      <c r="AK69" s="39"/>
      <c r="AM69" s="47"/>
    </row>
    <row r="70" spans="1:67" ht="38.700000000000003" customHeight="1" x14ac:dyDescent="0.3">
      <c r="A70" s="1081"/>
      <c r="B70" s="1060"/>
      <c r="C70" s="1060"/>
      <c r="D70" s="1063"/>
      <c r="E70" s="378" t="s">
        <v>475</v>
      </c>
      <c r="F70" s="303">
        <v>1</v>
      </c>
      <c r="G70" s="303">
        <v>1</v>
      </c>
      <c r="H70" s="303">
        <v>1</v>
      </c>
      <c r="I70" s="303">
        <v>1</v>
      </c>
      <c r="J70" s="303">
        <v>1</v>
      </c>
      <c r="K70" s="303">
        <v>1</v>
      </c>
      <c r="L70" s="303">
        <v>1</v>
      </c>
      <c r="M70" s="303">
        <v>1</v>
      </c>
      <c r="N70" s="303">
        <v>1</v>
      </c>
      <c r="O70" s="303">
        <v>1</v>
      </c>
      <c r="P70" s="303">
        <v>1</v>
      </c>
      <c r="Q70" s="303">
        <v>1</v>
      </c>
      <c r="R70" s="303">
        <v>1</v>
      </c>
      <c r="S70" s="303">
        <v>1</v>
      </c>
      <c r="T70" s="303">
        <v>1</v>
      </c>
      <c r="U70" s="303">
        <v>1</v>
      </c>
      <c r="V70" s="303">
        <v>1</v>
      </c>
      <c r="W70" s="303">
        <v>1</v>
      </c>
      <c r="X70" s="303">
        <v>1</v>
      </c>
      <c r="Y70" s="303">
        <v>1</v>
      </c>
      <c r="Z70" s="303">
        <v>1</v>
      </c>
      <c r="AA70" s="303">
        <v>1</v>
      </c>
      <c r="AB70" s="303">
        <v>1</v>
      </c>
      <c r="AC70" s="373">
        <v>1</v>
      </c>
      <c r="AD70" s="39"/>
      <c r="AE70" s="39"/>
      <c r="AF70" s="39"/>
      <c r="AG70" s="39"/>
      <c r="AH70" s="39"/>
      <c r="AI70" s="39"/>
      <c r="AJ70" s="39"/>
      <c r="AK70" s="39"/>
      <c r="AM70" s="47"/>
    </row>
    <row r="71" spans="1:67" ht="38.700000000000003" customHeight="1" thickBot="1" x14ac:dyDescent="0.35">
      <c r="A71" s="1082"/>
      <c r="B71" s="1084"/>
      <c r="C71" s="1084"/>
      <c r="D71" s="1137"/>
      <c r="E71" s="379" t="s">
        <v>477</v>
      </c>
      <c r="F71" s="375">
        <v>1</v>
      </c>
      <c r="G71" s="375">
        <v>1</v>
      </c>
      <c r="H71" s="375">
        <v>1</v>
      </c>
      <c r="I71" s="375">
        <v>1</v>
      </c>
      <c r="J71" s="375">
        <v>1</v>
      </c>
      <c r="K71" s="375">
        <v>1</v>
      </c>
      <c r="L71" s="375">
        <v>1</v>
      </c>
      <c r="M71" s="375">
        <v>1</v>
      </c>
      <c r="N71" s="375">
        <v>1</v>
      </c>
      <c r="O71" s="375">
        <v>1</v>
      </c>
      <c r="P71" s="375">
        <v>1</v>
      </c>
      <c r="Q71" s="375">
        <v>1</v>
      </c>
      <c r="R71" s="375">
        <v>1</v>
      </c>
      <c r="S71" s="375">
        <v>1</v>
      </c>
      <c r="T71" s="375">
        <v>1</v>
      </c>
      <c r="U71" s="375">
        <v>1</v>
      </c>
      <c r="V71" s="375">
        <v>1</v>
      </c>
      <c r="W71" s="375">
        <v>1</v>
      </c>
      <c r="X71" s="375">
        <v>1</v>
      </c>
      <c r="Y71" s="375">
        <v>1</v>
      </c>
      <c r="Z71" s="375">
        <v>1</v>
      </c>
      <c r="AA71" s="375">
        <v>1</v>
      </c>
      <c r="AB71" s="375">
        <v>1</v>
      </c>
      <c r="AC71" s="376">
        <v>1</v>
      </c>
      <c r="AD71" s="39"/>
      <c r="AE71" s="39"/>
      <c r="AF71" s="39"/>
      <c r="AG71" s="39"/>
      <c r="AH71" s="39"/>
      <c r="AI71" s="39"/>
      <c r="AJ71" s="39"/>
      <c r="AK71" s="39"/>
      <c r="AM71" s="47"/>
    </row>
    <row r="72" spans="1:67" ht="38.700000000000003" customHeight="1" x14ac:dyDescent="0.3">
      <c r="A72" s="1087" t="str">
        <f t="shared" ref="A72:B72" si="14">A69</f>
        <v>Corridors and Lobby</v>
      </c>
      <c r="B72" s="1175" t="str">
        <f t="shared" si="14"/>
        <v>ResidentialCommon</v>
      </c>
      <c r="C72" s="1083" t="s">
        <v>337</v>
      </c>
      <c r="D72" s="1134" t="s">
        <v>778</v>
      </c>
      <c r="E72" s="312" t="s">
        <v>468</v>
      </c>
      <c r="F72" s="325">
        <v>0.25</v>
      </c>
      <c r="G72" s="325">
        <v>0.25</v>
      </c>
      <c r="H72" s="325">
        <v>0.25</v>
      </c>
      <c r="I72" s="325">
        <v>0.25</v>
      </c>
      <c r="J72" s="325">
        <v>0.25</v>
      </c>
      <c r="K72" s="325">
        <v>0.25</v>
      </c>
      <c r="L72" s="325">
        <v>0.25</v>
      </c>
      <c r="M72" s="325">
        <v>0.25</v>
      </c>
      <c r="N72" s="325">
        <v>0.25</v>
      </c>
      <c r="O72" s="325">
        <v>0.25</v>
      </c>
      <c r="P72" s="325">
        <v>0.25</v>
      </c>
      <c r="Q72" s="325">
        <v>0.25</v>
      </c>
      <c r="R72" s="325">
        <v>0.25</v>
      </c>
      <c r="S72" s="325">
        <v>0.25</v>
      </c>
      <c r="T72" s="325">
        <v>0.25</v>
      </c>
      <c r="U72" s="325">
        <v>0.25</v>
      </c>
      <c r="V72" s="325">
        <v>0.25</v>
      </c>
      <c r="W72" s="325">
        <v>0.25</v>
      </c>
      <c r="X72" s="325">
        <v>0.25</v>
      </c>
      <c r="Y72" s="325">
        <v>0.25</v>
      </c>
      <c r="Z72" s="325">
        <v>0.25</v>
      </c>
      <c r="AA72" s="325">
        <v>0.25</v>
      </c>
      <c r="AB72" s="325">
        <v>0.25</v>
      </c>
      <c r="AC72" s="326">
        <v>0.25</v>
      </c>
      <c r="AD72" s="39"/>
      <c r="AE72" s="39"/>
      <c r="AF72" s="39"/>
      <c r="AG72" s="39"/>
      <c r="AH72" s="39"/>
      <c r="AI72" s="39"/>
      <c r="AJ72" s="39"/>
      <c r="AK72" s="39"/>
      <c r="AM72" s="47"/>
    </row>
    <row r="73" spans="1:67" ht="38.700000000000003" customHeight="1" x14ac:dyDescent="0.3">
      <c r="A73" s="1081"/>
      <c r="B73" s="1060"/>
      <c r="C73" s="1060"/>
      <c r="D73" s="1078"/>
      <c r="E73" s="310" t="s">
        <v>475</v>
      </c>
      <c r="F73" s="303">
        <v>0.25</v>
      </c>
      <c r="G73" s="303">
        <v>0.25</v>
      </c>
      <c r="H73" s="303">
        <v>0.25</v>
      </c>
      <c r="I73" s="303">
        <v>0.25</v>
      </c>
      <c r="J73" s="303">
        <v>0.25</v>
      </c>
      <c r="K73" s="303">
        <v>0.25</v>
      </c>
      <c r="L73" s="303">
        <v>0.25</v>
      </c>
      <c r="M73" s="303">
        <v>0.25</v>
      </c>
      <c r="N73" s="303">
        <v>0.25</v>
      </c>
      <c r="O73" s="303">
        <v>0.25</v>
      </c>
      <c r="P73" s="303">
        <v>0.25</v>
      </c>
      <c r="Q73" s="303">
        <v>0.25</v>
      </c>
      <c r="R73" s="303">
        <v>0.25</v>
      </c>
      <c r="S73" s="303">
        <v>0.25</v>
      </c>
      <c r="T73" s="303">
        <v>0.25</v>
      </c>
      <c r="U73" s="303">
        <v>0.25</v>
      </c>
      <c r="V73" s="303">
        <v>0.25</v>
      </c>
      <c r="W73" s="303">
        <v>0.25</v>
      </c>
      <c r="X73" s="303">
        <v>0.25</v>
      </c>
      <c r="Y73" s="303">
        <v>0.25</v>
      </c>
      <c r="Z73" s="303">
        <v>0.25</v>
      </c>
      <c r="AA73" s="303">
        <v>0.25</v>
      </c>
      <c r="AB73" s="303">
        <v>0.25</v>
      </c>
      <c r="AC73" s="306">
        <v>0.25</v>
      </c>
      <c r="AD73" s="39"/>
      <c r="AE73" s="39"/>
      <c r="AF73" s="39"/>
      <c r="AG73" s="39"/>
      <c r="AH73" s="39"/>
      <c r="AI73" s="39"/>
      <c r="AJ73" s="39"/>
      <c r="AK73" s="39"/>
      <c r="AM73" s="47"/>
    </row>
    <row r="74" spans="1:67" ht="38.700000000000003" customHeight="1" thickBot="1" x14ac:dyDescent="0.35">
      <c r="A74" s="1082"/>
      <c r="B74" s="1084"/>
      <c r="C74" s="1090"/>
      <c r="D74" s="1139"/>
      <c r="E74" s="324" t="s">
        <v>477</v>
      </c>
      <c r="F74" s="327">
        <v>0.25</v>
      </c>
      <c r="G74" s="327">
        <v>0.25</v>
      </c>
      <c r="H74" s="327">
        <v>0.25</v>
      </c>
      <c r="I74" s="327">
        <v>0.25</v>
      </c>
      <c r="J74" s="327">
        <v>0.25</v>
      </c>
      <c r="K74" s="327">
        <v>0.25</v>
      </c>
      <c r="L74" s="327">
        <v>0.25</v>
      </c>
      <c r="M74" s="327">
        <v>0.25</v>
      </c>
      <c r="N74" s="327">
        <v>0.25</v>
      </c>
      <c r="O74" s="327">
        <v>0.25</v>
      </c>
      <c r="P74" s="327">
        <v>0.25</v>
      </c>
      <c r="Q74" s="327">
        <v>0.25</v>
      </c>
      <c r="R74" s="327">
        <v>0.25</v>
      </c>
      <c r="S74" s="327">
        <v>0.25</v>
      </c>
      <c r="T74" s="327">
        <v>0.25</v>
      </c>
      <c r="U74" s="327">
        <v>0.25</v>
      </c>
      <c r="V74" s="327">
        <v>0.25</v>
      </c>
      <c r="W74" s="327">
        <v>0.25</v>
      </c>
      <c r="X74" s="327">
        <v>0.25</v>
      </c>
      <c r="Y74" s="327">
        <v>0.25</v>
      </c>
      <c r="Z74" s="327">
        <v>0.25</v>
      </c>
      <c r="AA74" s="327">
        <v>0.25</v>
      </c>
      <c r="AB74" s="327">
        <v>0.25</v>
      </c>
      <c r="AC74" s="328">
        <v>0.25</v>
      </c>
      <c r="AD74" s="39"/>
      <c r="AE74" s="39"/>
      <c r="AF74" s="39"/>
      <c r="AG74" s="39"/>
      <c r="AH74" s="39"/>
      <c r="AI74" s="39"/>
      <c r="AJ74" s="39"/>
      <c r="AK74" s="39"/>
      <c r="AM74" s="47"/>
      <c r="AO74" s="390"/>
    </row>
    <row r="75" spans="1:67" ht="38.700000000000003" customHeight="1" x14ac:dyDescent="0.3">
      <c r="A75" s="1087" t="str">
        <f t="shared" ref="A75:B75" si="15">A72</f>
        <v>Corridors and Lobby</v>
      </c>
      <c r="B75" s="1175" t="str">
        <f t="shared" si="15"/>
        <v>ResidentialCommon</v>
      </c>
      <c r="C75" s="1146" t="s">
        <v>770</v>
      </c>
      <c r="D75" s="1138" t="s">
        <v>778</v>
      </c>
      <c r="E75" s="309" t="s">
        <v>468</v>
      </c>
      <c r="F75" s="862">
        <f>IF((F69=1),Thermostat!$B$7,Thermostat!$B$8)</f>
        <v>68</v>
      </c>
      <c r="G75" s="862">
        <f>IF((G69=1),Thermostat!$B$7,Thermostat!$B$8)</f>
        <v>68</v>
      </c>
      <c r="H75" s="862">
        <f>IF((H69=1),Thermostat!$B$7,Thermostat!$B$8)</f>
        <v>68</v>
      </c>
      <c r="I75" s="862">
        <f>IF((I69=1),Thermostat!$B$7,Thermostat!$B$8)</f>
        <v>68</v>
      </c>
      <c r="J75" s="862">
        <f>IF((J69=1),Thermostat!$B$7,Thermostat!$B$8)</f>
        <v>68</v>
      </c>
      <c r="K75" s="862">
        <f>IF((K69=1),Thermostat!$B$7,Thermostat!$B$8)</f>
        <v>68</v>
      </c>
      <c r="L75" s="862">
        <f>IF((L69=1),Thermostat!$B$7,Thermostat!$B$8)</f>
        <v>68</v>
      </c>
      <c r="M75" s="862">
        <f>IF((M69=1),Thermostat!$B$7,Thermostat!$B$8)</f>
        <v>68</v>
      </c>
      <c r="N75" s="862">
        <f>IF((N69=1),Thermostat!$B$7,Thermostat!$B$8)</f>
        <v>68</v>
      </c>
      <c r="O75" s="862">
        <f>IF((O69=1),Thermostat!$B$7,Thermostat!$B$8)</f>
        <v>68</v>
      </c>
      <c r="P75" s="862">
        <f>IF((P69=1),Thermostat!$B$7,Thermostat!$B$8)</f>
        <v>68</v>
      </c>
      <c r="Q75" s="862">
        <f>IF((Q69=1),Thermostat!$B$7,Thermostat!$B$8)</f>
        <v>68</v>
      </c>
      <c r="R75" s="862">
        <f>IF((R69=1),Thermostat!$B$7,Thermostat!$B$8)</f>
        <v>68</v>
      </c>
      <c r="S75" s="862">
        <f>IF((S69=1),Thermostat!$B$7,Thermostat!$B$8)</f>
        <v>68</v>
      </c>
      <c r="T75" s="862">
        <f>IF((T69=1),Thermostat!$B$7,Thermostat!$B$8)</f>
        <v>68</v>
      </c>
      <c r="U75" s="862">
        <f>IF((U69=1),Thermostat!$B$7,Thermostat!$B$8)</f>
        <v>68</v>
      </c>
      <c r="V75" s="862">
        <f>IF((V69=1),Thermostat!$B$7,Thermostat!$B$8)</f>
        <v>68</v>
      </c>
      <c r="W75" s="862">
        <f>IF((W69=1),Thermostat!$B$7,Thermostat!$B$8)</f>
        <v>68</v>
      </c>
      <c r="X75" s="862">
        <f>IF((X69=1),Thermostat!$B$7,Thermostat!$B$8)</f>
        <v>68</v>
      </c>
      <c r="Y75" s="862">
        <f>IF((Y69=1),Thermostat!$B$7,Thermostat!$B$8)</f>
        <v>68</v>
      </c>
      <c r="Z75" s="862">
        <f>IF((Z69=1),Thermostat!$B$7,Thermostat!$B$8)</f>
        <v>68</v>
      </c>
      <c r="AA75" s="862">
        <f>IF((AA69=1),Thermostat!$B$7,Thermostat!$B$8)</f>
        <v>68</v>
      </c>
      <c r="AB75" s="862">
        <f>IF((AB69=1),Thermostat!$B$7,Thermostat!$B$8)</f>
        <v>68</v>
      </c>
      <c r="AC75" s="313">
        <f>IF((AC69=1),Thermostat!$B$7,Thermostat!$B$8)</f>
        <v>68</v>
      </c>
      <c r="AD75" s="39"/>
      <c r="AE75" s="39"/>
      <c r="AF75" s="39"/>
      <c r="AG75" s="39"/>
      <c r="AH75" s="39"/>
      <c r="AI75" s="39"/>
      <c r="AJ75" s="39"/>
      <c r="AK75" s="39"/>
      <c r="AM75" s="47"/>
      <c r="AO75"/>
      <c r="AP75"/>
      <c r="AQ75" s="391"/>
      <c r="AR75" s="392"/>
      <c r="AS75" s="392"/>
      <c r="AT75" s="392"/>
      <c r="AU75" s="392"/>
      <c r="AV75" s="392"/>
      <c r="AW75" s="392"/>
      <c r="AX75" s="392"/>
      <c r="AY75" s="392"/>
      <c r="AZ75" s="392"/>
      <c r="BA75" s="392"/>
      <c r="BB75" s="392"/>
      <c r="BC75" s="392"/>
      <c r="BD75" s="392"/>
      <c r="BE75" s="392"/>
      <c r="BF75" s="392"/>
      <c r="BG75" s="392"/>
      <c r="BH75" s="392"/>
      <c r="BI75" s="392"/>
      <c r="BJ75" s="392"/>
      <c r="BK75" s="392"/>
      <c r="BL75" s="392"/>
      <c r="BM75" s="392"/>
      <c r="BN75" s="392"/>
      <c r="BO75" s="392"/>
    </row>
    <row r="76" spans="1:67" ht="38.700000000000003" customHeight="1" x14ac:dyDescent="0.3">
      <c r="A76" s="1081"/>
      <c r="B76" s="1060"/>
      <c r="C76" s="1075"/>
      <c r="D76" s="1078"/>
      <c r="E76" s="310" t="s">
        <v>475</v>
      </c>
      <c r="F76" s="858">
        <f>IF((F70=1),Thermostat!$B$7,Thermostat!$B$8)</f>
        <v>68</v>
      </c>
      <c r="G76" s="858">
        <f>IF((G70=1),Thermostat!$B$7,Thermostat!$B$8)</f>
        <v>68</v>
      </c>
      <c r="H76" s="858">
        <f>IF((H70=1),Thermostat!$B$7,Thermostat!$B$8)</f>
        <v>68</v>
      </c>
      <c r="I76" s="858">
        <f>IF((I70=1),Thermostat!$B$7,Thermostat!$B$8)</f>
        <v>68</v>
      </c>
      <c r="J76" s="858">
        <f>IF((J70=1),Thermostat!$B$7,Thermostat!$B$8)</f>
        <v>68</v>
      </c>
      <c r="K76" s="858">
        <f>IF((K70=1),Thermostat!$B$7,Thermostat!$B$8)</f>
        <v>68</v>
      </c>
      <c r="L76" s="858">
        <f>IF((L70=1),Thermostat!$B$7,Thermostat!$B$8)</f>
        <v>68</v>
      </c>
      <c r="M76" s="858">
        <f>IF((M70=1),Thermostat!$B$7,Thermostat!$B$8)</f>
        <v>68</v>
      </c>
      <c r="N76" s="858">
        <f>IF((N70=1),Thermostat!$B$7,Thermostat!$B$8)</f>
        <v>68</v>
      </c>
      <c r="O76" s="858">
        <f>IF((O70=1),Thermostat!$B$7,Thermostat!$B$8)</f>
        <v>68</v>
      </c>
      <c r="P76" s="858">
        <f>IF((P70=1),Thermostat!$B$7,Thermostat!$B$8)</f>
        <v>68</v>
      </c>
      <c r="Q76" s="858">
        <f>IF((Q70=1),Thermostat!$B$7,Thermostat!$B$8)</f>
        <v>68</v>
      </c>
      <c r="R76" s="858">
        <f>IF((R70=1),Thermostat!$B$7,Thermostat!$B$8)</f>
        <v>68</v>
      </c>
      <c r="S76" s="858">
        <f>IF((S70=1),Thermostat!$B$7,Thermostat!$B$8)</f>
        <v>68</v>
      </c>
      <c r="T76" s="858">
        <f>IF((T70=1),Thermostat!$B$7,Thermostat!$B$8)</f>
        <v>68</v>
      </c>
      <c r="U76" s="858">
        <f>IF((U70=1),Thermostat!$B$7,Thermostat!$B$8)</f>
        <v>68</v>
      </c>
      <c r="V76" s="858">
        <f>IF((V70=1),Thermostat!$B$7,Thermostat!$B$8)</f>
        <v>68</v>
      </c>
      <c r="W76" s="858">
        <f>IF((W70=1),Thermostat!$B$7,Thermostat!$B$8)</f>
        <v>68</v>
      </c>
      <c r="X76" s="858">
        <f>IF((X70=1),Thermostat!$B$7,Thermostat!$B$8)</f>
        <v>68</v>
      </c>
      <c r="Y76" s="858">
        <f>IF((Y70=1),Thermostat!$B$7,Thermostat!$B$8)</f>
        <v>68</v>
      </c>
      <c r="Z76" s="858">
        <f>IF((Z70=1),Thermostat!$B$7,Thermostat!$B$8)</f>
        <v>68</v>
      </c>
      <c r="AA76" s="858">
        <f>IF((AA70=1),Thermostat!$B$7,Thermostat!$B$8)</f>
        <v>68</v>
      </c>
      <c r="AB76" s="858">
        <f>IF((AB70=1),Thermostat!$B$7,Thermostat!$B$8)</f>
        <v>68</v>
      </c>
      <c r="AC76" s="314">
        <f>IF((AC70=1),Thermostat!$B$7,Thermostat!$B$8)</f>
        <v>68</v>
      </c>
      <c r="AD76" s="39"/>
      <c r="AE76" s="39"/>
      <c r="AF76" s="39"/>
      <c r="AG76" s="39"/>
      <c r="AH76" s="39"/>
      <c r="AI76" s="39"/>
      <c r="AJ76" s="39"/>
      <c r="AK76" s="39"/>
      <c r="AM76" s="47"/>
      <c r="AO76"/>
      <c r="AP76"/>
      <c r="AQ76" s="391"/>
      <c r="AR76" s="392"/>
      <c r="AS76" s="392"/>
      <c r="AT76" s="392"/>
      <c r="AU76" s="392"/>
      <c r="AV76" s="392"/>
      <c r="AW76" s="392"/>
      <c r="AX76" s="392"/>
      <c r="AY76" s="392"/>
      <c r="AZ76" s="392"/>
      <c r="BA76" s="392"/>
      <c r="BB76" s="392"/>
      <c r="BC76" s="392"/>
      <c r="BD76" s="392"/>
      <c r="BE76" s="392"/>
      <c r="BF76" s="392"/>
      <c r="BG76" s="392"/>
      <c r="BH76" s="392"/>
      <c r="BI76" s="392"/>
      <c r="BJ76" s="392"/>
      <c r="BK76" s="392"/>
      <c r="BL76" s="392"/>
      <c r="BM76" s="392"/>
      <c r="BN76" s="392"/>
      <c r="BO76" s="392"/>
    </row>
    <row r="77" spans="1:67" ht="38.700000000000003" customHeight="1" thickBot="1" x14ac:dyDescent="0.35">
      <c r="A77" s="1082"/>
      <c r="B77" s="1084"/>
      <c r="C77" s="1086"/>
      <c r="D77" s="1135"/>
      <c r="E77" s="311" t="s">
        <v>477</v>
      </c>
      <c r="F77" s="861">
        <f>IF((F71=1),Thermostat!$B$7,Thermostat!$B$8)</f>
        <v>68</v>
      </c>
      <c r="G77" s="861">
        <f>IF((G71=1),Thermostat!$B$7,Thermostat!$B$8)</f>
        <v>68</v>
      </c>
      <c r="H77" s="861">
        <f>IF((H71=1),Thermostat!$B$7,Thermostat!$B$8)</f>
        <v>68</v>
      </c>
      <c r="I77" s="861">
        <f>IF((I71=1),Thermostat!$B$7,Thermostat!$B$8)</f>
        <v>68</v>
      </c>
      <c r="J77" s="861">
        <f>IF((J71=1),Thermostat!$B$7,Thermostat!$B$8)</f>
        <v>68</v>
      </c>
      <c r="K77" s="861">
        <f>IF((K71=1),Thermostat!$B$7,Thermostat!$B$8)</f>
        <v>68</v>
      </c>
      <c r="L77" s="861">
        <f>IF((L71=1),Thermostat!$B$7,Thermostat!$B$8)</f>
        <v>68</v>
      </c>
      <c r="M77" s="861">
        <f>IF((M71=1),Thermostat!$B$7,Thermostat!$B$8)</f>
        <v>68</v>
      </c>
      <c r="N77" s="861">
        <f>IF((N71=1),Thermostat!$B$7,Thermostat!$B$8)</f>
        <v>68</v>
      </c>
      <c r="O77" s="861">
        <f>IF((O71=1),Thermostat!$B$7,Thermostat!$B$8)</f>
        <v>68</v>
      </c>
      <c r="P77" s="861">
        <f>IF((P71=1),Thermostat!$B$7,Thermostat!$B$8)</f>
        <v>68</v>
      </c>
      <c r="Q77" s="861">
        <f>IF((Q71=1),Thermostat!$B$7,Thermostat!$B$8)</f>
        <v>68</v>
      </c>
      <c r="R77" s="861">
        <f>IF((R71=1),Thermostat!$B$7,Thermostat!$B$8)</f>
        <v>68</v>
      </c>
      <c r="S77" s="861">
        <f>IF((S71=1),Thermostat!$B$7,Thermostat!$B$8)</f>
        <v>68</v>
      </c>
      <c r="T77" s="861">
        <f>IF((T71=1),Thermostat!$B$7,Thermostat!$B$8)</f>
        <v>68</v>
      </c>
      <c r="U77" s="861">
        <f>IF((U71=1),Thermostat!$B$7,Thermostat!$B$8)</f>
        <v>68</v>
      </c>
      <c r="V77" s="861">
        <f>IF((V71=1),Thermostat!$B$7,Thermostat!$B$8)</f>
        <v>68</v>
      </c>
      <c r="W77" s="861">
        <f>IF((W71=1),Thermostat!$B$7,Thermostat!$B$8)</f>
        <v>68</v>
      </c>
      <c r="X77" s="861">
        <f>IF((X71=1),Thermostat!$B$7,Thermostat!$B$8)</f>
        <v>68</v>
      </c>
      <c r="Y77" s="861">
        <f>IF((Y71=1),Thermostat!$B$7,Thermostat!$B$8)</f>
        <v>68</v>
      </c>
      <c r="Z77" s="861">
        <f>IF((Z71=1),Thermostat!$B$7,Thermostat!$B$8)</f>
        <v>68</v>
      </c>
      <c r="AA77" s="861">
        <f>IF((AA71=1),Thermostat!$B$7,Thermostat!$B$8)</f>
        <v>68</v>
      </c>
      <c r="AB77" s="861">
        <f>IF((AB71=1),Thermostat!$B$7,Thermostat!$B$8)</f>
        <v>68</v>
      </c>
      <c r="AC77" s="315">
        <f>IF((AC71=1),Thermostat!$B$7,Thermostat!$B$8)</f>
        <v>68</v>
      </c>
      <c r="AD77" s="39"/>
      <c r="AE77" s="39"/>
      <c r="AF77" s="39"/>
      <c r="AG77" s="39"/>
      <c r="AH77" s="39"/>
      <c r="AI77" s="39"/>
      <c r="AJ77" s="39"/>
      <c r="AK77" s="39"/>
      <c r="AM77" s="47"/>
      <c r="AO77"/>
      <c r="AP77"/>
      <c r="AQ77" s="391"/>
      <c r="AR77" s="392"/>
      <c r="AS77" s="392"/>
      <c r="AT77" s="392"/>
      <c r="AU77" s="392"/>
      <c r="AV77" s="392"/>
      <c r="AW77" s="392"/>
      <c r="AX77" s="392"/>
      <c r="AY77" s="392"/>
      <c r="AZ77" s="392"/>
      <c r="BA77" s="392"/>
      <c r="BB77" s="392"/>
      <c r="BC77" s="392"/>
      <c r="BD77" s="392"/>
      <c r="BE77" s="392"/>
      <c r="BF77" s="392"/>
      <c r="BG77" s="392"/>
      <c r="BH77" s="392"/>
      <c r="BI77" s="392"/>
      <c r="BJ77" s="392"/>
      <c r="BK77" s="392"/>
      <c r="BL77" s="392"/>
      <c r="BM77" s="392"/>
      <c r="BN77" s="392"/>
      <c r="BO77" s="392"/>
    </row>
    <row r="78" spans="1:67" ht="38.700000000000003" customHeight="1" x14ac:dyDescent="0.3">
      <c r="A78" s="1087" t="str">
        <f t="shared" ref="A78:B78" si="16">A75</f>
        <v>Corridors and Lobby</v>
      </c>
      <c r="B78" s="1175" t="str">
        <f t="shared" si="16"/>
        <v>ResidentialCommon</v>
      </c>
      <c r="C78" s="1146" t="s">
        <v>771</v>
      </c>
      <c r="D78" s="1138" t="s">
        <v>778</v>
      </c>
      <c r="E78" s="309" t="s">
        <v>468</v>
      </c>
      <c r="F78" s="862">
        <f>IF((F69=1),Thermostat!$B$9,Thermostat!$B$10)</f>
        <v>78</v>
      </c>
      <c r="G78" s="862">
        <f>IF((G69=1),Thermostat!$B$9,Thermostat!$B$10)</f>
        <v>78</v>
      </c>
      <c r="H78" s="862">
        <f>IF((H69=1),Thermostat!$B$9,Thermostat!$B$10)</f>
        <v>78</v>
      </c>
      <c r="I78" s="862">
        <f>IF((I69=1),Thermostat!$B$9,Thermostat!$B$10)</f>
        <v>78</v>
      </c>
      <c r="J78" s="862">
        <f>IF((J69=1),Thermostat!$B$9,Thermostat!$B$10)</f>
        <v>78</v>
      </c>
      <c r="K78" s="862">
        <f>IF((K69=1),Thermostat!$B$9,Thermostat!$B$10)</f>
        <v>78</v>
      </c>
      <c r="L78" s="862">
        <f>IF((L69=1),Thermostat!$B$9,Thermostat!$B$10)</f>
        <v>78</v>
      </c>
      <c r="M78" s="862">
        <f>IF((M69=1),Thermostat!$B$9,Thermostat!$B$10)</f>
        <v>78</v>
      </c>
      <c r="N78" s="862">
        <f>IF((N69=1),Thermostat!$B$9,Thermostat!$B$10)</f>
        <v>78</v>
      </c>
      <c r="O78" s="862">
        <f>IF((O69=1),Thermostat!$B$9,Thermostat!$B$10)</f>
        <v>78</v>
      </c>
      <c r="P78" s="862">
        <f>IF((P69=1),Thermostat!$B$9,Thermostat!$B$10)</f>
        <v>78</v>
      </c>
      <c r="Q78" s="862">
        <f>IF((Q69=1),Thermostat!$B$9,Thermostat!$B$10)</f>
        <v>78</v>
      </c>
      <c r="R78" s="862">
        <f>IF((R69=1),Thermostat!$B$9,Thermostat!$B$10)</f>
        <v>78</v>
      </c>
      <c r="S78" s="862">
        <f>IF((S69=1),Thermostat!$B$9,Thermostat!$B$10)</f>
        <v>78</v>
      </c>
      <c r="T78" s="862">
        <f>IF((T69=1),Thermostat!$B$9,Thermostat!$B$10)</f>
        <v>78</v>
      </c>
      <c r="U78" s="862">
        <f>IF((U69=1),Thermostat!$B$9,Thermostat!$B$10)</f>
        <v>78</v>
      </c>
      <c r="V78" s="862">
        <f>IF((V69=1),Thermostat!$B$9,Thermostat!$B$10)</f>
        <v>78</v>
      </c>
      <c r="W78" s="862">
        <f>IF((W69=1),Thermostat!$B$9,Thermostat!$B$10)</f>
        <v>78</v>
      </c>
      <c r="X78" s="862">
        <f>IF((X69=1),Thermostat!$B$9,Thermostat!$B$10)</f>
        <v>78</v>
      </c>
      <c r="Y78" s="862">
        <f>IF((Y69=1),Thermostat!$B$9,Thermostat!$B$10)</f>
        <v>78</v>
      </c>
      <c r="Z78" s="862">
        <f>IF((Z69=1),Thermostat!$B$9,Thermostat!$B$10)</f>
        <v>78</v>
      </c>
      <c r="AA78" s="862">
        <f>IF((AA69=1),Thermostat!$B$9,Thermostat!$B$10)</f>
        <v>78</v>
      </c>
      <c r="AB78" s="862">
        <f>IF((AB69=1),Thermostat!$B$9,Thermostat!$B$10)</f>
        <v>78</v>
      </c>
      <c r="AC78" s="313">
        <f>IF((AC69=1),Thermostat!$B$9,Thermostat!$B$10)</f>
        <v>78</v>
      </c>
      <c r="AD78" s="39"/>
      <c r="AE78" s="39"/>
      <c r="AF78" s="39"/>
      <c r="AG78" s="39"/>
      <c r="AH78" s="39"/>
      <c r="AI78" s="39"/>
      <c r="AJ78" s="39"/>
      <c r="AK78" s="39"/>
      <c r="AM78" s="47"/>
      <c r="AO78"/>
      <c r="AP78"/>
      <c r="AQ78" s="391"/>
      <c r="AR78" s="392"/>
      <c r="AS78" s="392"/>
      <c r="AT78" s="392"/>
      <c r="AU78" s="392"/>
      <c r="AV78" s="392"/>
      <c r="AW78" s="392"/>
      <c r="AX78" s="392"/>
      <c r="AY78" s="392"/>
      <c r="AZ78" s="392"/>
      <c r="BA78" s="392"/>
      <c r="BB78" s="392"/>
      <c r="BC78" s="392"/>
      <c r="BD78" s="392"/>
      <c r="BE78" s="392"/>
      <c r="BF78" s="392"/>
      <c r="BG78" s="392"/>
      <c r="BH78" s="392"/>
      <c r="BI78" s="392"/>
      <c r="BJ78" s="392"/>
      <c r="BK78" s="392"/>
      <c r="BL78" s="392"/>
      <c r="BM78" s="392"/>
      <c r="BN78" s="392"/>
      <c r="BO78" s="392"/>
    </row>
    <row r="79" spans="1:67" ht="38.700000000000003" customHeight="1" x14ac:dyDescent="0.3">
      <c r="A79" s="1081"/>
      <c r="B79" s="1060"/>
      <c r="C79" s="1075"/>
      <c r="D79" s="1078"/>
      <c r="E79" s="310" t="s">
        <v>475</v>
      </c>
      <c r="F79" s="858">
        <f>IF((F70=1),Thermostat!$B$9,Thermostat!$B$10)</f>
        <v>78</v>
      </c>
      <c r="G79" s="858">
        <f>IF((G70=1),Thermostat!$B$9,Thermostat!$B$10)</f>
        <v>78</v>
      </c>
      <c r="H79" s="858">
        <f>IF((H70=1),Thermostat!$B$9,Thermostat!$B$10)</f>
        <v>78</v>
      </c>
      <c r="I79" s="858">
        <f>IF((I70=1),Thermostat!$B$9,Thermostat!$B$10)</f>
        <v>78</v>
      </c>
      <c r="J79" s="858">
        <f>IF((J70=1),Thermostat!$B$9,Thermostat!$B$10)</f>
        <v>78</v>
      </c>
      <c r="K79" s="858">
        <f>IF((K70=1),Thermostat!$B$9,Thermostat!$B$10)</f>
        <v>78</v>
      </c>
      <c r="L79" s="858">
        <f>IF((L70=1),Thermostat!$B$9,Thermostat!$B$10)</f>
        <v>78</v>
      </c>
      <c r="M79" s="858">
        <f>IF((M70=1),Thermostat!$B$9,Thermostat!$B$10)</f>
        <v>78</v>
      </c>
      <c r="N79" s="858">
        <f>IF((N70=1),Thermostat!$B$9,Thermostat!$B$10)</f>
        <v>78</v>
      </c>
      <c r="O79" s="858">
        <f>IF((O70=1),Thermostat!$B$9,Thermostat!$B$10)</f>
        <v>78</v>
      </c>
      <c r="P79" s="858">
        <f>IF((P70=1),Thermostat!$B$9,Thermostat!$B$10)</f>
        <v>78</v>
      </c>
      <c r="Q79" s="858">
        <f>IF((Q70=1),Thermostat!$B$9,Thermostat!$B$10)</f>
        <v>78</v>
      </c>
      <c r="R79" s="858">
        <f>IF((R70=1),Thermostat!$B$9,Thermostat!$B$10)</f>
        <v>78</v>
      </c>
      <c r="S79" s="858">
        <f>IF((S70=1),Thermostat!$B$9,Thermostat!$B$10)</f>
        <v>78</v>
      </c>
      <c r="T79" s="858">
        <f>IF((T70=1),Thermostat!$B$9,Thermostat!$B$10)</f>
        <v>78</v>
      </c>
      <c r="U79" s="858">
        <f>IF((U70=1),Thermostat!$B$9,Thermostat!$B$10)</f>
        <v>78</v>
      </c>
      <c r="V79" s="858">
        <f>IF((V70=1),Thermostat!$B$9,Thermostat!$B$10)</f>
        <v>78</v>
      </c>
      <c r="W79" s="858">
        <f>IF((W70=1),Thermostat!$B$9,Thermostat!$B$10)</f>
        <v>78</v>
      </c>
      <c r="X79" s="858">
        <f>IF((X70=1),Thermostat!$B$9,Thermostat!$B$10)</f>
        <v>78</v>
      </c>
      <c r="Y79" s="858">
        <f>IF((Y70=1),Thermostat!$B$9,Thermostat!$B$10)</f>
        <v>78</v>
      </c>
      <c r="Z79" s="858">
        <f>IF((Z70=1),Thermostat!$B$9,Thermostat!$B$10)</f>
        <v>78</v>
      </c>
      <c r="AA79" s="858">
        <f>IF((AA70=1),Thermostat!$B$9,Thermostat!$B$10)</f>
        <v>78</v>
      </c>
      <c r="AB79" s="858">
        <f>IF((AB70=1),Thermostat!$B$9,Thermostat!$B$10)</f>
        <v>78</v>
      </c>
      <c r="AC79" s="314">
        <f>IF((AC70=1),Thermostat!$B$9,Thermostat!$B$10)</f>
        <v>78</v>
      </c>
      <c r="AD79" s="39"/>
      <c r="AE79" s="39"/>
      <c r="AF79" s="39"/>
      <c r="AG79" s="39"/>
      <c r="AH79" s="39"/>
      <c r="AI79" s="39"/>
      <c r="AJ79" s="39"/>
      <c r="AK79" s="39"/>
      <c r="AM79" s="47"/>
      <c r="AO79"/>
      <c r="AP79"/>
      <c r="AQ79" s="391"/>
      <c r="AR79" s="392"/>
      <c r="AS79" s="392"/>
      <c r="AT79" s="392"/>
      <c r="AU79" s="392"/>
      <c r="AV79" s="392"/>
      <c r="AW79" s="392"/>
      <c r="AX79" s="392"/>
      <c r="AY79" s="392"/>
      <c r="AZ79" s="392"/>
      <c r="BA79" s="392"/>
      <c r="BB79" s="392"/>
      <c r="BC79" s="392"/>
      <c r="BD79" s="392"/>
      <c r="BE79" s="392"/>
      <c r="BF79" s="392"/>
      <c r="BG79" s="392"/>
      <c r="BH79" s="392"/>
      <c r="BI79" s="392"/>
      <c r="BJ79" s="392"/>
      <c r="BK79" s="392"/>
      <c r="BL79" s="392"/>
      <c r="BM79" s="392"/>
      <c r="BN79" s="392"/>
      <c r="BO79" s="392"/>
    </row>
    <row r="80" spans="1:67" ht="38.700000000000003" customHeight="1" thickBot="1" x14ac:dyDescent="0.35">
      <c r="A80" s="1082"/>
      <c r="B80" s="1084"/>
      <c r="C80" s="1086"/>
      <c r="D80" s="1135"/>
      <c r="E80" s="311" t="s">
        <v>477</v>
      </c>
      <c r="F80" s="861">
        <f>IF((F71=1),Thermostat!$B$9,Thermostat!$B$10)</f>
        <v>78</v>
      </c>
      <c r="G80" s="861">
        <f>IF((G71=1),Thermostat!$B$9,Thermostat!$B$10)</f>
        <v>78</v>
      </c>
      <c r="H80" s="861">
        <f>IF((H71=1),Thermostat!$B$9,Thermostat!$B$10)</f>
        <v>78</v>
      </c>
      <c r="I80" s="861">
        <f>IF((I71=1),Thermostat!$B$9,Thermostat!$B$10)</f>
        <v>78</v>
      </c>
      <c r="J80" s="861">
        <f>IF((J71=1),Thermostat!$B$9,Thermostat!$B$10)</f>
        <v>78</v>
      </c>
      <c r="K80" s="861">
        <f>IF((K71=1),Thermostat!$B$9,Thermostat!$B$10)</f>
        <v>78</v>
      </c>
      <c r="L80" s="861">
        <f>IF((L71=1),Thermostat!$B$9,Thermostat!$B$10)</f>
        <v>78</v>
      </c>
      <c r="M80" s="861">
        <f>IF((M71=1),Thermostat!$B$9,Thermostat!$B$10)</f>
        <v>78</v>
      </c>
      <c r="N80" s="861">
        <f>IF((N71=1),Thermostat!$B$9,Thermostat!$B$10)</f>
        <v>78</v>
      </c>
      <c r="O80" s="861">
        <f>IF((O71=1),Thermostat!$B$9,Thermostat!$B$10)</f>
        <v>78</v>
      </c>
      <c r="P80" s="861">
        <f>IF((P71=1),Thermostat!$B$9,Thermostat!$B$10)</f>
        <v>78</v>
      </c>
      <c r="Q80" s="861">
        <f>IF((Q71=1),Thermostat!$B$9,Thermostat!$B$10)</f>
        <v>78</v>
      </c>
      <c r="R80" s="861">
        <f>IF((R71=1),Thermostat!$B$9,Thermostat!$B$10)</f>
        <v>78</v>
      </c>
      <c r="S80" s="861">
        <f>IF((S71=1),Thermostat!$B$9,Thermostat!$B$10)</f>
        <v>78</v>
      </c>
      <c r="T80" s="861">
        <f>IF((T71=1),Thermostat!$B$9,Thermostat!$B$10)</f>
        <v>78</v>
      </c>
      <c r="U80" s="861">
        <f>IF((U71=1),Thermostat!$B$9,Thermostat!$B$10)</f>
        <v>78</v>
      </c>
      <c r="V80" s="861">
        <f>IF((V71=1),Thermostat!$B$9,Thermostat!$B$10)</f>
        <v>78</v>
      </c>
      <c r="W80" s="861">
        <f>IF((W71=1),Thermostat!$B$9,Thermostat!$B$10)</f>
        <v>78</v>
      </c>
      <c r="X80" s="861">
        <f>IF((X71=1),Thermostat!$B$9,Thermostat!$B$10)</f>
        <v>78</v>
      </c>
      <c r="Y80" s="861">
        <f>IF((Y71=1),Thermostat!$B$9,Thermostat!$B$10)</f>
        <v>78</v>
      </c>
      <c r="Z80" s="861">
        <f>IF((Z71=1),Thermostat!$B$9,Thermostat!$B$10)</f>
        <v>78</v>
      </c>
      <c r="AA80" s="861">
        <f>IF((AA71=1),Thermostat!$B$9,Thermostat!$B$10)</f>
        <v>78</v>
      </c>
      <c r="AB80" s="861">
        <f>IF((AB71=1),Thermostat!$B$9,Thermostat!$B$10)</f>
        <v>78</v>
      </c>
      <c r="AC80" s="315">
        <f>IF((AC71=1),Thermostat!$B$9,Thermostat!$B$10)</f>
        <v>78</v>
      </c>
      <c r="AD80" s="39"/>
      <c r="AE80" s="39"/>
      <c r="AF80" s="39"/>
      <c r="AG80" s="39"/>
      <c r="AH80" s="39"/>
      <c r="AI80" s="39"/>
      <c r="AJ80" s="39"/>
      <c r="AK80" s="39"/>
      <c r="AM80" s="47"/>
      <c r="AO80"/>
      <c r="AP80"/>
      <c r="AQ80" s="391"/>
      <c r="AR80" s="392"/>
      <c r="AS80" s="392"/>
      <c r="AT80" s="392"/>
      <c r="AU80" s="392"/>
      <c r="AV80" s="392"/>
      <c r="AW80" s="392"/>
      <c r="AX80" s="392"/>
      <c r="AY80" s="392"/>
      <c r="AZ80" s="392"/>
      <c r="BA80" s="392"/>
      <c r="BB80" s="392"/>
      <c r="BC80" s="392"/>
      <c r="BD80" s="392"/>
      <c r="BE80" s="392"/>
      <c r="BF80" s="392"/>
      <c r="BG80" s="392"/>
      <c r="BH80" s="392"/>
      <c r="BI80" s="392"/>
      <c r="BJ80" s="392"/>
      <c r="BK80" s="392"/>
      <c r="BL80" s="392"/>
      <c r="BM80" s="392"/>
      <c r="BN80" s="392"/>
      <c r="BO80" s="392"/>
    </row>
    <row r="81" spans="1:67" ht="36" customHeight="1" thickBot="1" x14ac:dyDescent="0.35">
      <c r="A81" s="1183" t="s">
        <v>233</v>
      </c>
      <c r="B81" s="1184"/>
      <c r="C81" s="1184"/>
      <c r="D81" s="1184"/>
      <c r="E81" s="1184"/>
      <c r="F81" s="1184"/>
      <c r="G81" s="1184"/>
      <c r="H81" s="1184"/>
      <c r="I81" s="1184"/>
      <c r="J81" s="1184"/>
      <c r="K81" s="1184"/>
      <c r="L81" s="1184"/>
      <c r="M81" s="1184"/>
      <c r="N81" s="1184"/>
      <c r="O81" s="1184"/>
      <c r="P81" s="1184"/>
      <c r="Q81" s="1184"/>
      <c r="R81" s="1184"/>
      <c r="S81" s="1184"/>
      <c r="T81" s="1184"/>
      <c r="U81" s="1184"/>
      <c r="V81" s="1184"/>
      <c r="W81" s="1184"/>
      <c r="X81" s="1184"/>
      <c r="Y81" s="1184"/>
      <c r="Z81" s="1184"/>
      <c r="AA81" s="1184"/>
      <c r="AB81" s="1184"/>
      <c r="AC81" s="1185"/>
      <c r="AD81" s="40"/>
      <c r="AE81" s="39"/>
      <c r="AF81" s="39"/>
      <c r="AG81" s="39"/>
      <c r="AH81" s="39"/>
      <c r="AI81" s="39"/>
      <c r="AJ81" s="39"/>
      <c r="AK81" s="39"/>
      <c r="AO81"/>
      <c r="AP81"/>
      <c r="AQ81" s="391"/>
      <c r="AR81" s="392"/>
      <c r="AS81" s="392"/>
      <c r="AT81" s="392"/>
      <c r="AU81" s="392"/>
      <c r="AV81" s="392"/>
      <c r="AW81" s="392"/>
      <c r="AX81" s="392"/>
      <c r="AY81" s="392"/>
      <c r="AZ81" s="392"/>
      <c r="BA81" s="392"/>
      <c r="BB81" s="392"/>
      <c r="BC81" s="392"/>
      <c r="BD81" s="392"/>
      <c r="BE81" s="392"/>
      <c r="BF81" s="392"/>
      <c r="BG81" s="392"/>
      <c r="BH81" s="392"/>
      <c r="BI81" s="392"/>
      <c r="BJ81" s="392"/>
      <c r="BK81" s="392"/>
      <c r="BL81" s="392"/>
      <c r="BM81" s="392"/>
      <c r="BN81" s="392"/>
      <c r="BO81" s="392"/>
    </row>
    <row r="82" spans="1:67" ht="25.2" customHeight="1" x14ac:dyDescent="0.3">
      <c r="A82" s="1087" t="s">
        <v>779</v>
      </c>
      <c r="B82" s="1175" t="str">
        <f>Zones!E16</f>
        <v>ResidentialLiving</v>
      </c>
      <c r="C82" s="1089" t="s">
        <v>761</v>
      </c>
      <c r="D82" s="1138" t="s">
        <v>780</v>
      </c>
      <c r="E82" s="309" t="s">
        <v>468</v>
      </c>
      <c r="F82" s="304">
        <v>0.9</v>
      </c>
      <c r="G82" s="304">
        <v>0.9</v>
      </c>
      <c r="H82" s="304">
        <v>0.9</v>
      </c>
      <c r="I82" s="304">
        <v>0.9</v>
      </c>
      <c r="J82" s="304">
        <v>0.9</v>
      </c>
      <c r="K82" s="304">
        <v>0.9</v>
      </c>
      <c r="L82" s="304">
        <v>0.7</v>
      </c>
      <c r="M82" s="304">
        <v>0.4</v>
      </c>
      <c r="N82" s="304">
        <v>0.4</v>
      </c>
      <c r="O82" s="304">
        <v>0.2</v>
      </c>
      <c r="P82" s="304">
        <v>0.2</v>
      </c>
      <c r="Q82" s="304">
        <v>0.2</v>
      </c>
      <c r="R82" s="304">
        <v>0.2</v>
      </c>
      <c r="S82" s="304">
        <v>0.2</v>
      </c>
      <c r="T82" s="304">
        <v>0.2</v>
      </c>
      <c r="U82" s="304">
        <v>0.3</v>
      </c>
      <c r="V82" s="304">
        <v>0.5</v>
      </c>
      <c r="W82" s="304">
        <v>0.5</v>
      </c>
      <c r="X82" s="304">
        <v>0.5</v>
      </c>
      <c r="Y82" s="304">
        <v>0.7</v>
      </c>
      <c r="Z82" s="304">
        <v>0.7</v>
      </c>
      <c r="AA82" s="304">
        <v>0.8</v>
      </c>
      <c r="AB82" s="304">
        <v>0.9</v>
      </c>
      <c r="AC82" s="305">
        <v>0.9</v>
      </c>
      <c r="AD82" s="39"/>
      <c r="AE82" s="39"/>
      <c r="AF82" s="39"/>
      <c r="AG82" s="39"/>
      <c r="AH82" s="39"/>
      <c r="AI82" s="39"/>
      <c r="AJ82" s="39"/>
      <c r="AK82" s="39"/>
      <c r="AO82"/>
      <c r="AP82"/>
      <c r="AQ82" s="391"/>
      <c r="AR82" s="392"/>
      <c r="AS82" s="392"/>
      <c r="AT82" s="392"/>
      <c r="AU82" s="392"/>
      <c r="AV82" s="392"/>
      <c r="AW82" s="392"/>
      <c r="AX82" s="392"/>
      <c r="AY82" s="392"/>
      <c r="AZ82" s="392"/>
      <c r="BA82" s="392"/>
      <c r="BB82" s="392"/>
      <c r="BC82" s="392"/>
      <c r="BD82" s="392"/>
      <c r="BE82" s="392"/>
      <c r="BF82" s="392"/>
      <c r="BG82" s="392"/>
      <c r="BH82" s="392"/>
      <c r="BI82" s="392"/>
      <c r="BJ82" s="392"/>
      <c r="BK82" s="392"/>
      <c r="BL82" s="392"/>
      <c r="BM82" s="392"/>
      <c r="BN82" s="392"/>
      <c r="BO82" s="392"/>
    </row>
    <row r="83" spans="1:67" ht="33" customHeight="1" x14ac:dyDescent="0.3">
      <c r="A83" s="1081"/>
      <c r="B83" s="1060"/>
      <c r="C83" s="1060"/>
      <c r="D83" s="1078"/>
      <c r="E83" s="310" t="s">
        <v>475</v>
      </c>
      <c r="F83" s="303">
        <v>0.9</v>
      </c>
      <c r="G83" s="303">
        <v>0.9</v>
      </c>
      <c r="H83" s="303">
        <v>0.9</v>
      </c>
      <c r="I83" s="303">
        <v>0.9</v>
      </c>
      <c r="J83" s="303">
        <v>0.9</v>
      </c>
      <c r="K83" s="303">
        <v>0.9</v>
      </c>
      <c r="L83" s="303">
        <v>0.7</v>
      </c>
      <c r="M83" s="303">
        <v>0.4</v>
      </c>
      <c r="N83" s="303">
        <v>0.4</v>
      </c>
      <c r="O83" s="303">
        <v>0.2</v>
      </c>
      <c r="P83" s="303">
        <v>0.2</v>
      </c>
      <c r="Q83" s="303">
        <v>0.2</v>
      </c>
      <c r="R83" s="303">
        <v>0.2</v>
      </c>
      <c r="S83" s="303">
        <v>0.2</v>
      </c>
      <c r="T83" s="303">
        <v>0.2</v>
      </c>
      <c r="U83" s="303">
        <v>0.3</v>
      </c>
      <c r="V83" s="303">
        <v>0.5</v>
      </c>
      <c r="W83" s="303">
        <v>0.5</v>
      </c>
      <c r="X83" s="303">
        <v>0.5</v>
      </c>
      <c r="Y83" s="303">
        <v>0.7</v>
      </c>
      <c r="Z83" s="303">
        <v>0.7</v>
      </c>
      <c r="AA83" s="303">
        <v>0.8</v>
      </c>
      <c r="AB83" s="303">
        <v>0.9</v>
      </c>
      <c r="AC83" s="306">
        <v>0.9</v>
      </c>
      <c r="AD83" s="39"/>
      <c r="AE83" s="39"/>
      <c r="AF83" s="39"/>
      <c r="AG83" s="39"/>
      <c r="AH83" s="39"/>
      <c r="AI83" s="39"/>
      <c r="AJ83" s="39"/>
      <c r="AK83" s="39"/>
      <c r="AO83"/>
      <c r="AP83"/>
      <c r="AQ83" s="391"/>
      <c r="AR83" s="392"/>
      <c r="AS83" s="392"/>
      <c r="AT83" s="392"/>
      <c r="AU83" s="392"/>
      <c r="AV83" s="392"/>
      <c r="AW83" s="392"/>
      <c r="AX83" s="392"/>
      <c r="AY83" s="392"/>
      <c r="AZ83" s="392"/>
      <c r="BA83" s="392"/>
      <c r="BB83" s="392"/>
      <c r="BC83" s="392"/>
      <c r="BD83" s="392"/>
      <c r="BE83" s="392"/>
      <c r="BF83" s="392"/>
      <c r="BG83" s="392"/>
      <c r="BH83" s="392"/>
      <c r="BI83" s="392"/>
      <c r="BJ83" s="392"/>
      <c r="BK83" s="392"/>
      <c r="BL83" s="392"/>
      <c r="BM83" s="392"/>
      <c r="BN83" s="392"/>
      <c r="BO83" s="392"/>
    </row>
    <row r="84" spans="1:67" ht="33" customHeight="1" thickBot="1" x14ac:dyDescent="0.35">
      <c r="A84" s="1082"/>
      <c r="B84" s="1084"/>
      <c r="C84" s="1084"/>
      <c r="D84" s="1135"/>
      <c r="E84" s="311" t="s">
        <v>477</v>
      </c>
      <c r="F84" s="307">
        <v>0.9</v>
      </c>
      <c r="G84" s="307">
        <v>0.9</v>
      </c>
      <c r="H84" s="307">
        <v>0.9</v>
      </c>
      <c r="I84" s="307">
        <v>0.9</v>
      </c>
      <c r="J84" s="307">
        <v>0.9</v>
      </c>
      <c r="K84" s="307">
        <v>0.9</v>
      </c>
      <c r="L84" s="307">
        <v>0.7</v>
      </c>
      <c r="M84" s="307">
        <v>0.4</v>
      </c>
      <c r="N84" s="307">
        <v>0.4</v>
      </c>
      <c r="O84" s="307">
        <v>0.2</v>
      </c>
      <c r="P84" s="307">
        <v>0.2</v>
      </c>
      <c r="Q84" s="307">
        <v>0.2</v>
      </c>
      <c r="R84" s="307">
        <v>0.2</v>
      </c>
      <c r="S84" s="307">
        <v>0.2</v>
      </c>
      <c r="T84" s="307">
        <v>0.2</v>
      </c>
      <c r="U84" s="307">
        <v>0.3</v>
      </c>
      <c r="V84" s="307">
        <v>0.5</v>
      </c>
      <c r="W84" s="307">
        <v>0.5</v>
      </c>
      <c r="X84" s="307">
        <v>0.5</v>
      </c>
      <c r="Y84" s="307">
        <v>0.7</v>
      </c>
      <c r="Z84" s="307">
        <v>0.7</v>
      </c>
      <c r="AA84" s="307">
        <v>0.8</v>
      </c>
      <c r="AB84" s="307">
        <v>0.9</v>
      </c>
      <c r="AC84" s="308">
        <v>0.9</v>
      </c>
      <c r="AD84" s="39"/>
      <c r="AE84" s="39"/>
      <c r="AF84" s="39"/>
      <c r="AG84" s="39"/>
      <c r="AH84" s="39"/>
      <c r="AI84" s="39"/>
      <c r="AJ84" s="39"/>
      <c r="AK84" s="39"/>
    </row>
    <row r="85" spans="1:67" ht="38.700000000000003" customHeight="1" x14ac:dyDescent="0.3">
      <c r="A85" s="1087" t="str">
        <f>A82</f>
        <v>Guest Rooms</v>
      </c>
      <c r="B85" s="1089" t="str">
        <f>B82</f>
        <v>ResidentialLiving</v>
      </c>
      <c r="C85" s="1089" t="s">
        <v>763</v>
      </c>
      <c r="D85" s="1138" t="s">
        <v>780</v>
      </c>
      <c r="E85" s="309" t="s">
        <v>468</v>
      </c>
      <c r="F85" s="304">
        <v>0.1</v>
      </c>
      <c r="G85" s="304">
        <v>0.1</v>
      </c>
      <c r="H85" s="304">
        <v>0.1</v>
      </c>
      <c r="I85" s="304">
        <v>0.1</v>
      </c>
      <c r="J85" s="304">
        <v>0.1</v>
      </c>
      <c r="K85" s="304">
        <v>0.3</v>
      </c>
      <c r="L85" s="304">
        <v>0.45</v>
      </c>
      <c r="M85" s="304">
        <v>0.45</v>
      </c>
      <c r="N85" s="304">
        <v>0.45</v>
      </c>
      <c r="O85" s="304">
        <v>0.45</v>
      </c>
      <c r="P85" s="304">
        <v>0.3</v>
      </c>
      <c r="Q85" s="304">
        <v>0.3</v>
      </c>
      <c r="R85" s="304">
        <v>0.3</v>
      </c>
      <c r="S85" s="304">
        <v>0.3</v>
      </c>
      <c r="T85" s="304">
        <v>0.3</v>
      </c>
      <c r="U85" s="304">
        <v>0.3</v>
      </c>
      <c r="V85" s="304">
        <v>0.3</v>
      </c>
      <c r="W85" s="304">
        <v>0.3</v>
      </c>
      <c r="X85" s="304">
        <v>0.6</v>
      </c>
      <c r="Y85" s="304">
        <v>0.8</v>
      </c>
      <c r="Z85" s="304">
        <v>0.9</v>
      </c>
      <c r="AA85" s="304">
        <v>0.8</v>
      </c>
      <c r="AB85" s="304">
        <v>0.6</v>
      </c>
      <c r="AC85" s="305">
        <v>0.3</v>
      </c>
      <c r="AD85" s="39"/>
      <c r="AE85" s="39"/>
      <c r="AF85" s="39"/>
      <c r="AG85" s="39"/>
      <c r="AH85" s="39"/>
      <c r="AI85" s="39"/>
      <c r="AJ85" s="39"/>
      <c r="AK85" s="39"/>
      <c r="AM85" s="47"/>
    </row>
    <row r="86" spans="1:67" ht="38.700000000000003" customHeight="1" x14ac:dyDescent="0.3">
      <c r="A86" s="1081"/>
      <c r="B86" s="1060"/>
      <c r="C86" s="1060"/>
      <c r="D86" s="1078"/>
      <c r="E86" s="310" t="s">
        <v>475</v>
      </c>
      <c r="F86" s="303">
        <v>0.1</v>
      </c>
      <c r="G86" s="303">
        <v>0.1</v>
      </c>
      <c r="H86" s="303">
        <v>0.1</v>
      </c>
      <c r="I86" s="303">
        <v>0.1</v>
      </c>
      <c r="J86" s="303">
        <v>0.1</v>
      </c>
      <c r="K86" s="303">
        <v>0.3</v>
      </c>
      <c r="L86" s="303">
        <v>0.45</v>
      </c>
      <c r="M86" s="303">
        <v>0.45</v>
      </c>
      <c r="N86" s="303">
        <v>0.45</v>
      </c>
      <c r="O86" s="303">
        <v>0.45</v>
      </c>
      <c r="P86" s="303">
        <v>0.3</v>
      </c>
      <c r="Q86" s="303">
        <v>0.3</v>
      </c>
      <c r="R86" s="303">
        <v>0.3</v>
      </c>
      <c r="S86" s="303">
        <v>0.3</v>
      </c>
      <c r="T86" s="303">
        <v>0.3</v>
      </c>
      <c r="U86" s="303">
        <v>0.3</v>
      </c>
      <c r="V86" s="303">
        <v>0.3</v>
      </c>
      <c r="W86" s="303">
        <v>0.3</v>
      </c>
      <c r="X86" s="303">
        <v>0.6</v>
      </c>
      <c r="Y86" s="303">
        <v>0.8</v>
      </c>
      <c r="Z86" s="303">
        <v>0.9</v>
      </c>
      <c r="AA86" s="303">
        <v>0.8</v>
      </c>
      <c r="AB86" s="303">
        <v>0.6</v>
      </c>
      <c r="AC86" s="306">
        <v>0.3</v>
      </c>
      <c r="AD86" s="39"/>
      <c r="AE86" s="39"/>
      <c r="AF86" s="39"/>
      <c r="AG86" s="39"/>
      <c r="AH86" s="39"/>
      <c r="AI86" s="39"/>
      <c r="AJ86" s="39"/>
      <c r="AK86" s="39"/>
      <c r="AM86" s="47"/>
    </row>
    <row r="87" spans="1:67" ht="38.700000000000003" customHeight="1" thickBot="1" x14ac:dyDescent="0.35">
      <c r="A87" s="1082"/>
      <c r="B87" s="1084"/>
      <c r="C87" s="1084"/>
      <c r="D87" s="1135"/>
      <c r="E87" s="311" t="s">
        <v>477</v>
      </c>
      <c r="F87" s="307">
        <v>0.1</v>
      </c>
      <c r="G87" s="307">
        <v>0.1</v>
      </c>
      <c r="H87" s="307">
        <v>0.1</v>
      </c>
      <c r="I87" s="307">
        <v>0.1</v>
      </c>
      <c r="J87" s="307">
        <v>0.1</v>
      </c>
      <c r="K87" s="307">
        <v>0.3</v>
      </c>
      <c r="L87" s="307">
        <v>0.45</v>
      </c>
      <c r="M87" s="307">
        <v>0.45</v>
      </c>
      <c r="N87" s="307">
        <v>0.45</v>
      </c>
      <c r="O87" s="307">
        <v>0.45</v>
      </c>
      <c r="P87" s="307">
        <v>0.3</v>
      </c>
      <c r="Q87" s="307">
        <v>0.3</v>
      </c>
      <c r="R87" s="307">
        <v>0.3</v>
      </c>
      <c r="S87" s="307">
        <v>0.3</v>
      </c>
      <c r="T87" s="307">
        <v>0.3</v>
      </c>
      <c r="U87" s="307">
        <v>0.3</v>
      </c>
      <c r="V87" s="307">
        <v>0.3</v>
      </c>
      <c r="W87" s="307">
        <v>0.3</v>
      </c>
      <c r="X87" s="307">
        <v>0.6</v>
      </c>
      <c r="Y87" s="307">
        <v>0.8</v>
      </c>
      <c r="Z87" s="307">
        <v>0.9</v>
      </c>
      <c r="AA87" s="307">
        <v>0.8</v>
      </c>
      <c r="AB87" s="307">
        <v>0.6</v>
      </c>
      <c r="AC87" s="308">
        <v>0.3</v>
      </c>
      <c r="AD87" s="39"/>
      <c r="AE87" s="39"/>
      <c r="AF87" s="39"/>
      <c r="AG87" s="39"/>
      <c r="AH87" s="39"/>
      <c r="AI87" s="39"/>
      <c r="AJ87" s="39"/>
      <c r="AK87" s="39"/>
      <c r="AM87" s="47"/>
    </row>
    <row r="88" spans="1:67" ht="32.4" customHeight="1" x14ac:dyDescent="0.3">
      <c r="A88" s="1087" t="str">
        <f t="shared" ref="A88:B88" si="17">A85</f>
        <v>Guest Rooms</v>
      </c>
      <c r="B88" s="1089" t="str">
        <f t="shared" si="17"/>
        <v>ResidentialLiving</v>
      </c>
      <c r="C88" s="1089" t="s">
        <v>765</v>
      </c>
      <c r="D88" s="1160" t="s">
        <v>654</v>
      </c>
      <c r="E88" s="312" t="s">
        <v>468</v>
      </c>
      <c r="F88" s="325">
        <v>0.1</v>
      </c>
      <c r="G88" s="325">
        <v>0.1</v>
      </c>
      <c r="H88" s="325">
        <v>0.1</v>
      </c>
      <c r="I88" s="325">
        <v>0.1</v>
      </c>
      <c r="J88" s="325">
        <v>0.1</v>
      </c>
      <c r="K88" s="325">
        <v>0.3</v>
      </c>
      <c r="L88" s="325">
        <v>0.45</v>
      </c>
      <c r="M88" s="325">
        <v>0.45</v>
      </c>
      <c r="N88" s="325">
        <v>0.45</v>
      </c>
      <c r="O88" s="325">
        <v>0.45</v>
      </c>
      <c r="P88" s="325">
        <v>0.2</v>
      </c>
      <c r="Q88" s="325">
        <v>0.2</v>
      </c>
      <c r="R88" s="325">
        <v>0.2</v>
      </c>
      <c r="S88" s="325">
        <v>0.2</v>
      </c>
      <c r="T88" s="325">
        <v>0.2</v>
      </c>
      <c r="U88" s="325">
        <v>0.2</v>
      </c>
      <c r="V88" s="325">
        <v>0.2</v>
      </c>
      <c r="W88" s="325">
        <v>0.2</v>
      </c>
      <c r="X88" s="325">
        <v>0.4</v>
      </c>
      <c r="Y88" s="325">
        <v>0.5</v>
      </c>
      <c r="Z88" s="325">
        <v>0.6</v>
      </c>
      <c r="AA88" s="325">
        <v>0.5</v>
      </c>
      <c r="AB88" s="325">
        <v>0.4</v>
      </c>
      <c r="AC88" s="326">
        <v>0.25</v>
      </c>
      <c r="AD88" s="39"/>
      <c r="AE88" s="39"/>
      <c r="AF88" s="39"/>
      <c r="AG88" s="39"/>
      <c r="AH88" s="39"/>
      <c r="AI88" s="39"/>
      <c r="AJ88" s="39"/>
      <c r="AK88" s="39"/>
    </row>
    <row r="89" spans="1:67" ht="33" customHeight="1" x14ac:dyDescent="0.3">
      <c r="A89" s="1081"/>
      <c r="B89" s="1060"/>
      <c r="C89" s="1060"/>
      <c r="D89" s="1161"/>
      <c r="E89" s="310" t="s">
        <v>475</v>
      </c>
      <c r="F89" s="303">
        <f>F88</f>
        <v>0.1</v>
      </c>
      <c r="G89" s="303">
        <f t="shared" ref="G89:AC89" si="18">G88</f>
        <v>0.1</v>
      </c>
      <c r="H89" s="303">
        <f t="shared" si="18"/>
        <v>0.1</v>
      </c>
      <c r="I89" s="303">
        <f t="shared" si="18"/>
        <v>0.1</v>
      </c>
      <c r="J89" s="303">
        <f t="shared" si="18"/>
        <v>0.1</v>
      </c>
      <c r="K89" s="303">
        <f t="shared" si="18"/>
        <v>0.3</v>
      </c>
      <c r="L89" s="303">
        <f t="shared" si="18"/>
        <v>0.45</v>
      </c>
      <c r="M89" s="303">
        <f t="shared" si="18"/>
        <v>0.45</v>
      </c>
      <c r="N89" s="303">
        <f t="shared" si="18"/>
        <v>0.45</v>
      </c>
      <c r="O89" s="303">
        <f t="shared" si="18"/>
        <v>0.45</v>
      </c>
      <c r="P89" s="303">
        <f t="shared" si="18"/>
        <v>0.2</v>
      </c>
      <c r="Q89" s="303">
        <f t="shared" si="18"/>
        <v>0.2</v>
      </c>
      <c r="R89" s="303">
        <f t="shared" si="18"/>
        <v>0.2</v>
      </c>
      <c r="S89" s="303">
        <f t="shared" si="18"/>
        <v>0.2</v>
      </c>
      <c r="T89" s="303">
        <f t="shared" si="18"/>
        <v>0.2</v>
      </c>
      <c r="U89" s="303">
        <f t="shared" si="18"/>
        <v>0.2</v>
      </c>
      <c r="V89" s="303">
        <f t="shared" si="18"/>
        <v>0.2</v>
      </c>
      <c r="W89" s="303">
        <f t="shared" si="18"/>
        <v>0.2</v>
      </c>
      <c r="X89" s="303">
        <f t="shared" si="18"/>
        <v>0.4</v>
      </c>
      <c r="Y89" s="303">
        <f t="shared" si="18"/>
        <v>0.5</v>
      </c>
      <c r="Z89" s="303">
        <f t="shared" si="18"/>
        <v>0.6</v>
      </c>
      <c r="AA89" s="303">
        <f t="shared" si="18"/>
        <v>0.5</v>
      </c>
      <c r="AB89" s="303">
        <f t="shared" si="18"/>
        <v>0.4</v>
      </c>
      <c r="AC89" s="306">
        <f t="shared" si="18"/>
        <v>0.25</v>
      </c>
      <c r="AD89" s="39"/>
      <c r="AE89" s="39"/>
      <c r="AF89" s="39"/>
      <c r="AG89" s="39"/>
      <c r="AH89" s="39"/>
      <c r="AI89" s="39"/>
      <c r="AJ89" s="39"/>
      <c r="AK89" s="39"/>
    </row>
    <row r="90" spans="1:67" ht="33" customHeight="1" thickBot="1" x14ac:dyDescent="0.35">
      <c r="A90" s="1082"/>
      <c r="B90" s="1084"/>
      <c r="C90" s="1090"/>
      <c r="D90" s="1162"/>
      <c r="E90" s="324" t="s">
        <v>477</v>
      </c>
      <c r="F90" s="327">
        <f>F88</f>
        <v>0.1</v>
      </c>
      <c r="G90" s="327">
        <f t="shared" ref="G90:AC90" si="19">G88</f>
        <v>0.1</v>
      </c>
      <c r="H90" s="327">
        <f t="shared" si="19"/>
        <v>0.1</v>
      </c>
      <c r="I90" s="327">
        <f t="shared" si="19"/>
        <v>0.1</v>
      </c>
      <c r="J90" s="327">
        <f t="shared" si="19"/>
        <v>0.1</v>
      </c>
      <c r="K90" s="327">
        <f t="shared" si="19"/>
        <v>0.3</v>
      </c>
      <c r="L90" s="327">
        <f t="shared" si="19"/>
        <v>0.45</v>
      </c>
      <c r="M90" s="327">
        <f t="shared" si="19"/>
        <v>0.45</v>
      </c>
      <c r="N90" s="327">
        <f t="shared" si="19"/>
        <v>0.45</v>
      </c>
      <c r="O90" s="327">
        <f t="shared" si="19"/>
        <v>0.45</v>
      </c>
      <c r="P90" s="327">
        <f t="shared" si="19"/>
        <v>0.2</v>
      </c>
      <c r="Q90" s="327">
        <f t="shared" si="19"/>
        <v>0.2</v>
      </c>
      <c r="R90" s="327">
        <f t="shared" si="19"/>
        <v>0.2</v>
      </c>
      <c r="S90" s="327">
        <f t="shared" si="19"/>
        <v>0.2</v>
      </c>
      <c r="T90" s="327">
        <f t="shared" si="19"/>
        <v>0.2</v>
      </c>
      <c r="U90" s="327">
        <f t="shared" si="19"/>
        <v>0.2</v>
      </c>
      <c r="V90" s="327">
        <f t="shared" si="19"/>
        <v>0.2</v>
      </c>
      <c r="W90" s="327">
        <f t="shared" si="19"/>
        <v>0.2</v>
      </c>
      <c r="X90" s="327">
        <f t="shared" si="19"/>
        <v>0.4</v>
      </c>
      <c r="Y90" s="327">
        <f t="shared" si="19"/>
        <v>0.5</v>
      </c>
      <c r="Z90" s="327">
        <f t="shared" si="19"/>
        <v>0.6</v>
      </c>
      <c r="AA90" s="327">
        <f t="shared" si="19"/>
        <v>0.5</v>
      </c>
      <c r="AB90" s="327">
        <f t="shared" si="19"/>
        <v>0.4</v>
      </c>
      <c r="AC90" s="328">
        <f t="shared" si="19"/>
        <v>0.25</v>
      </c>
      <c r="AD90" s="39"/>
      <c r="AE90" s="39"/>
      <c r="AF90" s="39"/>
      <c r="AG90" s="39"/>
      <c r="AH90" s="39"/>
      <c r="AI90" s="39"/>
      <c r="AJ90" s="39"/>
      <c r="AK90" s="39"/>
      <c r="AO90"/>
      <c r="AP90"/>
      <c r="AQ90" s="391"/>
      <c r="AR90" s="392"/>
      <c r="AS90" s="392"/>
      <c r="AT90" s="392"/>
      <c r="AU90" s="392"/>
      <c r="AV90" s="392"/>
      <c r="AW90" s="392"/>
      <c r="AX90" s="392"/>
      <c r="AY90" s="392"/>
      <c r="AZ90" s="392"/>
      <c r="BA90" s="392"/>
      <c r="BB90" s="392"/>
      <c r="BC90" s="392"/>
      <c r="BD90" s="392"/>
      <c r="BE90" s="392"/>
      <c r="BF90" s="392"/>
      <c r="BG90" s="392"/>
      <c r="BH90" s="392"/>
      <c r="BI90" s="392"/>
      <c r="BJ90" s="392"/>
      <c r="BK90" s="392"/>
      <c r="BL90" s="392"/>
      <c r="BM90" s="392"/>
      <c r="BN90" s="392"/>
      <c r="BO90" s="392"/>
    </row>
    <row r="91" spans="1:67" ht="34.200000000000003" customHeight="1" x14ac:dyDescent="0.3">
      <c r="A91" s="1087" t="str">
        <f t="shared" ref="A91:B91" si="20">A88</f>
        <v>Guest Rooms</v>
      </c>
      <c r="B91" s="1089" t="str">
        <f t="shared" si="20"/>
        <v>ResidentialLiving</v>
      </c>
      <c r="C91" s="1089" t="s">
        <v>766</v>
      </c>
      <c r="D91" s="1138" t="s">
        <v>780</v>
      </c>
      <c r="E91" s="309" t="s">
        <v>468</v>
      </c>
      <c r="F91" s="304">
        <v>1</v>
      </c>
      <c r="G91" s="304">
        <v>1</v>
      </c>
      <c r="H91" s="304">
        <v>1</v>
      </c>
      <c r="I91" s="304">
        <v>1</v>
      </c>
      <c r="J91" s="304">
        <v>1</v>
      </c>
      <c r="K91" s="304">
        <v>1</v>
      </c>
      <c r="L91" s="304">
        <v>1</v>
      </c>
      <c r="M91" s="304">
        <v>1</v>
      </c>
      <c r="N91" s="304">
        <v>1</v>
      </c>
      <c r="O91" s="304">
        <v>1</v>
      </c>
      <c r="P91" s="304">
        <v>1</v>
      </c>
      <c r="Q91" s="304">
        <v>1</v>
      </c>
      <c r="R91" s="304">
        <v>1</v>
      </c>
      <c r="S91" s="304">
        <v>1</v>
      </c>
      <c r="T91" s="304">
        <v>1</v>
      </c>
      <c r="U91" s="304">
        <v>1</v>
      </c>
      <c r="V91" s="304">
        <v>1</v>
      </c>
      <c r="W91" s="304">
        <v>1</v>
      </c>
      <c r="X91" s="304">
        <v>1</v>
      </c>
      <c r="Y91" s="304">
        <v>1</v>
      </c>
      <c r="Z91" s="304">
        <v>1</v>
      </c>
      <c r="AA91" s="304">
        <v>1</v>
      </c>
      <c r="AB91" s="304">
        <v>1</v>
      </c>
      <c r="AC91" s="305">
        <v>1</v>
      </c>
      <c r="AD91" s="39"/>
      <c r="AE91" s="39"/>
      <c r="AF91" s="39"/>
      <c r="AG91" s="39"/>
      <c r="AH91" s="39"/>
      <c r="AI91" s="39"/>
      <c r="AJ91" s="39"/>
      <c r="AK91" s="39"/>
      <c r="AM91" s="47"/>
      <c r="AO91"/>
      <c r="AP91"/>
      <c r="AQ91" s="391"/>
      <c r="AR91" s="392"/>
      <c r="AS91" s="392"/>
      <c r="AT91" s="392"/>
      <c r="AU91" s="392"/>
      <c r="AV91" s="392"/>
      <c r="AW91" s="392"/>
      <c r="AX91" s="392"/>
      <c r="AY91" s="392"/>
      <c r="AZ91" s="392"/>
      <c r="BA91" s="392"/>
      <c r="BB91" s="392"/>
      <c r="BC91" s="392"/>
      <c r="BD91" s="392"/>
      <c r="BE91" s="392"/>
      <c r="BF91" s="392"/>
      <c r="BG91" s="392"/>
      <c r="BH91" s="392"/>
      <c r="BI91" s="392"/>
      <c r="BJ91" s="392"/>
      <c r="BK91" s="392"/>
      <c r="BL91" s="392"/>
      <c r="BM91" s="392"/>
      <c r="BN91" s="392"/>
      <c r="BO91" s="392"/>
    </row>
    <row r="92" spans="1:67" ht="31.95" customHeight="1" x14ac:dyDescent="0.3">
      <c r="A92" s="1081"/>
      <c r="B92" s="1060"/>
      <c r="C92" s="1060"/>
      <c r="D92" s="1078"/>
      <c r="E92" s="310" t="s">
        <v>475</v>
      </c>
      <c r="F92" s="303">
        <v>1</v>
      </c>
      <c r="G92" s="303">
        <v>1</v>
      </c>
      <c r="H92" s="303">
        <v>1</v>
      </c>
      <c r="I92" s="303">
        <v>1</v>
      </c>
      <c r="J92" s="303">
        <v>1</v>
      </c>
      <c r="K92" s="303">
        <v>1</v>
      </c>
      <c r="L92" s="303">
        <v>1</v>
      </c>
      <c r="M92" s="303">
        <v>1</v>
      </c>
      <c r="N92" s="303">
        <v>1</v>
      </c>
      <c r="O92" s="303">
        <v>1</v>
      </c>
      <c r="P92" s="303">
        <v>1</v>
      </c>
      <c r="Q92" s="303">
        <v>1</v>
      </c>
      <c r="R92" s="303">
        <v>1</v>
      </c>
      <c r="S92" s="303">
        <v>1</v>
      </c>
      <c r="T92" s="303">
        <v>1</v>
      </c>
      <c r="U92" s="303">
        <v>1</v>
      </c>
      <c r="V92" s="303">
        <v>1</v>
      </c>
      <c r="W92" s="303">
        <v>1</v>
      </c>
      <c r="X92" s="303">
        <v>1</v>
      </c>
      <c r="Y92" s="303">
        <v>1</v>
      </c>
      <c r="Z92" s="303">
        <v>1</v>
      </c>
      <c r="AA92" s="303">
        <v>1</v>
      </c>
      <c r="AB92" s="303">
        <v>1</v>
      </c>
      <c r="AC92" s="306">
        <v>1</v>
      </c>
      <c r="AD92" s="39"/>
      <c r="AE92" s="39"/>
      <c r="AF92" s="39"/>
      <c r="AG92" s="39"/>
      <c r="AH92" s="39"/>
      <c r="AI92" s="39"/>
      <c r="AJ92" s="39"/>
      <c r="AK92" s="39"/>
      <c r="AM92" s="47"/>
      <c r="AO92"/>
      <c r="AP92"/>
      <c r="AQ92" s="391"/>
      <c r="AR92" s="392"/>
      <c r="AS92" s="392"/>
      <c r="AT92" s="392"/>
      <c r="AU92" s="392"/>
      <c r="AV92" s="392"/>
      <c r="AW92" s="392"/>
      <c r="AX92" s="392"/>
      <c r="AY92" s="392"/>
      <c r="AZ92" s="392"/>
      <c r="BA92" s="392"/>
      <c r="BB92" s="392"/>
      <c r="BC92" s="392"/>
      <c r="BD92" s="392"/>
      <c r="BE92" s="392"/>
      <c r="BF92" s="392"/>
      <c r="BG92" s="392"/>
      <c r="BH92" s="392"/>
      <c r="BI92" s="392"/>
      <c r="BJ92" s="392"/>
      <c r="BK92" s="392"/>
      <c r="BL92" s="392"/>
      <c r="BM92" s="392"/>
      <c r="BN92" s="392"/>
      <c r="BO92" s="392"/>
    </row>
    <row r="93" spans="1:67" ht="33.6" customHeight="1" thickBot="1" x14ac:dyDescent="0.35">
      <c r="A93" s="1082"/>
      <c r="B93" s="1084"/>
      <c r="C93" s="1084"/>
      <c r="D93" s="1135"/>
      <c r="E93" s="311" t="s">
        <v>477</v>
      </c>
      <c r="F93" s="307">
        <v>1</v>
      </c>
      <c r="G93" s="307">
        <v>1</v>
      </c>
      <c r="H93" s="307">
        <v>1</v>
      </c>
      <c r="I93" s="307">
        <v>1</v>
      </c>
      <c r="J93" s="307">
        <v>1</v>
      </c>
      <c r="K93" s="307">
        <v>1</v>
      </c>
      <c r="L93" s="307">
        <v>1</v>
      </c>
      <c r="M93" s="307">
        <v>1</v>
      </c>
      <c r="N93" s="307">
        <v>1</v>
      </c>
      <c r="O93" s="307">
        <v>1</v>
      </c>
      <c r="P93" s="307">
        <v>1</v>
      </c>
      <c r="Q93" s="307">
        <v>1</v>
      </c>
      <c r="R93" s="307">
        <v>1</v>
      </c>
      <c r="S93" s="307">
        <v>1</v>
      </c>
      <c r="T93" s="307">
        <v>1</v>
      </c>
      <c r="U93" s="307">
        <v>1</v>
      </c>
      <c r="V93" s="307">
        <v>1</v>
      </c>
      <c r="W93" s="307">
        <v>1</v>
      </c>
      <c r="X93" s="307">
        <v>1</v>
      </c>
      <c r="Y93" s="307">
        <v>1</v>
      </c>
      <c r="Z93" s="307">
        <v>1</v>
      </c>
      <c r="AA93" s="307">
        <v>1</v>
      </c>
      <c r="AB93" s="307">
        <v>1</v>
      </c>
      <c r="AC93" s="308">
        <v>1</v>
      </c>
      <c r="AD93" s="39"/>
      <c r="AE93" s="39"/>
      <c r="AF93" s="39"/>
      <c r="AG93" s="39"/>
      <c r="AH93" s="39"/>
      <c r="AI93" s="39"/>
      <c r="AJ93" s="39"/>
      <c r="AK93" s="39"/>
      <c r="AM93" s="47"/>
      <c r="AO93"/>
      <c r="AP93"/>
      <c r="AQ93" s="391"/>
      <c r="AR93" s="392"/>
      <c r="AS93" s="392"/>
      <c r="AT93" s="392"/>
      <c r="AU93" s="392"/>
      <c r="AV93" s="392"/>
      <c r="AW93" s="392"/>
      <c r="AX93" s="392"/>
      <c r="AY93" s="392"/>
      <c r="AZ93" s="392"/>
      <c r="BA93" s="392"/>
      <c r="BB93" s="392"/>
      <c r="BC93" s="392"/>
      <c r="BD93" s="392"/>
      <c r="BE93" s="392"/>
      <c r="BF93" s="392"/>
      <c r="BG93" s="392"/>
      <c r="BH93" s="392"/>
      <c r="BI93" s="392"/>
      <c r="BJ93" s="392"/>
      <c r="BK93" s="392"/>
      <c r="BL93" s="392"/>
      <c r="BM93" s="392"/>
      <c r="BN93" s="392"/>
      <c r="BO93" s="392"/>
    </row>
    <row r="94" spans="1:67" ht="37.950000000000003" customHeight="1" x14ac:dyDescent="0.3">
      <c r="A94" s="1087" t="str">
        <f t="shared" ref="A94:B94" si="21">A91</f>
        <v>Guest Rooms</v>
      </c>
      <c r="B94" s="1089" t="str">
        <f t="shared" si="21"/>
        <v>ResidentialLiving</v>
      </c>
      <c r="C94" s="1083" t="s">
        <v>768</v>
      </c>
      <c r="D94" s="1138" t="s">
        <v>780</v>
      </c>
      <c r="E94" s="312" t="s">
        <v>468</v>
      </c>
      <c r="F94" s="325">
        <v>0.13100000000000001</v>
      </c>
      <c r="G94" s="325">
        <v>7.4999999999999997E-2</v>
      </c>
      <c r="H94" s="325">
        <v>8.4000000000000005E-2</v>
      </c>
      <c r="I94" s="325">
        <v>0.10299999999999999</v>
      </c>
      <c r="J94" s="325">
        <v>0.187</v>
      </c>
      <c r="K94" s="325">
        <v>0.41099999999999998</v>
      </c>
      <c r="L94" s="325">
        <v>0.83199999999999996</v>
      </c>
      <c r="M94" s="325">
        <v>1</v>
      </c>
      <c r="N94" s="325">
        <v>0.83199999999999996</v>
      </c>
      <c r="O94" s="325">
        <v>0.61699999999999999</v>
      </c>
      <c r="P94" s="325">
        <v>0.48599999999999999</v>
      </c>
      <c r="Q94" s="325">
        <v>0.35499999999999998</v>
      </c>
      <c r="R94" s="325">
        <v>0.33600000000000002</v>
      </c>
      <c r="S94" s="325">
        <v>0.308</v>
      </c>
      <c r="T94" s="325">
        <v>0.29899999999999999</v>
      </c>
      <c r="U94" s="325">
        <v>0.24299999999999999</v>
      </c>
      <c r="V94" s="325">
        <v>0.39300000000000002</v>
      </c>
      <c r="W94" s="325">
        <v>0.44900000000000001</v>
      </c>
      <c r="X94" s="325">
        <v>0.48599999999999999</v>
      </c>
      <c r="Y94" s="325">
        <v>0.439</v>
      </c>
      <c r="Z94" s="325">
        <v>0.39300000000000002</v>
      </c>
      <c r="AA94" s="325">
        <v>0.36399999999999999</v>
      </c>
      <c r="AB94" s="325">
        <v>0.33600000000000002</v>
      </c>
      <c r="AC94" s="326">
        <v>0.20599999999999999</v>
      </c>
      <c r="AD94" s="39"/>
      <c r="AE94" s="39"/>
      <c r="AF94" s="39"/>
      <c r="AG94" s="39"/>
      <c r="AH94" s="39"/>
      <c r="AI94" s="39"/>
      <c r="AJ94" s="39"/>
      <c r="AK94" s="39"/>
      <c r="AO94"/>
      <c r="AP94"/>
      <c r="AQ94" s="391"/>
      <c r="AR94" s="392"/>
      <c r="AS94" s="392"/>
      <c r="AT94" s="392"/>
      <c r="AU94" s="392"/>
      <c r="AV94" s="392"/>
      <c r="AW94" s="392"/>
      <c r="AX94" s="392"/>
      <c r="AY94" s="392"/>
      <c r="AZ94" s="392"/>
      <c r="BA94" s="392"/>
      <c r="BB94" s="392"/>
      <c r="BC94" s="392"/>
      <c r="BD94" s="392"/>
      <c r="BE94" s="392"/>
      <c r="BF94" s="392"/>
      <c r="BG94" s="392"/>
      <c r="BH94" s="392"/>
      <c r="BI94" s="392"/>
      <c r="BJ94" s="392"/>
      <c r="BK94" s="392"/>
      <c r="BL94" s="392"/>
      <c r="BM94" s="392"/>
      <c r="BN94" s="392"/>
      <c r="BO94" s="392"/>
    </row>
    <row r="95" spans="1:67" ht="33" customHeight="1" x14ac:dyDescent="0.3">
      <c r="A95" s="1081"/>
      <c r="B95" s="1060"/>
      <c r="C95" s="1060"/>
      <c r="D95" s="1078"/>
      <c r="E95" s="310" t="s">
        <v>475</v>
      </c>
      <c r="F95" s="303">
        <v>0.217</v>
      </c>
      <c r="G95" s="303">
        <v>0.12</v>
      </c>
      <c r="H95" s="303">
        <v>0.108</v>
      </c>
      <c r="I95" s="303">
        <v>9.6000000000000002E-2</v>
      </c>
      <c r="J95" s="303">
        <v>0.18099999999999999</v>
      </c>
      <c r="K95" s="303">
        <v>0.27700000000000002</v>
      </c>
      <c r="L95" s="303">
        <v>0.313</v>
      </c>
      <c r="M95" s="303">
        <v>0.56599999999999995</v>
      </c>
      <c r="N95" s="303">
        <v>0.92800000000000005</v>
      </c>
      <c r="O95" s="303">
        <v>1</v>
      </c>
      <c r="P95" s="303">
        <v>0.89200000000000002</v>
      </c>
      <c r="Q95" s="303">
        <v>0.73499999999999999</v>
      </c>
      <c r="R95" s="303">
        <v>0.61399999999999999</v>
      </c>
      <c r="S95" s="303">
        <v>0.51800000000000002</v>
      </c>
      <c r="T95" s="303">
        <v>0.47</v>
      </c>
      <c r="U95" s="303">
        <v>0.47</v>
      </c>
      <c r="V95" s="303">
        <v>0.627</v>
      </c>
      <c r="W95" s="303">
        <v>0.69899999999999995</v>
      </c>
      <c r="X95" s="303">
        <v>0.67500000000000004</v>
      </c>
      <c r="Y95" s="303">
        <v>0.627</v>
      </c>
      <c r="Z95" s="303">
        <v>0.56599999999999995</v>
      </c>
      <c r="AA95" s="303">
        <v>0.53</v>
      </c>
      <c r="AB95" s="303">
        <v>0.48199999999999998</v>
      </c>
      <c r="AC95" s="306">
        <v>0.33700000000000002</v>
      </c>
      <c r="AD95" s="39"/>
      <c r="AE95" s="39"/>
      <c r="AF95" s="39"/>
      <c r="AG95" s="39"/>
      <c r="AH95" s="39"/>
      <c r="AI95" s="39"/>
      <c r="AJ95" s="39"/>
      <c r="AK95" s="39"/>
      <c r="AO95"/>
      <c r="AP95"/>
      <c r="AQ95" s="391"/>
      <c r="AR95" s="392"/>
      <c r="AS95" s="392"/>
      <c r="AT95" s="392"/>
      <c r="AU95" s="392"/>
      <c r="AV95" s="392"/>
      <c r="AW95" s="392"/>
      <c r="AX95" s="392"/>
      <c r="AY95" s="392"/>
      <c r="AZ95" s="392"/>
      <c r="BA95" s="392"/>
      <c r="BB95" s="392"/>
      <c r="BC95" s="392"/>
      <c r="BD95" s="392"/>
      <c r="BE95" s="392"/>
      <c r="BF95" s="392"/>
      <c r="BG95" s="392"/>
      <c r="BH95" s="392"/>
      <c r="BI95" s="392"/>
      <c r="BJ95" s="392"/>
      <c r="BK95" s="392"/>
      <c r="BL95" s="392"/>
      <c r="BM95" s="392"/>
      <c r="BN95" s="392"/>
      <c r="BO95" s="392"/>
    </row>
    <row r="96" spans="1:67" ht="33" customHeight="1" thickBot="1" x14ac:dyDescent="0.35">
      <c r="A96" s="1082"/>
      <c r="B96" s="1084"/>
      <c r="C96" s="1090"/>
      <c r="D96" s="1135"/>
      <c r="E96" s="324" t="s">
        <v>477</v>
      </c>
      <c r="F96" s="327">
        <v>0.217</v>
      </c>
      <c r="G96" s="327">
        <v>0.12</v>
      </c>
      <c r="H96" s="327">
        <v>0.108</v>
      </c>
      <c r="I96" s="327">
        <v>9.6000000000000002E-2</v>
      </c>
      <c r="J96" s="327">
        <v>0.18099999999999999</v>
      </c>
      <c r="K96" s="327">
        <v>0.27700000000000002</v>
      </c>
      <c r="L96" s="327">
        <v>0.313</v>
      </c>
      <c r="M96" s="327">
        <v>0.56599999999999995</v>
      </c>
      <c r="N96" s="327">
        <v>0.92800000000000005</v>
      </c>
      <c r="O96" s="327">
        <v>1</v>
      </c>
      <c r="P96" s="327">
        <v>0.89200000000000002</v>
      </c>
      <c r="Q96" s="327">
        <v>0.73499999999999999</v>
      </c>
      <c r="R96" s="327">
        <v>0.61399999999999999</v>
      </c>
      <c r="S96" s="327">
        <v>0.51800000000000002</v>
      </c>
      <c r="T96" s="327">
        <v>0.47</v>
      </c>
      <c r="U96" s="327">
        <v>0.47</v>
      </c>
      <c r="V96" s="327">
        <v>0.627</v>
      </c>
      <c r="W96" s="327">
        <v>0.69899999999999995</v>
      </c>
      <c r="X96" s="327">
        <v>0.67500000000000004</v>
      </c>
      <c r="Y96" s="327">
        <v>0.627</v>
      </c>
      <c r="Z96" s="327">
        <v>0.56599999999999995</v>
      </c>
      <c r="AA96" s="327">
        <v>0.53</v>
      </c>
      <c r="AB96" s="327">
        <v>0.48199999999999998</v>
      </c>
      <c r="AC96" s="328">
        <v>0.33700000000000002</v>
      </c>
      <c r="AD96" s="39"/>
      <c r="AE96" s="39"/>
      <c r="AF96" s="39"/>
      <c r="AG96" s="39"/>
      <c r="AH96" s="39"/>
      <c r="AI96" s="39"/>
      <c r="AJ96" s="39"/>
      <c r="AK96" s="39"/>
      <c r="AO96"/>
      <c r="AP96"/>
      <c r="AQ96" s="391"/>
      <c r="AR96" s="392"/>
      <c r="AS96" s="392"/>
      <c r="AT96" s="392"/>
      <c r="AU96" s="392"/>
      <c r="AV96" s="392"/>
      <c r="AW96" s="392"/>
      <c r="AX96" s="392"/>
      <c r="AY96" s="392"/>
      <c r="AZ96" s="392"/>
      <c r="BA96" s="392"/>
      <c r="BB96" s="392"/>
      <c r="BC96" s="392"/>
      <c r="BD96" s="392"/>
      <c r="BE96" s="392"/>
      <c r="BF96" s="392"/>
      <c r="BG96" s="392"/>
      <c r="BH96" s="392"/>
      <c r="BI96" s="392"/>
      <c r="BJ96" s="392"/>
      <c r="BK96" s="392"/>
      <c r="BL96" s="392"/>
      <c r="BM96" s="392"/>
      <c r="BN96" s="392"/>
      <c r="BO96" s="392"/>
    </row>
    <row r="97" spans="1:67" ht="38.700000000000003" customHeight="1" x14ac:dyDescent="0.3">
      <c r="A97" s="1087" t="str">
        <f t="shared" ref="A97:B97" si="22">A94</f>
        <v>Guest Rooms</v>
      </c>
      <c r="B97" s="1089" t="str">
        <f t="shared" si="22"/>
        <v>ResidentialLiving</v>
      </c>
      <c r="C97" s="1089" t="s">
        <v>337</v>
      </c>
      <c r="D97" s="1138" t="s">
        <v>780</v>
      </c>
      <c r="E97" s="309" t="s">
        <v>468</v>
      </c>
      <c r="F97" s="304">
        <v>1</v>
      </c>
      <c r="G97" s="304">
        <v>1</v>
      </c>
      <c r="H97" s="304">
        <v>1</v>
      </c>
      <c r="I97" s="304">
        <v>1</v>
      </c>
      <c r="J97" s="304">
        <v>1</v>
      </c>
      <c r="K97" s="304">
        <v>1</v>
      </c>
      <c r="L97" s="304">
        <v>1</v>
      </c>
      <c r="M97" s="304">
        <v>1</v>
      </c>
      <c r="N97" s="304">
        <v>1</v>
      </c>
      <c r="O97" s="304">
        <v>1</v>
      </c>
      <c r="P97" s="304">
        <v>1</v>
      </c>
      <c r="Q97" s="304">
        <v>1</v>
      </c>
      <c r="R97" s="304">
        <v>1</v>
      </c>
      <c r="S97" s="304">
        <v>1</v>
      </c>
      <c r="T97" s="304">
        <v>1</v>
      </c>
      <c r="U97" s="304">
        <v>1</v>
      </c>
      <c r="V97" s="304">
        <v>1</v>
      </c>
      <c r="W97" s="304">
        <v>1</v>
      </c>
      <c r="X97" s="304">
        <v>1</v>
      </c>
      <c r="Y97" s="304">
        <v>1</v>
      </c>
      <c r="Z97" s="304">
        <v>1</v>
      </c>
      <c r="AA97" s="304">
        <v>1</v>
      </c>
      <c r="AB97" s="304">
        <v>1</v>
      </c>
      <c r="AC97" s="305">
        <v>1</v>
      </c>
      <c r="AD97" s="39"/>
      <c r="AE97" s="39"/>
      <c r="AF97" s="39"/>
      <c r="AG97" s="39"/>
      <c r="AH97" s="39"/>
      <c r="AI97" s="39"/>
      <c r="AJ97" s="39"/>
      <c r="AK97" s="39"/>
      <c r="AM97" s="47"/>
      <c r="AO97"/>
      <c r="AP97"/>
      <c r="AQ97" s="391"/>
      <c r="AR97" s="392"/>
      <c r="AS97" s="392"/>
      <c r="AT97" s="392"/>
      <c r="AU97" s="392"/>
      <c r="AV97" s="392"/>
      <c r="AW97" s="392"/>
      <c r="AX97" s="392"/>
      <c r="AY97" s="392"/>
      <c r="AZ97" s="392"/>
      <c r="BA97" s="392"/>
      <c r="BB97" s="392"/>
      <c r="BC97" s="392"/>
      <c r="BD97" s="392"/>
      <c r="BE97" s="392"/>
      <c r="BF97" s="392"/>
      <c r="BG97" s="392"/>
      <c r="BH97" s="392"/>
      <c r="BI97" s="392"/>
      <c r="BJ97" s="392"/>
      <c r="BK97" s="392"/>
      <c r="BL97" s="392"/>
      <c r="BM97" s="392"/>
      <c r="BN97" s="392"/>
      <c r="BO97" s="392"/>
    </row>
    <row r="98" spans="1:67" ht="38.700000000000003" customHeight="1" x14ac:dyDescent="0.3">
      <c r="A98" s="1081"/>
      <c r="B98" s="1060"/>
      <c r="C98" s="1060"/>
      <c r="D98" s="1078"/>
      <c r="E98" s="310" t="s">
        <v>475</v>
      </c>
      <c r="F98" s="303">
        <v>1</v>
      </c>
      <c r="G98" s="303">
        <v>1</v>
      </c>
      <c r="H98" s="303">
        <v>1</v>
      </c>
      <c r="I98" s="303">
        <v>1</v>
      </c>
      <c r="J98" s="303">
        <v>1</v>
      </c>
      <c r="K98" s="303">
        <v>1</v>
      </c>
      <c r="L98" s="303">
        <v>1</v>
      </c>
      <c r="M98" s="303">
        <v>1</v>
      </c>
      <c r="N98" s="303">
        <v>1</v>
      </c>
      <c r="O98" s="303">
        <v>1</v>
      </c>
      <c r="P98" s="303">
        <v>1</v>
      </c>
      <c r="Q98" s="303">
        <v>1</v>
      </c>
      <c r="R98" s="303">
        <v>1</v>
      </c>
      <c r="S98" s="303">
        <v>1</v>
      </c>
      <c r="T98" s="303">
        <v>1</v>
      </c>
      <c r="U98" s="303">
        <v>1</v>
      </c>
      <c r="V98" s="303">
        <v>1</v>
      </c>
      <c r="W98" s="303">
        <v>1</v>
      </c>
      <c r="X98" s="303">
        <v>1</v>
      </c>
      <c r="Y98" s="303">
        <v>1</v>
      </c>
      <c r="Z98" s="303">
        <v>1</v>
      </c>
      <c r="AA98" s="303">
        <v>1</v>
      </c>
      <c r="AB98" s="303">
        <v>1</v>
      </c>
      <c r="AC98" s="306">
        <v>1</v>
      </c>
      <c r="AD98" s="39"/>
      <c r="AE98" s="39"/>
      <c r="AF98" s="39"/>
      <c r="AG98" s="39"/>
      <c r="AH98" s="39"/>
      <c r="AI98" s="39"/>
      <c r="AJ98" s="39"/>
      <c r="AK98" s="39"/>
      <c r="AM98" s="47"/>
      <c r="AO98"/>
      <c r="AP98"/>
      <c r="AQ98" s="391"/>
      <c r="AR98" s="392"/>
      <c r="AS98" s="392"/>
      <c r="AT98" s="392"/>
      <c r="AU98" s="392"/>
      <c r="AV98" s="392"/>
      <c r="AW98" s="392"/>
      <c r="AX98" s="392"/>
      <c r="AY98" s="392"/>
      <c r="AZ98" s="392"/>
      <c r="BA98" s="392"/>
      <c r="BB98" s="392"/>
      <c r="BC98" s="392"/>
      <c r="BD98" s="392"/>
      <c r="BE98" s="392"/>
      <c r="BF98" s="392"/>
      <c r="BG98" s="392"/>
      <c r="BH98" s="392"/>
      <c r="BI98" s="392"/>
      <c r="BJ98" s="392"/>
      <c r="BK98" s="392"/>
      <c r="BL98" s="392"/>
      <c r="BM98" s="392"/>
      <c r="BN98" s="392"/>
      <c r="BO98" s="392"/>
    </row>
    <row r="99" spans="1:67" ht="38.700000000000003" customHeight="1" thickBot="1" x14ac:dyDescent="0.35">
      <c r="A99" s="1082"/>
      <c r="B99" s="1084"/>
      <c r="C99" s="1084"/>
      <c r="D99" s="1135"/>
      <c r="E99" s="311" t="s">
        <v>477</v>
      </c>
      <c r="F99" s="307">
        <v>1</v>
      </c>
      <c r="G99" s="307">
        <v>1</v>
      </c>
      <c r="H99" s="307">
        <v>1</v>
      </c>
      <c r="I99" s="307">
        <v>1</v>
      </c>
      <c r="J99" s="307">
        <v>1</v>
      </c>
      <c r="K99" s="307">
        <v>1</v>
      </c>
      <c r="L99" s="307">
        <v>1</v>
      </c>
      <c r="M99" s="307">
        <v>1</v>
      </c>
      <c r="N99" s="307">
        <v>1</v>
      </c>
      <c r="O99" s="307">
        <v>1</v>
      </c>
      <c r="P99" s="307">
        <v>1</v>
      </c>
      <c r="Q99" s="307">
        <v>1</v>
      </c>
      <c r="R99" s="307">
        <v>1</v>
      </c>
      <c r="S99" s="307">
        <v>1</v>
      </c>
      <c r="T99" s="307">
        <v>1</v>
      </c>
      <c r="U99" s="307">
        <v>1</v>
      </c>
      <c r="V99" s="307">
        <v>1</v>
      </c>
      <c r="W99" s="307">
        <v>1</v>
      </c>
      <c r="X99" s="307">
        <v>1</v>
      </c>
      <c r="Y99" s="307">
        <v>1</v>
      </c>
      <c r="Z99" s="307">
        <v>1</v>
      </c>
      <c r="AA99" s="307">
        <v>1</v>
      </c>
      <c r="AB99" s="307">
        <v>1</v>
      </c>
      <c r="AC99" s="308">
        <v>1</v>
      </c>
      <c r="AD99" s="39"/>
      <c r="AE99" s="39"/>
      <c r="AF99" s="39"/>
      <c r="AG99" s="39"/>
      <c r="AH99" s="39"/>
      <c r="AI99" s="39"/>
      <c r="AJ99" s="39"/>
      <c r="AK99" s="39"/>
      <c r="AM99" s="47"/>
      <c r="AO99"/>
      <c r="AP99"/>
      <c r="AQ99" s="391"/>
      <c r="AR99" s="393"/>
      <c r="AS99" s="393"/>
      <c r="AT99" s="393"/>
      <c r="AU99" s="393"/>
      <c r="AV99" s="393"/>
      <c r="AW99" s="393"/>
      <c r="AX99" s="393"/>
      <c r="AY99" s="393"/>
      <c r="AZ99" s="393"/>
      <c r="BA99" s="393"/>
      <c r="BB99" s="393"/>
      <c r="BC99" s="393"/>
      <c r="BD99" s="393"/>
      <c r="BE99" s="393"/>
      <c r="BF99" s="393"/>
      <c r="BG99" s="393"/>
      <c r="BH99" s="393"/>
      <c r="BI99" s="393"/>
      <c r="BJ99" s="393"/>
      <c r="BK99" s="393"/>
      <c r="BL99" s="393"/>
      <c r="BM99" s="393"/>
      <c r="BN99" s="393"/>
      <c r="BO99" s="393"/>
    </row>
    <row r="100" spans="1:67" ht="30.6" customHeight="1" x14ac:dyDescent="0.3">
      <c r="A100" s="1087" t="str">
        <f t="shared" ref="A100:B100" si="23">A97</f>
        <v>Guest Rooms</v>
      </c>
      <c r="B100" s="1089" t="str">
        <f t="shared" si="23"/>
        <v>ResidentialLiving</v>
      </c>
      <c r="C100" s="1083" t="s">
        <v>770</v>
      </c>
      <c r="D100" s="1134" t="s">
        <v>781</v>
      </c>
      <c r="E100" s="312" t="s">
        <v>468</v>
      </c>
      <c r="F100" s="363">
        <f>IF((F91=1),Thermostat!$B$11,Thermostat!$B$12)</f>
        <v>70</v>
      </c>
      <c r="G100" s="363">
        <f>IF((G91=1),Thermostat!$B$11,Thermostat!$B$12)</f>
        <v>70</v>
      </c>
      <c r="H100" s="363">
        <f>IF((H91=1),Thermostat!$B$11,Thermostat!$B$12)</f>
        <v>70</v>
      </c>
      <c r="I100" s="363">
        <f>IF((I91=1),Thermostat!$B$11,Thermostat!$B$12)</f>
        <v>70</v>
      </c>
      <c r="J100" s="363">
        <f>IF((J91=1),Thermostat!$B$11,Thermostat!$B$12)</f>
        <v>70</v>
      </c>
      <c r="K100" s="363">
        <f>IF((K91=1),Thermostat!$B$11,Thermostat!$B$12)</f>
        <v>70</v>
      </c>
      <c r="L100" s="363">
        <f>IF((L91=1),Thermostat!$B$11,Thermostat!$B$12)</f>
        <v>70</v>
      </c>
      <c r="M100" s="363">
        <f>IF((M91=1),Thermostat!$B$11,Thermostat!$B$12)</f>
        <v>70</v>
      </c>
      <c r="N100" s="363">
        <f>IF((N91=1),Thermostat!$B$11,Thermostat!$B$12)</f>
        <v>70</v>
      </c>
      <c r="O100" s="363">
        <f>IF((O91=1),Thermostat!$B$11,Thermostat!$B$12)</f>
        <v>70</v>
      </c>
      <c r="P100" s="363">
        <f>IF((P91=1),Thermostat!$B$11,Thermostat!$B$12)</f>
        <v>70</v>
      </c>
      <c r="Q100" s="363">
        <f>IF((Q91=1),Thermostat!$B$11,Thermostat!$B$12)</f>
        <v>70</v>
      </c>
      <c r="R100" s="363">
        <f>IF((R91=1),Thermostat!$B$11,Thermostat!$B$12)</f>
        <v>70</v>
      </c>
      <c r="S100" s="363">
        <f>IF((S91=1),Thermostat!$B$11,Thermostat!$B$12)</f>
        <v>70</v>
      </c>
      <c r="T100" s="363">
        <f>IF((T91=1),Thermostat!$B$11,Thermostat!$B$12)</f>
        <v>70</v>
      </c>
      <c r="U100" s="363">
        <f>IF((U91=1),Thermostat!$B$11,Thermostat!$B$12)</f>
        <v>70</v>
      </c>
      <c r="V100" s="363">
        <f>IF((V91=1),Thermostat!$B$11,Thermostat!$B$12)</f>
        <v>70</v>
      </c>
      <c r="W100" s="363">
        <f>IF((W91=1),Thermostat!$B$11,Thermostat!$B$12)</f>
        <v>70</v>
      </c>
      <c r="X100" s="363">
        <f>IF((X91=1),Thermostat!$B$11,Thermostat!$B$12)</f>
        <v>70</v>
      </c>
      <c r="Y100" s="363">
        <f>IF((Y91=1),Thermostat!$B$11,Thermostat!$B$12)</f>
        <v>70</v>
      </c>
      <c r="Z100" s="363">
        <f>IF((Z91=1),Thermostat!$B$11,Thermostat!$B$12)</f>
        <v>70</v>
      </c>
      <c r="AA100" s="363">
        <f>IF((AA91=1),Thermostat!$B$11,Thermostat!$B$12)</f>
        <v>70</v>
      </c>
      <c r="AB100" s="363">
        <f>IF((AB91=1),Thermostat!$B$11,Thermostat!$B$12)</f>
        <v>70</v>
      </c>
      <c r="AC100" s="364">
        <f>IF((AC91=1),Thermostat!$B$11,Thermostat!$B$12)</f>
        <v>70</v>
      </c>
      <c r="AD100" s="365"/>
      <c r="AE100" s="39"/>
      <c r="AF100" s="39"/>
      <c r="AG100" s="39"/>
      <c r="AH100" s="39"/>
      <c r="AI100" s="39"/>
      <c r="AJ100" s="39"/>
      <c r="AK100" s="39"/>
      <c r="AO100"/>
      <c r="AP100"/>
      <c r="AQ100" s="391"/>
      <c r="AR100" s="393"/>
      <c r="AS100" s="393"/>
      <c r="AT100" s="393"/>
      <c r="AU100" s="393"/>
      <c r="AV100" s="393"/>
      <c r="AW100" s="393"/>
      <c r="AX100" s="393"/>
      <c r="AY100" s="393"/>
      <c r="AZ100" s="393"/>
      <c r="BA100" s="393"/>
      <c r="BB100" s="393"/>
      <c r="BC100" s="393"/>
      <c r="BD100" s="393"/>
      <c r="BE100" s="393"/>
      <c r="BF100" s="393"/>
      <c r="BG100" s="393"/>
      <c r="BH100" s="393"/>
      <c r="BI100" s="393"/>
      <c r="BJ100" s="393"/>
      <c r="BK100" s="393"/>
      <c r="BL100" s="393"/>
      <c r="BM100" s="393"/>
      <c r="BN100" s="393"/>
      <c r="BO100" s="393"/>
    </row>
    <row r="101" spans="1:67" ht="30.6" customHeight="1" x14ac:dyDescent="0.3">
      <c r="A101" s="1081"/>
      <c r="B101" s="1060"/>
      <c r="C101" s="1060"/>
      <c r="D101" s="1078"/>
      <c r="E101" s="310" t="s">
        <v>475</v>
      </c>
      <c r="F101" s="339">
        <f>IF((F92=1),Thermostat!$B$11,Thermostat!$B$12)</f>
        <v>70</v>
      </c>
      <c r="G101" s="339">
        <f>IF((G92=1),Thermostat!$B$11,Thermostat!$B$12)</f>
        <v>70</v>
      </c>
      <c r="H101" s="339">
        <f>IF((H92=1),Thermostat!$B$11,Thermostat!$B$12)</f>
        <v>70</v>
      </c>
      <c r="I101" s="339">
        <f>IF((I92=1),Thermostat!$B$11,Thermostat!$B$12)</f>
        <v>70</v>
      </c>
      <c r="J101" s="339">
        <f>IF((J92=1),Thermostat!$B$11,Thermostat!$B$12)</f>
        <v>70</v>
      </c>
      <c r="K101" s="339">
        <f>IF((K92=1),Thermostat!$B$11,Thermostat!$B$12)</f>
        <v>70</v>
      </c>
      <c r="L101" s="339">
        <f>IF((L92=1),Thermostat!$B$11,Thermostat!$B$12)</f>
        <v>70</v>
      </c>
      <c r="M101" s="339">
        <f>IF((M92=1),Thermostat!$B$11,Thermostat!$B$12)</f>
        <v>70</v>
      </c>
      <c r="N101" s="339">
        <f>IF((N92=1),Thermostat!$B$11,Thermostat!$B$12)</f>
        <v>70</v>
      </c>
      <c r="O101" s="339">
        <f>IF((O92=1),Thermostat!$B$11,Thermostat!$B$12)</f>
        <v>70</v>
      </c>
      <c r="P101" s="339">
        <f>IF((P92=1),Thermostat!$B$11,Thermostat!$B$12)</f>
        <v>70</v>
      </c>
      <c r="Q101" s="339">
        <f>IF((Q92=1),Thermostat!$B$11,Thermostat!$B$12)</f>
        <v>70</v>
      </c>
      <c r="R101" s="339">
        <f>IF((R92=1),Thermostat!$B$11,Thermostat!$B$12)</f>
        <v>70</v>
      </c>
      <c r="S101" s="339">
        <f>IF((S92=1),Thermostat!$B$11,Thermostat!$B$12)</f>
        <v>70</v>
      </c>
      <c r="T101" s="339">
        <f>IF((T92=1),Thermostat!$B$11,Thermostat!$B$12)</f>
        <v>70</v>
      </c>
      <c r="U101" s="339">
        <f>IF((U92=1),Thermostat!$B$11,Thermostat!$B$12)</f>
        <v>70</v>
      </c>
      <c r="V101" s="339">
        <f>IF((V92=1),Thermostat!$B$11,Thermostat!$B$12)</f>
        <v>70</v>
      </c>
      <c r="W101" s="339">
        <f>IF((W92=1),Thermostat!$B$11,Thermostat!$B$12)</f>
        <v>70</v>
      </c>
      <c r="X101" s="339">
        <f>IF((X92=1),Thermostat!$B$11,Thermostat!$B$12)</f>
        <v>70</v>
      </c>
      <c r="Y101" s="339">
        <f>IF((Y92=1),Thermostat!$B$11,Thermostat!$B$12)</f>
        <v>70</v>
      </c>
      <c r="Z101" s="339">
        <f>IF((Z92=1),Thermostat!$B$11,Thermostat!$B$12)</f>
        <v>70</v>
      </c>
      <c r="AA101" s="339">
        <f>IF((AA92=1),Thermostat!$B$11,Thermostat!$B$12)</f>
        <v>70</v>
      </c>
      <c r="AB101" s="339">
        <f>IF((AB92=1),Thermostat!$B$11,Thermostat!$B$12)</f>
        <v>70</v>
      </c>
      <c r="AC101" s="340">
        <f>IF((AC92=1),Thermostat!$B$11,Thermostat!$B$12)</f>
        <v>70</v>
      </c>
      <c r="AD101" s="365"/>
      <c r="AE101" s="39"/>
      <c r="AF101" s="39"/>
      <c r="AG101" s="39"/>
      <c r="AH101" s="39"/>
      <c r="AI101" s="39"/>
      <c r="AJ101" s="39"/>
      <c r="AK101" s="39"/>
      <c r="AO101"/>
      <c r="AP101"/>
      <c r="AQ101" s="391"/>
      <c r="AR101" s="393"/>
      <c r="AS101" s="393"/>
      <c r="AT101" s="393"/>
      <c r="AU101" s="393"/>
      <c r="AV101" s="393"/>
      <c r="AW101" s="393"/>
      <c r="AX101" s="393"/>
      <c r="AY101" s="393"/>
      <c r="AZ101" s="393"/>
      <c r="BA101" s="393"/>
      <c r="BB101" s="393"/>
      <c r="BC101" s="393"/>
      <c r="BD101" s="393"/>
      <c r="BE101" s="393"/>
      <c r="BF101" s="393"/>
      <c r="BG101" s="393"/>
      <c r="BH101" s="393"/>
      <c r="BI101" s="393"/>
      <c r="BJ101" s="393"/>
      <c r="BK101" s="393"/>
      <c r="BL101" s="393"/>
      <c r="BM101" s="393"/>
      <c r="BN101" s="393"/>
      <c r="BO101" s="393"/>
    </row>
    <row r="102" spans="1:67" ht="30.6" customHeight="1" thickBot="1" x14ac:dyDescent="0.35">
      <c r="A102" s="1082"/>
      <c r="B102" s="1084"/>
      <c r="C102" s="1090"/>
      <c r="D102" s="1139"/>
      <c r="E102" s="324" t="s">
        <v>477</v>
      </c>
      <c r="F102" s="341">
        <f>IF((F93=1),Thermostat!$B$11,Thermostat!$B$12)</f>
        <v>70</v>
      </c>
      <c r="G102" s="341">
        <f>IF((G93=1),Thermostat!$B$11,Thermostat!$B$12)</f>
        <v>70</v>
      </c>
      <c r="H102" s="341">
        <f>IF((H93=1),Thermostat!$B$11,Thermostat!$B$12)</f>
        <v>70</v>
      </c>
      <c r="I102" s="341">
        <f>IF((I93=1),Thermostat!$B$11,Thermostat!$B$12)</f>
        <v>70</v>
      </c>
      <c r="J102" s="341">
        <f>IF((J93=1),Thermostat!$B$11,Thermostat!$B$12)</f>
        <v>70</v>
      </c>
      <c r="K102" s="341">
        <f>IF((K93=1),Thermostat!$B$11,Thermostat!$B$12)</f>
        <v>70</v>
      </c>
      <c r="L102" s="341">
        <f>IF((L93=1),Thermostat!$B$11,Thermostat!$B$12)</f>
        <v>70</v>
      </c>
      <c r="M102" s="341">
        <f>IF((M93=1),Thermostat!$B$11,Thermostat!$B$12)</f>
        <v>70</v>
      </c>
      <c r="N102" s="341">
        <f>IF((N93=1),Thermostat!$B$11,Thermostat!$B$12)</f>
        <v>70</v>
      </c>
      <c r="O102" s="341">
        <f>IF((O93=1),Thermostat!$B$11,Thermostat!$B$12)</f>
        <v>70</v>
      </c>
      <c r="P102" s="341">
        <f>IF((P93=1),Thermostat!$B$11,Thermostat!$B$12)</f>
        <v>70</v>
      </c>
      <c r="Q102" s="341">
        <f>IF((Q93=1),Thermostat!$B$11,Thermostat!$B$12)</f>
        <v>70</v>
      </c>
      <c r="R102" s="341">
        <f>IF((R93=1),Thermostat!$B$11,Thermostat!$B$12)</f>
        <v>70</v>
      </c>
      <c r="S102" s="341">
        <f>IF((S93=1),Thermostat!$B$11,Thermostat!$B$12)</f>
        <v>70</v>
      </c>
      <c r="T102" s="341">
        <f>IF((T93=1),Thermostat!$B$11,Thermostat!$B$12)</f>
        <v>70</v>
      </c>
      <c r="U102" s="341">
        <f>IF((U93=1),Thermostat!$B$11,Thermostat!$B$12)</f>
        <v>70</v>
      </c>
      <c r="V102" s="341">
        <f>IF((V93=1),Thermostat!$B$11,Thermostat!$B$12)</f>
        <v>70</v>
      </c>
      <c r="W102" s="341">
        <f>IF((W93=1),Thermostat!$B$11,Thermostat!$B$12)</f>
        <v>70</v>
      </c>
      <c r="X102" s="341">
        <f>IF((X93=1),Thermostat!$B$11,Thermostat!$B$12)</f>
        <v>70</v>
      </c>
      <c r="Y102" s="341">
        <f>IF((Y93=1),Thermostat!$B$11,Thermostat!$B$12)</f>
        <v>70</v>
      </c>
      <c r="Z102" s="341">
        <f>IF((Z93=1),Thermostat!$B$11,Thermostat!$B$12)</f>
        <v>70</v>
      </c>
      <c r="AA102" s="341">
        <f>IF((AA93=1),Thermostat!$B$11,Thermostat!$B$12)</f>
        <v>70</v>
      </c>
      <c r="AB102" s="341">
        <f>IF((AB93=1),Thermostat!$B$11,Thermostat!$B$12)</f>
        <v>70</v>
      </c>
      <c r="AC102" s="342">
        <f>IF((AC93=1),Thermostat!$B$11,Thermostat!$B$12)</f>
        <v>70</v>
      </c>
      <c r="AD102" s="365"/>
      <c r="AE102" s="39"/>
      <c r="AF102" s="39"/>
      <c r="AG102" s="39"/>
      <c r="AH102" s="39"/>
      <c r="AI102" s="39"/>
      <c r="AJ102" s="39"/>
      <c r="AK102" s="39"/>
      <c r="AO102"/>
      <c r="AP102"/>
      <c r="AQ102" s="391"/>
      <c r="AR102" s="393"/>
      <c r="AS102" s="393"/>
      <c r="AT102" s="393"/>
      <c r="AU102" s="393"/>
      <c r="AV102" s="393"/>
      <c r="AW102" s="393"/>
      <c r="AX102" s="393"/>
      <c r="AY102" s="393"/>
      <c r="AZ102" s="393"/>
      <c r="BA102" s="393"/>
      <c r="BB102" s="393"/>
      <c r="BC102" s="393"/>
      <c r="BD102" s="393"/>
      <c r="BE102" s="393"/>
      <c r="BF102" s="393"/>
      <c r="BG102" s="393"/>
      <c r="BH102" s="393"/>
      <c r="BI102" s="393"/>
      <c r="BJ102" s="393"/>
      <c r="BK102" s="393"/>
      <c r="BL102" s="393"/>
      <c r="BM102" s="393"/>
      <c r="BN102" s="393"/>
      <c r="BO102" s="393"/>
    </row>
    <row r="103" spans="1:67" ht="30.6" customHeight="1" x14ac:dyDescent="0.3">
      <c r="A103" s="1087" t="str">
        <f>A100</f>
        <v>Guest Rooms</v>
      </c>
      <c r="B103" s="1089" t="str">
        <f>B100</f>
        <v>ResidentialLiving</v>
      </c>
      <c r="C103" s="1089" t="s">
        <v>771</v>
      </c>
      <c r="D103" s="1138" t="s">
        <v>781</v>
      </c>
      <c r="E103" s="309" t="s">
        <v>468</v>
      </c>
      <c r="F103" s="346">
        <f>IF((F91=1),Thermostat!$B$13,Thermostat!$B$14)</f>
        <v>72</v>
      </c>
      <c r="G103" s="346">
        <f>IF((G91=1),Thermostat!$B$13,Thermostat!$B$14)</f>
        <v>72</v>
      </c>
      <c r="H103" s="346">
        <f>IF((H91=1),Thermostat!$B$13,Thermostat!$B$14)</f>
        <v>72</v>
      </c>
      <c r="I103" s="346">
        <f>IF((I91=1),Thermostat!$B$13,Thermostat!$B$14)</f>
        <v>72</v>
      </c>
      <c r="J103" s="346">
        <f>IF((J91=1),Thermostat!$B$13,Thermostat!$B$14)</f>
        <v>72</v>
      </c>
      <c r="K103" s="346">
        <f>IF((K91=1),Thermostat!$B$13,Thermostat!$B$14)</f>
        <v>72</v>
      </c>
      <c r="L103" s="346">
        <f>IF((L91=1),Thermostat!$B$13,Thermostat!$B$14)</f>
        <v>72</v>
      </c>
      <c r="M103" s="346">
        <f>IF((M91=1),Thermostat!$B$13,Thermostat!$B$14)</f>
        <v>72</v>
      </c>
      <c r="N103" s="346">
        <f>IF((N91=1),Thermostat!$B$13,Thermostat!$B$14)</f>
        <v>72</v>
      </c>
      <c r="O103" s="346">
        <f>IF((O91=1),Thermostat!$B$13,Thermostat!$B$14)</f>
        <v>72</v>
      </c>
      <c r="P103" s="346">
        <f>IF((P91=1),Thermostat!$B$13,Thermostat!$B$14)</f>
        <v>72</v>
      </c>
      <c r="Q103" s="346">
        <f>IF((Q91=1),Thermostat!$B$13,Thermostat!$B$14)</f>
        <v>72</v>
      </c>
      <c r="R103" s="346">
        <f>IF((R91=1),Thermostat!$B$13,Thermostat!$B$14)</f>
        <v>72</v>
      </c>
      <c r="S103" s="346">
        <f>IF((S91=1),Thermostat!$B$13,Thermostat!$B$14)</f>
        <v>72</v>
      </c>
      <c r="T103" s="346">
        <f>IF((T91=1),Thermostat!$B$13,Thermostat!$B$14)</f>
        <v>72</v>
      </c>
      <c r="U103" s="346">
        <f>IF((U91=1),Thermostat!$B$13,Thermostat!$B$14)</f>
        <v>72</v>
      </c>
      <c r="V103" s="346">
        <f>IF((V91=1),Thermostat!$B$13,Thermostat!$B$14)</f>
        <v>72</v>
      </c>
      <c r="W103" s="346">
        <f>IF((W91=1),Thermostat!$B$13,Thermostat!$B$14)</f>
        <v>72</v>
      </c>
      <c r="X103" s="346">
        <f>IF((X91=1),Thermostat!$B$13,Thermostat!$B$14)</f>
        <v>72</v>
      </c>
      <c r="Y103" s="346">
        <f>IF((Y91=1),Thermostat!$B$13,Thermostat!$B$14)</f>
        <v>72</v>
      </c>
      <c r="Z103" s="346">
        <f>IF((Z91=1),Thermostat!$B$13,Thermostat!$B$14)</f>
        <v>72</v>
      </c>
      <c r="AA103" s="346">
        <f>IF((AA91=1),Thermostat!$B$13,Thermostat!$B$14)</f>
        <v>72</v>
      </c>
      <c r="AB103" s="346">
        <f>IF((AB91=1),Thermostat!$B$13,Thermostat!$B$14)</f>
        <v>72</v>
      </c>
      <c r="AC103" s="347">
        <f>IF((AC91=1),Thermostat!$B$13,Thermostat!$B$14)</f>
        <v>72</v>
      </c>
      <c r="AD103" s="365"/>
      <c r="AE103" s="39"/>
      <c r="AF103" s="39"/>
      <c r="AG103" s="39"/>
      <c r="AH103" s="39"/>
      <c r="AI103" s="39"/>
      <c r="AJ103" s="39"/>
      <c r="AK103" s="39"/>
      <c r="AO103"/>
      <c r="AP103"/>
      <c r="AQ103" s="391"/>
      <c r="AR103" s="393"/>
      <c r="AS103" s="393"/>
      <c r="AT103" s="393"/>
      <c r="AU103" s="393"/>
      <c r="AV103" s="393"/>
      <c r="AW103" s="393"/>
      <c r="AX103" s="393"/>
      <c r="AY103" s="393"/>
      <c r="AZ103" s="393"/>
      <c r="BA103" s="393"/>
      <c r="BB103" s="393"/>
      <c r="BC103" s="393"/>
      <c r="BD103" s="393"/>
      <c r="BE103" s="393"/>
      <c r="BF103" s="393"/>
      <c r="BG103" s="393"/>
      <c r="BH103" s="393"/>
      <c r="BI103" s="393"/>
      <c r="BJ103" s="393"/>
      <c r="BK103" s="393"/>
      <c r="BL103" s="393"/>
      <c r="BM103" s="393"/>
      <c r="BN103" s="393"/>
      <c r="BO103" s="393"/>
    </row>
    <row r="104" spans="1:67" ht="30.6" customHeight="1" x14ac:dyDescent="0.3">
      <c r="A104" s="1081"/>
      <c r="B104" s="1060"/>
      <c r="C104" s="1060"/>
      <c r="D104" s="1078"/>
      <c r="E104" s="310" t="s">
        <v>475</v>
      </c>
      <c r="F104" s="339">
        <f>IF((F92=1),Thermostat!$B$13,Thermostat!$B$14)</f>
        <v>72</v>
      </c>
      <c r="G104" s="339">
        <f>IF((G92=1),Thermostat!$B$13,Thermostat!$B$14)</f>
        <v>72</v>
      </c>
      <c r="H104" s="339">
        <f>IF((H92=1),Thermostat!$B$13,Thermostat!$B$14)</f>
        <v>72</v>
      </c>
      <c r="I104" s="339">
        <f>IF((I92=1),Thermostat!$B$13,Thermostat!$B$14)</f>
        <v>72</v>
      </c>
      <c r="J104" s="339">
        <f>IF((J92=1),Thermostat!$B$13,Thermostat!$B$14)</f>
        <v>72</v>
      </c>
      <c r="K104" s="339">
        <f>IF((K92=1),Thermostat!$B$13,Thermostat!$B$14)</f>
        <v>72</v>
      </c>
      <c r="L104" s="339">
        <f>IF((L92=1),Thermostat!$B$13,Thermostat!$B$14)</f>
        <v>72</v>
      </c>
      <c r="M104" s="339">
        <f>IF((M92=1),Thermostat!$B$13,Thermostat!$B$14)</f>
        <v>72</v>
      </c>
      <c r="N104" s="339">
        <f>IF((N92=1),Thermostat!$B$13,Thermostat!$B$14)</f>
        <v>72</v>
      </c>
      <c r="O104" s="339">
        <f>IF((O92=1),Thermostat!$B$13,Thermostat!$B$14)</f>
        <v>72</v>
      </c>
      <c r="P104" s="339">
        <f>IF((P92=1),Thermostat!$B$13,Thermostat!$B$14)</f>
        <v>72</v>
      </c>
      <c r="Q104" s="339">
        <f>IF((Q92=1),Thermostat!$B$13,Thermostat!$B$14)</f>
        <v>72</v>
      </c>
      <c r="R104" s="339">
        <f>IF((R92=1),Thermostat!$B$13,Thermostat!$B$14)</f>
        <v>72</v>
      </c>
      <c r="S104" s="339">
        <f>IF((S92=1),Thermostat!$B$13,Thermostat!$B$14)</f>
        <v>72</v>
      </c>
      <c r="T104" s="339">
        <f>IF((T92=1),Thermostat!$B$13,Thermostat!$B$14)</f>
        <v>72</v>
      </c>
      <c r="U104" s="339">
        <f>IF((U92=1),Thermostat!$B$13,Thermostat!$B$14)</f>
        <v>72</v>
      </c>
      <c r="V104" s="339">
        <f>IF((V92=1),Thermostat!$B$13,Thermostat!$B$14)</f>
        <v>72</v>
      </c>
      <c r="W104" s="339">
        <f>IF((W92=1),Thermostat!$B$13,Thermostat!$B$14)</f>
        <v>72</v>
      </c>
      <c r="X104" s="339">
        <f>IF((X92=1),Thermostat!$B$13,Thermostat!$B$14)</f>
        <v>72</v>
      </c>
      <c r="Y104" s="339">
        <f>IF((Y92=1),Thermostat!$B$13,Thermostat!$B$14)</f>
        <v>72</v>
      </c>
      <c r="Z104" s="339">
        <f>IF((Z92=1),Thermostat!$B$13,Thermostat!$B$14)</f>
        <v>72</v>
      </c>
      <c r="AA104" s="339">
        <f>IF((AA92=1),Thermostat!$B$13,Thermostat!$B$14)</f>
        <v>72</v>
      </c>
      <c r="AB104" s="339">
        <f>IF((AB92=1),Thermostat!$B$13,Thermostat!$B$14)</f>
        <v>72</v>
      </c>
      <c r="AC104" s="340">
        <f>IF((AC92=1),Thermostat!$B$13,Thermostat!$B$14)</f>
        <v>72</v>
      </c>
      <c r="AD104" s="365"/>
      <c r="AE104" s="39"/>
      <c r="AF104" s="39"/>
      <c r="AG104" s="39"/>
      <c r="AH104" s="39"/>
      <c r="AI104" s="39"/>
      <c r="AJ104" s="39"/>
      <c r="AK104" s="39"/>
      <c r="AO104"/>
      <c r="AP104"/>
      <c r="AQ104" s="391"/>
      <c r="AR104" s="393"/>
      <c r="AS104" s="393"/>
      <c r="AT104" s="393"/>
      <c r="AU104" s="393"/>
      <c r="AV104" s="393"/>
      <c r="AW104" s="393"/>
      <c r="AX104" s="393"/>
      <c r="AY104" s="393"/>
      <c r="AZ104" s="393"/>
      <c r="BA104" s="393"/>
      <c r="BB104" s="393"/>
      <c r="BC104" s="393"/>
      <c r="BD104" s="393"/>
      <c r="BE104" s="393"/>
      <c r="BF104" s="393"/>
      <c r="BG104" s="393"/>
      <c r="BH104" s="393"/>
      <c r="BI104" s="393"/>
      <c r="BJ104" s="393"/>
      <c r="BK104" s="393"/>
      <c r="BL104" s="393"/>
      <c r="BM104" s="393"/>
      <c r="BN104" s="393"/>
      <c r="BO104" s="393"/>
    </row>
    <row r="105" spans="1:67" ht="30.6" customHeight="1" thickBot="1" x14ac:dyDescent="0.35">
      <c r="A105" s="1082"/>
      <c r="B105" s="1084"/>
      <c r="C105" s="1084"/>
      <c r="D105" s="1135"/>
      <c r="E105" s="311" t="s">
        <v>477</v>
      </c>
      <c r="F105" s="348">
        <f>IF((F93=1),Thermostat!$B$13,Thermostat!$B$14)</f>
        <v>72</v>
      </c>
      <c r="G105" s="348">
        <f>IF((G93=1),Thermostat!$B$13,Thermostat!$B$14)</f>
        <v>72</v>
      </c>
      <c r="H105" s="348">
        <f>IF((H93=1),Thermostat!$B$13,Thermostat!$B$14)</f>
        <v>72</v>
      </c>
      <c r="I105" s="348">
        <f>IF((I93=1),Thermostat!$B$13,Thermostat!$B$14)</f>
        <v>72</v>
      </c>
      <c r="J105" s="348">
        <f>IF((J93=1),Thermostat!$B$13,Thermostat!$B$14)</f>
        <v>72</v>
      </c>
      <c r="K105" s="348">
        <f>IF((K93=1),Thermostat!$B$13,Thermostat!$B$14)</f>
        <v>72</v>
      </c>
      <c r="L105" s="348">
        <f>IF((L93=1),Thermostat!$B$13,Thermostat!$B$14)</f>
        <v>72</v>
      </c>
      <c r="M105" s="348">
        <f>IF((M93=1),Thermostat!$B$13,Thermostat!$B$14)</f>
        <v>72</v>
      </c>
      <c r="N105" s="348">
        <f>IF((N93=1),Thermostat!$B$13,Thermostat!$B$14)</f>
        <v>72</v>
      </c>
      <c r="O105" s="348">
        <f>IF((O93=1),Thermostat!$B$13,Thermostat!$B$14)</f>
        <v>72</v>
      </c>
      <c r="P105" s="348">
        <f>IF((P93=1),Thermostat!$B$13,Thermostat!$B$14)</f>
        <v>72</v>
      </c>
      <c r="Q105" s="348">
        <f>IF((Q93=1),Thermostat!$B$13,Thermostat!$B$14)</f>
        <v>72</v>
      </c>
      <c r="R105" s="348">
        <f>IF((R93=1),Thermostat!$B$13,Thermostat!$B$14)</f>
        <v>72</v>
      </c>
      <c r="S105" s="348">
        <f>IF((S93=1),Thermostat!$B$13,Thermostat!$B$14)</f>
        <v>72</v>
      </c>
      <c r="T105" s="348">
        <f>IF((T93=1),Thermostat!$B$13,Thermostat!$B$14)</f>
        <v>72</v>
      </c>
      <c r="U105" s="348">
        <f>IF((U93=1),Thermostat!$B$13,Thermostat!$B$14)</f>
        <v>72</v>
      </c>
      <c r="V105" s="348">
        <f>IF((V93=1),Thermostat!$B$13,Thermostat!$B$14)</f>
        <v>72</v>
      </c>
      <c r="W105" s="348">
        <f>IF((W93=1),Thermostat!$B$13,Thermostat!$B$14)</f>
        <v>72</v>
      </c>
      <c r="X105" s="348">
        <f>IF((X93=1),Thermostat!$B$13,Thermostat!$B$14)</f>
        <v>72</v>
      </c>
      <c r="Y105" s="348">
        <f>IF((Y93=1),Thermostat!$B$13,Thermostat!$B$14)</f>
        <v>72</v>
      </c>
      <c r="Z105" s="348">
        <f>IF((Z93=1),Thermostat!$B$13,Thermostat!$B$14)</f>
        <v>72</v>
      </c>
      <c r="AA105" s="348">
        <f>IF((AA93=1),Thermostat!$B$13,Thermostat!$B$14)</f>
        <v>72</v>
      </c>
      <c r="AB105" s="348">
        <f>IF((AB93=1),Thermostat!$B$13,Thermostat!$B$14)</f>
        <v>72</v>
      </c>
      <c r="AC105" s="349">
        <f>IF((AC93=1),Thermostat!$B$13,Thermostat!$B$14)</f>
        <v>72</v>
      </c>
      <c r="AD105" s="365"/>
      <c r="AE105" s="39"/>
      <c r="AF105" s="39"/>
      <c r="AG105" s="39"/>
      <c r="AH105" s="39"/>
      <c r="AI105" s="39"/>
      <c r="AJ105" s="39"/>
      <c r="AK105" s="39"/>
      <c r="AO105"/>
      <c r="AP105"/>
      <c r="AQ105" s="391"/>
      <c r="AR105" s="392"/>
      <c r="AS105" s="392"/>
      <c r="AT105" s="392"/>
      <c r="AU105" s="392"/>
      <c r="AV105" s="392"/>
      <c r="AW105" s="392"/>
      <c r="AX105" s="392"/>
      <c r="AY105" s="392"/>
      <c r="AZ105" s="392"/>
      <c r="BA105" s="392"/>
      <c r="BB105" s="392"/>
      <c r="BC105" s="392"/>
      <c r="BD105" s="392"/>
      <c r="BE105" s="392"/>
      <c r="BF105" s="392"/>
      <c r="BG105" s="392"/>
      <c r="BH105" s="392"/>
      <c r="BI105" s="392"/>
      <c r="BJ105" s="392"/>
      <c r="BK105" s="392"/>
      <c r="BL105" s="392"/>
      <c r="BM105" s="392"/>
      <c r="BN105" s="392"/>
      <c r="BO105" s="392"/>
    </row>
    <row r="106" spans="1:67" ht="30.6" customHeight="1" thickBot="1" x14ac:dyDescent="0.35">
      <c r="A106" s="1183" t="s">
        <v>156</v>
      </c>
      <c r="B106" s="1184"/>
      <c r="C106" s="1184"/>
      <c r="D106" s="1184"/>
      <c r="E106" s="1184"/>
      <c r="F106" s="1184"/>
      <c r="G106" s="1184"/>
      <c r="H106" s="1184"/>
      <c r="I106" s="1184"/>
      <c r="J106" s="1184"/>
      <c r="K106" s="1184"/>
      <c r="L106" s="1184"/>
      <c r="M106" s="1184"/>
      <c r="N106" s="1184"/>
      <c r="O106" s="1184"/>
      <c r="P106" s="1184"/>
      <c r="Q106" s="1184"/>
      <c r="R106" s="1184"/>
      <c r="S106" s="1184"/>
      <c r="T106" s="1184"/>
      <c r="U106" s="1184"/>
      <c r="V106" s="1184"/>
      <c r="W106" s="1184"/>
      <c r="X106" s="1184"/>
      <c r="Y106" s="1184"/>
      <c r="Z106" s="1184"/>
      <c r="AA106" s="1184"/>
      <c r="AB106" s="1184"/>
      <c r="AC106" s="1185"/>
      <c r="AD106" s="39"/>
      <c r="AE106" s="39"/>
      <c r="AF106" s="39"/>
      <c r="AG106" s="39"/>
      <c r="AH106" s="39"/>
      <c r="AI106" s="39"/>
      <c r="AJ106" s="39"/>
      <c r="AK106" s="39"/>
      <c r="AO106"/>
      <c r="AP106"/>
      <c r="AQ106" s="391"/>
      <c r="AR106" s="392"/>
      <c r="AS106" s="392"/>
      <c r="AT106" s="392"/>
      <c r="AU106" s="392"/>
      <c r="AV106" s="392"/>
      <c r="AW106" s="392"/>
      <c r="AX106" s="392"/>
      <c r="AY106" s="392"/>
      <c r="AZ106" s="392"/>
      <c r="BA106" s="392"/>
      <c r="BB106" s="392"/>
      <c r="BC106" s="392"/>
      <c r="BD106" s="392"/>
      <c r="BE106" s="392"/>
      <c r="BF106" s="392"/>
      <c r="BG106" s="392"/>
      <c r="BH106" s="392"/>
      <c r="BI106" s="392"/>
      <c r="BJ106" s="392"/>
      <c r="BK106" s="392"/>
      <c r="BL106" s="392"/>
      <c r="BM106" s="392"/>
      <c r="BN106" s="392"/>
      <c r="BO106" s="392"/>
    </row>
    <row r="107" spans="1:67" ht="30.6" customHeight="1" x14ac:dyDescent="0.3">
      <c r="A107" s="1087" t="s">
        <v>782</v>
      </c>
      <c r="B107" s="1199" t="str">
        <f>Zones!E9</f>
        <v>Retail</v>
      </c>
      <c r="C107" s="1146" t="s">
        <v>761</v>
      </c>
      <c r="D107" s="1138" t="s">
        <v>783</v>
      </c>
      <c r="E107" s="93" t="s">
        <v>468</v>
      </c>
      <c r="F107" s="68">
        <v>0</v>
      </c>
      <c r="G107" s="68">
        <v>0</v>
      </c>
      <c r="H107" s="68">
        <v>0</v>
      </c>
      <c r="I107" s="68">
        <v>0</v>
      </c>
      <c r="J107" s="68">
        <v>0</v>
      </c>
      <c r="K107" s="68">
        <v>0</v>
      </c>
      <c r="L107" s="68">
        <v>0</v>
      </c>
      <c r="M107" s="68">
        <v>0.1</v>
      </c>
      <c r="N107" s="68">
        <v>0.2</v>
      </c>
      <c r="O107" s="68">
        <v>0.5</v>
      </c>
      <c r="P107" s="68">
        <v>0.5</v>
      </c>
      <c r="Q107" s="68">
        <v>0.7</v>
      </c>
      <c r="R107" s="68">
        <v>0.7</v>
      </c>
      <c r="S107" s="68">
        <v>0.7</v>
      </c>
      <c r="T107" s="68">
        <v>0.7</v>
      </c>
      <c r="U107" s="68">
        <v>0.8</v>
      </c>
      <c r="V107" s="68">
        <v>0.7</v>
      </c>
      <c r="W107" s="68">
        <v>0.5</v>
      </c>
      <c r="X107" s="68">
        <v>0.5</v>
      </c>
      <c r="Y107" s="68">
        <v>0.3</v>
      </c>
      <c r="Z107" s="68">
        <v>0.3</v>
      </c>
      <c r="AA107" s="68">
        <v>0</v>
      </c>
      <c r="AB107" s="68">
        <v>0</v>
      </c>
      <c r="AC107" s="71">
        <v>0</v>
      </c>
      <c r="AD107" s="39"/>
      <c r="AE107" s="39"/>
      <c r="AF107" s="39"/>
      <c r="AG107" s="39"/>
      <c r="AH107" s="39"/>
      <c r="AI107" s="39"/>
      <c r="AJ107" s="39"/>
      <c r="AK107" s="39"/>
      <c r="AO107"/>
      <c r="AP107"/>
      <c r="AQ107" s="391"/>
      <c r="AR107" s="392"/>
      <c r="AS107" s="392"/>
      <c r="AT107" s="392"/>
      <c r="AU107" s="392"/>
      <c r="AV107" s="392"/>
      <c r="AW107" s="392"/>
      <c r="AX107" s="392"/>
      <c r="AY107" s="392"/>
      <c r="AZ107" s="392"/>
      <c r="BA107" s="392"/>
      <c r="BB107" s="392"/>
      <c r="BC107" s="392"/>
      <c r="BD107" s="392"/>
      <c r="BE107" s="392"/>
      <c r="BF107" s="392"/>
      <c r="BG107" s="392"/>
      <c r="BH107" s="392"/>
      <c r="BI107" s="392"/>
      <c r="BJ107" s="392"/>
      <c r="BK107" s="392"/>
      <c r="BL107" s="392"/>
      <c r="BM107" s="392"/>
      <c r="BN107" s="392"/>
      <c r="BO107" s="392"/>
    </row>
    <row r="108" spans="1:67" ht="30.6" customHeight="1" x14ac:dyDescent="0.3">
      <c r="A108" s="1081"/>
      <c r="B108" s="1075"/>
      <c r="C108" s="1075"/>
      <c r="D108" s="1078"/>
      <c r="E108" s="94" t="s">
        <v>475</v>
      </c>
      <c r="F108" s="69">
        <v>0</v>
      </c>
      <c r="G108" s="69">
        <v>0</v>
      </c>
      <c r="H108" s="69">
        <v>0</v>
      </c>
      <c r="I108" s="69">
        <v>0</v>
      </c>
      <c r="J108" s="69">
        <v>0</v>
      </c>
      <c r="K108" s="69">
        <v>0</v>
      </c>
      <c r="L108" s="69">
        <v>0</v>
      </c>
      <c r="M108" s="69">
        <v>0.1</v>
      </c>
      <c r="N108" s="69">
        <v>0.2</v>
      </c>
      <c r="O108" s="69">
        <v>0.5</v>
      </c>
      <c r="P108" s="69">
        <v>0.6</v>
      </c>
      <c r="Q108" s="69">
        <v>0.8</v>
      </c>
      <c r="R108" s="69">
        <v>0.8</v>
      </c>
      <c r="S108" s="69">
        <v>0.8</v>
      </c>
      <c r="T108" s="69">
        <v>0.8</v>
      </c>
      <c r="U108" s="69">
        <v>0.8</v>
      </c>
      <c r="V108" s="69">
        <v>0.8</v>
      </c>
      <c r="W108" s="69">
        <v>0.6</v>
      </c>
      <c r="X108" s="69">
        <v>0.2</v>
      </c>
      <c r="Y108" s="69">
        <v>0.2</v>
      </c>
      <c r="Z108" s="69">
        <v>0.2</v>
      </c>
      <c r="AA108" s="69">
        <v>0.1</v>
      </c>
      <c r="AB108" s="69">
        <v>0</v>
      </c>
      <c r="AC108" s="72">
        <v>0</v>
      </c>
      <c r="AD108" s="39"/>
      <c r="AE108" s="39"/>
      <c r="AF108" s="39"/>
      <c r="AG108" s="39"/>
      <c r="AH108" s="39"/>
      <c r="AI108" s="39"/>
      <c r="AJ108" s="39"/>
      <c r="AK108" s="39"/>
      <c r="AO108"/>
      <c r="AP108"/>
      <c r="AQ108" s="391"/>
      <c r="AR108" s="392"/>
      <c r="AS108" s="392"/>
      <c r="AT108" s="392"/>
      <c r="AU108" s="392"/>
      <c r="AV108" s="392"/>
      <c r="AW108" s="392"/>
      <c r="AX108" s="392"/>
      <c r="AY108" s="392"/>
      <c r="AZ108" s="392"/>
      <c r="BA108" s="392"/>
      <c r="BB108" s="392"/>
      <c r="BC108" s="392"/>
      <c r="BD108" s="392"/>
      <c r="BE108" s="392"/>
      <c r="BF108" s="392"/>
      <c r="BG108" s="392"/>
      <c r="BH108" s="392"/>
      <c r="BI108" s="392"/>
      <c r="BJ108" s="392"/>
      <c r="BK108" s="392"/>
      <c r="BL108" s="392"/>
      <c r="BM108" s="392"/>
      <c r="BN108" s="392"/>
      <c r="BO108" s="392"/>
    </row>
    <row r="109" spans="1:67" ht="30.6" customHeight="1" thickBot="1" x14ac:dyDescent="0.35">
      <c r="A109" s="1088"/>
      <c r="B109" s="1198"/>
      <c r="C109" s="1198"/>
      <c r="D109" s="1139"/>
      <c r="E109" s="95" t="s">
        <v>477</v>
      </c>
      <c r="F109" s="70">
        <v>0</v>
      </c>
      <c r="G109" s="70">
        <v>0</v>
      </c>
      <c r="H109" s="70">
        <v>0</v>
      </c>
      <c r="I109" s="70">
        <v>0</v>
      </c>
      <c r="J109" s="70">
        <v>0</v>
      </c>
      <c r="K109" s="70">
        <v>0</v>
      </c>
      <c r="L109" s="70">
        <v>0</v>
      </c>
      <c r="M109" s="70">
        <v>0</v>
      </c>
      <c r="N109" s="70">
        <v>0</v>
      </c>
      <c r="O109" s="70">
        <v>0.1</v>
      </c>
      <c r="P109" s="70">
        <v>0.2</v>
      </c>
      <c r="Q109" s="70">
        <v>0.2</v>
      </c>
      <c r="R109" s="70">
        <v>0.4</v>
      </c>
      <c r="S109" s="70">
        <v>0.4</v>
      </c>
      <c r="T109" s="70">
        <v>0.4</v>
      </c>
      <c r="U109" s="70">
        <v>0.4</v>
      </c>
      <c r="V109" s="70">
        <v>0.4</v>
      </c>
      <c r="W109" s="70">
        <v>0.2</v>
      </c>
      <c r="X109" s="70">
        <v>0.1</v>
      </c>
      <c r="Y109" s="70">
        <v>0</v>
      </c>
      <c r="Z109" s="70">
        <v>0</v>
      </c>
      <c r="AA109" s="70">
        <v>0</v>
      </c>
      <c r="AB109" s="70">
        <v>0</v>
      </c>
      <c r="AC109" s="73">
        <v>0</v>
      </c>
      <c r="AD109" s="39"/>
      <c r="AE109" s="39"/>
      <c r="AF109" s="39"/>
      <c r="AG109" s="39"/>
      <c r="AH109" s="39"/>
      <c r="AI109" s="39"/>
      <c r="AJ109" s="39"/>
      <c r="AK109" s="39"/>
      <c r="AO109"/>
      <c r="AP109"/>
      <c r="AQ109" s="391"/>
      <c r="AR109" s="392"/>
      <c r="AS109" s="392"/>
      <c r="AT109" s="392"/>
      <c r="AU109" s="392"/>
      <c r="AV109" s="392"/>
      <c r="AW109" s="392"/>
      <c r="AX109" s="392"/>
      <c r="AY109" s="392"/>
      <c r="AZ109" s="392"/>
      <c r="BA109" s="392"/>
      <c r="BB109" s="392"/>
      <c r="BC109" s="392"/>
      <c r="BD109" s="392"/>
      <c r="BE109" s="392"/>
      <c r="BF109" s="392"/>
      <c r="BG109" s="392"/>
      <c r="BH109" s="392"/>
      <c r="BI109" s="392"/>
      <c r="BJ109" s="392"/>
      <c r="BK109" s="392"/>
      <c r="BL109" s="392"/>
      <c r="BM109" s="392"/>
      <c r="BN109" s="392"/>
      <c r="BO109" s="392"/>
    </row>
    <row r="110" spans="1:67" ht="30.6" customHeight="1" x14ac:dyDescent="0.3">
      <c r="A110" s="1087" t="str">
        <f>A107</f>
        <v>Retails</v>
      </c>
      <c r="B110" s="1143" t="str">
        <f>B107</f>
        <v>Retail</v>
      </c>
      <c r="C110" s="1146" t="s">
        <v>763</v>
      </c>
      <c r="D110" s="1138" t="s">
        <v>783</v>
      </c>
      <c r="E110" s="331" t="s">
        <v>468</v>
      </c>
      <c r="F110" s="354">
        <v>0.05</v>
      </c>
      <c r="G110" s="354">
        <v>0.05</v>
      </c>
      <c r="H110" s="354">
        <v>0.05</v>
      </c>
      <c r="I110" s="354">
        <v>0.05</v>
      </c>
      <c r="J110" s="354">
        <v>0.05</v>
      </c>
      <c r="K110" s="354">
        <v>0.05</v>
      </c>
      <c r="L110" s="354">
        <v>0.05</v>
      </c>
      <c r="M110" s="354">
        <v>0.2</v>
      </c>
      <c r="N110" s="354">
        <v>0.5</v>
      </c>
      <c r="O110" s="354">
        <v>0.85</v>
      </c>
      <c r="P110" s="354">
        <v>0.85</v>
      </c>
      <c r="Q110" s="354">
        <v>0.85</v>
      </c>
      <c r="R110" s="354">
        <v>0.85</v>
      </c>
      <c r="S110" s="354">
        <v>0.85</v>
      </c>
      <c r="T110" s="354">
        <v>0.85</v>
      </c>
      <c r="U110" s="354">
        <v>0.85</v>
      </c>
      <c r="V110" s="354">
        <v>0.85</v>
      </c>
      <c r="W110" s="354">
        <v>0.85</v>
      </c>
      <c r="X110" s="354">
        <v>0.55000000000000004</v>
      </c>
      <c r="Y110" s="354">
        <v>0.55000000000000004</v>
      </c>
      <c r="Z110" s="354">
        <v>0.5</v>
      </c>
      <c r="AA110" s="354">
        <v>0.2</v>
      </c>
      <c r="AB110" s="354">
        <v>0.05</v>
      </c>
      <c r="AC110" s="355">
        <v>0.05</v>
      </c>
      <c r="AD110" s="39"/>
      <c r="AE110" s="39"/>
      <c r="AF110" s="39"/>
      <c r="AG110" s="39"/>
      <c r="AH110" s="39"/>
      <c r="AI110" s="39"/>
      <c r="AJ110" s="39"/>
      <c r="AK110" s="39"/>
      <c r="AO110"/>
      <c r="AP110"/>
      <c r="AQ110" s="391"/>
      <c r="AR110" s="392"/>
      <c r="AS110" s="392"/>
      <c r="AT110" s="392"/>
      <c r="AU110" s="392"/>
      <c r="AV110" s="392"/>
      <c r="AW110" s="392"/>
      <c r="AX110" s="392"/>
      <c r="AY110" s="392"/>
      <c r="AZ110" s="392"/>
      <c r="BA110" s="392"/>
      <c r="BB110" s="392"/>
      <c r="BC110" s="392"/>
      <c r="BD110" s="392"/>
      <c r="BE110" s="392"/>
      <c r="BF110" s="392"/>
      <c r="BG110" s="392"/>
      <c r="BH110" s="392"/>
      <c r="BI110" s="392"/>
      <c r="BJ110" s="392"/>
      <c r="BK110" s="392"/>
      <c r="BL110" s="392"/>
      <c r="BM110" s="392"/>
      <c r="BN110" s="392"/>
      <c r="BO110" s="392"/>
    </row>
    <row r="111" spans="1:67" ht="30.6" customHeight="1" x14ac:dyDescent="0.3">
      <c r="A111" s="1081"/>
      <c r="B111" s="1144"/>
      <c r="C111" s="1075"/>
      <c r="D111" s="1078"/>
      <c r="E111" s="332" t="s">
        <v>475</v>
      </c>
      <c r="F111" s="356">
        <v>0.05</v>
      </c>
      <c r="G111" s="356">
        <v>0.05</v>
      </c>
      <c r="H111" s="356">
        <v>0.05</v>
      </c>
      <c r="I111" s="356">
        <v>0.05</v>
      </c>
      <c r="J111" s="356">
        <v>0.05</v>
      </c>
      <c r="K111" s="356">
        <v>0.05</v>
      </c>
      <c r="L111" s="356">
        <v>0.05</v>
      </c>
      <c r="M111" s="356">
        <v>0.1</v>
      </c>
      <c r="N111" s="356">
        <v>0.3</v>
      </c>
      <c r="O111" s="356">
        <v>0.55000000000000004</v>
      </c>
      <c r="P111" s="356">
        <v>0.85</v>
      </c>
      <c r="Q111" s="356">
        <v>0.85</v>
      </c>
      <c r="R111" s="356">
        <v>0.85</v>
      </c>
      <c r="S111" s="356">
        <v>0.85</v>
      </c>
      <c r="T111" s="356">
        <v>0.85</v>
      </c>
      <c r="U111" s="356">
        <v>0.85</v>
      </c>
      <c r="V111" s="356">
        <v>0.85</v>
      </c>
      <c r="W111" s="356">
        <v>0.85</v>
      </c>
      <c r="X111" s="356">
        <v>0.5</v>
      </c>
      <c r="Y111" s="356">
        <v>0.3</v>
      </c>
      <c r="Z111" s="356">
        <v>0.3</v>
      </c>
      <c r="AA111" s="356">
        <v>0.1</v>
      </c>
      <c r="AB111" s="356">
        <v>0.05</v>
      </c>
      <c r="AC111" s="357">
        <v>0.05</v>
      </c>
      <c r="AD111" s="39"/>
      <c r="AE111" s="39"/>
      <c r="AF111" s="39"/>
      <c r="AG111" s="39"/>
      <c r="AH111" s="39"/>
      <c r="AI111" s="39"/>
      <c r="AJ111" s="39"/>
      <c r="AK111" s="39"/>
      <c r="AO111"/>
      <c r="AP111"/>
      <c r="AQ111" s="391"/>
      <c r="AR111" s="392"/>
      <c r="AS111" s="392"/>
      <c r="AT111" s="392"/>
      <c r="AU111" s="392"/>
      <c r="AV111" s="392"/>
      <c r="AW111" s="392"/>
      <c r="AX111" s="392"/>
      <c r="AY111" s="392"/>
      <c r="AZ111" s="392"/>
      <c r="BA111" s="392"/>
      <c r="BB111" s="392"/>
      <c r="BC111" s="392"/>
      <c r="BD111" s="392"/>
      <c r="BE111" s="392"/>
      <c r="BF111" s="392"/>
      <c r="BG111" s="392"/>
      <c r="BH111" s="392"/>
      <c r="BI111" s="392"/>
      <c r="BJ111" s="392"/>
      <c r="BK111" s="392"/>
      <c r="BL111" s="392"/>
      <c r="BM111" s="392"/>
      <c r="BN111" s="392"/>
      <c r="BO111" s="392"/>
    </row>
    <row r="112" spans="1:67" ht="30.6" customHeight="1" thickBot="1" x14ac:dyDescent="0.35">
      <c r="A112" s="1088"/>
      <c r="B112" s="1172"/>
      <c r="C112" s="1198"/>
      <c r="D112" s="1139"/>
      <c r="E112" s="333" t="s">
        <v>477</v>
      </c>
      <c r="F112" s="358">
        <v>0.05</v>
      </c>
      <c r="G112" s="358">
        <v>0.05</v>
      </c>
      <c r="H112" s="358">
        <v>0.05</v>
      </c>
      <c r="I112" s="358">
        <v>0.05</v>
      </c>
      <c r="J112" s="358">
        <v>0.05</v>
      </c>
      <c r="K112" s="358">
        <v>0.05</v>
      </c>
      <c r="L112" s="358">
        <v>0.05</v>
      </c>
      <c r="M112" s="358">
        <v>0.05</v>
      </c>
      <c r="N112" s="358">
        <v>0.1</v>
      </c>
      <c r="O112" s="358">
        <v>0.1</v>
      </c>
      <c r="P112" s="358">
        <v>0.4</v>
      </c>
      <c r="Q112" s="358">
        <v>0.4</v>
      </c>
      <c r="R112" s="358">
        <v>0.55000000000000004</v>
      </c>
      <c r="S112" s="358">
        <v>0.55000000000000004</v>
      </c>
      <c r="T112" s="358">
        <v>0.55000000000000004</v>
      </c>
      <c r="U112" s="358">
        <v>0.55000000000000004</v>
      </c>
      <c r="V112" s="358">
        <v>0.55000000000000004</v>
      </c>
      <c r="W112" s="358">
        <v>0.4</v>
      </c>
      <c r="X112" s="358">
        <v>0.2</v>
      </c>
      <c r="Y112" s="358">
        <v>0.05</v>
      </c>
      <c r="Z112" s="358">
        <v>0.05</v>
      </c>
      <c r="AA112" s="358">
        <v>0.05</v>
      </c>
      <c r="AB112" s="358">
        <v>0.05</v>
      </c>
      <c r="AC112" s="359">
        <v>0.05</v>
      </c>
      <c r="AD112" s="39"/>
      <c r="AE112" s="39"/>
      <c r="AF112" s="39"/>
      <c r="AG112" s="39"/>
      <c r="AH112" s="39"/>
      <c r="AI112" s="39"/>
      <c r="AJ112" s="39"/>
      <c r="AK112" s="39"/>
      <c r="AO112"/>
      <c r="AP112"/>
      <c r="AQ112" s="391"/>
      <c r="AR112" s="393"/>
      <c r="AS112" s="393"/>
      <c r="AT112" s="393"/>
      <c r="AU112" s="393"/>
      <c r="AV112" s="393"/>
      <c r="AW112" s="393"/>
      <c r="AX112" s="393"/>
      <c r="AY112" s="393"/>
      <c r="AZ112" s="393"/>
      <c r="BA112" s="393"/>
      <c r="BB112" s="393"/>
      <c r="BC112" s="393"/>
      <c r="BD112" s="393"/>
      <c r="BE112" s="393"/>
      <c r="BF112" s="393"/>
      <c r="BG112" s="393"/>
      <c r="BH112" s="393"/>
      <c r="BI112" s="393"/>
      <c r="BJ112" s="393"/>
      <c r="BK112" s="393"/>
      <c r="BL112" s="393"/>
      <c r="BM112" s="393"/>
      <c r="BN112" s="393"/>
      <c r="BO112" s="393"/>
    </row>
    <row r="113" spans="1:67" ht="30.6" customHeight="1" x14ac:dyDescent="0.3">
      <c r="A113" s="1087" t="str">
        <f>A107</f>
        <v>Retails</v>
      </c>
      <c r="B113" s="1143" t="str">
        <f>B107</f>
        <v>Retail</v>
      </c>
      <c r="C113" s="1089" t="s">
        <v>765</v>
      </c>
      <c r="D113" s="1187" t="s">
        <v>654</v>
      </c>
      <c r="E113" s="334" t="s">
        <v>468</v>
      </c>
      <c r="F113" s="335">
        <v>0.4</v>
      </c>
      <c r="G113" s="335">
        <v>0.4</v>
      </c>
      <c r="H113" s="335">
        <v>0.4</v>
      </c>
      <c r="I113" s="335">
        <v>0.4</v>
      </c>
      <c r="J113" s="335">
        <v>0.4</v>
      </c>
      <c r="K113" s="335">
        <v>0.4</v>
      </c>
      <c r="L113" s="335">
        <v>0.6</v>
      </c>
      <c r="M113" s="335">
        <v>0.6</v>
      </c>
      <c r="N113" s="335">
        <v>0.9</v>
      </c>
      <c r="O113" s="335">
        <v>0.9</v>
      </c>
      <c r="P113" s="335">
        <v>0.9</v>
      </c>
      <c r="Q113" s="335">
        <v>0.9</v>
      </c>
      <c r="R113" s="335">
        <v>0.9</v>
      </c>
      <c r="S113" s="335">
        <v>0.9</v>
      </c>
      <c r="T113" s="335">
        <v>0.9</v>
      </c>
      <c r="U113" s="335">
        <v>0.9</v>
      </c>
      <c r="V113" s="335">
        <v>0.9</v>
      </c>
      <c r="W113" s="335">
        <v>0.9</v>
      </c>
      <c r="X113" s="335">
        <v>0.9</v>
      </c>
      <c r="Y113" s="335">
        <v>0.6</v>
      </c>
      <c r="Z113" s="335">
        <v>0.6</v>
      </c>
      <c r="AA113" s="335">
        <v>0.4</v>
      </c>
      <c r="AB113" s="335">
        <v>0.4</v>
      </c>
      <c r="AC113" s="336">
        <v>0.4</v>
      </c>
      <c r="AD113" s="39"/>
      <c r="AE113" s="39"/>
      <c r="AF113" s="39"/>
      <c r="AG113" s="39"/>
      <c r="AH113" s="39"/>
      <c r="AI113" s="39"/>
      <c r="AJ113" s="39"/>
      <c r="AK113" s="39"/>
      <c r="AO113"/>
      <c r="AP113"/>
      <c r="AQ113" s="391"/>
      <c r="AR113" s="393"/>
      <c r="AS113" s="393"/>
      <c r="AT113" s="393"/>
      <c r="AU113" s="393"/>
      <c r="AV113" s="393"/>
      <c r="AW113" s="393"/>
      <c r="AX113" s="393"/>
      <c r="AY113" s="393"/>
      <c r="AZ113" s="393"/>
      <c r="BA113" s="393"/>
      <c r="BB113" s="393"/>
      <c r="BC113" s="393"/>
      <c r="BD113" s="393"/>
      <c r="BE113" s="393"/>
      <c r="BF113" s="393"/>
      <c r="BG113" s="393"/>
      <c r="BH113" s="393"/>
      <c r="BI113" s="393"/>
      <c r="BJ113" s="393"/>
      <c r="BK113" s="393"/>
      <c r="BL113" s="393"/>
      <c r="BM113" s="393"/>
      <c r="BN113" s="393"/>
      <c r="BO113" s="393"/>
    </row>
    <row r="114" spans="1:67" ht="30.6" customHeight="1" x14ac:dyDescent="0.3">
      <c r="A114" s="1081"/>
      <c r="B114" s="1144"/>
      <c r="C114" s="1060"/>
      <c r="D114" s="1161"/>
      <c r="E114" s="332" t="s">
        <v>475</v>
      </c>
      <c r="F114" s="69">
        <v>0.4</v>
      </c>
      <c r="G114" s="69">
        <v>0.4</v>
      </c>
      <c r="H114" s="69">
        <v>0.4</v>
      </c>
      <c r="I114" s="69">
        <v>0.4</v>
      </c>
      <c r="J114" s="69">
        <v>0.4</v>
      </c>
      <c r="K114" s="69">
        <v>0.4</v>
      </c>
      <c r="L114" s="69">
        <v>0.6</v>
      </c>
      <c r="M114" s="69">
        <v>0.6</v>
      </c>
      <c r="N114" s="69">
        <v>0.9</v>
      </c>
      <c r="O114" s="69">
        <v>0.9</v>
      </c>
      <c r="P114" s="69">
        <v>0.9</v>
      </c>
      <c r="Q114" s="69">
        <v>0.9</v>
      </c>
      <c r="R114" s="69">
        <v>0.9</v>
      </c>
      <c r="S114" s="69">
        <v>0.9</v>
      </c>
      <c r="T114" s="69">
        <v>0.9</v>
      </c>
      <c r="U114" s="69">
        <v>0.9</v>
      </c>
      <c r="V114" s="69">
        <v>0.9</v>
      </c>
      <c r="W114" s="69">
        <v>0.9</v>
      </c>
      <c r="X114" s="69">
        <v>0.9</v>
      </c>
      <c r="Y114" s="69">
        <v>0.9</v>
      </c>
      <c r="Z114" s="69">
        <v>0.6</v>
      </c>
      <c r="AA114" s="69">
        <v>0.6</v>
      </c>
      <c r="AB114" s="69">
        <v>0.4</v>
      </c>
      <c r="AC114" s="337">
        <v>0.4</v>
      </c>
      <c r="AD114" s="39"/>
      <c r="AE114" s="39"/>
      <c r="AF114" s="39"/>
      <c r="AG114" s="39"/>
      <c r="AH114" s="39"/>
      <c r="AI114" s="39"/>
      <c r="AJ114" s="39"/>
      <c r="AK114" s="39"/>
      <c r="AO114"/>
      <c r="AP114"/>
      <c r="AQ114" s="391"/>
      <c r="AR114" s="393"/>
      <c r="AS114" s="393"/>
      <c r="AT114" s="393"/>
      <c r="AU114" s="393"/>
      <c r="AV114" s="393"/>
      <c r="AW114" s="393"/>
      <c r="AX114" s="393"/>
      <c r="AY114" s="393"/>
      <c r="AZ114" s="393"/>
      <c r="BA114" s="393"/>
      <c r="BB114" s="393"/>
      <c r="BC114" s="393"/>
      <c r="BD114" s="393"/>
      <c r="BE114" s="393"/>
      <c r="BF114" s="393"/>
      <c r="BG114" s="393"/>
      <c r="BH114" s="393"/>
      <c r="BI114" s="393"/>
      <c r="BJ114" s="393"/>
      <c r="BK114" s="393"/>
      <c r="BL114" s="393"/>
      <c r="BM114" s="393"/>
      <c r="BN114" s="393"/>
      <c r="BO114" s="393"/>
    </row>
    <row r="115" spans="1:67" ht="30.6" customHeight="1" thickBot="1" x14ac:dyDescent="0.35">
      <c r="A115" s="1082"/>
      <c r="B115" s="1145"/>
      <c r="C115" s="1090"/>
      <c r="D115" s="1188"/>
      <c r="E115" s="333" t="s">
        <v>477</v>
      </c>
      <c r="F115" s="96">
        <v>0.4</v>
      </c>
      <c r="G115" s="96">
        <v>0.4</v>
      </c>
      <c r="H115" s="96">
        <v>0.4</v>
      </c>
      <c r="I115" s="96">
        <v>0.4</v>
      </c>
      <c r="J115" s="96">
        <v>0.4</v>
      </c>
      <c r="K115" s="96">
        <v>0.4</v>
      </c>
      <c r="L115" s="96">
        <v>0.4</v>
      </c>
      <c r="M115" s="96">
        <v>0.4</v>
      </c>
      <c r="N115" s="96">
        <v>0.6</v>
      </c>
      <c r="O115" s="96">
        <v>0.6</v>
      </c>
      <c r="P115" s="96">
        <v>0.6</v>
      </c>
      <c r="Q115" s="96">
        <v>0.9</v>
      </c>
      <c r="R115" s="96">
        <v>0.9</v>
      </c>
      <c r="S115" s="96">
        <v>0.9</v>
      </c>
      <c r="T115" s="96">
        <v>0.9</v>
      </c>
      <c r="U115" s="96">
        <v>0.9</v>
      </c>
      <c r="V115" s="96">
        <v>0.9</v>
      </c>
      <c r="W115" s="96">
        <v>0.6</v>
      </c>
      <c r="X115" s="96">
        <v>0.6</v>
      </c>
      <c r="Y115" s="96">
        <v>0.4</v>
      </c>
      <c r="Z115" s="96">
        <v>0.4</v>
      </c>
      <c r="AA115" s="96">
        <v>0.4</v>
      </c>
      <c r="AB115" s="96">
        <v>0.4</v>
      </c>
      <c r="AC115" s="338">
        <v>0.4</v>
      </c>
      <c r="AD115" s="39"/>
      <c r="AE115" s="39"/>
      <c r="AF115" s="39"/>
      <c r="AG115" s="39"/>
      <c r="AH115" s="39"/>
      <c r="AI115" s="39"/>
      <c r="AJ115" s="39"/>
      <c r="AK115" s="39"/>
    </row>
    <row r="116" spans="1:67" ht="30.6" customHeight="1" x14ac:dyDescent="0.3">
      <c r="A116" s="1087" t="str">
        <f>A113</f>
        <v>Retails</v>
      </c>
      <c r="B116" s="1143" t="str">
        <f>B113</f>
        <v>Retail</v>
      </c>
      <c r="C116" s="1089" t="s">
        <v>766</v>
      </c>
      <c r="D116" s="1138" t="s">
        <v>783</v>
      </c>
      <c r="E116" s="343" t="s">
        <v>468</v>
      </c>
      <c r="F116" s="304">
        <v>0</v>
      </c>
      <c r="G116" s="304">
        <v>0</v>
      </c>
      <c r="H116" s="304">
        <v>0</v>
      </c>
      <c r="I116" s="304">
        <v>0</v>
      </c>
      <c r="J116" s="304">
        <v>0</v>
      </c>
      <c r="K116" s="304">
        <v>0</v>
      </c>
      <c r="L116" s="304">
        <v>1</v>
      </c>
      <c r="M116" s="304">
        <v>1</v>
      </c>
      <c r="N116" s="304">
        <v>1</v>
      </c>
      <c r="O116" s="304">
        <v>1</v>
      </c>
      <c r="P116" s="304">
        <v>1</v>
      </c>
      <c r="Q116" s="304">
        <v>1</v>
      </c>
      <c r="R116" s="304">
        <v>1</v>
      </c>
      <c r="S116" s="304">
        <v>1</v>
      </c>
      <c r="T116" s="304">
        <v>1</v>
      </c>
      <c r="U116" s="304">
        <v>1</v>
      </c>
      <c r="V116" s="304">
        <v>1</v>
      </c>
      <c r="W116" s="304">
        <v>1</v>
      </c>
      <c r="X116" s="304">
        <v>1</v>
      </c>
      <c r="Y116" s="304">
        <v>1</v>
      </c>
      <c r="Z116" s="304">
        <v>1</v>
      </c>
      <c r="AA116" s="304">
        <v>0</v>
      </c>
      <c r="AB116" s="304">
        <v>0</v>
      </c>
      <c r="AC116" s="305">
        <v>0</v>
      </c>
      <c r="AD116" s="39"/>
      <c r="AE116" s="39"/>
      <c r="AF116" s="39"/>
      <c r="AG116" s="39"/>
      <c r="AH116" s="39"/>
      <c r="AI116" s="39"/>
      <c r="AJ116" s="39"/>
      <c r="AK116" s="39"/>
    </row>
    <row r="117" spans="1:67" ht="30.6" customHeight="1" x14ac:dyDescent="0.3">
      <c r="A117" s="1081"/>
      <c r="B117" s="1144"/>
      <c r="C117" s="1060"/>
      <c r="D117" s="1078"/>
      <c r="E117" s="344" t="s">
        <v>475</v>
      </c>
      <c r="F117" s="303">
        <v>0</v>
      </c>
      <c r="G117" s="303">
        <v>0</v>
      </c>
      <c r="H117" s="303">
        <v>0</v>
      </c>
      <c r="I117" s="303">
        <v>0</v>
      </c>
      <c r="J117" s="303">
        <v>0</v>
      </c>
      <c r="K117" s="303">
        <v>0</v>
      </c>
      <c r="L117" s="303">
        <v>1</v>
      </c>
      <c r="M117" s="303">
        <v>1</v>
      </c>
      <c r="N117" s="303">
        <v>1</v>
      </c>
      <c r="O117" s="303">
        <v>1</v>
      </c>
      <c r="P117" s="303">
        <v>1</v>
      </c>
      <c r="Q117" s="303">
        <v>1</v>
      </c>
      <c r="R117" s="303">
        <v>1</v>
      </c>
      <c r="S117" s="303">
        <v>1</v>
      </c>
      <c r="T117" s="303">
        <v>1</v>
      </c>
      <c r="U117" s="303">
        <v>1</v>
      </c>
      <c r="V117" s="303">
        <v>1</v>
      </c>
      <c r="W117" s="303">
        <v>1</v>
      </c>
      <c r="X117" s="303">
        <v>1</v>
      </c>
      <c r="Y117" s="303">
        <v>1</v>
      </c>
      <c r="Z117" s="303">
        <v>1</v>
      </c>
      <c r="AA117" s="303">
        <v>1</v>
      </c>
      <c r="AB117" s="303">
        <v>0</v>
      </c>
      <c r="AC117" s="306">
        <v>0</v>
      </c>
      <c r="AD117" s="39"/>
      <c r="AE117" s="39"/>
      <c r="AF117" s="39"/>
      <c r="AG117" s="39"/>
      <c r="AH117" s="39"/>
      <c r="AI117" s="39"/>
      <c r="AJ117" s="39"/>
      <c r="AK117" s="39"/>
    </row>
    <row r="118" spans="1:67" ht="30.6" customHeight="1" thickBot="1" x14ac:dyDescent="0.35">
      <c r="A118" s="1082"/>
      <c r="B118" s="1145"/>
      <c r="C118" s="1084"/>
      <c r="D118" s="1139"/>
      <c r="E118" s="345" t="s">
        <v>477</v>
      </c>
      <c r="F118" s="307">
        <v>0</v>
      </c>
      <c r="G118" s="307">
        <v>0</v>
      </c>
      <c r="H118" s="307">
        <v>0</v>
      </c>
      <c r="I118" s="307">
        <v>0</v>
      </c>
      <c r="J118" s="307">
        <v>0</v>
      </c>
      <c r="K118" s="307">
        <v>0</v>
      </c>
      <c r="L118" s="307">
        <v>0</v>
      </c>
      <c r="M118" s="307">
        <v>0</v>
      </c>
      <c r="N118" s="307">
        <v>1</v>
      </c>
      <c r="O118" s="307">
        <v>1</v>
      </c>
      <c r="P118" s="307">
        <v>1</v>
      </c>
      <c r="Q118" s="307">
        <v>1</v>
      </c>
      <c r="R118" s="307">
        <v>1</v>
      </c>
      <c r="S118" s="307">
        <v>1</v>
      </c>
      <c r="T118" s="307">
        <v>1</v>
      </c>
      <c r="U118" s="307">
        <v>1</v>
      </c>
      <c r="V118" s="307">
        <v>1</v>
      </c>
      <c r="W118" s="307">
        <v>1</v>
      </c>
      <c r="X118" s="307">
        <v>1</v>
      </c>
      <c r="Y118" s="307">
        <v>0</v>
      </c>
      <c r="Z118" s="307">
        <v>0</v>
      </c>
      <c r="AA118" s="307">
        <v>0</v>
      </c>
      <c r="AB118" s="307">
        <v>0</v>
      </c>
      <c r="AC118" s="308">
        <v>0</v>
      </c>
      <c r="AD118" s="39"/>
      <c r="AE118" s="39"/>
      <c r="AF118" s="39"/>
      <c r="AG118" s="39"/>
      <c r="AH118" s="39"/>
      <c r="AI118" s="39"/>
      <c r="AJ118" s="39"/>
      <c r="AK118" s="39"/>
    </row>
    <row r="119" spans="1:67" ht="30.6" customHeight="1" x14ac:dyDescent="0.3">
      <c r="A119" s="1080" t="str">
        <f>A113</f>
        <v>Retails</v>
      </c>
      <c r="B119" s="1192" t="str">
        <f>B113</f>
        <v>Retail</v>
      </c>
      <c r="C119" s="1178" t="s">
        <v>768</v>
      </c>
      <c r="D119" s="1138" t="s">
        <v>783</v>
      </c>
      <c r="E119" s="343" t="s">
        <v>468</v>
      </c>
      <c r="F119" s="304">
        <v>0.04</v>
      </c>
      <c r="G119" s="304">
        <v>0.05</v>
      </c>
      <c r="H119" s="304">
        <v>0.05</v>
      </c>
      <c r="I119" s="304">
        <v>0.04</v>
      </c>
      <c r="J119" s="304">
        <v>0.04</v>
      </c>
      <c r="K119" s="304">
        <v>0.04</v>
      </c>
      <c r="L119" s="304">
        <v>0.04</v>
      </c>
      <c r="M119" s="304">
        <v>0.15</v>
      </c>
      <c r="N119" s="304">
        <v>0.23</v>
      </c>
      <c r="O119" s="304">
        <v>0.32</v>
      </c>
      <c r="P119" s="304">
        <v>0.41</v>
      </c>
      <c r="Q119" s="304">
        <v>0.56999999999999995</v>
      </c>
      <c r="R119" s="304">
        <v>0.62</v>
      </c>
      <c r="S119" s="304">
        <v>0.61</v>
      </c>
      <c r="T119" s="304">
        <v>0.5</v>
      </c>
      <c r="U119" s="304">
        <v>0.45</v>
      </c>
      <c r="V119" s="304">
        <v>0.46</v>
      </c>
      <c r="W119" s="304">
        <v>0.47</v>
      </c>
      <c r="X119" s="304">
        <v>0.42</v>
      </c>
      <c r="Y119" s="304">
        <v>0.34</v>
      </c>
      <c r="Z119" s="304">
        <v>0.33</v>
      </c>
      <c r="AA119" s="304">
        <v>0.23</v>
      </c>
      <c r="AB119" s="304">
        <v>0.13</v>
      </c>
      <c r="AC119" s="305">
        <v>0.08</v>
      </c>
      <c r="AD119" s="39"/>
      <c r="AE119" s="39"/>
      <c r="AF119" s="39"/>
      <c r="AG119" s="39"/>
      <c r="AH119" s="39"/>
      <c r="AI119" s="39"/>
      <c r="AJ119" s="39"/>
      <c r="AK119" s="39"/>
    </row>
    <row r="120" spans="1:67" ht="30.6" customHeight="1" x14ac:dyDescent="0.3">
      <c r="A120" s="1081"/>
      <c r="B120" s="1144"/>
      <c r="C120" s="1178"/>
      <c r="D120" s="1078"/>
      <c r="E120" s="344" t="s">
        <v>475</v>
      </c>
      <c r="F120" s="303">
        <v>0.11</v>
      </c>
      <c r="G120" s="303">
        <v>0.1</v>
      </c>
      <c r="H120" s="303">
        <v>0.08</v>
      </c>
      <c r="I120" s="303">
        <v>0.06</v>
      </c>
      <c r="J120" s="303">
        <v>0.06</v>
      </c>
      <c r="K120" s="303">
        <v>0.06</v>
      </c>
      <c r="L120" s="303">
        <v>7.0000000000000007E-2</v>
      </c>
      <c r="M120" s="303">
        <v>0.2</v>
      </c>
      <c r="N120" s="303">
        <v>0.24</v>
      </c>
      <c r="O120" s="303">
        <v>0.27</v>
      </c>
      <c r="P120" s="303">
        <v>0.42</v>
      </c>
      <c r="Q120" s="303">
        <v>0.54</v>
      </c>
      <c r="R120" s="303">
        <v>0.59</v>
      </c>
      <c r="S120" s="303">
        <v>0.6</v>
      </c>
      <c r="T120" s="303">
        <v>0.49</v>
      </c>
      <c r="U120" s="303">
        <v>0.48</v>
      </c>
      <c r="V120" s="303">
        <v>0.47</v>
      </c>
      <c r="W120" s="303">
        <v>0.46</v>
      </c>
      <c r="X120" s="303">
        <v>0.44</v>
      </c>
      <c r="Y120" s="303">
        <v>0.36</v>
      </c>
      <c r="Z120" s="303">
        <v>0.28999999999999998</v>
      </c>
      <c r="AA120" s="303">
        <v>0.22</v>
      </c>
      <c r="AB120" s="303">
        <v>0.16</v>
      </c>
      <c r="AC120" s="306">
        <v>0.13</v>
      </c>
      <c r="AD120" s="39"/>
      <c r="AE120" s="39"/>
      <c r="AF120" s="39"/>
      <c r="AG120" s="39"/>
      <c r="AH120" s="39"/>
      <c r="AI120" s="39"/>
      <c r="AJ120" s="39"/>
      <c r="AK120" s="39"/>
    </row>
    <row r="121" spans="1:67" ht="30.6" customHeight="1" thickBot="1" x14ac:dyDescent="0.35">
      <c r="A121" s="1088"/>
      <c r="B121" s="1172"/>
      <c r="C121" s="1178"/>
      <c r="D121" s="1139"/>
      <c r="E121" s="345" t="s">
        <v>477</v>
      </c>
      <c r="F121" s="307">
        <v>7.0000000000000007E-2</v>
      </c>
      <c r="G121" s="307">
        <v>7.0000000000000007E-2</v>
      </c>
      <c r="H121" s="307">
        <v>7.0000000000000007E-2</v>
      </c>
      <c r="I121" s="307">
        <v>0.06</v>
      </c>
      <c r="J121" s="307">
        <v>0.06</v>
      </c>
      <c r="K121" s="307">
        <v>0.06</v>
      </c>
      <c r="L121" s="307">
        <v>7.0000000000000007E-2</v>
      </c>
      <c r="M121" s="307">
        <v>0.1</v>
      </c>
      <c r="N121" s="307">
        <v>0.12</v>
      </c>
      <c r="O121" s="307">
        <v>0.14000000000000001</v>
      </c>
      <c r="P121" s="307">
        <v>0.28999999999999998</v>
      </c>
      <c r="Q121" s="307">
        <v>0.31</v>
      </c>
      <c r="R121" s="307">
        <v>0.36</v>
      </c>
      <c r="S121" s="307">
        <v>0.36</v>
      </c>
      <c r="T121" s="307">
        <v>0.34</v>
      </c>
      <c r="U121" s="307">
        <v>0.35</v>
      </c>
      <c r="V121" s="307">
        <v>0.37</v>
      </c>
      <c r="W121" s="307">
        <v>0.34</v>
      </c>
      <c r="X121" s="307">
        <v>0.25</v>
      </c>
      <c r="Y121" s="307">
        <v>0.27</v>
      </c>
      <c r="Z121" s="307">
        <v>0.21</v>
      </c>
      <c r="AA121" s="307">
        <v>0.16</v>
      </c>
      <c r="AB121" s="307">
        <v>0.1</v>
      </c>
      <c r="AC121" s="308">
        <v>0.06</v>
      </c>
      <c r="AD121" s="39"/>
      <c r="AE121" s="39"/>
      <c r="AF121" s="39"/>
      <c r="AG121" s="39"/>
      <c r="AH121" s="39"/>
      <c r="AI121" s="39"/>
      <c r="AJ121" s="39"/>
      <c r="AK121" s="39"/>
    </row>
    <row r="122" spans="1:67" ht="30.6" customHeight="1" x14ac:dyDescent="0.3">
      <c r="A122" s="1087" t="str">
        <f>A116</f>
        <v>Retails</v>
      </c>
      <c r="B122" s="1143" t="str">
        <f>B116</f>
        <v>Retail</v>
      </c>
      <c r="C122" s="1177" t="s">
        <v>337</v>
      </c>
      <c r="D122" s="1138" t="s">
        <v>783</v>
      </c>
      <c r="E122" s="343" t="s">
        <v>468</v>
      </c>
      <c r="F122" s="304">
        <v>1</v>
      </c>
      <c r="G122" s="304">
        <v>1</v>
      </c>
      <c r="H122" s="304">
        <v>1</v>
      </c>
      <c r="I122" s="304">
        <v>1</v>
      </c>
      <c r="J122" s="304">
        <v>1</v>
      </c>
      <c r="K122" s="304">
        <v>1</v>
      </c>
      <c r="L122" s="304">
        <v>0.25</v>
      </c>
      <c r="M122" s="304">
        <v>0.25</v>
      </c>
      <c r="N122" s="304">
        <v>0.25</v>
      </c>
      <c r="O122" s="304">
        <v>0.25</v>
      </c>
      <c r="P122" s="304">
        <v>0.25</v>
      </c>
      <c r="Q122" s="304">
        <v>0.25</v>
      </c>
      <c r="R122" s="304">
        <v>0.25</v>
      </c>
      <c r="S122" s="304">
        <v>0.25</v>
      </c>
      <c r="T122" s="304">
        <v>0.25</v>
      </c>
      <c r="U122" s="304">
        <v>0.25</v>
      </c>
      <c r="V122" s="304">
        <v>0.25</v>
      </c>
      <c r="W122" s="304">
        <v>0.25</v>
      </c>
      <c r="X122" s="304">
        <v>0.25</v>
      </c>
      <c r="Y122" s="304">
        <v>0.25</v>
      </c>
      <c r="Z122" s="304">
        <v>0.25</v>
      </c>
      <c r="AA122" s="304">
        <v>1</v>
      </c>
      <c r="AB122" s="304">
        <v>1</v>
      </c>
      <c r="AC122" s="305">
        <v>1</v>
      </c>
      <c r="AD122" s="39"/>
      <c r="AE122" s="39"/>
      <c r="AF122" s="39"/>
      <c r="AG122" s="39"/>
      <c r="AH122" s="39"/>
      <c r="AI122" s="39"/>
      <c r="AJ122" s="39"/>
      <c r="AK122" s="39"/>
    </row>
    <row r="123" spans="1:67" ht="30.6" customHeight="1" x14ac:dyDescent="0.3">
      <c r="A123" s="1081"/>
      <c r="B123" s="1144"/>
      <c r="C123" s="1178"/>
      <c r="D123" s="1078"/>
      <c r="E123" s="344" t="s">
        <v>475</v>
      </c>
      <c r="F123" s="303">
        <v>1</v>
      </c>
      <c r="G123" s="303">
        <v>1</v>
      </c>
      <c r="H123" s="303">
        <v>1</v>
      </c>
      <c r="I123" s="303">
        <v>1</v>
      </c>
      <c r="J123" s="303">
        <v>1</v>
      </c>
      <c r="K123" s="303">
        <v>1</v>
      </c>
      <c r="L123" s="303">
        <v>0.25</v>
      </c>
      <c r="M123" s="303">
        <v>0.25</v>
      </c>
      <c r="N123" s="303">
        <v>0.25</v>
      </c>
      <c r="O123" s="303">
        <v>0.25</v>
      </c>
      <c r="P123" s="303">
        <v>0.25</v>
      </c>
      <c r="Q123" s="303">
        <v>0.25</v>
      </c>
      <c r="R123" s="303">
        <v>0.25</v>
      </c>
      <c r="S123" s="303">
        <v>0.25</v>
      </c>
      <c r="T123" s="303">
        <v>0.25</v>
      </c>
      <c r="U123" s="303">
        <v>0.25</v>
      </c>
      <c r="V123" s="303">
        <v>0.25</v>
      </c>
      <c r="W123" s="303">
        <v>0.25</v>
      </c>
      <c r="X123" s="303">
        <v>0.25</v>
      </c>
      <c r="Y123" s="303">
        <v>0.25</v>
      </c>
      <c r="Z123" s="303">
        <v>0.25</v>
      </c>
      <c r="AA123" s="303">
        <v>0.25</v>
      </c>
      <c r="AB123" s="303">
        <v>1</v>
      </c>
      <c r="AC123" s="306">
        <v>1</v>
      </c>
      <c r="AD123" s="39"/>
      <c r="AE123" s="39"/>
      <c r="AF123" s="39"/>
      <c r="AG123" s="39"/>
      <c r="AH123" s="39"/>
      <c r="AI123" s="39"/>
      <c r="AJ123" s="39"/>
      <c r="AK123" s="39"/>
    </row>
    <row r="124" spans="1:67" ht="30.6" customHeight="1" thickBot="1" x14ac:dyDescent="0.35">
      <c r="A124" s="1082"/>
      <c r="B124" s="1145"/>
      <c r="C124" s="1179"/>
      <c r="D124" s="1139"/>
      <c r="E124" s="345" t="s">
        <v>477</v>
      </c>
      <c r="F124" s="307">
        <v>1</v>
      </c>
      <c r="G124" s="307">
        <v>1</v>
      </c>
      <c r="H124" s="307">
        <v>1</v>
      </c>
      <c r="I124" s="307">
        <v>1</v>
      </c>
      <c r="J124" s="307">
        <v>1</v>
      </c>
      <c r="K124" s="307">
        <v>1</v>
      </c>
      <c r="L124" s="307">
        <v>1</v>
      </c>
      <c r="M124" s="307">
        <v>1</v>
      </c>
      <c r="N124" s="307">
        <v>0.25</v>
      </c>
      <c r="O124" s="307">
        <v>0.25</v>
      </c>
      <c r="P124" s="307">
        <v>0.25</v>
      </c>
      <c r="Q124" s="307">
        <v>0.25</v>
      </c>
      <c r="R124" s="307">
        <v>0.25</v>
      </c>
      <c r="S124" s="307">
        <v>0.25</v>
      </c>
      <c r="T124" s="307">
        <v>0.25</v>
      </c>
      <c r="U124" s="307">
        <v>0.25</v>
      </c>
      <c r="V124" s="307">
        <v>0.25</v>
      </c>
      <c r="W124" s="307">
        <v>0.25</v>
      </c>
      <c r="X124" s="307">
        <v>0.25</v>
      </c>
      <c r="Y124" s="307">
        <v>1</v>
      </c>
      <c r="Z124" s="307">
        <v>1</v>
      </c>
      <c r="AA124" s="307">
        <v>1</v>
      </c>
      <c r="AB124" s="307">
        <v>1</v>
      </c>
      <c r="AC124" s="308">
        <v>1</v>
      </c>
      <c r="AD124" s="39"/>
      <c r="AE124" s="39"/>
      <c r="AF124" s="39"/>
      <c r="AG124" s="39"/>
      <c r="AH124" s="39"/>
      <c r="AI124" s="39"/>
      <c r="AJ124" s="39"/>
      <c r="AK124" s="39"/>
    </row>
    <row r="125" spans="1:67" ht="30.6" customHeight="1" x14ac:dyDescent="0.3">
      <c r="A125" s="1087" t="str">
        <f>A119</f>
        <v>Retails</v>
      </c>
      <c r="B125" s="1143" t="str">
        <f>B119</f>
        <v>Retail</v>
      </c>
      <c r="C125" s="1083" t="s">
        <v>770</v>
      </c>
      <c r="D125" s="1138" t="s">
        <v>783</v>
      </c>
      <c r="E125" s="343" t="s">
        <v>468</v>
      </c>
      <c r="F125" s="360">
        <f>IF(F116=1,Thermostat!$B$3,Thermostat!$B$4)</f>
        <v>60</v>
      </c>
      <c r="G125" s="350">
        <f>IF(G116=1,Thermostat!$B$3,Thermostat!$B$4)</f>
        <v>60</v>
      </c>
      <c r="H125" s="350">
        <f>IF(H116=1,Thermostat!$B$3,Thermostat!$B$4)</f>
        <v>60</v>
      </c>
      <c r="I125" s="350">
        <f>IF(I116=1,Thermostat!$B$3,Thermostat!$B$4)</f>
        <v>60</v>
      </c>
      <c r="J125" s="350">
        <f>IF(J116=1,Thermostat!$B$3,Thermostat!$B$4)</f>
        <v>60</v>
      </c>
      <c r="K125" s="350">
        <f>IF(K116=1,Thermostat!$B$3,Thermostat!$B$4)</f>
        <v>60</v>
      </c>
      <c r="L125" s="350">
        <f>IF(L116=1,Thermostat!$B$3,Thermostat!$B$4)</f>
        <v>70</v>
      </c>
      <c r="M125" s="350">
        <f>IF(M116=1,Thermostat!$B$3,Thermostat!$B$4)</f>
        <v>70</v>
      </c>
      <c r="N125" s="350">
        <f>IF(N116=1,Thermostat!$B$3,Thermostat!$B$4)</f>
        <v>70</v>
      </c>
      <c r="O125" s="350">
        <f>IF(O116=1,Thermostat!$B$3,Thermostat!$B$4)</f>
        <v>70</v>
      </c>
      <c r="P125" s="350">
        <f>IF(P116=1,Thermostat!$B$3,Thermostat!$B$4)</f>
        <v>70</v>
      </c>
      <c r="Q125" s="350">
        <f>IF(Q116=1,Thermostat!$B$3,Thermostat!$B$4)</f>
        <v>70</v>
      </c>
      <c r="R125" s="350">
        <f>IF(R116=1,Thermostat!$B$3,Thermostat!$B$4)</f>
        <v>70</v>
      </c>
      <c r="S125" s="350">
        <f>IF(S116=1,Thermostat!$B$3,Thermostat!$B$4)</f>
        <v>70</v>
      </c>
      <c r="T125" s="350">
        <f>IF(T116=1,Thermostat!$B$3,Thermostat!$B$4)</f>
        <v>70</v>
      </c>
      <c r="U125" s="350">
        <f>IF(U116=1,Thermostat!$B$3,Thermostat!$B$4)</f>
        <v>70</v>
      </c>
      <c r="V125" s="350">
        <f>IF(V116=1,Thermostat!$B$3,Thermostat!$B$4)</f>
        <v>70</v>
      </c>
      <c r="W125" s="350">
        <f>IF(W116=1,Thermostat!$B$3,Thermostat!$B$4)</f>
        <v>70</v>
      </c>
      <c r="X125" s="350">
        <f>IF(X116=1,Thermostat!$B$3,Thermostat!$B$4)</f>
        <v>70</v>
      </c>
      <c r="Y125" s="350">
        <f>IF(Y116=1,Thermostat!$B$3,Thermostat!$B$4)</f>
        <v>70</v>
      </c>
      <c r="Z125" s="350">
        <f>IF(Z116=1,Thermostat!$B$3,Thermostat!$B$4)</f>
        <v>70</v>
      </c>
      <c r="AA125" s="350">
        <f>IF(AA116=1,Thermostat!$B$3,Thermostat!$B$4)</f>
        <v>60</v>
      </c>
      <c r="AB125" s="350">
        <f>IF(AB116=1,Thermostat!$B$3,Thermostat!$B$4)</f>
        <v>60</v>
      </c>
      <c r="AC125" s="351">
        <f>IF(AC116=1,Thermostat!$B$3,Thermostat!$B$4)</f>
        <v>60</v>
      </c>
      <c r="AD125" s="39"/>
      <c r="AE125" s="39"/>
      <c r="AF125" s="39"/>
      <c r="AG125" s="39"/>
      <c r="AH125" s="39"/>
      <c r="AI125" s="39"/>
      <c r="AJ125" s="39"/>
      <c r="AK125" s="39"/>
    </row>
    <row r="126" spans="1:67" ht="30.6" customHeight="1" x14ac:dyDescent="0.3">
      <c r="A126" s="1081"/>
      <c r="B126" s="1144"/>
      <c r="C126" s="1060"/>
      <c r="D126" s="1078"/>
      <c r="E126" s="344" t="s">
        <v>475</v>
      </c>
      <c r="F126" s="361">
        <f>IF(F117=1,Thermostat!$B$3,Thermostat!$B$4)</f>
        <v>60</v>
      </c>
      <c r="G126" s="352">
        <f>IF(G117=1,Thermostat!$B$3,Thermostat!$B$4)</f>
        <v>60</v>
      </c>
      <c r="H126" s="352">
        <f>IF(H117=1,Thermostat!$B$3,Thermostat!$B$4)</f>
        <v>60</v>
      </c>
      <c r="I126" s="352">
        <f>IF(I117=1,Thermostat!$B$3,Thermostat!$B$4)</f>
        <v>60</v>
      </c>
      <c r="J126" s="352">
        <f>IF(J117=1,Thermostat!$B$3,Thermostat!$B$4)</f>
        <v>60</v>
      </c>
      <c r="K126" s="352">
        <f>IF(K117=1,Thermostat!$B$3,Thermostat!$B$4)</f>
        <v>60</v>
      </c>
      <c r="L126" s="352">
        <f>IF(L117=1,Thermostat!$B$3,Thermostat!$B$4)</f>
        <v>70</v>
      </c>
      <c r="M126" s="352">
        <f>IF(M117=1,Thermostat!$B$3,Thermostat!$B$4)</f>
        <v>70</v>
      </c>
      <c r="N126" s="352">
        <f>IF(N117=1,Thermostat!$B$3,Thermostat!$B$4)</f>
        <v>70</v>
      </c>
      <c r="O126" s="352">
        <f>IF(O117=1,Thermostat!$B$3,Thermostat!$B$4)</f>
        <v>70</v>
      </c>
      <c r="P126" s="352">
        <f>IF(P117=1,Thermostat!$B$3,Thermostat!$B$4)</f>
        <v>70</v>
      </c>
      <c r="Q126" s="352">
        <f>IF(Q117=1,Thermostat!$B$3,Thermostat!$B$4)</f>
        <v>70</v>
      </c>
      <c r="R126" s="352">
        <f>IF(R117=1,Thermostat!$B$3,Thermostat!$B$4)</f>
        <v>70</v>
      </c>
      <c r="S126" s="352">
        <f>IF(S117=1,Thermostat!$B$3,Thermostat!$B$4)</f>
        <v>70</v>
      </c>
      <c r="T126" s="352">
        <f>IF(T117=1,Thermostat!$B$3,Thermostat!$B$4)</f>
        <v>70</v>
      </c>
      <c r="U126" s="352">
        <f>IF(U117=1,Thermostat!$B$3,Thermostat!$B$4)</f>
        <v>70</v>
      </c>
      <c r="V126" s="352">
        <f>IF(V117=1,Thermostat!$B$3,Thermostat!$B$4)</f>
        <v>70</v>
      </c>
      <c r="W126" s="352">
        <f>IF(W117=1,Thermostat!$B$3,Thermostat!$B$4)</f>
        <v>70</v>
      </c>
      <c r="X126" s="352">
        <f>IF(X117=1,Thermostat!$B$3,Thermostat!$B$4)</f>
        <v>70</v>
      </c>
      <c r="Y126" s="352">
        <f>IF(Y117=1,Thermostat!$B$3,Thermostat!$B$4)</f>
        <v>70</v>
      </c>
      <c r="Z126" s="352">
        <f>IF(Z117=1,Thermostat!$B$3,Thermostat!$B$4)</f>
        <v>70</v>
      </c>
      <c r="AA126" s="352">
        <f>IF(AA117=1,Thermostat!$B$3,Thermostat!$B$4)</f>
        <v>70</v>
      </c>
      <c r="AB126" s="352">
        <f>IF(AB117=1,Thermostat!$B$3,Thermostat!$B$4)</f>
        <v>60</v>
      </c>
      <c r="AC126" s="353">
        <f>IF(AC117=1,Thermostat!$B$3,Thermostat!$B$4)</f>
        <v>60</v>
      </c>
      <c r="AD126" s="39"/>
      <c r="AE126" s="39"/>
      <c r="AF126" s="39"/>
      <c r="AG126" s="39"/>
      <c r="AH126" s="39"/>
      <c r="AI126" s="39"/>
      <c r="AJ126" s="39"/>
      <c r="AK126" s="39"/>
    </row>
    <row r="127" spans="1:67" ht="30.6" customHeight="1" thickBot="1" x14ac:dyDescent="0.35">
      <c r="A127" s="1088"/>
      <c r="B127" s="1172"/>
      <c r="C127" s="1090"/>
      <c r="D127" s="1139"/>
      <c r="E127" s="362" t="s">
        <v>477</v>
      </c>
      <c r="F127" s="361">
        <f>IF(F118=1,Thermostat!$B$3,Thermostat!$B$4)</f>
        <v>60</v>
      </c>
      <c r="G127" s="352">
        <f>IF(G118=1,Thermostat!$B$3,Thermostat!$B$4)</f>
        <v>60</v>
      </c>
      <c r="H127" s="352">
        <f>IF(H118=1,Thermostat!$B$3,Thermostat!$B$4)</f>
        <v>60</v>
      </c>
      <c r="I127" s="352">
        <f>IF(I118=1,Thermostat!$B$3,Thermostat!$B$4)</f>
        <v>60</v>
      </c>
      <c r="J127" s="352">
        <f>IF(J118=1,Thermostat!$B$3,Thermostat!$B$4)</f>
        <v>60</v>
      </c>
      <c r="K127" s="352">
        <f>IF(K118=1,Thermostat!$B$3,Thermostat!$B$4)</f>
        <v>60</v>
      </c>
      <c r="L127" s="352">
        <f>IF(L118=1,Thermostat!$B$3,Thermostat!$B$4)</f>
        <v>60</v>
      </c>
      <c r="M127" s="352">
        <f>IF(M118=1,Thermostat!$B$3,Thermostat!$B$4)</f>
        <v>60</v>
      </c>
      <c r="N127" s="352">
        <f>IF(N118=1,Thermostat!$B$3,Thermostat!$B$4)</f>
        <v>70</v>
      </c>
      <c r="O127" s="352">
        <f>IF(O118=1,Thermostat!$B$3,Thermostat!$B$4)</f>
        <v>70</v>
      </c>
      <c r="P127" s="352">
        <f>IF(P118=1,Thermostat!$B$3,Thermostat!$B$4)</f>
        <v>70</v>
      </c>
      <c r="Q127" s="352">
        <f>IF(Q118=1,Thermostat!$B$3,Thermostat!$B$4)</f>
        <v>70</v>
      </c>
      <c r="R127" s="352">
        <f>IF(R118=1,Thermostat!$B$3,Thermostat!$B$4)</f>
        <v>70</v>
      </c>
      <c r="S127" s="352">
        <f>IF(S118=1,Thermostat!$B$3,Thermostat!$B$4)</f>
        <v>70</v>
      </c>
      <c r="T127" s="352">
        <f>IF(T118=1,Thermostat!$B$3,Thermostat!$B$4)</f>
        <v>70</v>
      </c>
      <c r="U127" s="352">
        <f>IF(U118=1,Thermostat!$B$3,Thermostat!$B$4)</f>
        <v>70</v>
      </c>
      <c r="V127" s="352">
        <f>IF(V118=1,Thermostat!$B$3,Thermostat!$B$4)</f>
        <v>70</v>
      </c>
      <c r="W127" s="352">
        <f>IF(W118=1,Thermostat!$B$3,Thermostat!$B$4)</f>
        <v>70</v>
      </c>
      <c r="X127" s="352">
        <f>IF(X118=1,Thermostat!$B$3,Thermostat!$B$4)</f>
        <v>70</v>
      </c>
      <c r="Y127" s="352">
        <f>IF(Y118=1,Thermostat!$B$3,Thermostat!$B$4)</f>
        <v>60</v>
      </c>
      <c r="Z127" s="352">
        <f>IF(Z118=1,Thermostat!$B$3,Thermostat!$B$4)</f>
        <v>60</v>
      </c>
      <c r="AA127" s="352">
        <f>IF(AA118=1,Thermostat!$B$3,Thermostat!$B$4)</f>
        <v>60</v>
      </c>
      <c r="AB127" s="352">
        <f>IF(AB118=1,Thermostat!$B$3,Thermostat!$B$4)</f>
        <v>60</v>
      </c>
      <c r="AC127" s="353">
        <f>IF(AC118=1,Thermostat!$B$3,Thermostat!$B$4)</f>
        <v>60</v>
      </c>
      <c r="AD127" s="39"/>
      <c r="AE127" s="39"/>
      <c r="AF127" s="39"/>
      <c r="AG127" s="39"/>
      <c r="AH127" s="39"/>
      <c r="AI127" s="39"/>
      <c r="AJ127" s="39"/>
      <c r="AK127" s="39"/>
    </row>
    <row r="128" spans="1:67" ht="30.6" customHeight="1" x14ac:dyDescent="0.3">
      <c r="A128" s="1068" t="str">
        <f>A122</f>
        <v>Retails</v>
      </c>
      <c r="B128" s="1173" t="str">
        <f>B122</f>
        <v>Retail</v>
      </c>
      <c r="C128" s="1059" t="s">
        <v>771</v>
      </c>
      <c r="D128" s="1169" t="s">
        <v>783</v>
      </c>
      <c r="E128" s="383" t="s">
        <v>468</v>
      </c>
      <c r="F128" s="304">
        <f>IF(F116=1,Thermostat!$B$5,Thermostat!$B$6)</f>
        <v>85</v>
      </c>
      <c r="G128" s="346">
        <f>IF(G116=1,Thermostat!$B$5,Thermostat!$B$6)</f>
        <v>85</v>
      </c>
      <c r="H128" s="346">
        <f>IF(H116=1,Thermostat!$B$5,Thermostat!$B$6)</f>
        <v>85</v>
      </c>
      <c r="I128" s="346">
        <f>IF(I116=1,Thermostat!$B$5,Thermostat!$B$6)</f>
        <v>85</v>
      </c>
      <c r="J128" s="346">
        <f>IF(J116=1,Thermostat!$B$5,Thermostat!$B$6)</f>
        <v>85</v>
      </c>
      <c r="K128" s="346">
        <f>IF(K116=1,Thermostat!$B$5,Thermostat!$B$6)</f>
        <v>85</v>
      </c>
      <c r="L128" s="346">
        <f>IF(L116=1,Thermostat!$B$5,Thermostat!$B$6)</f>
        <v>75</v>
      </c>
      <c r="M128" s="346">
        <f>IF(M116=1,Thermostat!$B$5,Thermostat!$B$6)</f>
        <v>75</v>
      </c>
      <c r="N128" s="346">
        <f>IF(N116=1,Thermostat!$B$5,Thermostat!$B$6)</f>
        <v>75</v>
      </c>
      <c r="O128" s="346">
        <f>IF(O116=1,Thermostat!$B$5,Thermostat!$B$6)</f>
        <v>75</v>
      </c>
      <c r="P128" s="346">
        <f>IF(P116=1,Thermostat!$B$5,Thermostat!$B$6)</f>
        <v>75</v>
      </c>
      <c r="Q128" s="346">
        <f>IF(Q116=1,Thermostat!$B$5,Thermostat!$B$6)</f>
        <v>75</v>
      </c>
      <c r="R128" s="346">
        <f>IF(R116=1,Thermostat!$B$5,Thermostat!$B$6)</f>
        <v>75</v>
      </c>
      <c r="S128" s="346">
        <f>IF(S116=1,Thermostat!$B$5,Thermostat!$B$6)</f>
        <v>75</v>
      </c>
      <c r="T128" s="346">
        <f>IF(T116=1,Thermostat!$B$5,Thermostat!$B$6)</f>
        <v>75</v>
      </c>
      <c r="U128" s="346">
        <f>IF(U116=1,Thermostat!$B$5,Thermostat!$B$6)</f>
        <v>75</v>
      </c>
      <c r="V128" s="346">
        <f>IF(V116=1,Thermostat!$B$5,Thermostat!$B$6)</f>
        <v>75</v>
      </c>
      <c r="W128" s="346">
        <f>IF(W116=1,Thermostat!$B$5,Thermostat!$B$6)</f>
        <v>75</v>
      </c>
      <c r="X128" s="346">
        <f>IF(X116=1,Thermostat!$B$5,Thermostat!$B$6)</f>
        <v>75</v>
      </c>
      <c r="Y128" s="346">
        <f>IF(Y116=1,Thermostat!$B$5,Thermostat!$B$6)</f>
        <v>75</v>
      </c>
      <c r="Z128" s="346">
        <f>IF(Z116=1,Thermostat!$B$5,Thermostat!$B$6)</f>
        <v>75</v>
      </c>
      <c r="AA128" s="346">
        <f>IF(AA116=1,Thermostat!$B$5,Thermostat!$B$6)</f>
        <v>85</v>
      </c>
      <c r="AB128" s="346">
        <f>IF(AB116=1,Thermostat!$B$5,Thermostat!$B$6)</f>
        <v>85</v>
      </c>
      <c r="AC128" s="347">
        <f>IF(AC116=1,Thermostat!$B$5,Thermostat!$B$6)</f>
        <v>85</v>
      </c>
      <c r="AD128" s="39"/>
      <c r="AE128" s="39"/>
      <c r="AF128" s="39"/>
      <c r="AG128" s="39"/>
      <c r="AH128" s="39"/>
      <c r="AI128" s="39"/>
      <c r="AJ128" s="39"/>
      <c r="AK128" s="39"/>
    </row>
    <row r="129" spans="1:37" ht="30.6" customHeight="1" x14ac:dyDescent="0.3">
      <c r="A129" s="1069"/>
      <c r="B129" s="1144"/>
      <c r="C129" s="1060"/>
      <c r="D129" s="1170"/>
      <c r="E129" s="384" t="s">
        <v>475</v>
      </c>
      <c r="F129" s="303">
        <f>IF(F117=1,Thermostat!$B$5,Thermostat!$B$6)</f>
        <v>85</v>
      </c>
      <c r="G129" s="339">
        <f>IF(G117=1,Thermostat!$B$5,Thermostat!$B$6)</f>
        <v>85</v>
      </c>
      <c r="H129" s="339">
        <f>IF(H117=1,Thermostat!$B$5,Thermostat!$B$6)</f>
        <v>85</v>
      </c>
      <c r="I129" s="339">
        <f>IF(I117=1,Thermostat!$B$5,Thermostat!$B$6)</f>
        <v>85</v>
      </c>
      <c r="J129" s="339">
        <f>IF(J117=1,Thermostat!$B$5,Thermostat!$B$6)</f>
        <v>85</v>
      </c>
      <c r="K129" s="339">
        <f>IF(K117=1,Thermostat!$B$5,Thermostat!$B$6)</f>
        <v>85</v>
      </c>
      <c r="L129" s="339">
        <f>IF(L117=1,Thermostat!$B$5,Thermostat!$B$6)</f>
        <v>75</v>
      </c>
      <c r="M129" s="339">
        <f>IF(M117=1,Thermostat!$B$5,Thermostat!$B$6)</f>
        <v>75</v>
      </c>
      <c r="N129" s="339">
        <f>IF(N117=1,Thermostat!$B$5,Thermostat!$B$6)</f>
        <v>75</v>
      </c>
      <c r="O129" s="339">
        <f>IF(O117=1,Thermostat!$B$5,Thermostat!$B$6)</f>
        <v>75</v>
      </c>
      <c r="P129" s="339">
        <f>IF(P117=1,Thermostat!$B$5,Thermostat!$B$6)</f>
        <v>75</v>
      </c>
      <c r="Q129" s="339">
        <f>IF(Q117=1,Thermostat!$B$5,Thermostat!$B$6)</f>
        <v>75</v>
      </c>
      <c r="R129" s="339">
        <f>IF(R117=1,Thermostat!$B$5,Thermostat!$B$6)</f>
        <v>75</v>
      </c>
      <c r="S129" s="339">
        <f>IF(S117=1,Thermostat!$B$5,Thermostat!$B$6)</f>
        <v>75</v>
      </c>
      <c r="T129" s="339">
        <f>IF(T117=1,Thermostat!$B$5,Thermostat!$B$6)</f>
        <v>75</v>
      </c>
      <c r="U129" s="339">
        <f>IF(U117=1,Thermostat!$B$5,Thermostat!$B$6)</f>
        <v>75</v>
      </c>
      <c r="V129" s="339">
        <f>IF(V117=1,Thermostat!$B$5,Thermostat!$B$6)</f>
        <v>75</v>
      </c>
      <c r="W129" s="339">
        <f>IF(W117=1,Thermostat!$B$5,Thermostat!$B$6)</f>
        <v>75</v>
      </c>
      <c r="X129" s="339">
        <f>IF(X117=1,Thermostat!$B$5,Thermostat!$B$6)</f>
        <v>75</v>
      </c>
      <c r="Y129" s="339">
        <f>IF(Y117=1,Thermostat!$B$5,Thermostat!$B$6)</f>
        <v>75</v>
      </c>
      <c r="Z129" s="339">
        <f>IF(Z117=1,Thermostat!$B$5,Thermostat!$B$6)</f>
        <v>75</v>
      </c>
      <c r="AA129" s="339">
        <f>IF(AA117=1,Thermostat!$B$5,Thermostat!$B$6)</f>
        <v>75</v>
      </c>
      <c r="AB129" s="339">
        <f>IF(AB117=1,Thermostat!$B$5,Thermostat!$B$6)</f>
        <v>85</v>
      </c>
      <c r="AC129" s="340">
        <f>IF(AC117=1,Thermostat!$B$5,Thermostat!$B$6)</f>
        <v>85</v>
      </c>
      <c r="AD129" s="39"/>
      <c r="AE129" s="39"/>
      <c r="AF129" s="39"/>
      <c r="AG129" s="39"/>
      <c r="AH129" s="39"/>
      <c r="AI129" s="39"/>
      <c r="AJ129" s="39"/>
      <c r="AK129" s="39"/>
    </row>
    <row r="130" spans="1:37" ht="30.6" customHeight="1" thickBot="1" x14ac:dyDescent="0.35">
      <c r="A130" s="1070"/>
      <c r="B130" s="1174"/>
      <c r="C130" s="1061"/>
      <c r="D130" s="1186"/>
      <c r="E130" s="385" t="s">
        <v>477</v>
      </c>
      <c r="F130" s="307">
        <f>IF(F118=1,Thermostat!$B$5,Thermostat!$B$6)</f>
        <v>85</v>
      </c>
      <c r="G130" s="348">
        <f>IF(G118=1,Thermostat!$B$5,Thermostat!$B$6)</f>
        <v>85</v>
      </c>
      <c r="H130" s="348">
        <f>IF(H118=1,Thermostat!$B$5,Thermostat!$B$6)</f>
        <v>85</v>
      </c>
      <c r="I130" s="348">
        <f>IF(I118=1,Thermostat!$B$5,Thermostat!$B$6)</f>
        <v>85</v>
      </c>
      <c r="J130" s="348">
        <f>IF(J118=1,Thermostat!$B$5,Thermostat!$B$6)</f>
        <v>85</v>
      </c>
      <c r="K130" s="348">
        <f>IF(K118=1,Thermostat!$B$5,Thermostat!$B$6)</f>
        <v>85</v>
      </c>
      <c r="L130" s="348">
        <f>IF(L118=1,Thermostat!$B$5,Thermostat!$B$6)</f>
        <v>85</v>
      </c>
      <c r="M130" s="348">
        <f>IF(M118=1,Thermostat!$B$5,Thermostat!$B$6)</f>
        <v>85</v>
      </c>
      <c r="N130" s="348">
        <f>IF(N118=1,Thermostat!$B$5,Thermostat!$B$6)</f>
        <v>75</v>
      </c>
      <c r="O130" s="348">
        <f>IF(O118=1,Thermostat!$B$5,Thermostat!$B$6)</f>
        <v>75</v>
      </c>
      <c r="P130" s="348">
        <f>IF(P118=1,Thermostat!$B$5,Thermostat!$B$6)</f>
        <v>75</v>
      </c>
      <c r="Q130" s="348">
        <f>IF(Q118=1,Thermostat!$B$5,Thermostat!$B$6)</f>
        <v>75</v>
      </c>
      <c r="R130" s="348">
        <f>IF(R118=1,Thermostat!$B$5,Thermostat!$B$6)</f>
        <v>75</v>
      </c>
      <c r="S130" s="348">
        <f>IF(S118=1,Thermostat!$B$5,Thermostat!$B$6)</f>
        <v>75</v>
      </c>
      <c r="T130" s="348">
        <f>IF(T118=1,Thermostat!$B$5,Thermostat!$B$6)</f>
        <v>75</v>
      </c>
      <c r="U130" s="348">
        <f>IF(U118=1,Thermostat!$B$5,Thermostat!$B$6)</f>
        <v>75</v>
      </c>
      <c r="V130" s="348">
        <f>IF(V118=1,Thermostat!$B$5,Thermostat!$B$6)</f>
        <v>75</v>
      </c>
      <c r="W130" s="348">
        <f>IF(W118=1,Thermostat!$B$5,Thermostat!$B$6)</f>
        <v>75</v>
      </c>
      <c r="X130" s="348">
        <f>IF(X118=1,Thermostat!$B$5,Thermostat!$B$6)</f>
        <v>75</v>
      </c>
      <c r="Y130" s="348">
        <f>IF(Y118=1,Thermostat!$B$5,Thermostat!$B$6)</f>
        <v>85</v>
      </c>
      <c r="Z130" s="348">
        <f>IF(Z118=1,Thermostat!$B$5,Thermostat!$B$6)</f>
        <v>85</v>
      </c>
      <c r="AA130" s="348">
        <f>IF(AA118=1,Thermostat!$B$5,Thermostat!$B$6)</f>
        <v>85</v>
      </c>
      <c r="AB130" s="348">
        <f>IF(AB118=1,Thermostat!$B$5,Thermostat!$B$6)</f>
        <v>85</v>
      </c>
      <c r="AC130" s="349">
        <f>IF(AC118=1,Thermostat!$B$5,Thermostat!$B$6)</f>
        <v>85</v>
      </c>
      <c r="AD130" s="39"/>
      <c r="AE130" s="39"/>
      <c r="AF130" s="39"/>
      <c r="AG130" s="39"/>
      <c r="AH130" s="39"/>
      <c r="AI130" s="39"/>
      <c r="AJ130" s="39"/>
      <c r="AK130" s="39"/>
    </row>
    <row r="131" spans="1:37" ht="24.6" customHeight="1" thickBot="1" x14ac:dyDescent="0.35">
      <c r="A131" s="1183" t="s">
        <v>251</v>
      </c>
      <c r="B131" s="1184"/>
      <c r="C131" s="1184"/>
      <c r="D131" s="1184"/>
      <c r="E131" s="1184"/>
      <c r="F131" s="1184"/>
      <c r="G131" s="1184"/>
      <c r="H131" s="1184"/>
      <c r="I131" s="1184"/>
      <c r="J131" s="1184"/>
      <c r="K131" s="1184"/>
      <c r="L131" s="1184"/>
      <c r="M131" s="1184"/>
      <c r="N131" s="1184"/>
      <c r="O131" s="1184"/>
      <c r="P131" s="1184"/>
      <c r="Q131" s="1184"/>
      <c r="R131" s="1184"/>
      <c r="S131" s="1184"/>
      <c r="T131" s="1184"/>
      <c r="U131" s="1184"/>
      <c r="V131" s="1184"/>
      <c r="W131" s="1184"/>
      <c r="X131" s="1184"/>
      <c r="Y131" s="1184"/>
      <c r="Z131" s="1184"/>
      <c r="AA131" s="1184"/>
      <c r="AB131" s="1184"/>
      <c r="AC131" s="1185"/>
      <c r="AD131" s="39"/>
      <c r="AE131" s="39"/>
      <c r="AF131" s="39"/>
      <c r="AG131" s="39"/>
      <c r="AH131" s="39"/>
      <c r="AI131" s="39"/>
      <c r="AJ131" s="39"/>
      <c r="AK131" s="39"/>
    </row>
    <row r="132" spans="1:37" ht="30.6" customHeight="1" x14ac:dyDescent="0.3">
      <c r="A132" s="1102" t="s">
        <v>784</v>
      </c>
      <c r="B132" s="1193" t="s">
        <v>251</v>
      </c>
      <c r="C132" s="1193" t="s">
        <v>761</v>
      </c>
      <c r="D132" s="1094" t="s">
        <v>785</v>
      </c>
      <c r="E132" s="431" t="s">
        <v>468</v>
      </c>
      <c r="F132" s="394">
        <v>0.05</v>
      </c>
      <c r="G132" s="394">
        <v>0</v>
      </c>
      <c r="H132" s="394">
        <v>0</v>
      </c>
      <c r="I132" s="394">
        <v>0</v>
      </c>
      <c r="J132" s="394">
        <v>0</v>
      </c>
      <c r="K132" s="394">
        <v>0.05</v>
      </c>
      <c r="L132" s="394">
        <v>0.1</v>
      </c>
      <c r="M132" s="394">
        <v>0.4</v>
      </c>
      <c r="N132" s="394">
        <v>0.4</v>
      </c>
      <c r="O132" s="394">
        <v>0.4</v>
      </c>
      <c r="P132" s="394">
        <v>0.2</v>
      </c>
      <c r="Q132" s="394">
        <v>0.5</v>
      </c>
      <c r="R132" s="394">
        <v>0.8</v>
      </c>
      <c r="S132" s="394">
        <v>0.7</v>
      </c>
      <c r="T132" s="394">
        <v>0.4</v>
      </c>
      <c r="U132" s="394">
        <v>0.2</v>
      </c>
      <c r="V132" s="394">
        <v>0.25</v>
      </c>
      <c r="W132" s="394">
        <v>0.5</v>
      </c>
      <c r="X132" s="394">
        <v>0.8</v>
      </c>
      <c r="Y132" s="394">
        <v>0.8</v>
      </c>
      <c r="Z132" s="394">
        <v>0.8</v>
      </c>
      <c r="AA132" s="394">
        <v>0.5</v>
      </c>
      <c r="AB132" s="394">
        <v>0.35</v>
      </c>
      <c r="AC132" s="395">
        <v>0.2</v>
      </c>
      <c r="AD132" s="39"/>
      <c r="AE132" s="39"/>
      <c r="AF132" s="39"/>
      <c r="AG132" s="39"/>
      <c r="AH132" s="39"/>
      <c r="AI132" s="39"/>
      <c r="AJ132" s="39"/>
      <c r="AK132" s="39"/>
    </row>
    <row r="133" spans="1:37" ht="30.6" customHeight="1" x14ac:dyDescent="0.3">
      <c r="A133" s="1103"/>
      <c r="B133" s="1194"/>
      <c r="C133" s="1194"/>
      <c r="D133" s="1095"/>
      <c r="E133" s="432" t="s">
        <v>475</v>
      </c>
      <c r="F133" s="78">
        <v>0.05</v>
      </c>
      <c r="G133" s="78">
        <v>0</v>
      </c>
      <c r="H133" s="78">
        <v>0</v>
      </c>
      <c r="I133" s="78">
        <v>0</v>
      </c>
      <c r="J133" s="78">
        <v>0</v>
      </c>
      <c r="K133" s="78">
        <v>0</v>
      </c>
      <c r="L133" s="78">
        <v>0.05</v>
      </c>
      <c r="M133" s="78">
        <v>0.5</v>
      </c>
      <c r="N133" s="78">
        <v>0.5</v>
      </c>
      <c r="O133" s="78">
        <v>0.4</v>
      </c>
      <c r="P133" s="78">
        <v>0.2</v>
      </c>
      <c r="Q133" s="78">
        <v>0.45</v>
      </c>
      <c r="R133" s="78">
        <v>0.5</v>
      </c>
      <c r="S133" s="78">
        <v>0.5</v>
      </c>
      <c r="T133" s="78">
        <v>0.35</v>
      </c>
      <c r="U133" s="78">
        <v>0.3</v>
      </c>
      <c r="V133" s="78">
        <v>0.3</v>
      </c>
      <c r="W133" s="78">
        <v>0.3</v>
      </c>
      <c r="X133" s="78">
        <v>0.7</v>
      </c>
      <c r="Y133" s="78">
        <v>0.9</v>
      </c>
      <c r="Z133" s="78">
        <v>0.7</v>
      </c>
      <c r="AA133" s="78">
        <v>0.65</v>
      </c>
      <c r="AB133" s="78">
        <v>0.55000000000000004</v>
      </c>
      <c r="AC133" s="396">
        <v>0.35</v>
      </c>
      <c r="AD133" s="39"/>
      <c r="AE133" s="39"/>
      <c r="AF133" s="39"/>
      <c r="AG133" s="39"/>
      <c r="AH133" s="39"/>
      <c r="AI133" s="39"/>
      <c r="AJ133" s="39"/>
      <c r="AK133" s="39"/>
    </row>
    <row r="134" spans="1:37" ht="30.6" customHeight="1" thickBot="1" x14ac:dyDescent="0.35">
      <c r="A134" s="1104"/>
      <c r="B134" s="1195"/>
      <c r="C134" s="1195"/>
      <c r="D134" s="1096"/>
      <c r="E134" s="433" t="s">
        <v>477</v>
      </c>
      <c r="F134" s="397">
        <v>0.05</v>
      </c>
      <c r="G134" s="397">
        <v>0</v>
      </c>
      <c r="H134" s="397">
        <v>0</v>
      </c>
      <c r="I134" s="397">
        <v>0</v>
      </c>
      <c r="J134" s="397">
        <v>0</v>
      </c>
      <c r="K134" s="397">
        <v>0</v>
      </c>
      <c r="L134" s="397">
        <v>0.05</v>
      </c>
      <c r="M134" s="397">
        <v>0.5</v>
      </c>
      <c r="N134" s="397">
        <v>0.5</v>
      </c>
      <c r="O134" s="397">
        <v>0.2</v>
      </c>
      <c r="P134" s="397">
        <v>0.2</v>
      </c>
      <c r="Q134" s="397">
        <v>0.3</v>
      </c>
      <c r="R134" s="397">
        <v>0.5</v>
      </c>
      <c r="S134" s="397">
        <v>0.5</v>
      </c>
      <c r="T134" s="397">
        <v>0.3</v>
      </c>
      <c r="U134" s="397">
        <v>0.2</v>
      </c>
      <c r="V134" s="397">
        <v>0.25</v>
      </c>
      <c r="W134" s="397">
        <v>0.35</v>
      </c>
      <c r="X134" s="397">
        <v>0.55000000000000004</v>
      </c>
      <c r="Y134" s="397">
        <v>0.65</v>
      </c>
      <c r="Z134" s="397">
        <v>0.7</v>
      </c>
      <c r="AA134" s="397">
        <v>0.35</v>
      </c>
      <c r="AB134" s="397">
        <v>0.2</v>
      </c>
      <c r="AC134" s="398">
        <v>0.2</v>
      </c>
      <c r="AD134" s="39"/>
      <c r="AE134" s="39"/>
      <c r="AF134" s="39"/>
      <c r="AG134" s="39"/>
      <c r="AH134" s="39"/>
      <c r="AI134" s="39"/>
      <c r="AJ134" s="39"/>
      <c r="AK134" s="39"/>
    </row>
    <row r="135" spans="1:37" ht="30.6" customHeight="1" x14ac:dyDescent="0.3">
      <c r="A135" s="1102" t="str">
        <f>A132</f>
        <v>Dining and Café</v>
      </c>
      <c r="B135" s="1193" t="s">
        <v>251</v>
      </c>
      <c r="C135" s="1201" t="s">
        <v>763</v>
      </c>
      <c r="D135" s="1094" t="s">
        <v>786</v>
      </c>
      <c r="E135" s="92" t="s">
        <v>468</v>
      </c>
      <c r="F135" s="80">
        <v>0.15</v>
      </c>
      <c r="G135" s="80">
        <v>0.15</v>
      </c>
      <c r="H135" s="80">
        <v>0.15</v>
      </c>
      <c r="I135" s="80">
        <v>0.15</v>
      </c>
      <c r="J135" s="80">
        <v>0.15</v>
      </c>
      <c r="K135" s="80">
        <v>0.2</v>
      </c>
      <c r="L135" s="399">
        <v>0.3</v>
      </c>
      <c r="M135" s="399">
        <f t="shared" ref="M135:AA137" si="24">M138-5%</f>
        <v>0.66999999999999993</v>
      </c>
      <c r="N135" s="399">
        <f t="shared" si="24"/>
        <v>0.73</v>
      </c>
      <c r="O135" s="399">
        <f t="shared" si="24"/>
        <v>0.75</v>
      </c>
      <c r="P135" s="399">
        <f t="shared" si="24"/>
        <v>0.85</v>
      </c>
      <c r="Q135" s="399">
        <f t="shared" si="24"/>
        <v>0.85</v>
      </c>
      <c r="R135" s="399">
        <f t="shared" si="24"/>
        <v>0.85</v>
      </c>
      <c r="S135" s="399">
        <f t="shared" si="24"/>
        <v>0.83</v>
      </c>
      <c r="T135" s="399">
        <f t="shared" si="24"/>
        <v>0.72</v>
      </c>
      <c r="U135" s="399">
        <f t="shared" si="24"/>
        <v>0.64999999999999991</v>
      </c>
      <c r="V135" s="399">
        <f t="shared" si="24"/>
        <v>0.66999999999999993</v>
      </c>
      <c r="W135" s="399">
        <f t="shared" si="24"/>
        <v>0.75</v>
      </c>
      <c r="X135" s="399">
        <f t="shared" si="24"/>
        <v>0.85</v>
      </c>
      <c r="Y135" s="399">
        <f t="shared" si="24"/>
        <v>0.85</v>
      </c>
      <c r="Z135" s="399">
        <f t="shared" si="24"/>
        <v>0.85</v>
      </c>
      <c r="AA135" s="399">
        <f t="shared" si="24"/>
        <v>0.75</v>
      </c>
      <c r="AB135" s="399">
        <f>AB138-5%</f>
        <v>0.56999999999999995</v>
      </c>
      <c r="AC135" s="85">
        <v>0.3</v>
      </c>
      <c r="AD135" s="39"/>
      <c r="AE135" s="39"/>
      <c r="AF135" s="39"/>
      <c r="AG135" s="39"/>
      <c r="AH135" s="39"/>
      <c r="AI135" s="39"/>
      <c r="AJ135" s="39"/>
      <c r="AK135" s="39"/>
    </row>
    <row r="136" spans="1:37" ht="30.6" customHeight="1" x14ac:dyDescent="0.3">
      <c r="A136" s="1103"/>
      <c r="B136" s="1194"/>
      <c r="C136" s="1202"/>
      <c r="D136" s="1095"/>
      <c r="E136" s="89" t="s">
        <v>475</v>
      </c>
      <c r="F136" s="400">
        <f>F139</f>
        <v>0.15</v>
      </c>
      <c r="G136" s="78">
        <v>0.15</v>
      </c>
      <c r="H136" s="78">
        <v>0.15</v>
      </c>
      <c r="I136" s="78">
        <v>0.15</v>
      </c>
      <c r="J136" s="78">
        <v>0.15</v>
      </c>
      <c r="K136" s="400">
        <f>K139</f>
        <v>0.2</v>
      </c>
      <c r="L136" s="78">
        <v>0.3</v>
      </c>
      <c r="M136" s="400">
        <f t="shared" si="24"/>
        <v>0.66999999999999993</v>
      </c>
      <c r="N136" s="400">
        <f t="shared" si="24"/>
        <v>0.73</v>
      </c>
      <c r="O136" s="400">
        <f t="shared" si="24"/>
        <v>0.75</v>
      </c>
      <c r="P136" s="400">
        <f t="shared" si="24"/>
        <v>0.85</v>
      </c>
      <c r="Q136" s="400">
        <f t="shared" si="24"/>
        <v>0.85</v>
      </c>
      <c r="R136" s="400">
        <f t="shared" si="24"/>
        <v>0.85</v>
      </c>
      <c r="S136" s="400">
        <f t="shared" si="24"/>
        <v>0.83</v>
      </c>
      <c r="T136" s="400">
        <f t="shared" si="24"/>
        <v>0.72</v>
      </c>
      <c r="U136" s="400">
        <f t="shared" si="24"/>
        <v>0.64999999999999991</v>
      </c>
      <c r="V136" s="400">
        <f t="shared" si="24"/>
        <v>0.66999999999999993</v>
      </c>
      <c r="W136" s="400">
        <f t="shared" si="24"/>
        <v>0.75</v>
      </c>
      <c r="X136" s="400">
        <f t="shared" si="24"/>
        <v>0.85</v>
      </c>
      <c r="Y136" s="400">
        <f t="shared" si="24"/>
        <v>0.85</v>
      </c>
      <c r="Z136" s="400">
        <f t="shared" si="24"/>
        <v>0.85</v>
      </c>
      <c r="AA136" s="400">
        <f t="shared" si="24"/>
        <v>0.75</v>
      </c>
      <c r="AB136" s="400">
        <f>AB139-5%</f>
        <v>0.56999999999999995</v>
      </c>
      <c r="AC136" s="83">
        <v>0.3</v>
      </c>
      <c r="AD136" s="39"/>
      <c r="AE136" s="39"/>
      <c r="AF136" s="39"/>
      <c r="AG136" s="39"/>
      <c r="AH136" s="39"/>
      <c r="AI136" s="39"/>
      <c r="AJ136" s="39"/>
      <c r="AK136" s="39"/>
    </row>
    <row r="137" spans="1:37" ht="30.6" customHeight="1" thickBot="1" x14ac:dyDescent="0.35">
      <c r="A137" s="1104"/>
      <c r="B137" s="1195"/>
      <c r="C137" s="1203"/>
      <c r="D137" s="1096"/>
      <c r="E137" s="90" t="s">
        <v>477</v>
      </c>
      <c r="F137" s="79">
        <v>0.2</v>
      </c>
      <c r="G137" s="79">
        <v>0.15</v>
      </c>
      <c r="H137" s="79">
        <v>0.15</v>
      </c>
      <c r="I137" s="79">
        <v>0.15</v>
      </c>
      <c r="J137" s="79">
        <v>0.15</v>
      </c>
      <c r="K137" s="79">
        <v>0.15</v>
      </c>
      <c r="L137" s="79">
        <v>0.3</v>
      </c>
      <c r="M137" s="401">
        <f t="shared" si="24"/>
        <v>0.66999999999999993</v>
      </c>
      <c r="N137" s="401">
        <f t="shared" si="24"/>
        <v>0.73</v>
      </c>
      <c r="O137" s="401">
        <f t="shared" si="24"/>
        <v>0.75</v>
      </c>
      <c r="P137" s="401">
        <f t="shared" si="24"/>
        <v>0.85</v>
      </c>
      <c r="Q137" s="401">
        <f t="shared" si="24"/>
        <v>0.85</v>
      </c>
      <c r="R137" s="401">
        <f t="shared" si="24"/>
        <v>0.85</v>
      </c>
      <c r="S137" s="401">
        <f t="shared" si="24"/>
        <v>0.83</v>
      </c>
      <c r="T137" s="401">
        <f t="shared" si="24"/>
        <v>0.72</v>
      </c>
      <c r="U137" s="401">
        <f t="shared" si="24"/>
        <v>0.64999999999999991</v>
      </c>
      <c r="V137" s="401">
        <f t="shared" si="24"/>
        <v>0.66999999999999993</v>
      </c>
      <c r="W137" s="401">
        <f t="shared" si="24"/>
        <v>0.75</v>
      </c>
      <c r="X137" s="401">
        <f t="shared" si="24"/>
        <v>0.85</v>
      </c>
      <c r="Y137" s="401">
        <f t="shared" si="24"/>
        <v>0.85</v>
      </c>
      <c r="Z137" s="401">
        <f t="shared" si="24"/>
        <v>0.85</v>
      </c>
      <c r="AA137" s="401">
        <f t="shared" si="24"/>
        <v>0.75</v>
      </c>
      <c r="AB137" s="401">
        <f>AB140-5%</f>
        <v>0.56999999999999995</v>
      </c>
      <c r="AC137" s="84">
        <v>0.3</v>
      </c>
      <c r="AD137" s="39"/>
      <c r="AE137" s="39"/>
      <c r="AF137" s="39"/>
      <c r="AG137" s="39"/>
      <c r="AH137" s="39"/>
      <c r="AI137" s="39"/>
      <c r="AJ137" s="39"/>
      <c r="AK137" s="39"/>
    </row>
    <row r="138" spans="1:37" ht="30.6" customHeight="1" x14ac:dyDescent="0.3">
      <c r="A138" s="1200" t="str">
        <f>A132</f>
        <v>Dining and Café</v>
      </c>
      <c r="B138" s="1204" t="s">
        <v>251</v>
      </c>
      <c r="C138" s="1201" t="s">
        <v>765</v>
      </c>
      <c r="D138" s="1097" t="s">
        <v>654</v>
      </c>
      <c r="E138" s="402" t="s">
        <v>468</v>
      </c>
      <c r="F138" s="394">
        <v>0.15</v>
      </c>
      <c r="G138" s="394">
        <v>0.15</v>
      </c>
      <c r="H138" s="394">
        <v>0.15</v>
      </c>
      <c r="I138" s="394">
        <v>0.15</v>
      </c>
      <c r="J138" s="394">
        <v>0.15</v>
      </c>
      <c r="K138" s="394">
        <v>0.2</v>
      </c>
      <c r="L138" s="403">
        <v>0.3</v>
      </c>
      <c r="M138" s="403">
        <v>0.72</v>
      </c>
      <c r="N138" s="403">
        <v>0.78</v>
      </c>
      <c r="O138" s="403">
        <v>0.8</v>
      </c>
      <c r="P138" s="394">
        <v>0.9</v>
      </c>
      <c r="Q138" s="394">
        <v>0.9</v>
      </c>
      <c r="R138" s="394">
        <v>0.9</v>
      </c>
      <c r="S138" s="403">
        <v>0.88</v>
      </c>
      <c r="T138" s="403">
        <v>0.77</v>
      </c>
      <c r="U138" s="403">
        <v>0.7</v>
      </c>
      <c r="V138" s="403">
        <v>0.72</v>
      </c>
      <c r="W138" s="403">
        <v>0.8</v>
      </c>
      <c r="X138" s="394">
        <v>0.9</v>
      </c>
      <c r="Y138" s="394">
        <v>0.9</v>
      </c>
      <c r="Z138" s="394">
        <v>0.9</v>
      </c>
      <c r="AA138" s="403">
        <v>0.8</v>
      </c>
      <c r="AB138" s="403">
        <v>0.62</v>
      </c>
      <c r="AC138" s="395">
        <v>0.3</v>
      </c>
      <c r="AD138" s="39"/>
      <c r="AE138" s="39"/>
      <c r="AF138" s="39"/>
      <c r="AG138" s="39"/>
      <c r="AH138" s="39"/>
      <c r="AI138" s="39"/>
      <c r="AJ138" s="39"/>
      <c r="AK138" s="39"/>
    </row>
    <row r="139" spans="1:37" ht="30.6" customHeight="1" x14ac:dyDescent="0.3">
      <c r="A139" s="1103"/>
      <c r="B139" s="1194"/>
      <c r="C139" s="1202"/>
      <c r="D139" s="1097"/>
      <c r="E139" s="404" t="s">
        <v>475</v>
      </c>
      <c r="F139" s="405">
        <v>0.15</v>
      </c>
      <c r="G139" s="78">
        <v>0.15</v>
      </c>
      <c r="H139" s="78">
        <v>0.15</v>
      </c>
      <c r="I139" s="78">
        <v>0.15</v>
      </c>
      <c r="J139" s="78">
        <v>0.15</v>
      </c>
      <c r="K139" s="405">
        <v>0.2</v>
      </c>
      <c r="L139" s="78">
        <v>0.3</v>
      </c>
      <c r="M139" s="405">
        <v>0.72</v>
      </c>
      <c r="N139" s="405">
        <v>0.78</v>
      </c>
      <c r="O139" s="405">
        <v>0.8</v>
      </c>
      <c r="P139" s="405">
        <v>0.9</v>
      </c>
      <c r="Q139" s="405">
        <v>0.9</v>
      </c>
      <c r="R139" s="405">
        <v>0.9</v>
      </c>
      <c r="S139" s="405">
        <v>0.88</v>
      </c>
      <c r="T139" s="405">
        <v>0.77</v>
      </c>
      <c r="U139" s="405">
        <v>0.7</v>
      </c>
      <c r="V139" s="405">
        <v>0.72</v>
      </c>
      <c r="W139" s="405">
        <v>0.8</v>
      </c>
      <c r="X139" s="78">
        <v>0.9</v>
      </c>
      <c r="Y139" s="78">
        <v>0.9</v>
      </c>
      <c r="Z139" s="78">
        <v>0.9</v>
      </c>
      <c r="AA139" s="405">
        <v>0.8</v>
      </c>
      <c r="AB139" s="405">
        <v>0.62</v>
      </c>
      <c r="AC139" s="396">
        <v>0.3</v>
      </c>
      <c r="AD139" s="39"/>
      <c r="AE139" s="39"/>
      <c r="AF139" s="39"/>
      <c r="AG139" s="39"/>
      <c r="AH139" s="39"/>
      <c r="AI139" s="39"/>
      <c r="AJ139" s="39"/>
      <c r="AK139" s="39"/>
    </row>
    <row r="140" spans="1:37" ht="30.6" customHeight="1" thickBot="1" x14ac:dyDescent="0.35">
      <c r="A140" s="1104"/>
      <c r="B140" s="1195"/>
      <c r="C140" s="1205"/>
      <c r="D140" s="1098"/>
      <c r="E140" s="406" t="s">
        <v>477</v>
      </c>
      <c r="F140" s="407">
        <v>0.2</v>
      </c>
      <c r="G140" s="397">
        <v>0.15</v>
      </c>
      <c r="H140" s="397">
        <v>0.15</v>
      </c>
      <c r="I140" s="397">
        <v>0.15</v>
      </c>
      <c r="J140" s="397">
        <v>0.15</v>
      </c>
      <c r="K140" s="407">
        <v>0.15</v>
      </c>
      <c r="L140" s="397">
        <v>0.3</v>
      </c>
      <c r="M140" s="407">
        <v>0.72</v>
      </c>
      <c r="N140" s="407">
        <v>0.78</v>
      </c>
      <c r="O140" s="407">
        <v>0.8</v>
      </c>
      <c r="P140" s="407">
        <v>0.9</v>
      </c>
      <c r="Q140" s="407">
        <v>0.9</v>
      </c>
      <c r="R140" s="407">
        <v>0.9</v>
      </c>
      <c r="S140" s="407">
        <v>0.88</v>
      </c>
      <c r="T140" s="407">
        <v>0.77</v>
      </c>
      <c r="U140" s="407">
        <v>0.7</v>
      </c>
      <c r="V140" s="407">
        <v>0.72</v>
      </c>
      <c r="W140" s="407">
        <v>0.8</v>
      </c>
      <c r="X140" s="407">
        <v>0.9</v>
      </c>
      <c r="Y140" s="407">
        <v>0.9</v>
      </c>
      <c r="Z140" s="407">
        <v>0.9</v>
      </c>
      <c r="AA140" s="407">
        <v>0.8</v>
      </c>
      <c r="AB140" s="407">
        <v>0.62</v>
      </c>
      <c r="AC140" s="398">
        <v>0.3</v>
      </c>
      <c r="AD140" s="39"/>
      <c r="AE140" s="39"/>
      <c r="AF140" s="39"/>
      <c r="AG140" s="39"/>
      <c r="AH140" s="39"/>
      <c r="AI140" s="39"/>
      <c r="AJ140" s="39"/>
      <c r="AK140" s="39"/>
    </row>
    <row r="141" spans="1:37" ht="30.6" customHeight="1" x14ac:dyDescent="0.3">
      <c r="A141" s="1102" t="str">
        <f>A132</f>
        <v>Dining and Café</v>
      </c>
      <c r="B141" s="1193" t="s">
        <v>251</v>
      </c>
      <c r="C141" s="1206" t="s">
        <v>766</v>
      </c>
      <c r="D141" s="1099" t="s">
        <v>787</v>
      </c>
      <c r="E141" s="402" t="s">
        <v>468</v>
      </c>
      <c r="F141" s="394">
        <v>1</v>
      </c>
      <c r="G141" s="408">
        <v>0</v>
      </c>
      <c r="H141" s="408">
        <v>0</v>
      </c>
      <c r="I141" s="394">
        <v>0</v>
      </c>
      <c r="J141" s="408">
        <v>1</v>
      </c>
      <c r="K141" s="408">
        <v>1</v>
      </c>
      <c r="L141" s="394">
        <v>1</v>
      </c>
      <c r="M141" s="394">
        <v>1</v>
      </c>
      <c r="N141" s="394">
        <v>1</v>
      </c>
      <c r="O141" s="394">
        <v>1</v>
      </c>
      <c r="P141" s="394">
        <v>1</v>
      </c>
      <c r="Q141" s="394">
        <v>1</v>
      </c>
      <c r="R141" s="394">
        <v>1</v>
      </c>
      <c r="S141" s="394">
        <v>1</v>
      </c>
      <c r="T141" s="394">
        <v>1</v>
      </c>
      <c r="U141" s="394">
        <v>1</v>
      </c>
      <c r="V141" s="394">
        <v>1</v>
      </c>
      <c r="W141" s="394">
        <v>1</v>
      </c>
      <c r="X141" s="394">
        <v>1</v>
      </c>
      <c r="Y141" s="394">
        <v>1</v>
      </c>
      <c r="Z141" s="394">
        <v>1</v>
      </c>
      <c r="AA141" s="394">
        <v>1</v>
      </c>
      <c r="AB141" s="394">
        <v>1</v>
      </c>
      <c r="AC141" s="395">
        <v>1</v>
      </c>
      <c r="AD141" s="39"/>
      <c r="AE141" s="39"/>
      <c r="AF141" s="39"/>
      <c r="AG141" s="39"/>
      <c r="AH141" s="39"/>
      <c r="AI141" s="39"/>
      <c r="AJ141" s="39"/>
      <c r="AK141" s="39"/>
    </row>
    <row r="142" spans="1:37" ht="30.6" customHeight="1" x14ac:dyDescent="0.3">
      <c r="A142" s="1103"/>
      <c r="B142" s="1194"/>
      <c r="C142" s="1207"/>
      <c r="D142" s="1100"/>
      <c r="E142" s="404" t="s">
        <v>475</v>
      </c>
      <c r="F142" s="78">
        <v>1</v>
      </c>
      <c r="G142" s="399">
        <v>0</v>
      </c>
      <c r="H142" s="399">
        <v>0</v>
      </c>
      <c r="I142" s="78">
        <v>0</v>
      </c>
      <c r="J142" s="78">
        <v>0</v>
      </c>
      <c r="K142" s="400">
        <v>1</v>
      </c>
      <c r="L142" s="400">
        <v>1</v>
      </c>
      <c r="M142" s="400">
        <v>1</v>
      </c>
      <c r="N142" s="78">
        <v>1</v>
      </c>
      <c r="O142" s="78">
        <v>1</v>
      </c>
      <c r="P142" s="78">
        <v>1</v>
      </c>
      <c r="Q142" s="78">
        <v>1</v>
      </c>
      <c r="R142" s="78">
        <v>1</v>
      </c>
      <c r="S142" s="78">
        <v>1</v>
      </c>
      <c r="T142" s="78">
        <v>1</v>
      </c>
      <c r="U142" s="78">
        <v>1</v>
      </c>
      <c r="V142" s="78">
        <v>1</v>
      </c>
      <c r="W142" s="78">
        <v>1</v>
      </c>
      <c r="X142" s="78">
        <v>1</v>
      </c>
      <c r="Y142" s="78">
        <v>1</v>
      </c>
      <c r="Z142" s="78">
        <v>1</v>
      </c>
      <c r="AA142" s="78">
        <v>1</v>
      </c>
      <c r="AB142" s="78">
        <v>1</v>
      </c>
      <c r="AC142" s="396">
        <v>1</v>
      </c>
      <c r="AD142" s="39"/>
      <c r="AE142" s="39"/>
      <c r="AF142" s="39"/>
      <c r="AG142" s="39"/>
      <c r="AH142" s="39"/>
      <c r="AI142" s="39"/>
      <c r="AJ142" s="39"/>
      <c r="AK142" s="39"/>
    </row>
    <row r="143" spans="1:37" ht="30.6" customHeight="1" thickBot="1" x14ac:dyDescent="0.35">
      <c r="A143" s="1104"/>
      <c r="B143" s="1195"/>
      <c r="C143" s="1208"/>
      <c r="D143" s="1101"/>
      <c r="E143" s="406" t="s">
        <v>477</v>
      </c>
      <c r="F143" s="397">
        <v>1</v>
      </c>
      <c r="G143" s="409">
        <v>0</v>
      </c>
      <c r="H143" s="409">
        <v>0</v>
      </c>
      <c r="I143" s="397">
        <v>0</v>
      </c>
      <c r="J143" s="397">
        <v>0</v>
      </c>
      <c r="K143" s="410">
        <v>1</v>
      </c>
      <c r="L143" s="410">
        <v>1</v>
      </c>
      <c r="M143" s="410">
        <v>1</v>
      </c>
      <c r="N143" s="410">
        <v>1</v>
      </c>
      <c r="O143" s="397">
        <v>1</v>
      </c>
      <c r="P143" s="397">
        <v>1</v>
      </c>
      <c r="Q143" s="397">
        <v>1</v>
      </c>
      <c r="R143" s="397">
        <v>1</v>
      </c>
      <c r="S143" s="397">
        <v>1</v>
      </c>
      <c r="T143" s="397">
        <v>1</v>
      </c>
      <c r="U143" s="397">
        <v>1</v>
      </c>
      <c r="V143" s="397">
        <v>1</v>
      </c>
      <c r="W143" s="397">
        <v>1</v>
      </c>
      <c r="X143" s="397">
        <v>1</v>
      </c>
      <c r="Y143" s="397">
        <v>1</v>
      </c>
      <c r="Z143" s="397">
        <v>1</v>
      </c>
      <c r="AA143" s="397">
        <v>1</v>
      </c>
      <c r="AB143" s="397">
        <v>1</v>
      </c>
      <c r="AC143" s="398">
        <v>1</v>
      </c>
      <c r="AD143" s="39"/>
      <c r="AE143" s="39"/>
      <c r="AF143" s="39"/>
      <c r="AG143" s="39"/>
      <c r="AH143" s="39"/>
      <c r="AI143" s="39"/>
      <c r="AJ143" s="39"/>
      <c r="AK143" s="39"/>
    </row>
    <row r="144" spans="1:37" ht="30.6" customHeight="1" x14ac:dyDescent="0.3">
      <c r="A144" s="1102" t="str">
        <f>A132</f>
        <v>Dining and Café</v>
      </c>
      <c r="B144" s="1193" t="s">
        <v>251</v>
      </c>
      <c r="C144" s="1209" t="s">
        <v>768</v>
      </c>
      <c r="D144" s="1094" t="s">
        <v>788</v>
      </c>
      <c r="E144" s="92" t="s">
        <v>468</v>
      </c>
      <c r="F144" s="80">
        <v>0.2</v>
      </c>
      <c r="G144" s="399">
        <v>0</v>
      </c>
      <c r="H144" s="399">
        <v>0</v>
      </c>
      <c r="I144" s="80">
        <v>0</v>
      </c>
      <c r="J144" s="80">
        <v>0</v>
      </c>
      <c r="K144" s="399">
        <v>0.6</v>
      </c>
      <c r="L144" s="399">
        <v>0.6</v>
      </c>
      <c r="M144" s="80">
        <v>0.6</v>
      </c>
      <c r="N144" s="80">
        <v>0.55000000000000004</v>
      </c>
      <c r="O144" s="80">
        <v>0.45</v>
      </c>
      <c r="P144" s="80">
        <v>0.4</v>
      </c>
      <c r="Q144" s="80">
        <v>0.45</v>
      </c>
      <c r="R144" s="80">
        <v>0.4</v>
      </c>
      <c r="S144" s="80">
        <v>0.35</v>
      </c>
      <c r="T144" s="80">
        <v>0.3</v>
      </c>
      <c r="U144" s="80">
        <v>0.3</v>
      </c>
      <c r="V144" s="80">
        <v>0.3</v>
      </c>
      <c r="W144" s="80">
        <v>0.4</v>
      </c>
      <c r="X144" s="80">
        <v>0.55000000000000004</v>
      </c>
      <c r="Y144" s="80">
        <v>0.6</v>
      </c>
      <c r="Z144" s="80">
        <v>0.5</v>
      </c>
      <c r="AA144" s="80">
        <v>0.55000000000000004</v>
      </c>
      <c r="AB144" s="80">
        <v>0.45</v>
      </c>
      <c r="AC144" s="85">
        <v>0.25</v>
      </c>
      <c r="AD144" s="39"/>
      <c r="AE144" s="39"/>
      <c r="AF144" s="39"/>
      <c r="AG144" s="39"/>
      <c r="AH144" s="39"/>
      <c r="AI144" s="39"/>
      <c r="AJ144" s="39"/>
      <c r="AK144" s="39"/>
    </row>
    <row r="145" spans="1:58" ht="30.6" customHeight="1" x14ac:dyDescent="0.3">
      <c r="A145" s="1103"/>
      <c r="B145" s="1194"/>
      <c r="C145" s="1207"/>
      <c r="D145" s="1095"/>
      <c r="E145" s="89" t="s">
        <v>475</v>
      </c>
      <c r="F145" s="78">
        <v>0.2</v>
      </c>
      <c r="G145" s="400">
        <v>0</v>
      </c>
      <c r="H145" s="400">
        <v>0</v>
      </c>
      <c r="I145" s="78">
        <v>0</v>
      </c>
      <c r="J145" s="78">
        <v>0</v>
      </c>
      <c r="K145" s="78">
        <v>0</v>
      </c>
      <c r="L145" s="400">
        <v>0.5</v>
      </c>
      <c r="M145" s="400">
        <v>0.5</v>
      </c>
      <c r="N145" s="400">
        <v>0.5</v>
      </c>
      <c r="O145" s="78">
        <v>0.5</v>
      </c>
      <c r="P145" s="78">
        <v>0.45</v>
      </c>
      <c r="Q145" s="78">
        <v>0.5</v>
      </c>
      <c r="R145" s="78">
        <v>0.5</v>
      </c>
      <c r="S145" s="78">
        <v>0.45</v>
      </c>
      <c r="T145" s="78">
        <v>0.4</v>
      </c>
      <c r="U145" s="78">
        <v>0.4</v>
      </c>
      <c r="V145" s="78">
        <v>0.35</v>
      </c>
      <c r="W145" s="78">
        <v>0.4</v>
      </c>
      <c r="X145" s="78">
        <v>0.55000000000000004</v>
      </c>
      <c r="Y145" s="78">
        <v>0.55000000000000004</v>
      </c>
      <c r="Z145" s="78">
        <v>0.5</v>
      </c>
      <c r="AA145" s="78">
        <v>0.55000000000000004</v>
      </c>
      <c r="AB145" s="78">
        <v>0.4</v>
      </c>
      <c r="AC145" s="83">
        <v>0.3</v>
      </c>
      <c r="AD145" s="39"/>
      <c r="AE145" s="39"/>
      <c r="AF145" s="39"/>
      <c r="AG145" s="39"/>
      <c r="AH145" s="39"/>
      <c r="AI145" s="39"/>
      <c r="AJ145" s="39"/>
      <c r="AK145" s="39"/>
    </row>
    <row r="146" spans="1:58" ht="30.6" customHeight="1" thickBot="1" x14ac:dyDescent="0.35">
      <c r="A146" s="1104"/>
      <c r="B146" s="1195"/>
      <c r="C146" s="1208"/>
      <c r="D146" s="1096"/>
      <c r="E146" s="90" t="s">
        <v>477</v>
      </c>
      <c r="F146" s="79">
        <v>0.25</v>
      </c>
      <c r="G146" s="401">
        <v>0</v>
      </c>
      <c r="H146" s="401">
        <v>0</v>
      </c>
      <c r="I146" s="79">
        <v>0</v>
      </c>
      <c r="J146" s="79">
        <v>0</v>
      </c>
      <c r="K146" s="79">
        <v>0</v>
      </c>
      <c r="L146" s="401">
        <v>0.5</v>
      </c>
      <c r="M146" s="401">
        <v>0.5</v>
      </c>
      <c r="N146" s="401">
        <v>0.5</v>
      </c>
      <c r="O146" s="401">
        <v>0.5</v>
      </c>
      <c r="P146" s="79">
        <v>0.5</v>
      </c>
      <c r="Q146" s="79">
        <v>0.5</v>
      </c>
      <c r="R146" s="79">
        <v>0.4</v>
      </c>
      <c r="S146" s="79">
        <v>0.4</v>
      </c>
      <c r="T146" s="79">
        <v>0.3</v>
      </c>
      <c r="U146" s="79">
        <v>0.3</v>
      </c>
      <c r="V146" s="79">
        <v>0.3</v>
      </c>
      <c r="W146" s="79">
        <v>0.4</v>
      </c>
      <c r="X146" s="79">
        <v>0.5</v>
      </c>
      <c r="Y146" s="79">
        <v>0.5</v>
      </c>
      <c r="Z146" s="79">
        <v>0.4</v>
      </c>
      <c r="AA146" s="79">
        <v>0.5</v>
      </c>
      <c r="AB146" s="79">
        <v>0.4</v>
      </c>
      <c r="AC146" s="84">
        <v>0.2</v>
      </c>
      <c r="AD146" s="39"/>
      <c r="AE146" s="39"/>
      <c r="AF146" s="39"/>
      <c r="AG146" s="39"/>
      <c r="AH146" s="39"/>
      <c r="AI146" s="39"/>
      <c r="AJ146" s="39"/>
      <c r="AK146" s="39"/>
    </row>
    <row r="147" spans="1:58" ht="30.6" customHeight="1" x14ac:dyDescent="0.3">
      <c r="A147" s="1102" t="str">
        <f>A132</f>
        <v>Dining and Café</v>
      </c>
      <c r="B147" s="1193" t="s">
        <v>251</v>
      </c>
      <c r="C147" s="1209" t="s">
        <v>337</v>
      </c>
      <c r="D147" s="1099" t="s">
        <v>789</v>
      </c>
      <c r="E147" s="402" t="s">
        <v>468</v>
      </c>
      <c r="F147" s="408">
        <v>0.25</v>
      </c>
      <c r="G147" s="408">
        <v>0</v>
      </c>
      <c r="H147" s="408">
        <v>0</v>
      </c>
      <c r="I147" s="394">
        <v>1</v>
      </c>
      <c r="J147" s="408">
        <v>0.25</v>
      </c>
      <c r="K147" s="411">
        <v>0.25</v>
      </c>
      <c r="L147" s="412">
        <v>0.25</v>
      </c>
      <c r="M147" s="412">
        <v>0.25</v>
      </c>
      <c r="N147" s="412">
        <v>0.25</v>
      </c>
      <c r="O147" s="394">
        <v>0.25</v>
      </c>
      <c r="P147" s="394">
        <v>0.25</v>
      </c>
      <c r="Q147" s="394">
        <v>0.25</v>
      </c>
      <c r="R147" s="394">
        <v>0.25</v>
      </c>
      <c r="S147" s="394">
        <v>0.25</v>
      </c>
      <c r="T147" s="394">
        <v>0.25</v>
      </c>
      <c r="U147" s="394">
        <v>0.25</v>
      </c>
      <c r="V147" s="408">
        <v>0.25</v>
      </c>
      <c r="W147" s="394">
        <v>0.25</v>
      </c>
      <c r="X147" s="394">
        <v>0.25</v>
      </c>
      <c r="Y147" s="394">
        <v>0.25</v>
      </c>
      <c r="Z147" s="394">
        <v>0.25</v>
      </c>
      <c r="AA147" s="394">
        <v>0.25</v>
      </c>
      <c r="AB147" s="394">
        <v>0.25</v>
      </c>
      <c r="AC147" s="395">
        <v>0.25</v>
      </c>
      <c r="AD147" s="39"/>
      <c r="AE147" s="39"/>
      <c r="AF147" s="39"/>
      <c r="AG147" s="39"/>
      <c r="AH147" s="39"/>
      <c r="AI147" s="39"/>
      <c r="AJ147" s="39"/>
      <c r="AK147" s="39"/>
    </row>
    <row r="148" spans="1:58" ht="30.6" customHeight="1" x14ac:dyDescent="0.3">
      <c r="A148" s="1103"/>
      <c r="B148" s="1194"/>
      <c r="C148" s="1207"/>
      <c r="D148" s="1100"/>
      <c r="E148" s="404" t="s">
        <v>475</v>
      </c>
      <c r="F148" s="400">
        <v>0.25</v>
      </c>
      <c r="G148" s="400">
        <v>0</v>
      </c>
      <c r="H148" s="78">
        <v>0</v>
      </c>
      <c r="I148" s="78">
        <v>1</v>
      </c>
      <c r="J148" s="78">
        <v>1</v>
      </c>
      <c r="K148" s="400">
        <v>0.25</v>
      </c>
      <c r="L148" s="400">
        <v>0.25</v>
      </c>
      <c r="M148" s="400">
        <v>0.25</v>
      </c>
      <c r="N148" s="78">
        <v>0.25</v>
      </c>
      <c r="O148" s="78">
        <v>0.25</v>
      </c>
      <c r="P148" s="78">
        <v>0.25</v>
      </c>
      <c r="Q148" s="78">
        <v>0.25</v>
      </c>
      <c r="R148" s="78">
        <v>0.25</v>
      </c>
      <c r="S148" s="78">
        <v>0.25</v>
      </c>
      <c r="T148" s="78">
        <v>0.25</v>
      </c>
      <c r="U148" s="78">
        <v>0.25</v>
      </c>
      <c r="V148" s="78">
        <v>0.25</v>
      </c>
      <c r="W148" s="78">
        <v>0.25</v>
      </c>
      <c r="X148" s="78">
        <v>0.25</v>
      </c>
      <c r="Y148" s="78">
        <v>0.25</v>
      </c>
      <c r="Z148" s="78">
        <v>0.25</v>
      </c>
      <c r="AA148" s="78">
        <v>0.25</v>
      </c>
      <c r="AB148" s="78">
        <v>0.25</v>
      </c>
      <c r="AC148" s="396">
        <v>0.25</v>
      </c>
      <c r="AD148" s="39"/>
      <c r="AE148" s="39"/>
      <c r="AF148" s="39"/>
      <c r="AG148" s="39"/>
      <c r="AH148" s="39"/>
      <c r="AI148" s="39"/>
      <c r="AJ148" s="39"/>
      <c r="AK148" s="39"/>
    </row>
    <row r="149" spans="1:58" ht="30.6" customHeight="1" thickBot="1" x14ac:dyDescent="0.35">
      <c r="A149" s="1104"/>
      <c r="B149" s="1195"/>
      <c r="C149" s="1208"/>
      <c r="D149" s="1101"/>
      <c r="E149" s="406" t="s">
        <v>477</v>
      </c>
      <c r="F149" s="410">
        <v>0.25</v>
      </c>
      <c r="G149" s="410">
        <v>0</v>
      </c>
      <c r="H149" s="410">
        <v>0</v>
      </c>
      <c r="I149" s="397">
        <v>1</v>
      </c>
      <c r="J149" s="397">
        <v>1</v>
      </c>
      <c r="K149" s="409">
        <v>0.25</v>
      </c>
      <c r="L149" s="409">
        <v>0.25</v>
      </c>
      <c r="M149" s="409">
        <v>0.25</v>
      </c>
      <c r="N149" s="409">
        <v>0.25</v>
      </c>
      <c r="O149" s="397">
        <v>0.25</v>
      </c>
      <c r="P149" s="397">
        <v>0.25</v>
      </c>
      <c r="Q149" s="397">
        <v>0.25</v>
      </c>
      <c r="R149" s="397">
        <v>0.25</v>
      </c>
      <c r="S149" s="397">
        <v>0.25</v>
      </c>
      <c r="T149" s="397">
        <v>0.25</v>
      </c>
      <c r="U149" s="397">
        <v>0.25</v>
      </c>
      <c r="V149" s="397">
        <v>0.25</v>
      </c>
      <c r="W149" s="397">
        <v>0.25</v>
      </c>
      <c r="X149" s="397">
        <v>0.25</v>
      </c>
      <c r="Y149" s="397">
        <v>0.25</v>
      </c>
      <c r="Z149" s="397">
        <v>0.25</v>
      </c>
      <c r="AA149" s="397">
        <v>0.25</v>
      </c>
      <c r="AB149" s="397">
        <v>0.25</v>
      </c>
      <c r="AC149" s="398">
        <v>0.25</v>
      </c>
      <c r="AD149" s="39"/>
      <c r="AE149" s="39"/>
      <c r="AF149" s="39"/>
      <c r="AG149" s="39"/>
      <c r="AH149" s="39"/>
      <c r="AI149" s="39"/>
      <c r="AJ149" s="39"/>
      <c r="AK149" s="39"/>
    </row>
    <row r="150" spans="1:58" ht="30.6" customHeight="1" x14ac:dyDescent="0.3">
      <c r="A150" s="1087" t="str">
        <f>A132</f>
        <v>Dining and Café</v>
      </c>
      <c r="B150" s="1143" t="str">
        <f>B144</f>
        <v>Restaurant</v>
      </c>
      <c r="C150" s="1083" t="s">
        <v>770</v>
      </c>
      <c r="D150" s="1138" t="s">
        <v>790</v>
      </c>
      <c r="E150" s="343" t="s">
        <v>468</v>
      </c>
      <c r="F150" s="350">
        <f>IF(F141=1,Thermostat!$B$3,Thermostat!$B$4)</f>
        <v>70</v>
      </c>
      <c r="G150" s="350">
        <f>IF(G141=1,Thermostat!$B$3,Thermostat!$B$4)</f>
        <v>60</v>
      </c>
      <c r="H150" s="350">
        <f>IF(H141=1,Thermostat!$B$3,Thermostat!$B$4)</f>
        <v>60</v>
      </c>
      <c r="I150" s="350">
        <f>IF(I141=1,Thermostat!$B$3,Thermostat!$B$4)</f>
        <v>60</v>
      </c>
      <c r="J150" s="350">
        <f>IF(J141=1,Thermostat!$B$3,Thermostat!$B$4)</f>
        <v>70</v>
      </c>
      <c r="K150" s="350">
        <f>IF(K141=1,Thermostat!$B$3,Thermostat!$B$4)</f>
        <v>70</v>
      </c>
      <c r="L150" s="350">
        <f>IF(L141=1,Thermostat!$B$3,Thermostat!$B$4)</f>
        <v>70</v>
      </c>
      <c r="M150" s="350">
        <f>IF(M141=1,Thermostat!$B$3,Thermostat!$B$4)</f>
        <v>70</v>
      </c>
      <c r="N150" s="350">
        <f>IF(N141=1,Thermostat!$B$3,Thermostat!$B$4)</f>
        <v>70</v>
      </c>
      <c r="O150" s="350">
        <f>IF(O141=1,Thermostat!$B$3,Thermostat!$B$4)</f>
        <v>70</v>
      </c>
      <c r="P150" s="350">
        <f>IF(P141=1,Thermostat!$B$3,Thermostat!$B$4)</f>
        <v>70</v>
      </c>
      <c r="Q150" s="350">
        <f>IF(Q141=1,Thermostat!$B$3,Thermostat!$B$4)</f>
        <v>70</v>
      </c>
      <c r="R150" s="350">
        <f>IF(R141=1,Thermostat!$B$3,Thermostat!$B$4)</f>
        <v>70</v>
      </c>
      <c r="S150" s="350">
        <f>IF(S141=1,Thermostat!$B$3,Thermostat!$B$4)</f>
        <v>70</v>
      </c>
      <c r="T150" s="350">
        <f>IF(T141=1,Thermostat!$B$3,Thermostat!$B$4)</f>
        <v>70</v>
      </c>
      <c r="U150" s="350">
        <f>IF(U141=1,Thermostat!$B$3,Thermostat!$B$4)</f>
        <v>70</v>
      </c>
      <c r="V150" s="350">
        <f>IF(V141=1,Thermostat!$B$3,Thermostat!$B$4)</f>
        <v>70</v>
      </c>
      <c r="W150" s="350">
        <f>IF(W141=1,Thermostat!$B$3,Thermostat!$B$4)</f>
        <v>70</v>
      </c>
      <c r="X150" s="350">
        <f>IF(X141=1,Thermostat!$B$3,Thermostat!$B$4)</f>
        <v>70</v>
      </c>
      <c r="Y150" s="350">
        <f>IF(Y141=1,Thermostat!$B$3,Thermostat!$B$4)</f>
        <v>70</v>
      </c>
      <c r="Z150" s="350">
        <f>IF(Z141=1,Thermostat!$B$3,Thermostat!$B$4)</f>
        <v>70</v>
      </c>
      <c r="AA150" s="350">
        <f>IF(AA141=1,Thermostat!$B$3,Thermostat!$B$4)</f>
        <v>70</v>
      </c>
      <c r="AB150" s="350">
        <f>IF(AB141=1,Thermostat!$B$3,Thermostat!$B$4)</f>
        <v>70</v>
      </c>
      <c r="AC150" s="351">
        <f>IF(AC141=1,Thermostat!$B$3,Thermostat!$B$4)</f>
        <v>70</v>
      </c>
      <c r="AD150" s="39"/>
      <c r="AE150" s="39"/>
      <c r="AF150" s="39"/>
      <c r="AG150" s="39"/>
      <c r="AH150" s="39"/>
      <c r="AI150" s="39"/>
      <c r="AJ150" s="39"/>
      <c r="AK150" s="39"/>
    </row>
    <row r="151" spans="1:58" ht="30.6" customHeight="1" x14ac:dyDescent="0.3">
      <c r="A151" s="1081"/>
      <c r="B151" s="1144"/>
      <c r="C151" s="1060"/>
      <c r="D151" s="1078"/>
      <c r="E151" s="344" t="s">
        <v>475</v>
      </c>
      <c r="F151" s="352">
        <f>IF(F142=1,Thermostat!$B$3,Thermostat!$B$4)</f>
        <v>70</v>
      </c>
      <c r="G151" s="352">
        <f>IF(G142=1,Thermostat!$B$3,Thermostat!$B$4)</f>
        <v>60</v>
      </c>
      <c r="H151" s="352">
        <f>IF(H142=1,Thermostat!$B$3,Thermostat!$B$4)</f>
        <v>60</v>
      </c>
      <c r="I151" s="352">
        <f>IF(I142=1,Thermostat!$B$3,Thermostat!$B$4)</f>
        <v>60</v>
      </c>
      <c r="J151" s="352">
        <f>IF(J142=1,Thermostat!$B$3,Thermostat!$B$4)</f>
        <v>60</v>
      </c>
      <c r="K151" s="352">
        <f>IF(K142=1,Thermostat!$B$3,Thermostat!$B$4)</f>
        <v>70</v>
      </c>
      <c r="L151" s="352">
        <f>IF(L142=1,Thermostat!$B$3,Thermostat!$B$4)</f>
        <v>70</v>
      </c>
      <c r="M151" s="352">
        <f>IF(M142=1,Thermostat!$B$3,Thermostat!$B$4)</f>
        <v>70</v>
      </c>
      <c r="N151" s="352">
        <f>IF(N142=1,Thermostat!$B$3,Thermostat!$B$4)</f>
        <v>70</v>
      </c>
      <c r="O151" s="352">
        <f>IF(O142=1,Thermostat!$B$3,Thermostat!$B$4)</f>
        <v>70</v>
      </c>
      <c r="P151" s="352">
        <f>IF(P142=1,Thermostat!$B$3,Thermostat!$B$4)</f>
        <v>70</v>
      </c>
      <c r="Q151" s="352">
        <f>IF(Q142=1,Thermostat!$B$3,Thermostat!$B$4)</f>
        <v>70</v>
      </c>
      <c r="R151" s="352">
        <f>IF(R142=1,Thermostat!$B$3,Thermostat!$B$4)</f>
        <v>70</v>
      </c>
      <c r="S151" s="352">
        <f>IF(S142=1,Thermostat!$B$3,Thermostat!$B$4)</f>
        <v>70</v>
      </c>
      <c r="T151" s="352">
        <f>IF(T142=1,Thermostat!$B$3,Thermostat!$B$4)</f>
        <v>70</v>
      </c>
      <c r="U151" s="352">
        <f>IF(U142=1,Thermostat!$B$3,Thermostat!$B$4)</f>
        <v>70</v>
      </c>
      <c r="V151" s="352">
        <f>IF(V142=1,Thermostat!$B$3,Thermostat!$B$4)</f>
        <v>70</v>
      </c>
      <c r="W151" s="352">
        <f>IF(W142=1,Thermostat!$B$3,Thermostat!$B$4)</f>
        <v>70</v>
      </c>
      <c r="X151" s="352">
        <f>IF(X142=1,Thermostat!$B$3,Thermostat!$B$4)</f>
        <v>70</v>
      </c>
      <c r="Y151" s="352">
        <f>IF(Y142=1,Thermostat!$B$3,Thermostat!$B$4)</f>
        <v>70</v>
      </c>
      <c r="Z151" s="352">
        <f>IF(Z142=1,Thermostat!$B$3,Thermostat!$B$4)</f>
        <v>70</v>
      </c>
      <c r="AA151" s="352">
        <f>IF(AA142=1,Thermostat!$B$3,Thermostat!$B$4)</f>
        <v>70</v>
      </c>
      <c r="AB151" s="352">
        <f>IF(AB142=1,Thermostat!$B$3,Thermostat!$B$4)</f>
        <v>70</v>
      </c>
      <c r="AC151" s="353">
        <f>IF(AC142=1,Thermostat!$B$3,Thermostat!$B$4)</f>
        <v>70</v>
      </c>
      <c r="AD151" s="39"/>
      <c r="AE151" s="39"/>
      <c r="AF151" s="39"/>
      <c r="AG151" s="39"/>
      <c r="AH151" s="39"/>
      <c r="AI151" s="39"/>
      <c r="AJ151" s="39"/>
      <c r="AK151" s="39"/>
    </row>
    <row r="152" spans="1:58" ht="30.6" customHeight="1" thickBot="1" x14ac:dyDescent="0.35">
      <c r="A152" s="1088"/>
      <c r="B152" s="1172"/>
      <c r="C152" s="1090"/>
      <c r="D152" s="1139"/>
      <c r="E152" s="362" t="s">
        <v>477</v>
      </c>
      <c r="F152" s="352">
        <f>IF(F143=1,Thermostat!$B$3,Thermostat!$B$4)</f>
        <v>70</v>
      </c>
      <c r="G152" s="352">
        <f>IF(G143=1,Thermostat!$B$3,Thermostat!$B$4)</f>
        <v>60</v>
      </c>
      <c r="H152" s="352">
        <f>IF(H143=1,Thermostat!$B$3,Thermostat!$B$4)</f>
        <v>60</v>
      </c>
      <c r="I152" s="352">
        <f>IF(I143=1,Thermostat!$B$3,Thermostat!$B$4)</f>
        <v>60</v>
      </c>
      <c r="J152" s="352">
        <f>IF(J143=1,Thermostat!$B$3,Thermostat!$B$4)</f>
        <v>60</v>
      </c>
      <c r="K152" s="352">
        <f>IF(K143=1,Thermostat!$B$3,Thermostat!$B$4)</f>
        <v>70</v>
      </c>
      <c r="L152" s="352">
        <f>IF(L143=1,Thermostat!$B$3,Thermostat!$B$4)</f>
        <v>70</v>
      </c>
      <c r="M152" s="352">
        <f>IF(M143=1,Thermostat!$B$3,Thermostat!$B$4)</f>
        <v>70</v>
      </c>
      <c r="N152" s="352">
        <f>IF(N143=1,Thermostat!$B$3,Thermostat!$B$4)</f>
        <v>70</v>
      </c>
      <c r="O152" s="352">
        <f>IF(O143=1,Thermostat!$B$3,Thermostat!$B$4)</f>
        <v>70</v>
      </c>
      <c r="P152" s="352">
        <f>IF(P143=1,Thermostat!$B$3,Thermostat!$B$4)</f>
        <v>70</v>
      </c>
      <c r="Q152" s="352">
        <f>IF(Q143=1,Thermostat!$B$3,Thermostat!$B$4)</f>
        <v>70</v>
      </c>
      <c r="R152" s="352">
        <f>IF(R143=1,Thermostat!$B$3,Thermostat!$B$4)</f>
        <v>70</v>
      </c>
      <c r="S152" s="352">
        <f>IF(S143=1,Thermostat!$B$3,Thermostat!$B$4)</f>
        <v>70</v>
      </c>
      <c r="T152" s="352">
        <f>IF(T143=1,Thermostat!$B$3,Thermostat!$B$4)</f>
        <v>70</v>
      </c>
      <c r="U152" s="352">
        <f>IF(U143=1,Thermostat!$B$3,Thermostat!$B$4)</f>
        <v>70</v>
      </c>
      <c r="V152" s="352">
        <f>IF(V143=1,Thermostat!$B$3,Thermostat!$B$4)</f>
        <v>70</v>
      </c>
      <c r="W152" s="352">
        <f>IF(W143=1,Thermostat!$B$3,Thermostat!$B$4)</f>
        <v>70</v>
      </c>
      <c r="X152" s="352">
        <f>IF(X143=1,Thermostat!$B$3,Thermostat!$B$4)</f>
        <v>70</v>
      </c>
      <c r="Y152" s="352">
        <f>IF(Y143=1,Thermostat!$B$3,Thermostat!$B$4)</f>
        <v>70</v>
      </c>
      <c r="Z152" s="352">
        <f>IF(Z143=1,Thermostat!$B$3,Thermostat!$B$4)</f>
        <v>70</v>
      </c>
      <c r="AA152" s="352">
        <f>IF(AA143=1,Thermostat!$B$3,Thermostat!$B$4)</f>
        <v>70</v>
      </c>
      <c r="AB152" s="352">
        <f>IF(AB143=1,Thermostat!$B$3,Thermostat!$B$4)</f>
        <v>70</v>
      </c>
      <c r="AC152" s="353">
        <f>IF(AC143=1,Thermostat!$B$3,Thermostat!$B$4)</f>
        <v>70</v>
      </c>
      <c r="AD152" s="39"/>
      <c r="AE152" s="39"/>
      <c r="AF152" s="39"/>
      <c r="AG152" s="39"/>
      <c r="AH152" s="39"/>
      <c r="AI152" s="39"/>
      <c r="AJ152" s="39"/>
      <c r="AK152" s="39"/>
    </row>
    <row r="153" spans="1:58" ht="30.6" customHeight="1" x14ac:dyDescent="0.3">
      <c r="A153" s="1068" t="str">
        <f>A132</f>
        <v>Dining and Café</v>
      </c>
      <c r="B153" s="1173" t="str">
        <f>B147</f>
        <v>Restaurant</v>
      </c>
      <c r="C153" s="1059" t="s">
        <v>771</v>
      </c>
      <c r="D153" s="1189" t="s">
        <v>790</v>
      </c>
      <c r="E153" s="383" t="s">
        <v>468</v>
      </c>
      <c r="F153" s="346">
        <f>IF(F141=1,Thermostat!$B$5,Thermostat!$B$6)</f>
        <v>75</v>
      </c>
      <c r="G153" s="346">
        <f>IF(G141=1,Thermostat!$B$5,Thermostat!$B$6)</f>
        <v>85</v>
      </c>
      <c r="H153" s="346">
        <f>IF(H141=1,Thermostat!$B$5,Thermostat!$B$6)</f>
        <v>85</v>
      </c>
      <c r="I153" s="346">
        <f>IF(I141=1,Thermostat!$B$5,Thermostat!$B$6)</f>
        <v>85</v>
      </c>
      <c r="J153" s="346">
        <f>IF(J141=1,Thermostat!$B$5,Thermostat!$B$6)</f>
        <v>75</v>
      </c>
      <c r="K153" s="346">
        <f>IF(K141=1,Thermostat!$B$5,Thermostat!$B$6)</f>
        <v>75</v>
      </c>
      <c r="L153" s="346">
        <f>IF(L141=1,Thermostat!$B$5,Thermostat!$B$6)</f>
        <v>75</v>
      </c>
      <c r="M153" s="346">
        <f>IF(M141=1,Thermostat!$B$5,Thermostat!$B$6)</f>
        <v>75</v>
      </c>
      <c r="N153" s="346">
        <f>IF(N141=1,Thermostat!$B$5,Thermostat!$B$6)</f>
        <v>75</v>
      </c>
      <c r="O153" s="346">
        <f>IF(O141=1,Thermostat!$B$5,Thermostat!$B$6)</f>
        <v>75</v>
      </c>
      <c r="P153" s="346">
        <f>IF(P141=1,Thermostat!$B$5,Thermostat!$B$6)</f>
        <v>75</v>
      </c>
      <c r="Q153" s="346">
        <f>IF(Q141=1,Thermostat!$B$5,Thermostat!$B$6)</f>
        <v>75</v>
      </c>
      <c r="R153" s="346">
        <f>IF(R141=1,Thermostat!$B$5,Thermostat!$B$6)</f>
        <v>75</v>
      </c>
      <c r="S153" s="346">
        <f>IF(S141=1,Thermostat!$B$5,Thermostat!$B$6)</f>
        <v>75</v>
      </c>
      <c r="T153" s="346">
        <f>IF(T141=1,Thermostat!$B$5,Thermostat!$B$6)</f>
        <v>75</v>
      </c>
      <c r="U153" s="346">
        <f>IF(U141=1,Thermostat!$B$5,Thermostat!$B$6)</f>
        <v>75</v>
      </c>
      <c r="V153" s="346">
        <f>IF(V141=1,Thermostat!$B$5,Thermostat!$B$6)</f>
        <v>75</v>
      </c>
      <c r="W153" s="346">
        <f>IF(W141=1,Thermostat!$B$5,Thermostat!$B$6)</f>
        <v>75</v>
      </c>
      <c r="X153" s="346">
        <f>IF(X141=1,Thermostat!$B$5,Thermostat!$B$6)</f>
        <v>75</v>
      </c>
      <c r="Y153" s="346">
        <f>IF(Y141=1,Thermostat!$B$5,Thermostat!$B$6)</f>
        <v>75</v>
      </c>
      <c r="Z153" s="346">
        <f>IF(Z141=1,Thermostat!$B$5,Thermostat!$B$6)</f>
        <v>75</v>
      </c>
      <c r="AA153" s="346">
        <f>IF(AA141=1,Thermostat!$B$5,Thermostat!$B$6)</f>
        <v>75</v>
      </c>
      <c r="AB153" s="346">
        <f>IF(AB141=1,Thermostat!$B$5,Thermostat!$B$6)</f>
        <v>75</v>
      </c>
      <c r="AC153" s="347">
        <f>IF(AC141=1,Thermostat!$B$5,Thermostat!$B$6)</f>
        <v>75</v>
      </c>
      <c r="AD153" s="39"/>
      <c r="AE153" s="39"/>
      <c r="AF153" s="39"/>
      <c r="AG153" s="39"/>
      <c r="AH153" s="39"/>
      <c r="AI153" s="39"/>
      <c r="AJ153" s="39"/>
      <c r="AK153" s="39"/>
    </row>
    <row r="154" spans="1:58" ht="30.6" customHeight="1" x14ac:dyDescent="0.3">
      <c r="A154" s="1069"/>
      <c r="B154" s="1144"/>
      <c r="C154" s="1060"/>
      <c r="D154" s="1190"/>
      <c r="E154" s="384" t="s">
        <v>475</v>
      </c>
      <c r="F154" s="339">
        <f>IF(F142=1,Thermostat!$B$5,Thermostat!$B$6)</f>
        <v>75</v>
      </c>
      <c r="G154" s="339">
        <f>IF(G142=1,Thermostat!$B$5,Thermostat!$B$6)</f>
        <v>85</v>
      </c>
      <c r="H154" s="339">
        <f>IF(H142=1,Thermostat!$B$5,Thermostat!$B$6)</f>
        <v>85</v>
      </c>
      <c r="I154" s="339">
        <f>IF(I142=1,Thermostat!$B$5,Thermostat!$B$6)</f>
        <v>85</v>
      </c>
      <c r="J154" s="339">
        <f>IF(J142=1,Thermostat!$B$5,Thermostat!$B$6)</f>
        <v>85</v>
      </c>
      <c r="K154" s="339">
        <f>IF(K142=1,Thermostat!$B$5,Thermostat!$B$6)</f>
        <v>75</v>
      </c>
      <c r="L154" s="339">
        <f>IF(L142=1,Thermostat!$B$5,Thermostat!$B$6)</f>
        <v>75</v>
      </c>
      <c r="M154" s="339">
        <f>IF(M142=1,Thermostat!$B$5,Thermostat!$B$6)</f>
        <v>75</v>
      </c>
      <c r="N154" s="339">
        <f>IF(N142=1,Thermostat!$B$5,Thermostat!$B$6)</f>
        <v>75</v>
      </c>
      <c r="O154" s="339">
        <f>IF(O142=1,Thermostat!$B$5,Thermostat!$B$6)</f>
        <v>75</v>
      </c>
      <c r="P154" s="339">
        <f>IF(P142=1,Thermostat!$B$5,Thermostat!$B$6)</f>
        <v>75</v>
      </c>
      <c r="Q154" s="339">
        <f>IF(Q142=1,Thermostat!$B$5,Thermostat!$B$6)</f>
        <v>75</v>
      </c>
      <c r="R154" s="339">
        <f>IF(R142=1,Thermostat!$B$5,Thermostat!$B$6)</f>
        <v>75</v>
      </c>
      <c r="S154" s="339">
        <f>IF(S142=1,Thermostat!$B$5,Thermostat!$B$6)</f>
        <v>75</v>
      </c>
      <c r="T154" s="339">
        <f>IF(T142=1,Thermostat!$B$5,Thermostat!$B$6)</f>
        <v>75</v>
      </c>
      <c r="U154" s="339">
        <f>IF(U142=1,Thermostat!$B$5,Thermostat!$B$6)</f>
        <v>75</v>
      </c>
      <c r="V154" s="339">
        <f>IF(V142=1,Thermostat!$B$5,Thermostat!$B$6)</f>
        <v>75</v>
      </c>
      <c r="W154" s="339">
        <f>IF(W142=1,Thermostat!$B$5,Thermostat!$B$6)</f>
        <v>75</v>
      </c>
      <c r="X154" s="339">
        <f>IF(X142=1,Thermostat!$B$5,Thermostat!$B$6)</f>
        <v>75</v>
      </c>
      <c r="Y154" s="339">
        <f>IF(Y142=1,Thermostat!$B$5,Thermostat!$B$6)</f>
        <v>75</v>
      </c>
      <c r="Z154" s="339">
        <f>IF(Z142=1,Thermostat!$B$5,Thermostat!$B$6)</f>
        <v>75</v>
      </c>
      <c r="AA154" s="339">
        <f>IF(AA142=1,Thermostat!$B$5,Thermostat!$B$6)</f>
        <v>75</v>
      </c>
      <c r="AB154" s="339">
        <f>IF(AB142=1,Thermostat!$B$5,Thermostat!$B$6)</f>
        <v>75</v>
      </c>
      <c r="AC154" s="340">
        <f>IF(AC142=1,Thermostat!$B$5,Thermostat!$B$6)</f>
        <v>75</v>
      </c>
      <c r="AD154" s="39"/>
      <c r="AE154" s="39"/>
      <c r="AF154" s="39"/>
      <c r="AG154" s="39"/>
      <c r="AH154" s="39"/>
      <c r="AI154" s="39"/>
      <c r="AJ154" s="39"/>
      <c r="AK154" s="39"/>
    </row>
    <row r="155" spans="1:58" ht="30.6" customHeight="1" thickBot="1" x14ac:dyDescent="0.35">
      <c r="A155" s="1070"/>
      <c r="B155" s="1174"/>
      <c r="C155" s="1061"/>
      <c r="D155" s="1191"/>
      <c r="E155" s="385" t="s">
        <v>477</v>
      </c>
      <c r="F155" s="348">
        <f>IF(F143=1,Thermostat!$B$5,Thermostat!$B$6)</f>
        <v>75</v>
      </c>
      <c r="G155" s="348">
        <f>IF(G143=1,Thermostat!$B$5,Thermostat!$B$6)</f>
        <v>85</v>
      </c>
      <c r="H155" s="348">
        <f>IF(H143=1,Thermostat!$B$5,Thermostat!$B$6)</f>
        <v>85</v>
      </c>
      <c r="I155" s="348">
        <f>IF(I143=1,Thermostat!$B$5,Thermostat!$B$6)</f>
        <v>85</v>
      </c>
      <c r="J155" s="348">
        <f>IF(J143=1,Thermostat!$B$5,Thermostat!$B$6)</f>
        <v>85</v>
      </c>
      <c r="K155" s="348">
        <f>IF(K143=1,Thermostat!$B$5,Thermostat!$B$6)</f>
        <v>75</v>
      </c>
      <c r="L155" s="348">
        <f>IF(L143=1,Thermostat!$B$5,Thermostat!$B$6)</f>
        <v>75</v>
      </c>
      <c r="M155" s="348">
        <f>IF(M143=1,Thermostat!$B$5,Thermostat!$B$6)</f>
        <v>75</v>
      </c>
      <c r="N155" s="348">
        <f>IF(N143=1,Thermostat!$B$5,Thermostat!$B$6)</f>
        <v>75</v>
      </c>
      <c r="O155" s="348">
        <f>IF(O143=1,Thermostat!$B$5,Thermostat!$B$6)</f>
        <v>75</v>
      </c>
      <c r="P155" s="348">
        <f>IF(P143=1,Thermostat!$B$5,Thermostat!$B$6)</f>
        <v>75</v>
      </c>
      <c r="Q155" s="348">
        <f>IF(Q143=1,Thermostat!$B$5,Thermostat!$B$6)</f>
        <v>75</v>
      </c>
      <c r="R155" s="348">
        <f>IF(R143=1,Thermostat!$B$5,Thermostat!$B$6)</f>
        <v>75</v>
      </c>
      <c r="S155" s="348">
        <f>IF(S143=1,Thermostat!$B$5,Thermostat!$B$6)</f>
        <v>75</v>
      </c>
      <c r="T155" s="348">
        <f>IF(T143=1,Thermostat!$B$5,Thermostat!$B$6)</f>
        <v>75</v>
      </c>
      <c r="U155" s="348">
        <f>IF(U143=1,Thermostat!$B$5,Thermostat!$B$6)</f>
        <v>75</v>
      </c>
      <c r="V155" s="348">
        <f>IF(V143=1,Thermostat!$B$5,Thermostat!$B$6)</f>
        <v>75</v>
      </c>
      <c r="W155" s="348">
        <f>IF(W143=1,Thermostat!$B$5,Thermostat!$B$6)</f>
        <v>75</v>
      </c>
      <c r="X155" s="348">
        <f>IF(X143=1,Thermostat!$B$5,Thermostat!$B$6)</f>
        <v>75</v>
      </c>
      <c r="Y155" s="348">
        <f>IF(Y143=1,Thermostat!$B$5,Thermostat!$B$6)</f>
        <v>75</v>
      </c>
      <c r="Z155" s="348">
        <f>IF(Z143=1,Thermostat!$B$5,Thermostat!$B$6)</f>
        <v>75</v>
      </c>
      <c r="AA155" s="348">
        <f>IF(AA143=1,Thermostat!$B$5,Thermostat!$B$6)</f>
        <v>75</v>
      </c>
      <c r="AB155" s="348">
        <f>IF(AB143=1,Thermostat!$B$5,Thermostat!$B$6)</f>
        <v>75</v>
      </c>
      <c r="AC155" s="349">
        <f>IF(AC143=1,Thermostat!$B$5,Thermostat!$B$6)</f>
        <v>75</v>
      </c>
      <c r="AD155" s="39"/>
      <c r="AE155" s="39"/>
      <c r="AF155" s="39"/>
      <c r="AG155" s="39"/>
      <c r="AH155" s="39"/>
      <c r="AI155" s="39"/>
      <c r="AJ155" s="39"/>
      <c r="AK155" s="39"/>
    </row>
    <row r="156" spans="1:58" ht="30.6" customHeight="1" thickBot="1" x14ac:dyDescent="0.35">
      <c r="A156" s="1183" t="s">
        <v>144</v>
      </c>
      <c r="B156" s="1184"/>
      <c r="C156" s="1184"/>
      <c r="D156" s="1184"/>
      <c r="E156" s="1184"/>
      <c r="F156" s="1184"/>
      <c r="G156" s="1184"/>
      <c r="H156" s="1184"/>
      <c r="I156" s="1184"/>
      <c r="J156" s="1184"/>
      <c r="K156" s="1184"/>
      <c r="L156" s="1184"/>
      <c r="M156" s="1184"/>
      <c r="N156" s="1184"/>
      <c r="O156" s="1184"/>
      <c r="P156" s="1184"/>
      <c r="Q156" s="1184"/>
      <c r="R156" s="1184"/>
      <c r="S156" s="1184"/>
      <c r="T156" s="1184"/>
      <c r="U156" s="1184"/>
      <c r="V156" s="1184"/>
      <c r="W156" s="1184"/>
      <c r="X156" s="1184"/>
      <c r="Y156" s="1184"/>
      <c r="Z156" s="1184"/>
      <c r="AA156" s="1184"/>
      <c r="AB156" s="1184"/>
      <c r="AC156" s="1185"/>
      <c r="AD156" s="39"/>
      <c r="AE156" s="39"/>
      <c r="AF156" s="39"/>
      <c r="AG156" s="39"/>
      <c r="AH156" s="39"/>
      <c r="AI156" s="39"/>
      <c r="AJ156" s="39"/>
      <c r="AK156" s="39"/>
    </row>
    <row r="157" spans="1:58" ht="30.6" customHeight="1" x14ac:dyDescent="0.3">
      <c r="A157" s="1102" t="s">
        <v>144</v>
      </c>
      <c r="B157" s="1193" t="s">
        <v>144</v>
      </c>
      <c r="C157" s="1193" t="s">
        <v>791</v>
      </c>
      <c r="D157" s="1094" t="s">
        <v>785</v>
      </c>
      <c r="E157" s="431" t="s">
        <v>468</v>
      </c>
      <c r="F157" s="394">
        <v>0.05</v>
      </c>
      <c r="G157" s="394">
        <v>0</v>
      </c>
      <c r="H157" s="394">
        <v>0</v>
      </c>
      <c r="I157" s="394">
        <v>0</v>
      </c>
      <c r="J157" s="394">
        <v>0</v>
      </c>
      <c r="K157" s="394">
        <v>0.05</v>
      </c>
      <c r="L157" s="394">
        <v>0.1</v>
      </c>
      <c r="M157" s="394">
        <v>0.4</v>
      </c>
      <c r="N157" s="394">
        <v>0.4</v>
      </c>
      <c r="O157" s="394">
        <v>0.4</v>
      </c>
      <c r="P157" s="394">
        <v>0.2</v>
      </c>
      <c r="Q157" s="394">
        <v>0.5</v>
      </c>
      <c r="R157" s="394">
        <v>0.8</v>
      </c>
      <c r="S157" s="394">
        <v>0.7</v>
      </c>
      <c r="T157" s="394">
        <v>0.4</v>
      </c>
      <c r="U157" s="394">
        <v>0.2</v>
      </c>
      <c r="V157" s="394">
        <v>0.25</v>
      </c>
      <c r="W157" s="394">
        <v>0.5</v>
      </c>
      <c r="X157" s="394">
        <v>0.8</v>
      </c>
      <c r="Y157" s="394">
        <v>0.8</v>
      </c>
      <c r="Z157" s="394">
        <v>0.8</v>
      </c>
      <c r="AA157" s="394">
        <v>0.5</v>
      </c>
      <c r="AB157" s="394">
        <v>0.35</v>
      </c>
      <c r="AC157" s="395">
        <v>0.2</v>
      </c>
      <c r="AD157" s="39"/>
      <c r="AE157" s="540"/>
      <c r="AF157" s="540"/>
      <c r="AG157" s="540"/>
      <c r="AH157" s="540"/>
      <c r="AI157" s="540"/>
      <c r="AJ157" s="540"/>
      <c r="AK157" s="540"/>
      <c r="AL157" s="540"/>
      <c r="AM157" s="540"/>
      <c r="AN157" s="540"/>
      <c r="AO157" s="540"/>
      <c r="AP157" s="540"/>
      <c r="AQ157" s="540"/>
      <c r="AR157" s="540"/>
      <c r="AS157" s="540"/>
      <c r="AT157" s="540"/>
      <c r="AU157" s="540"/>
      <c r="AV157" s="540"/>
      <c r="AW157" s="540"/>
      <c r="AX157" s="540"/>
      <c r="AY157" s="540"/>
      <c r="AZ157" s="540"/>
      <c r="BA157" s="540"/>
      <c r="BB157" s="540"/>
      <c r="BC157" s="540"/>
      <c r="BD157" s="540"/>
      <c r="BE157" s="540"/>
      <c r="BF157" s="540"/>
    </row>
    <row r="158" spans="1:58" ht="30.6" customHeight="1" x14ac:dyDescent="0.3">
      <c r="A158" s="1103"/>
      <c r="B158" s="1194"/>
      <c r="C158" s="1194"/>
      <c r="D158" s="1095"/>
      <c r="E158" s="432" t="s">
        <v>475</v>
      </c>
      <c r="F158" s="78">
        <v>0.05</v>
      </c>
      <c r="G158" s="78">
        <v>0</v>
      </c>
      <c r="H158" s="78">
        <v>0</v>
      </c>
      <c r="I158" s="78">
        <v>0</v>
      </c>
      <c r="J158" s="78">
        <v>0</v>
      </c>
      <c r="K158" s="78">
        <v>0</v>
      </c>
      <c r="L158" s="78">
        <v>0.05</v>
      </c>
      <c r="M158" s="78">
        <v>0.5</v>
      </c>
      <c r="N158" s="78">
        <v>0.5</v>
      </c>
      <c r="O158" s="78">
        <v>0.4</v>
      </c>
      <c r="P158" s="78">
        <v>0.2</v>
      </c>
      <c r="Q158" s="78">
        <v>0.45</v>
      </c>
      <c r="R158" s="78">
        <v>0.5</v>
      </c>
      <c r="S158" s="78">
        <v>0.5</v>
      </c>
      <c r="T158" s="78">
        <v>0.35</v>
      </c>
      <c r="U158" s="78">
        <v>0.3</v>
      </c>
      <c r="V158" s="78">
        <v>0.3</v>
      </c>
      <c r="W158" s="78">
        <v>0.3</v>
      </c>
      <c r="X158" s="78">
        <v>0.7</v>
      </c>
      <c r="Y158" s="78">
        <v>0.9</v>
      </c>
      <c r="Z158" s="78">
        <v>0.7</v>
      </c>
      <c r="AA158" s="78">
        <v>0.65</v>
      </c>
      <c r="AB158" s="78">
        <v>0.55000000000000004</v>
      </c>
      <c r="AC158" s="396">
        <v>0.35</v>
      </c>
      <c r="AD158" s="39"/>
      <c r="AE158" s="540"/>
      <c r="AF158" s="540"/>
      <c r="AG158" s="540"/>
      <c r="AH158" s="540"/>
      <c r="AI158" s="540"/>
      <c r="AJ158" s="540"/>
      <c r="AK158" s="540"/>
      <c r="AL158" s="540"/>
      <c r="AM158" s="540"/>
      <c r="AN158" s="540"/>
      <c r="AO158" s="540"/>
      <c r="AP158" s="540"/>
      <c r="AQ158" s="540"/>
      <c r="AR158" s="540"/>
      <c r="AS158" s="540"/>
      <c r="AT158" s="540"/>
      <c r="AU158" s="540"/>
      <c r="AV158" s="540"/>
      <c r="AW158" s="540"/>
      <c r="AX158" s="540"/>
      <c r="AY158" s="540"/>
      <c r="AZ158" s="540"/>
      <c r="BA158" s="540"/>
      <c r="BB158" s="540"/>
      <c r="BC158" s="540"/>
      <c r="BD158" s="540"/>
      <c r="BE158" s="540"/>
      <c r="BF158" s="540"/>
    </row>
    <row r="159" spans="1:58" ht="30.6" customHeight="1" thickBot="1" x14ac:dyDescent="0.35">
      <c r="A159" s="1104"/>
      <c r="B159" s="1195"/>
      <c r="C159" s="1195"/>
      <c r="D159" s="1096"/>
      <c r="E159" s="433" t="s">
        <v>477</v>
      </c>
      <c r="F159" s="397">
        <v>0.05</v>
      </c>
      <c r="G159" s="397">
        <v>0</v>
      </c>
      <c r="H159" s="397">
        <v>0</v>
      </c>
      <c r="I159" s="397">
        <v>0</v>
      </c>
      <c r="J159" s="397">
        <v>0</v>
      </c>
      <c r="K159" s="397">
        <v>0</v>
      </c>
      <c r="L159" s="397">
        <v>0.05</v>
      </c>
      <c r="M159" s="397">
        <v>0.5</v>
      </c>
      <c r="N159" s="397">
        <v>0.5</v>
      </c>
      <c r="O159" s="397">
        <v>0.2</v>
      </c>
      <c r="P159" s="397">
        <v>0.2</v>
      </c>
      <c r="Q159" s="397">
        <v>0.3</v>
      </c>
      <c r="R159" s="397">
        <v>0.5</v>
      </c>
      <c r="S159" s="397">
        <v>0.5</v>
      </c>
      <c r="T159" s="397">
        <v>0.3</v>
      </c>
      <c r="U159" s="397">
        <v>0.2</v>
      </c>
      <c r="V159" s="397">
        <v>0.25</v>
      </c>
      <c r="W159" s="397">
        <v>0.35</v>
      </c>
      <c r="X159" s="397">
        <v>0.55000000000000004</v>
      </c>
      <c r="Y159" s="397">
        <v>0.65</v>
      </c>
      <c r="Z159" s="397">
        <v>0.7</v>
      </c>
      <c r="AA159" s="397">
        <v>0.35</v>
      </c>
      <c r="AB159" s="397">
        <v>0.2</v>
      </c>
      <c r="AC159" s="398">
        <v>0.2</v>
      </c>
      <c r="AD159" s="39"/>
      <c r="AE159" s="540"/>
      <c r="AF159" s="540"/>
      <c r="AG159" s="540"/>
      <c r="AH159" s="540"/>
      <c r="AI159" s="540"/>
      <c r="AJ159" s="540"/>
      <c r="AK159" s="540"/>
      <c r="AL159" s="540"/>
      <c r="AM159" s="540"/>
      <c r="AN159" s="540"/>
      <c r="AO159" s="540"/>
      <c r="AP159" s="540"/>
      <c r="AQ159" s="540"/>
      <c r="AR159" s="540"/>
      <c r="AS159" s="540"/>
      <c r="AT159" s="540"/>
      <c r="AU159" s="540"/>
      <c r="AV159" s="540"/>
      <c r="AW159" s="540"/>
      <c r="AX159" s="540"/>
      <c r="AY159" s="540"/>
      <c r="AZ159" s="540"/>
      <c r="BA159" s="540"/>
      <c r="BB159" s="540"/>
      <c r="BC159" s="540"/>
      <c r="BD159" s="540"/>
      <c r="BE159" s="540"/>
      <c r="BF159" s="540"/>
    </row>
    <row r="160" spans="1:58" ht="30.6" customHeight="1" x14ac:dyDescent="0.3">
      <c r="A160" s="1102" t="s">
        <v>144</v>
      </c>
      <c r="B160" s="1193" t="s">
        <v>144</v>
      </c>
      <c r="C160" s="1210" t="s">
        <v>763</v>
      </c>
      <c r="D160" s="1094" t="s">
        <v>786</v>
      </c>
      <c r="E160" s="92" t="s">
        <v>468</v>
      </c>
      <c r="F160" s="80">
        <v>0.15</v>
      </c>
      <c r="G160" s="80">
        <v>0.15</v>
      </c>
      <c r="H160" s="80">
        <v>0.15</v>
      </c>
      <c r="I160" s="80">
        <v>0.15</v>
      </c>
      <c r="J160" s="80">
        <v>0.15</v>
      </c>
      <c r="K160" s="80">
        <v>0.2</v>
      </c>
      <c r="L160" s="399">
        <v>0.3</v>
      </c>
      <c r="M160" s="399">
        <f t="shared" ref="M160:AA160" si="25">M163-5%</f>
        <v>0.66999999999999993</v>
      </c>
      <c r="N160" s="399">
        <f t="shared" si="25"/>
        <v>0.73</v>
      </c>
      <c r="O160" s="399">
        <f t="shared" si="25"/>
        <v>0.75</v>
      </c>
      <c r="P160" s="399">
        <f t="shared" si="25"/>
        <v>0.85</v>
      </c>
      <c r="Q160" s="399">
        <f t="shared" si="25"/>
        <v>0.85</v>
      </c>
      <c r="R160" s="399">
        <f t="shared" si="25"/>
        <v>0.85</v>
      </c>
      <c r="S160" s="399">
        <f t="shared" si="25"/>
        <v>0.83</v>
      </c>
      <c r="T160" s="399">
        <f t="shared" si="25"/>
        <v>0.72</v>
      </c>
      <c r="U160" s="399">
        <f t="shared" si="25"/>
        <v>0.64999999999999991</v>
      </c>
      <c r="V160" s="399">
        <f t="shared" si="25"/>
        <v>0.66999999999999993</v>
      </c>
      <c r="W160" s="399">
        <f t="shared" si="25"/>
        <v>0.75</v>
      </c>
      <c r="X160" s="399">
        <f t="shared" si="25"/>
        <v>0.85</v>
      </c>
      <c r="Y160" s="399">
        <f t="shared" si="25"/>
        <v>0.85</v>
      </c>
      <c r="Z160" s="399">
        <f t="shared" si="25"/>
        <v>0.85</v>
      </c>
      <c r="AA160" s="399">
        <f t="shared" si="25"/>
        <v>0.75</v>
      </c>
      <c r="AB160" s="399">
        <f>AB163-5%</f>
        <v>0.56999999999999995</v>
      </c>
      <c r="AC160" s="85">
        <v>0.3</v>
      </c>
      <c r="AD160" s="39"/>
      <c r="AE160" s="39"/>
      <c r="AF160" s="39"/>
      <c r="AG160" s="39"/>
      <c r="AH160" s="39"/>
      <c r="AI160" s="39"/>
      <c r="AJ160" s="39"/>
      <c r="AK160" s="39"/>
    </row>
    <row r="161" spans="1:37" ht="30.6" customHeight="1" x14ac:dyDescent="0.3">
      <c r="A161" s="1103"/>
      <c r="B161" s="1194"/>
      <c r="C161" s="1202"/>
      <c r="D161" s="1095"/>
      <c r="E161" s="89" t="s">
        <v>475</v>
      </c>
      <c r="F161" s="400">
        <f>F164</f>
        <v>0.15</v>
      </c>
      <c r="G161" s="78">
        <v>0.15</v>
      </c>
      <c r="H161" s="78">
        <v>0.15</v>
      </c>
      <c r="I161" s="78">
        <v>0.15</v>
      </c>
      <c r="J161" s="78">
        <v>0.15</v>
      </c>
      <c r="K161" s="400">
        <f>K164</f>
        <v>0.2</v>
      </c>
      <c r="L161" s="78">
        <v>0.3</v>
      </c>
      <c r="M161" s="400">
        <f t="shared" ref="M161:AA161" si="26">M164-5%</f>
        <v>0.66999999999999993</v>
      </c>
      <c r="N161" s="400">
        <f t="shared" si="26"/>
        <v>0.73</v>
      </c>
      <c r="O161" s="400">
        <f t="shared" si="26"/>
        <v>0.75</v>
      </c>
      <c r="P161" s="400">
        <f t="shared" si="26"/>
        <v>0.85</v>
      </c>
      <c r="Q161" s="400">
        <f t="shared" si="26"/>
        <v>0.85</v>
      </c>
      <c r="R161" s="400">
        <f t="shared" si="26"/>
        <v>0.85</v>
      </c>
      <c r="S161" s="400">
        <f t="shared" si="26"/>
        <v>0.83</v>
      </c>
      <c r="T161" s="400">
        <f t="shared" si="26"/>
        <v>0.72</v>
      </c>
      <c r="U161" s="400">
        <f t="shared" si="26"/>
        <v>0.64999999999999991</v>
      </c>
      <c r="V161" s="400">
        <f t="shared" si="26"/>
        <v>0.66999999999999993</v>
      </c>
      <c r="W161" s="400">
        <f t="shared" si="26"/>
        <v>0.75</v>
      </c>
      <c r="X161" s="400">
        <f t="shared" si="26"/>
        <v>0.85</v>
      </c>
      <c r="Y161" s="400">
        <f t="shared" si="26"/>
        <v>0.85</v>
      </c>
      <c r="Z161" s="400">
        <f t="shared" si="26"/>
        <v>0.85</v>
      </c>
      <c r="AA161" s="400">
        <f t="shared" si="26"/>
        <v>0.75</v>
      </c>
      <c r="AB161" s="400">
        <f>AB164-5%</f>
        <v>0.56999999999999995</v>
      </c>
      <c r="AC161" s="83">
        <v>0.3</v>
      </c>
      <c r="AD161" s="39"/>
      <c r="AE161" s="39"/>
      <c r="AF161" s="39"/>
      <c r="AG161" s="39"/>
      <c r="AH161" s="39"/>
      <c r="AI161" s="39"/>
      <c r="AJ161" s="39"/>
      <c r="AK161" s="39"/>
    </row>
    <row r="162" spans="1:37" ht="30.6" customHeight="1" thickBot="1" x14ac:dyDescent="0.35">
      <c r="A162" s="1104"/>
      <c r="B162" s="1195"/>
      <c r="C162" s="1203"/>
      <c r="D162" s="1096"/>
      <c r="E162" s="90" t="s">
        <v>477</v>
      </c>
      <c r="F162" s="79">
        <v>0.2</v>
      </c>
      <c r="G162" s="79">
        <v>0.15</v>
      </c>
      <c r="H162" s="79">
        <v>0.15</v>
      </c>
      <c r="I162" s="79">
        <v>0.15</v>
      </c>
      <c r="J162" s="79">
        <v>0.15</v>
      </c>
      <c r="K162" s="79">
        <v>0.15</v>
      </c>
      <c r="L162" s="79">
        <v>0.3</v>
      </c>
      <c r="M162" s="401">
        <f t="shared" ref="M162:AA162" si="27">M165-5%</f>
        <v>0.66999999999999993</v>
      </c>
      <c r="N162" s="401">
        <f t="shared" si="27"/>
        <v>0.73</v>
      </c>
      <c r="O162" s="401">
        <f t="shared" si="27"/>
        <v>0.75</v>
      </c>
      <c r="P162" s="401">
        <f t="shared" si="27"/>
        <v>0.85</v>
      </c>
      <c r="Q162" s="401">
        <f t="shared" si="27"/>
        <v>0.85</v>
      </c>
      <c r="R162" s="401">
        <f t="shared" si="27"/>
        <v>0.85</v>
      </c>
      <c r="S162" s="401">
        <f t="shared" si="27"/>
        <v>0.83</v>
      </c>
      <c r="T162" s="401">
        <f t="shared" si="27"/>
        <v>0.72</v>
      </c>
      <c r="U162" s="401">
        <f t="shared" si="27"/>
        <v>0.64999999999999991</v>
      </c>
      <c r="V162" s="401">
        <f t="shared" si="27"/>
        <v>0.66999999999999993</v>
      </c>
      <c r="W162" s="401">
        <f t="shared" si="27"/>
        <v>0.75</v>
      </c>
      <c r="X162" s="401">
        <f t="shared" si="27"/>
        <v>0.85</v>
      </c>
      <c r="Y162" s="401">
        <f t="shared" si="27"/>
        <v>0.85</v>
      </c>
      <c r="Z162" s="401">
        <f t="shared" si="27"/>
        <v>0.85</v>
      </c>
      <c r="AA162" s="401">
        <f t="shared" si="27"/>
        <v>0.75</v>
      </c>
      <c r="AB162" s="401">
        <f>AB165-5%</f>
        <v>0.56999999999999995</v>
      </c>
      <c r="AC162" s="84">
        <v>0.3</v>
      </c>
      <c r="AD162" s="39"/>
      <c r="AE162" s="39"/>
      <c r="AF162" s="39"/>
      <c r="AG162" s="39"/>
      <c r="AH162" s="39"/>
      <c r="AI162" s="39"/>
      <c r="AJ162" s="39"/>
      <c r="AK162" s="39"/>
    </row>
    <row r="163" spans="1:37" ht="30.6" customHeight="1" x14ac:dyDescent="0.3">
      <c r="A163" s="1200" t="s">
        <v>144</v>
      </c>
      <c r="B163" s="1204" t="s">
        <v>144</v>
      </c>
      <c r="C163" s="1201" t="s">
        <v>765</v>
      </c>
      <c r="D163" s="1097" t="s">
        <v>654</v>
      </c>
      <c r="E163" s="402" t="s">
        <v>468</v>
      </c>
      <c r="F163" s="394">
        <v>0.15</v>
      </c>
      <c r="G163" s="394">
        <v>0.15</v>
      </c>
      <c r="H163" s="394">
        <v>0.15</v>
      </c>
      <c r="I163" s="394">
        <v>0.15</v>
      </c>
      <c r="J163" s="394">
        <v>0.15</v>
      </c>
      <c r="K163" s="394">
        <v>0.2</v>
      </c>
      <c r="L163" s="403">
        <v>0.3</v>
      </c>
      <c r="M163" s="403">
        <v>0.72</v>
      </c>
      <c r="N163" s="403">
        <v>0.78</v>
      </c>
      <c r="O163" s="403">
        <v>0.8</v>
      </c>
      <c r="P163" s="394">
        <v>0.9</v>
      </c>
      <c r="Q163" s="394">
        <v>0.9</v>
      </c>
      <c r="R163" s="394">
        <v>0.9</v>
      </c>
      <c r="S163" s="403">
        <v>0.88</v>
      </c>
      <c r="T163" s="403">
        <v>0.77</v>
      </c>
      <c r="U163" s="403">
        <v>0.7</v>
      </c>
      <c r="V163" s="403">
        <v>0.72</v>
      </c>
      <c r="W163" s="403">
        <v>0.8</v>
      </c>
      <c r="X163" s="394">
        <v>0.9</v>
      </c>
      <c r="Y163" s="394">
        <v>0.9</v>
      </c>
      <c r="Z163" s="394">
        <v>0.9</v>
      </c>
      <c r="AA163" s="403">
        <v>0.8</v>
      </c>
      <c r="AB163" s="403">
        <v>0.62</v>
      </c>
      <c r="AC163" s="395">
        <v>0.3</v>
      </c>
      <c r="AD163" s="39"/>
      <c r="AE163" s="39"/>
      <c r="AF163" s="39"/>
      <c r="AG163" s="39"/>
      <c r="AH163" s="39"/>
      <c r="AI163" s="39"/>
      <c r="AJ163" s="39"/>
      <c r="AK163" s="39"/>
    </row>
    <row r="164" spans="1:37" ht="30.6" customHeight="1" x14ac:dyDescent="0.3">
      <c r="A164" s="1103"/>
      <c r="B164" s="1194"/>
      <c r="C164" s="1202"/>
      <c r="D164" s="1097"/>
      <c r="E164" s="404" t="s">
        <v>475</v>
      </c>
      <c r="F164" s="405">
        <v>0.15</v>
      </c>
      <c r="G164" s="78">
        <v>0.15</v>
      </c>
      <c r="H164" s="78">
        <v>0.15</v>
      </c>
      <c r="I164" s="78">
        <v>0.15</v>
      </c>
      <c r="J164" s="78">
        <v>0.15</v>
      </c>
      <c r="K164" s="405">
        <v>0.2</v>
      </c>
      <c r="L164" s="78">
        <v>0.3</v>
      </c>
      <c r="M164" s="405">
        <v>0.72</v>
      </c>
      <c r="N164" s="405">
        <v>0.78</v>
      </c>
      <c r="O164" s="405">
        <v>0.8</v>
      </c>
      <c r="P164" s="405">
        <v>0.9</v>
      </c>
      <c r="Q164" s="405">
        <v>0.9</v>
      </c>
      <c r="R164" s="405">
        <v>0.9</v>
      </c>
      <c r="S164" s="405">
        <v>0.88</v>
      </c>
      <c r="T164" s="405">
        <v>0.77</v>
      </c>
      <c r="U164" s="405">
        <v>0.7</v>
      </c>
      <c r="V164" s="405">
        <v>0.72</v>
      </c>
      <c r="W164" s="405">
        <v>0.8</v>
      </c>
      <c r="X164" s="78">
        <v>0.9</v>
      </c>
      <c r="Y164" s="78">
        <v>0.9</v>
      </c>
      <c r="Z164" s="78">
        <v>0.9</v>
      </c>
      <c r="AA164" s="405">
        <v>0.8</v>
      </c>
      <c r="AB164" s="405">
        <v>0.62</v>
      </c>
      <c r="AC164" s="396">
        <v>0.3</v>
      </c>
      <c r="AD164" s="39"/>
      <c r="AE164" s="39"/>
      <c r="AF164" s="39"/>
      <c r="AG164" s="39"/>
      <c r="AH164" s="39"/>
      <c r="AI164" s="39"/>
      <c r="AJ164" s="39"/>
      <c r="AK164" s="39"/>
    </row>
    <row r="165" spans="1:37" ht="30.6" customHeight="1" thickBot="1" x14ac:dyDescent="0.35">
      <c r="A165" s="1104"/>
      <c r="B165" s="1195"/>
      <c r="C165" s="1205"/>
      <c r="D165" s="1098"/>
      <c r="E165" s="406" t="s">
        <v>477</v>
      </c>
      <c r="F165" s="407">
        <v>0.2</v>
      </c>
      <c r="G165" s="397">
        <v>0.15</v>
      </c>
      <c r="H165" s="397">
        <v>0.15</v>
      </c>
      <c r="I165" s="397">
        <v>0.15</v>
      </c>
      <c r="J165" s="397">
        <v>0.15</v>
      </c>
      <c r="K165" s="407">
        <v>0.15</v>
      </c>
      <c r="L165" s="397">
        <v>0.3</v>
      </c>
      <c r="M165" s="407">
        <v>0.72</v>
      </c>
      <c r="N165" s="407">
        <v>0.78</v>
      </c>
      <c r="O165" s="407">
        <v>0.8</v>
      </c>
      <c r="P165" s="407">
        <v>0.9</v>
      </c>
      <c r="Q165" s="407">
        <v>0.9</v>
      </c>
      <c r="R165" s="407">
        <v>0.9</v>
      </c>
      <c r="S165" s="407">
        <v>0.88</v>
      </c>
      <c r="T165" s="407">
        <v>0.77</v>
      </c>
      <c r="U165" s="407">
        <v>0.7</v>
      </c>
      <c r="V165" s="407">
        <v>0.72</v>
      </c>
      <c r="W165" s="407">
        <v>0.8</v>
      </c>
      <c r="X165" s="407">
        <v>0.9</v>
      </c>
      <c r="Y165" s="407">
        <v>0.9</v>
      </c>
      <c r="Z165" s="407">
        <v>0.9</v>
      </c>
      <c r="AA165" s="407">
        <v>0.8</v>
      </c>
      <c r="AB165" s="407">
        <v>0.62</v>
      </c>
      <c r="AC165" s="398">
        <v>0.3</v>
      </c>
      <c r="AD165" s="39"/>
      <c r="AE165" s="39"/>
      <c r="AF165" s="39"/>
      <c r="AG165" s="39"/>
      <c r="AH165" s="39"/>
      <c r="AI165" s="39"/>
      <c r="AJ165" s="39"/>
      <c r="AK165" s="39"/>
    </row>
    <row r="166" spans="1:37" ht="30.6" customHeight="1" x14ac:dyDescent="0.3">
      <c r="A166" s="1102" t="s">
        <v>144</v>
      </c>
      <c r="B166" s="1193" t="s">
        <v>144</v>
      </c>
      <c r="C166" s="1206" t="s">
        <v>766</v>
      </c>
      <c r="D166" s="1099" t="s">
        <v>787</v>
      </c>
      <c r="E166" s="402" t="s">
        <v>468</v>
      </c>
      <c r="F166" s="394">
        <v>1</v>
      </c>
      <c r="G166" s="408">
        <v>0</v>
      </c>
      <c r="H166" s="408">
        <v>0</v>
      </c>
      <c r="I166" s="394">
        <v>0</v>
      </c>
      <c r="J166" s="408">
        <v>1</v>
      </c>
      <c r="K166" s="408">
        <v>1</v>
      </c>
      <c r="L166" s="394">
        <v>1</v>
      </c>
      <c r="M166" s="394">
        <v>1</v>
      </c>
      <c r="N166" s="394">
        <v>1</v>
      </c>
      <c r="O166" s="394">
        <v>1</v>
      </c>
      <c r="P166" s="394">
        <v>1</v>
      </c>
      <c r="Q166" s="394">
        <v>1</v>
      </c>
      <c r="R166" s="394">
        <v>1</v>
      </c>
      <c r="S166" s="394">
        <v>1</v>
      </c>
      <c r="T166" s="394">
        <v>1</v>
      </c>
      <c r="U166" s="394">
        <v>1</v>
      </c>
      <c r="V166" s="394">
        <v>1</v>
      </c>
      <c r="W166" s="394">
        <v>1</v>
      </c>
      <c r="X166" s="394">
        <v>1</v>
      </c>
      <c r="Y166" s="394">
        <v>1</v>
      </c>
      <c r="Z166" s="394">
        <v>1</v>
      </c>
      <c r="AA166" s="394">
        <v>1</v>
      </c>
      <c r="AB166" s="394">
        <v>1</v>
      </c>
      <c r="AC166" s="395">
        <v>1</v>
      </c>
      <c r="AD166" s="39"/>
      <c r="AE166" s="39"/>
      <c r="AF166" s="39"/>
      <c r="AG166" s="39"/>
      <c r="AH166" s="39"/>
      <c r="AI166" s="39"/>
      <c r="AJ166" s="39"/>
      <c r="AK166" s="39"/>
    </row>
    <row r="167" spans="1:37" ht="30.6" customHeight="1" x14ac:dyDescent="0.3">
      <c r="A167" s="1103"/>
      <c r="B167" s="1194"/>
      <c r="C167" s="1207"/>
      <c r="D167" s="1100"/>
      <c r="E167" s="404" t="s">
        <v>475</v>
      </c>
      <c r="F167" s="78">
        <v>1</v>
      </c>
      <c r="G167" s="399">
        <v>0</v>
      </c>
      <c r="H167" s="399">
        <v>0</v>
      </c>
      <c r="I167" s="78">
        <v>0</v>
      </c>
      <c r="J167" s="78">
        <v>0</v>
      </c>
      <c r="K167" s="400">
        <v>1</v>
      </c>
      <c r="L167" s="400">
        <v>1</v>
      </c>
      <c r="M167" s="400">
        <v>1</v>
      </c>
      <c r="N167" s="78">
        <v>1</v>
      </c>
      <c r="O167" s="78">
        <v>1</v>
      </c>
      <c r="P167" s="78">
        <v>1</v>
      </c>
      <c r="Q167" s="78">
        <v>1</v>
      </c>
      <c r="R167" s="78">
        <v>1</v>
      </c>
      <c r="S167" s="78">
        <v>1</v>
      </c>
      <c r="T167" s="78">
        <v>1</v>
      </c>
      <c r="U167" s="78">
        <v>1</v>
      </c>
      <c r="V167" s="78">
        <v>1</v>
      </c>
      <c r="W167" s="78">
        <v>1</v>
      </c>
      <c r="X167" s="78">
        <v>1</v>
      </c>
      <c r="Y167" s="78">
        <v>1</v>
      </c>
      <c r="Z167" s="78">
        <v>1</v>
      </c>
      <c r="AA167" s="78">
        <v>1</v>
      </c>
      <c r="AB167" s="78">
        <v>1</v>
      </c>
      <c r="AC167" s="396">
        <v>1</v>
      </c>
      <c r="AD167" s="39"/>
      <c r="AE167" s="39"/>
      <c r="AF167" s="39"/>
      <c r="AG167" s="39"/>
      <c r="AH167" s="39"/>
      <c r="AI167" s="39"/>
      <c r="AJ167" s="39"/>
      <c r="AK167" s="39"/>
    </row>
    <row r="168" spans="1:37" ht="30.6" customHeight="1" thickBot="1" x14ac:dyDescent="0.35">
      <c r="A168" s="1104"/>
      <c r="B168" s="1195"/>
      <c r="C168" s="1208"/>
      <c r="D168" s="1101"/>
      <c r="E168" s="406" t="s">
        <v>477</v>
      </c>
      <c r="F168" s="397">
        <v>1</v>
      </c>
      <c r="G168" s="409">
        <v>0</v>
      </c>
      <c r="H168" s="409">
        <v>0</v>
      </c>
      <c r="I168" s="397">
        <v>0</v>
      </c>
      <c r="J168" s="397">
        <v>0</v>
      </c>
      <c r="K168" s="410">
        <v>1</v>
      </c>
      <c r="L168" s="410">
        <v>1</v>
      </c>
      <c r="M168" s="410">
        <v>1</v>
      </c>
      <c r="N168" s="410">
        <v>1</v>
      </c>
      <c r="O168" s="397">
        <v>1</v>
      </c>
      <c r="P168" s="397">
        <v>1</v>
      </c>
      <c r="Q168" s="397">
        <v>1</v>
      </c>
      <c r="R168" s="397">
        <v>1</v>
      </c>
      <c r="S168" s="397">
        <v>1</v>
      </c>
      <c r="T168" s="397">
        <v>1</v>
      </c>
      <c r="U168" s="397">
        <v>1</v>
      </c>
      <c r="V168" s="397">
        <v>1</v>
      </c>
      <c r="W168" s="397">
        <v>1</v>
      </c>
      <c r="X168" s="397">
        <v>1</v>
      </c>
      <c r="Y168" s="397">
        <v>1</v>
      </c>
      <c r="Z168" s="397">
        <v>1</v>
      </c>
      <c r="AA168" s="397">
        <v>1</v>
      </c>
      <c r="AB168" s="397">
        <v>1</v>
      </c>
      <c r="AC168" s="398">
        <v>1</v>
      </c>
      <c r="AD168" s="39"/>
      <c r="AE168" s="39"/>
      <c r="AF168" s="39"/>
      <c r="AG168" s="39"/>
      <c r="AH168" s="39"/>
      <c r="AI168" s="39"/>
      <c r="AJ168" s="39"/>
      <c r="AK168" s="39"/>
    </row>
    <row r="169" spans="1:37" ht="30.6" customHeight="1" x14ac:dyDescent="0.3">
      <c r="A169" s="1102" t="s">
        <v>144</v>
      </c>
      <c r="B169" s="1193" t="s">
        <v>144</v>
      </c>
      <c r="C169" s="1209" t="s">
        <v>768</v>
      </c>
      <c r="D169" s="1094" t="s">
        <v>788</v>
      </c>
      <c r="E169" s="92" t="s">
        <v>468</v>
      </c>
      <c r="F169" s="80">
        <v>0.2</v>
      </c>
      <c r="G169" s="399">
        <v>0</v>
      </c>
      <c r="H169" s="399">
        <v>0</v>
      </c>
      <c r="I169" s="80">
        <v>0</v>
      </c>
      <c r="J169" s="80">
        <v>0</v>
      </c>
      <c r="K169" s="399">
        <v>0.6</v>
      </c>
      <c r="L169" s="399">
        <v>0.6</v>
      </c>
      <c r="M169" s="80">
        <v>0.6</v>
      </c>
      <c r="N169" s="80">
        <v>0.55000000000000004</v>
      </c>
      <c r="O169" s="80">
        <v>0.45</v>
      </c>
      <c r="P169" s="80">
        <v>0.4</v>
      </c>
      <c r="Q169" s="80">
        <v>0.45</v>
      </c>
      <c r="R169" s="80">
        <v>0.4</v>
      </c>
      <c r="S169" s="80">
        <v>0.35</v>
      </c>
      <c r="T169" s="80">
        <v>0.3</v>
      </c>
      <c r="U169" s="80">
        <v>0.3</v>
      </c>
      <c r="V169" s="80">
        <v>0.3</v>
      </c>
      <c r="W169" s="80">
        <v>0.4</v>
      </c>
      <c r="X169" s="80">
        <v>0.55000000000000004</v>
      </c>
      <c r="Y169" s="80">
        <v>0.6</v>
      </c>
      <c r="Z169" s="80">
        <v>0.5</v>
      </c>
      <c r="AA169" s="80">
        <v>0.55000000000000004</v>
      </c>
      <c r="AB169" s="80">
        <v>0.45</v>
      </c>
      <c r="AC169" s="85">
        <v>0.25</v>
      </c>
      <c r="AD169" s="39"/>
      <c r="AE169" s="39"/>
      <c r="AF169" s="39"/>
      <c r="AG169" s="39"/>
      <c r="AH169" s="39"/>
      <c r="AI169" s="39"/>
      <c r="AJ169" s="39"/>
      <c r="AK169" s="39"/>
    </row>
    <row r="170" spans="1:37" ht="30.6" customHeight="1" x14ac:dyDescent="0.3">
      <c r="A170" s="1103"/>
      <c r="B170" s="1194"/>
      <c r="C170" s="1207"/>
      <c r="D170" s="1095"/>
      <c r="E170" s="89" t="s">
        <v>475</v>
      </c>
      <c r="F170" s="78">
        <v>0.2</v>
      </c>
      <c r="G170" s="400">
        <v>0</v>
      </c>
      <c r="H170" s="400">
        <v>0</v>
      </c>
      <c r="I170" s="78">
        <v>0</v>
      </c>
      <c r="J170" s="78">
        <v>0</v>
      </c>
      <c r="K170" s="78">
        <v>0</v>
      </c>
      <c r="L170" s="400">
        <v>0.5</v>
      </c>
      <c r="M170" s="400">
        <v>0.5</v>
      </c>
      <c r="N170" s="400">
        <v>0.5</v>
      </c>
      <c r="O170" s="78">
        <v>0.5</v>
      </c>
      <c r="P170" s="78">
        <v>0.45</v>
      </c>
      <c r="Q170" s="78">
        <v>0.5</v>
      </c>
      <c r="R170" s="78">
        <v>0.5</v>
      </c>
      <c r="S170" s="78">
        <v>0.45</v>
      </c>
      <c r="T170" s="78">
        <v>0.4</v>
      </c>
      <c r="U170" s="78">
        <v>0.4</v>
      </c>
      <c r="V170" s="78">
        <v>0.35</v>
      </c>
      <c r="W170" s="78">
        <v>0.4</v>
      </c>
      <c r="X170" s="78">
        <v>0.55000000000000004</v>
      </c>
      <c r="Y170" s="78">
        <v>0.55000000000000004</v>
      </c>
      <c r="Z170" s="78">
        <v>0.5</v>
      </c>
      <c r="AA170" s="78">
        <v>0.55000000000000004</v>
      </c>
      <c r="AB170" s="78">
        <v>0.4</v>
      </c>
      <c r="AC170" s="83">
        <v>0.3</v>
      </c>
      <c r="AD170" s="39"/>
      <c r="AE170" s="39"/>
      <c r="AF170" s="39"/>
      <c r="AG170" s="39"/>
      <c r="AH170" s="39"/>
      <c r="AI170" s="39"/>
      <c r="AJ170" s="39"/>
      <c r="AK170" s="39"/>
    </row>
    <row r="171" spans="1:37" ht="30.6" customHeight="1" thickBot="1" x14ac:dyDescent="0.35">
      <c r="A171" s="1104"/>
      <c r="B171" s="1195"/>
      <c r="C171" s="1211"/>
      <c r="D171" s="1096"/>
      <c r="E171" s="90" t="s">
        <v>477</v>
      </c>
      <c r="F171" s="79">
        <v>0.25</v>
      </c>
      <c r="G171" s="401">
        <v>0</v>
      </c>
      <c r="H171" s="401">
        <v>0</v>
      </c>
      <c r="I171" s="79">
        <v>0</v>
      </c>
      <c r="J171" s="79">
        <v>0</v>
      </c>
      <c r="K171" s="79">
        <v>0</v>
      </c>
      <c r="L171" s="401">
        <v>0.5</v>
      </c>
      <c r="M171" s="401">
        <v>0.5</v>
      </c>
      <c r="N171" s="401">
        <v>0.5</v>
      </c>
      <c r="O171" s="401">
        <v>0.5</v>
      </c>
      <c r="P171" s="79">
        <v>0.5</v>
      </c>
      <c r="Q171" s="79">
        <v>0.5</v>
      </c>
      <c r="R171" s="79">
        <v>0.4</v>
      </c>
      <c r="S171" s="79">
        <v>0.4</v>
      </c>
      <c r="T171" s="79">
        <v>0.3</v>
      </c>
      <c r="U171" s="79">
        <v>0.3</v>
      </c>
      <c r="V171" s="79">
        <v>0.3</v>
      </c>
      <c r="W171" s="79">
        <v>0.4</v>
      </c>
      <c r="X171" s="79">
        <v>0.5</v>
      </c>
      <c r="Y171" s="79">
        <v>0.5</v>
      </c>
      <c r="Z171" s="79">
        <v>0.4</v>
      </c>
      <c r="AA171" s="79">
        <v>0.5</v>
      </c>
      <c r="AB171" s="79">
        <v>0.4</v>
      </c>
      <c r="AC171" s="84">
        <v>0.2</v>
      </c>
      <c r="AD171" s="39"/>
      <c r="AE171" s="39"/>
      <c r="AF171" s="39"/>
      <c r="AG171" s="39"/>
      <c r="AH171" s="39"/>
      <c r="AI171" s="39"/>
      <c r="AJ171" s="39"/>
      <c r="AK171" s="39"/>
    </row>
    <row r="172" spans="1:37" ht="30.6" customHeight="1" x14ac:dyDescent="0.3">
      <c r="A172" s="1102" t="s">
        <v>144</v>
      </c>
      <c r="B172" s="1193" t="s">
        <v>144</v>
      </c>
      <c r="C172" s="1209" t="s">
        <v>337</v>
      </c>
      <c r="D172" s="1094" t="s">
        <v>789</v>
      </c>
      <c r="E172" s="434" t="s">
        <v>468</v>
      </c>
      <c r="F172" s="408">
        <v>0.25</v>
      </c>
      <c r="G172" s="408">
        <v>0</v>
      </c>
      <c r="H172" s="408">
        <v>0</v>
      </c>
      <c r="I172" s="394">
        <v>1</v>
      </c>
      <c r="J172" s="408">
        <v>0.25</v>
      </c>
      <c r="K172" s="411">
        <v>0.25</v>
      </c>
      <c r="L172" s="412">
        <v>0.25</v>
      </c>
      <c r="M172" s="412">
        <v>0.25</v>
      </c>
      <c r="N172" s="412">
        <v>0.25</v>
      </c>
      <c r="O172" s="394">
        <v>0.25</v>
      </c>
      <c r="P172" s="394">
        <v>0.25</v>
      </c>
      <c r="Q172" s="394">
        <v>0.25</v>
      </c>
      <c r="R172" s="394">
        <v>0.25</v>
      </c>
      <c r="S172" s="394">
        <v>0.25</v>
      </c>
      <c r="T172" s="394">
        <v>0.25</v>
      </c>
      <c r="U172" s="394">
        <v>0.25</v>
      </c>
      <c r="V172" s="408">
        <v>0.25</v>
      </c>
      <c r="W172" s="394">
        <v>0.25</v>
      </c>
      <c r="X172" s="394">
        <v>0.25</v>
      </c>
      <c r="Y172" s="394">
        <v>0.25</v>
      </c>
      <c r="Z172" s="394">
        <v>0.25</v>
      </c>
      <c r="AA172" s="394">
        <v>0.25</v>
      </c>
      <c r="AB172" s="394">
        <v>0.25</v>
      </c>
      <c r="AC172" s="395">
        <v>0.25</v>
      </c>
      <c r="AD172" s="39"/>
      <c r="AE172" s="39"/>
      <c r="AF172" s="39"/>
      <c r="AG172" s="39"/>
      <c r="AH172" s="39"/>
      <c r="AI172" s="39"/>
      <c r="AJ172" s="39"/>
      <c r="AK172" s="39"/>
    </row>
    <row r="173" spans="1:37" ht="30.6" customHeight="1" x14ac:dyDescent="0.3">
      <c r="A173" s="1103"/>
      <c r="B173" s="1194"/>
      <c r="C173" s="1207"/>
      <c r="D173" s="1095"/>
      <c r="E173" s="89" t="s">
        <v>475</v>
      </c>
      <c r="F173" s="400">
        <v>0.25</v>
      </c>
      <c r="G173" s="400">
        <v>0</v>
      </c>
      <c r="H173" s="78">
        <v>0</v>
      </c>
      <c r="I173" s="78">
        <v>1</v>
      </c>
      <c r="J173" s="78">
        <v>1</v>
      </c>
      <c r="K173" s="400">
        <v>0.25</v>
      </c>
      <c r="L173" s="400">
        <v>0.25</v>
      </c>
      <c r="M173" s="400">
        <v>0.25</v>
      </c>
      <c r="N173" s="78">
        <v>0.25</v>
      </c>
      <c r="O173" s="78">
        <v>0.25</v>
      </c>
      <c r="P173" s="78">
        <v>0.25</v>
      </c>
      <c r="Q173" s="78">
        <v>0.25</v>
      </c>
      <c r="R173" s="78">
        <v>0.25</v>
      </c>
      <c r="S173" s="78">
        <v>0.25</v>
      </c>
      <c r="T173" s="78">
        <v>0.25</v>
      </c>
      <c r="U173" s="78">
        <v>0.25</v>
      </c>
      <c r="V173" s="78">
        <v>0.25</v>
      </c>
      <c r="W173" s="78">
        <v>0.25</v>
      </c>
      <c r="X173" s="78">
        <v>0.25</v>
      </c>
      <c r="Y173" s="78">
        <v>0.25</v>
      </c>
      <c r="Z173" s="78">
        <v>0.25</v>
      </c>
      <c r="AA173" s="78">
        <v>0.25</v>
      </c>
      <c r="AB173" s="78">
        <v>0.25</v>
      </c>
      <c r="AC173" s="396">
        <v>0.25</v>
      </c>
      <c r="AD173" s="39"/>
      <c r="AE173" s="39"/>
      <c r="AF173" s="39"/>
      <c r="AG173" s="39"/>
      <c r="AH173" s="39"/>
      <c r="AI173" s="39"/>
      <c r="AJ173" s="39"/>
      <c r="AK173" s="39"/>
    </row>
    <row r="174" spans="1:37" ht="30.6" customHeight="1" thickBot="1" x14ac:dyDescent="0.35">
      <c r="A174" s="1104"/>
      <c r="B174" s="1195"/>
      <c r="C174" s="1208"/>
      <c r="D174" s="1096"/>
      <c r="E174" s="435" t="s">
        <v>477</v>
      </c>
      <c r="F174" s="410">
        <v>0.25</v>
      </c>
      <c r="G174" s="410">
        <v>0</v>
      </c>
      <c r="H174" s="410">
        <v>0</v>
      </c>
      <c r="I174" s="397">
        <v>1</v>
      </c>
      <c r="J174" s="397">
        <v>1</v>
      </c>
      <c r="K174" s="409">
        <v>0.25</v>
      </c>
      <c r="L174" s="409">
        <v>0.25</v>
      </c>
      <c r="M174" s="409">
        <v>0.25</v>
      </c>
      <c r="N174" s="409">
        <v>0.25</v>
      </c>
      <c r="O174" s="397">
        <v>0.25</v>
      </c>
      <c r="P174" s="397">
        <v>0.25</v>
      </c>
      <c r="Q174" s="397">
        <v>0.25</v>
      </c>
      <c r="R174" s="397">
        <v>0.25</v>
      </c>
      <c r="S174" s="397">
        <v>0.25</v>
      </c>
      <c r="T174" s="397">
        <v>0.25</v>
      </c>
      <c r="U174" s="397">
        <v>0.25</v>
      </c>
      <c r="V174" s="397">
        <v>0.25</v>
      </c>
      <c r="W174" s="397">
        <v>0.25</v>
      </c>
      <c r="X174" s="397">
        <v>0.25</v>
      </c>
      <c r="Y174" s="397">
        <v>0.25</v>
      </c>
      <c r="Z174" s="397">
        <v>0.25</v>
      </c>
      <c r="AA174" s="397">
        <v>0.25</v>
      </c>
      <c r="AB174" s="397">
        <v>0.25</v>
      </c>
      <c r="AC174" s="398">
        <v>0.25</v>
      </c>
      <c r="AD174" s="39"/>
      <c r="AE174" s="39"/>
      <c r="AF174" s="39"/>
      <c r="AG174" s="39"/>
      <c r="AH174" s="39"/>
      <c r="AI174" s="39"/>
      <c r="AJ174" s="39"/>
      <c r="AK174" s="39"/>
    </row>
    <row r="175" spans="1:37" ht="30.6" customHeight="1" x14ac:dyDescent="0.3">
      <c r="A175" s="1102" t="s">
        <v>144</v>
      </c>
      <c r="B175" s="1193" t="s">
        <v>144</v>
      </c>
      <c r="C175" s="1105" t="s">
        <v>792</v>
      </c>
      <c r="D175" s="1094" t="s">
        <v>788</v>
      </c>
      <c r="E175" s="93" t="s">
        <v>468</v>
      </c>
      <c r="F175" s="68">
        <v>0</v>
      </c>
      <c r="G175" s="68">
        <v>0</v>
      </c>
      <c r="H175" s="68">
        <v>0</v>
      </c>
      <c r="I175" s="68">
        <v>0</v>
      </c>
      <c r="J175" s="68">
        <v>0</v>
      </c>
      <c r="K175" s="413">
        <v>1</v>
      </c>
      <c r="L175" s="68">
        <v>1</v>
      </c>
      <c r="M175" s="68">
        <v>1</v>
      </c>
      <c r="N175" s="68">
        <v>1</v>
      </c>
      <c r="O175" s="68">
        <v>1</v>
      </c>
      <c r="P175" s="68">
        <v>1</v>
      </c>
      <c r="Q175" s="68">
        <v>1</v>
      </c>
      <c r="R175" s="68">
        <v>1</v>
      </c>
      <c r="S175" s="68">
        <v>1</v>
      </c>
      <c r="T175" s="68">
        <v>1</v>
      </c>
      <c r="U175" s="68">
        <v>1</v>
      </c>
      <c r="V175" s="68">
        <v>1</v>
      </c>
      <c r="W175" s="68">
        <v>1</v>
      </c>
      <c r="X175" s="68">
        <v>1</v>
      </c>
      <c r="Y175" s="68">
        <v>0</v>
      </c>
      <c r="Z175" s="68">
        <v>0</v>
      </c>
      <c r="AA175" s="68">
        <v>0</v>
      </c>
      <c r="AB175" s="68">
        <v>0</v>
      </c>
      <c r="AC175" s="71">
        <v>0</v>
      </c>
      <c r="AD175" s="39"/>
      <c r="AE175" s="39"/>
      <c r="AF175" s="39"/>
      <c r="AG175" s="39"/>
      <c r="AH175" s="39"/>
      <c r="AI175" s="39"/>
      <c r="AJ175" s="39"/>
      <c r="AK175" s="39"/>
    </row>
    <row r="176" spans="1:37" ht="30.6" customHeight="1" x14ac:dyDescent="0.3">
      <c r="A176" s="1103"/>
      <c r="B176" s="1194"/>
      <c r="C176" s="1106"/>
      <c r="D176" s="1095"/>
      <c r="E176" s="94" t="s">
        <v>475</v>
      </c>
      <c r="F176" s="69">
        <v>0</v>
      </c>
      <c r="G176" s="69">
        <v>0</v>
      </c>
      <c r="H176" s="69">
        <v>0</v>
      </c>
      <c r="I176" s="69">
        <v>0</v>
      </c>
      <c r="J176" s="69">
        <v>0</v>
      </c>
      <c r="K176" s="69">
        <v>0</v>
      </c>
      <c r="L176" s="414">
        <v>1</v>
      </c>
      <c r="M176" s="414">
        <v>1</v>
      </c>
      <c r="N176" s="69">
        <v>1</v>
      </c>
      <c r="O176" s="69">
        <v>1</v>
      </c>
      <c r="P176" s="69">
        <v>1</v>
      </c>
      <c r="Q176" s="69">
        <v>1</v>
      </c>
      <c r="R176" s="69">
        <v>1</v>
      </c>
      <c r="S176" s="69">
        <v>1</v>
      </c>
      <c r="T176" s="69">
        <v>1</v>
      </c>
      <c r="U176" s="69">
        <v>1</v>
      </c>
      <c r="V176" s="69">
        <v>1</v>
      </c>
      <c r="W176" s="69">
        <v>1</v>
      </c>
      <c r="X176" s="69">
        <v>1</v>
      </c>
      <c r="Y176" s="69">
        <v>0</v>
      </c>
      <c r="Z176" s="69">
        <v>0</v>
      </c>
      <c r="AA176" s="69">
        <v>0</v>
      </c>
      <c r="AB176" s="69">
        <v>0</v>
      </c>
      <c r="AC176" s="72">
        <v>0</v>
      </c>
      <c r="AD176" s="39"/>
      <c r="AE176" s="39"/>
      <c r="AF176" s="39"/>
      <c r="AG176" s="39"/>
      <c r="AH176" s="39"/>
      <c r="AI176" s="39"/>
      <c r="AJ176" s="39"/>
      <c r="AK176" s="39"/>
    </row>
    <row r="177" spans="1:37" ht="30.6" customHeight="1" thickBot="1" x14ac:dyDescent="0.35">
      <c r="A177" s="1104"/>
      <c r="B177" s="1195"/>
      <c r="C177" s="1212"/>
      <c r="D177" s="1096"/>
      <c r="E177" s="415" t="s">
        <v>477</v>
      </c>
      <c r="F177" s="96">
        <v>0</v>
      </c>
      <c r="G177" s="96">
        <v>0</v>
      </c>
      <c r="H177" s="96">
        <v>0</v>
      </c>
      <c r="I177" s="96">
        <v>0</v>
      </c>
      <c r="J177" s="96">
        <v>0</v>
      </c>
      <c r="K177" s="96">
        <v>0</v>
      </c>
      <c r="L177" s="416">
        <v>1</v>
      </c>
      <c r="M177" s="416">
        <v>1</v>
      </c>
      <c r="N177" s="416">
        <v>1</v>
      </c>
      <c r="O177" s="96">
        <v>1</v>
      </c>
      <c r="P177" s="96">
        <v>1</v>
      </c>
      <c r="Q177" s="96">
        <v>1</v>
      </c>
      <c r="R177" s="96">
        <v>1</v>
      </c>
      <c r="S177" s="96">
        <v>1</v>
      </c>
      <c r="T177" s="96">
        <v>1</v>
      </c>
      <c r="U177" s="96">
        <v>1</v>
      </c>
      <c r="V177" s="96">
        <v>1</v>
      </c>
      <c r="W177" s="96">
        <v>1</v>
      </c>
      <c r="X177" s="96">
        <v>1</v>
      </c>
      <c r="Y177" s="96">
        <v>0</v>
      </c>
      <c r="Z177" s="96">
        <v>0</v>
      </c>
      <c r="AA177" s="96">
        <v>0</v>
      </c>
      <c r="AB177" s="96">
        <v>0</v>
      </c>
      <c r="AC177" s="417">
        <v>0</v>
      </c>
      <c r="AD177" s="39"/>
      <c r="AE177" s="39"/>
      <c r="AF177" s="39"/>
      <c r="AG177" s="39"/>
      <c r="AH177" s="39"/>
      <c r="AI177" s="39"/>
      <c r="AJ177" s="39"/>
      <c r="AK177" s="39"/>
    </row>
    <row r="178" spans="1:37" ht="30.6" customHeight="1" x14ac:dyDescent="0.3">
      <c r="A178" s="1102" t="s">
        <v>144</v>
      </c>
      <c r="B178" s="1193" t="s">
        <v>144</v>
      </c>
      <c r="C178" s="1209" t="s">
        <v>793</v>
      </c>
      <c r="D178" s="1094" t="s">
        <v>794</v>
      </c>
      <c r="E178" s="88" t="s">
        <v>468</v>
      </c>
      <c r="F178" s="418">
        <v>0</v>
      </c>
      <c r="G178" s="418">
        <v>0</v>
      </c>
      <c r="H178" s="418">
        <v>0</v>
      </c>
      <c r="I178" s="418">
        <v>0</v>
      </c>
      <c r="J178" s="418">
        <v>0</v>
      </c>
      <c r="K178" s="419">
        <v>1</v>
      </c>
      <c r="L178" s="418">
        <v>0.5</v>
      </c>
      <c r="M178" s="418">
        <v>1</v>
      </c>
      <c r="N178" s="418">
        <v>0.5</v>
      </c>
      <c r="O178" s="418">
        <v>1</v>
      </c>
      <c r="P178" s="418">
        <v>0.5</v>
      </c>
      <c r="Q178" s="418">
        <v>1</v>
      </c>
      <c r="R178" s="418">
        <v>0.5</v>
      </c>
      <c r="S178" s="418">
        <v>1</v>
      </c>
      <c r="T178" s="418">
        <v>0.5</v>
      </c>
      <c r="U178" s="418">
        <v>1</v>
      </c>
      <c r="V178" s="418">
        <v>0.5</v>
      </c>
      <c r="W178" s="418">
        <v>1</v>
      </c>
      <c r="X178" s="418">
        <v>0.5</v>
      </c>
      <c r="Y178" s="418">
        <v>0</v>
      </c>
      <c r="Z178" s="418">
        <v>0</v>
      </c>
      <c r="AA178" s="418">
        <v>0</v>
      </c>
      <c r="AB178" s="418">
        <v>0</v>
      </c>
      <c r="AC178" s="420">
        <v>0</v>
      </c>
      <c r="AD178" s="39"/>
      <c r="AE178" s="39"/>
      <c r="AF178" s="39"/>
      <c r="AG178" s="39"/>
      <c r="AH178" s="39"/>
      <c r="AI178" s="39"/>
      <c r="AJ178" s="39"/>
      <c r="AK178" s="39"/>
    </row>
    <row r="179" spans="1:37" ht="30.6" customHeight="1" x14ac:dyDescent="0.3">
      <c r="A179" s="1103"/>
      <c r="B179" s="1194"/>
      <c r="C179" s="1207"/>
      <c r="D179" s="1095"/>
      <c r="E179" s="89" t="s">
        <v>475</v>
      </c>
      <c r="F179" s="421">
        <v>0</v>
      </c>
      <c r="G179" s="421">
        <v>0</v>
      </c>
      <c r="H179" s="421">
        <v>0</v>
      </c>
      <c r="I179" s="421">
        <v>0</v>
      </c>
      <c r="J179" s="421">
        <v>0</v>
      </c>
      <c r="K179" s="421">
        <v>0</v>
      </c>
      <c r="L179" s="399">
        <v>0.5</v>
      </c>
      <c r="M179" s="400">
        <v>1</v>
      </c>
      <c r="N179" s="400">
        <v>0.5</v>
      </c>
      <c r="O179" s="421">
        <v>1</v>
      </c>
      <c r="P179" s="421">
        <v>0.5</v>
      </c>
      <c r="Q179" s="421">
        <v>1</v>
      </c>
      <c r="R179" s="421">
        <v>0.5</v>
      </c>
      <c r="S179" s="421">
        <v>1</v>
      </c>
      <c r="T179" s="421">
        <v>0.5</v>
      </c>
      <c r="U179" s="421">
        <v>1</v>
      </c>
      <c r="V179" s="421">
        <v>0.5</v>
      </c>
      <c r="W179" s="421">
        <v>1</v>
      </c>
      <c r="X179" s="421">
        <v>0.5</v>
      </c>
      <c r="Y179" s="421">
        <v>0</v>
      </c>
      <c r="Z179" s="421">
        <v>0</v>
      </c>
      <c r="AA179" s="421">
        <v>0</v>
      </c>
      <c r="AB179" s="421">
        <v>0</v>
      </c>
      <c r="AC179" s="422">
        <v>0</v>
      </c>
      <c r="AD179" s="39"/>
      <c r="AE179" s="39"/>
      <c r="AF179" s="39"/>
      <c r="AG179" s="39"/>
      <c r="AH179" s="39"/>
      <c r="AI179" s="39"/>
      <c r="AJ179" s="39"/>
      <c r="AK179" s="39"/>
    </row>
    <row r="180" spans="1:37" ht="30.6" customHeight="1" thickBot="1" x14ac:dyDescent="0.35">
      <c r="A180" s="1104"/>
      <c r="B180" s="1195"/>
      <c r="C180" s="1208"/>
      <c r="D180" s="1096"/>
      <c r="E180" s="91" t="s">
        <v>477</v>
      </c>
      <c r="F180" s="423">
        <v>0</v>
      </c>
      <c r="G180" s="423">
        <v>0</v>
      </c>
      <c r="H180" s="423">
        <v>0</v>
      </c>
      <c r="I180" s="423">
        <v>0</v>
      </c>
      <c r="J180" s="423">
        <v>0</v>
      </c>
      <c r="K180" s="423">
        <v>0</v>
      </c>
      <c r="L180" s="424">
        <v>0.5</v>
      </c>
      <c r="M180" s="424">
        <v>1</v>
      </c>
      <c r="N180" s="424">
        <v>0.5</v>
      </c>
      <c r="O180" s="423">
        <v>1</v>
      </c>
      <c r="P180" s="423">
        <v>0.5</v>
      </c>
      <c r="Q180" s="423">
        <v>1</v>
      </c>
      <c r="R180" s="423">
        <v>0.5</v>
      </c>
      <c r="S180" s="423">
        <v>1</v>
      </c>
      <c r="T180" s="423">
        <v>0.5</v>
      </c>
      <c r="U180" s="423">
        <v>1</v>
      </c>
      <c r="V180" s="423">
        <v>0.5</v>
      </c>
      <c r="W180" s="423">
        <v>1</v>
      </c>
      <c r="X180" s="423">
        <v>0.5</v>
      </c>
      <c r="Y180" s="423">
        <v>0</v>
      </c>
      <c r="Z180" s="423">
        <v>0</v>
      </c>
      <c r="AA180" s="423">
        <v>0</v>
      </c>
      <c r="AB180" s="423">
        <v>0</v>
      </c>
      <c r="AC180" s="425">
        <v>0</v>
      </c>
      <c r="AD180" s="39"/>
      <c r="AE180" s="39"/>
      <c r="AF180" s="39"/>
      <c r="AG180" s="39"/>
      <c r="AH180" s="39"/>
      <c r="AI180" s="39"/>
      <c r="AJ180" s="39"/>
      <c r="AK180" s="39"/>
    </row>
    <row r="181" spans="1:37" ht="30.6" customHeight="1" x14ac:dyDescent="0.3">
      <c r="A181" s="1102" t="s">
        <v>144</v>
      </c>
      <c r="B181" s="1193" t="s">
        <v>144</v>
      </c>
      <c r="C181" s="1105" t="s">
        <v>175</v>
      </c>
      <c r="D181" s="1094" t="s">
        <v>790</v>
      </c>
      <c r="E181" s="93" t="s">
        <v>468</v>
      </c>
      <c r="F181" s="68">
        <v>0.9</v>
      </c>
      <c r="G181" s="68">
        <v>0.9</v>
      </c>
      <c r="H181" s="68">
        <v>0.9</v>
      </c>
      <c r="I181" s="68">
        <v>0.9</v>
      </c>
      <c r="J181" s="68">
        <v>0.9</v>
      </c>
      <c r="K181" s="68">
        <v>0.9</v>
      </c>
      <c r="L181" s="68">
        <v>0.9</v>
      </c>
      <c r="M181" s="68">
        <v>0.9</v>
      </c>
      <c r="N181" s="68">
        <v>0.9</v>
      </c>
      <c r="O181" s="68">
        <v>0.9</v>
      </c>
      <c r="P181" s="68">
        <v>0.9</v>
      </c>
      <c r="Q181" s="68">
        <v>0.9</v>
      </c>
      <c r="R181" s="68">
        <v>0.9</v>
      </c>
      <c r="S181" s="68">
        <v>0.9</v>
      </c>
      <c r="T181" s="68">
        <v>0.9</v>
      </c>
      <c r="U181" s="68">
        <v>0.9</v>
      </c>
      <c r="V181" s="68">
        <v>0.9</v>
      </c>
      <c r="W181" s="68">
        <v>0.9</v>
      </c>
      <c r="X181" s="68">
        <v>0.9</v>
      </c>
      <c r="Y181" s="68">
        <v>0.9</v>
      </c>
      <c r="Z181" s="68">
        <v>0.9</v>
      </c>
      <c r="AA181" s="68">
        <v>0.9</v>
      </c>
      <c r="AB181" s="68">
        <v>0.9</v>
      </c>
      <c r="AC181" s="71">
        <v>0.9</v>
      </c>
      <c r="AD181" s="39"/>
      <c r="AE181" s="39"/>
      <c r="AF181" s="39"/>
      <c r="AG181" s="39"/>
      <c r="AH181" s="39"/>
      <c r="AI181" s="39"/>
      <c r="AJ181" s="39"/>
      <c r="AK181" s="39"/>
    </row>
    <row r="182" spans="1:37" ht="30.6" customHeight="1" x14ac:dyDescent="0.3">
      <c r="A182" s="1103"/>
      <c r="B182" s="1194"/>
      <c r="C182" s="1106"/>
      <c r="D182" s="1095"/>
      <c r="E182" s="94" t="s">
        <v>475</v>
      </c>
      <c r="F182" s="69">
        <v>0.9</v>
      </c>
      <c r="G182" s="69">
        <v>0.9</v>
      </c>
      <c r="H182" s="69">
        <v>0.9</v>
      </c>
      <c r="I182" s="69">
        <v>0.9</v>
      </c>
      <c r="J182" s="69">
        <v>0.9</v>
      </c>
      <c r="K182" s="69">
        <v>0.9</v>
      </c>
      <c r="L182" s="69">
        <v>0.9</v>
      </c>
      <c r="M182" s="69">
        <v>0.9</v>
      </c>
      <c r="N182" s="69">
        <v>0.9</v>
      </c>
      <c r="O182" s="69">
        <v>0.9</v>
      </c>
      <c r="P182" s="69">
        <v>0.9</v>
      </c>
      <c r="Q182" s="69">
        <v>0.9</v>
      </c>
      <c r="R182" s="69">
        <v>0.9</v>
      </c>
      <c r="S182" s="69">
        <v>0.9</v>
      </c>
      <c r="T182" s="69">
        <v>0.9</v>
      </c>
      <c r="U182" s="69">
        <v>0.9</v>
      </c>
      <c r="V182" s="69">
        <v>0.9</v>
      </c>
      <c r="W182" s="69">
        <v>0.9</v>
      </c>
      <c r="X182" s="69">
        <v>0.9</v>
      </c>
      <c r="Y182" s="69">
        <v>0.9</v>
      </c>
      <c r="Z182" s="69">
        <v>0.9</v>
      </c>
      <c r="AA182" s="69">
        <v>0.9</v>
      </c>
      <c r="AB182" s="69">
        <v>0.9</v>
      </c>
      <c r="AC182" s="72">
        <v>0.9</v>
      </c>
      <c r="AD182" s="39"/>
      <c r="AE182" s="39"/>
      <c r="AF182" s="39"/>
      <c r="AG182" s="39"/>
      <c r="AH182" s="39"/>
      <c r="AI182" s="39"/>
      <c r="AJ182" s="39"/>
      <c r="AK182" s="39"/>
    </row>
    <row r="183" spans="1:37" ht="30.6" customHeight="1" thickBot="1" x14ac:dyDescent="0.35">
      <c r="A183" s="1104"/>
      <c r="B183" s="1195"/>
      <c r="C183" s="1107"/>
      <c r="D183" s="1096"/>
      <c r="E183" s="95" t="s">
        <v>477</v>
      </c>
      <c r="F183" s="70">
        <v>0.9</v>
      </c>
      <c r="G183" s="70">
        <v>0.9</v>
      </c>
      <c r="H183" s="70">
        <v>0.9</v>
      </c>
      <c r="I183" s="70">
        <v>0.9</v>
      </c>
      <c r="J183" s="70">
        <v>0.9</v>
      </c>
      <c r="K183" s="70">
        <v>0.9</v>
      </c>
      <c r="L183" s="70">
        <v>0.9</v>
      </c>
      <c r="M183" s="70">
        <v>0.9</v>
      </c>
      <c r="N183" s="70">
        <v>0.9</v>
      </c>
      <c r="O183" s="70">
        <v>0.9</v>
      </c>
      <c r="P183" s="70">
        <v>0.9</v>
      </c>
      <c r="Q183" s="70">
        <v>0.9</v>
      </c>
      <c r="R183" s="70">
        <v>0.9</v>
      </c>
      <c r="S183" s="70">
        <v>0.9</v>
      </c>
      <c r="T183" s="70">
        <v>0.9</v>
      </c>
      <c r="U183" s="70">
        <v>0.9</v>
      </c>
      <c r="V183" s="70">
        <v>0.9</v>
      </c>
      <c r="W183" s="70">
        <v>0.9</v>
      </c>
      <c r="X183" s="70">
        <v>0.9</v>
      </c>
      <c r="Y183" s="70">
        <v>0.9</v>
      </c>
      <c r="Z183" s="70">
        <v>0.9</v>
      </c>
      <c r="AA183" s="70">
        <v>0.9</v>
      </c>
      <c r="AB183" s="70">
        <v>0.9</v>
      </c>
      <c r="AC183" s="73">
        <v>0.9</v>
      </c>
      <c r="AD183" s="39"/>
      <c r="AE183" s="39"/>
      <c r="AF183" s="39"/>
      <c r="AG183" s="39"/>
      <c r="AH183" s="39"/>
      <c r="AI183" s="39"/>
      <c r="AJ183" s="39"/>
      <c r="AK183" s="39"/>
    </row>
    <row r="184" spans="1:37" ht="30.6" customHeight="1" x14ac:dyDescent="0.3">
      <c r="A184" s="1102" t="s">
        <v>144</v>
      </c>
      <c r="B184" s="1193" t="s">
        <v>144</v>
      </c>
      <c r="C184" s="1213" t="s">
        <v>775</v>
      </c>
      <c r="D184" s="1094" t="s">
        <v>795</v>
      </c>
      <c r="E184" s="426" t="s">
        <v>468</v>
      </c>
      <c r="F184" s="427">
        <v>0.5</v>
      </c>
      <c r="G184" s="427">
        <v>0</v>
      </c>
      <c r="H184" s="427">
        <v>0</v>
      </c>
      <c r="I184" s="427">
        <v>0</v>
      </c>
      <c r="J184" s="427">
        <v>0</v>
      </c>
      <c r="K184" s="427">
        <v>0</v>
      </c>
      <c r="L184" s="428">
        <v>0.5</v>
      </c>
      <c r="M184" s="428">
        <v>0.9</v>
      </c>
      <c r="N184" s="428">
        <v>0.9</v>
      </c>
      <c r="O184" s="428">
        <v>0.9</v>
      </c>
      <c r="P184" s="427">
        <v>0.9</v>
      </c>
      <c r="Q184" s="427">
        <v>0.9</v>
      </c>
      <c r="R184" s="427">
        <v>0.9</v>
      </c>
      <c r="S184" s="427">
        <v>0.9</v>
      </c>
      <c r="T184" s="427">
        <v>0.75</v>
      </c>
      <c r="U184" s="427">
        <v>0.75</v>
      </c>
      <c r="V184" s="427">
        <v>0.75</v>
      </c>
      <c r="W184" s="427">
        <v>0.9</v>
      </c>
      <c r="X184" s="427">
        <v>0.9</v>
      </c>
      <c r="Y184" s="427">
        <v>0.9</v>
      </c>
      <c r="Z184" s="427">
        <v>0.9</v>
      </c>
      <c r="AA184" s="427">
        <v>0.75</v>
      </c>
      <c r="AB184" s="427">
        <v>0.5</v>
      </c>
      <c r="AC184" s="429">
        <v>0.5</v>
      </c>
      <c r="AD184" s="39"/>
      <c r="AE184" s="39"/>
      <c r="AF184" s="39"/>
      <c r="AG184" s="39"/>
      <c r="AH184" s="39"/>
      <c r="AI184" s="39"/>
      <c r="AJ184" s="39"/>
      <c r="AK184" s="39"/>
    </row>
    <row r="185" spans="1:37" ht="30.6" customHeight="1" x14ac:dyDescent="0.3">
      <c r="A185" s="1103"/>
      <c r="B185" s="1194"/>
      <c r="C185" s="1106"/>
      <c r="D185" s="1095"/>
      <c r="E185" s="94" t="s">
        <v>475</v>
      </c>
      <c r="F185" s="69">
        <v>0.5</v>
      </c>
      <c r="G185" s="69">
        <v>0</v>
      </c>
      <c r="H185" s="69">
        <v>0</v>
      </c>
      <c r="I185" s="69">
        <v>0</v>
      </c>
      <c r="J185" s="69">
        <v>0</v>
      </c>
      <c r="K185" s="69">
        <v>0</v>
      </c>
      <c r="L185" s="414">
        <v>0.5</v>
      </c>
      <c r="M185" s="414">
        <v>0.9</v>
      </c>
      <c r="N185" s="414">
        <v>0.9</v>
      </c>
      <c r="O185" s="414">
        <v>0.9</v>
      </c>
      <c r="P185" s="69">
        <v>0.9</v>
      </c>
      <c r="Q185" s="69">
        <v>0.9</v>
      </c>
      <c r="R185" s="69">
        <v>0.9</v>
      </c>
      <c r="S185" s="69">
        <v>0.9</v>
      </c>
      <c r="T185" s="69">
        <v>0.75</v>
      </c>
      <c r="U185" s="69">
        <v>0.75</v>
      </c>
      <c r="V185" s="69">
        <v>0.75</v>
      </c>
      <c r="W185" s="69">
        <v>0.9</v>
      </c>
      <c r="X185" s="69">
        <v>0.9</v>
      </c>
      <c r="Y185" s="69">
        <v>0.9</v>
      </c>
      <c r="Z185" s="69">
        <v>0.9</v>
      </c>
      <c r="AA185" s="69">
        <v>0.75</v>
      </c>
      <c r="AB185" s="69">
        <v>0.75</v>
      </c>
      <c r="AC185" s="72">
        <v>0.5</v>
      </c>
      <c r="AD185" s="39"/>
      <c r="AE185" s="39"/>
      <c r="AF185" s="39"/>
      <c r="AG185" s="39"/>
      <c r="AH185" s="39"/>
      <c r="AI185" s="39"/>
      <c r="AJ185" s="39"/>
      <c r="AK185" s="39"/>
    </row>
    <row r="186" spans="1:37" ht="30.6" customHeight="1" thickBot="1" x14ac:dyDescent="0.35">
      <c r="A186" s="1104"/>
      <c r="B186" s="1195"/>
      <c r="C186" s="1107"/>
      <c r="D186" s="1096"/>
      <c r="E186" s="95" t="s">
        <v>477</v>
      </c>
      <c r="F186" s="70">
        <v>0.5</v>
      </c>
      <c r="G186" s="70">
        <v>0</v>
      </c>
      <c r="H186" s="70">
        <v>0</v>
      </c>
      <c r="I186" s="70">
        <v>0</v>
      </c>
      <c r="J186" s="70">
        <v>0</v>
      </c>
      <c r="K186" s="70">
        <v>0</v>
      </c>
      <c r="L186" s="430">
        <v>0.5</v>
      </c>
      <c r="M186" s="430">
        <v>0.9</v>
      </c>
      <c r="N186" s="430">
        <v>0.9</v>
      </c>
      <c r="O186" s="430">
        <v>0.9</v>
      </c>
      <c r="P186" s="70">
        <v>0.9</v>
      </c>
      <c r="Q186" s="70">
        <v>0.9</v>
      </c>
      <c r="R186" s="70">
        <v>0.9</v>
      </c>
      <c r="S186" s="70">
        <v>0.9</v>
      </c>
      <c r="T186" s="70">
        <v>0.75</v>
      </c>
      <c r="U186" s="70">
        <v>0.75</v>
      </c>
      <c r="V186" s="70">
        <v>0.75</v>
      </c>
      <c r="W186" s="70">
        <v>0.9</v>
      </c>
      <c r="X186" s="70">
        <v>0.9</v>
      </c>
      <c r="Y186" s="70">
        <v>0.9</v>
      </c>
      <c r="Z186" s="70">
        <v>0.9</v>
      </c>
      <c r="AA186" s="70">
        <v>0.75</v>
      </c>
      <c r="AB186" s="70">
        <v>0.5</v>
      </c>
      <c r="AC186" s="73">
        <v>0.5</v>
      </c>
      <c r="AD186" s="39"/>
      <c r="AE186" s="39"/>
      <c r="AF186" s="39"/>
      <c r="AG186" s="39"/>
      <c r="AH186" s="39"/>
      <c r="AI186" s="39"/>
      <c r="AJ186" s="39"/>
      <c r="AK186" s="39"/>
    </row>
    <row r="187" spans="1:37" ht="30.6" customHeight="1" x14ac:dyDescent="0.3">
      <c r="A187" s="1068" t="str">
        <f>A181</f>
        <v>Kitchen</v>
      </c>
      <c r="B187" s="1173" t="str">
        <f>B181</f>
        <v>Kitchen</v>
      </c>
      <c r="C187" s="1059" t="s">
        <v>770</v>
      </c>
      <c r="D187" s="1169" t="s">
        <v>796</v>
      </c>
      <c r="E187" s="456" t="s">
        <v>468</v>
      </c>
      <c r="F187" s="457">
        <f>IF(F166=1,Thermostat!$B$15,Thermostat!$B$16)</f>
        <v>66</v>
      </c>
      <c r="G187" s="457">
        <f>IF(G166=1,Thermostat!$B$15,Thermostat!$B$16)</f>
        <v>60</v>
      </c>
      <c r="H187" s="457">
        <f>IF(H166=1,Thermostat!$B$15,Thermostat!$B$16)</f>
        <v>60</v>
      </c>
      <c r="I187" s="457">
        <f>IF(I166=1,Thermostat!$B$15,Thermostat!$B$16)</f>
        <v>60</v>
      </c>
      <c r="J187" s="457">
        <f>IF(J166=1,Thermostat!$B$15,Thermostat!$B$16)</f>
        <v>66</v>
      </c>
      <c r="K187" s="457">
        <f>IF(K166=1,Thermostat!$B$15,Thermostat!$B$16)</f>
        <v>66</v>
      </c>
      <c r="L187" s="457">
        <f>IF(L166=1,Thermostat!$B$15,Thermostat!$B$16)</f>
        <v>66</v>
      </c>
      <c r="M187" s="457">
        <f>IF(M166=1,Thermostat!$B$15,Thermostat!$B$16)</f>
        <v>66</v>
      </c>
      <c r="N187" s="457">
        <f>IF(N166=1,Thermostat!$B$15,Thermostat!$B$16)</f>
        <v>66</v>
      </c>
      <c r="O187" s="457">
        <f>IF(O166=1,Thermostat!$B$15,Thermostat!$B$16)</f>
        <v>66</v>
      </c>
      <c r="P187" s="457">
        <f>IF(P166=1,Thermostat!$B$15,Thermostat!$B$16)</f>
        <v>66</v>
      </c>
      <c r="Q187" s="457">
        <f>IF(Q166=1,Thermostat!$B$15,Thermostat!$B$16)</f>
        <v>66</v>
      </c>
      <c r="R187" s="457">
        <f>IF(R166=1,Thermostat!$B$15,Thermostat!$B$16)</f>
        <v>66</v>
      </c>
      <c r="S187" s="457">
        <f>IF(S166=1,Thermostat!$B$15,Thermostat!$B$16)</f>
        <v>66</v>
      </c>
      <c r="T187" s="457">
        <f>IF(T166=1,Thermostat!$B$15,Thermostat!$B$16)</f>
        <v>66</v>
      </c>
      <c r="U187" s="457">
        <f>IF(U166=1,Thermostat!$B$15,Thermostat!$B$16)</f>
        <v>66</v>
      </c>
      <c r="V187" s="457">
        <f>IF(V166=1,Thermostat!$B$15,Thermostat!$B$16)</f>
        <v>66</v>
      </c>
      <c r="W187" s="457">
        <f>IF(W166=1,Thermostat!$B$15,Thermostat!$B$16)</f>
        <v>66</v>
      </c>
      <c r="X187" s="457">
        <f>IF(X166=1,Thermostat!$B$15,Thermostat!$B$16)</f>
        <v>66</v>
      </c>
      <c r="Y187" s="457">
        <f>IF(Y166=1,Thermostat!$B$15,Thermostat!$B$16)</f>
        <v>66</v>
      </c>
      <c r="Z187" s="457">
        <f>IF(Z166=1,Thermostat!$B$15,Thermostat!$B$16)</f>
        <v>66</v>
      </c>
      <c r="AA187" s="457">
        <f>IF(AA166=1,Thermostat!$B$15,Thermostat!$B$16)</f>
        <v>66</v>
      </c>
      <c r="AB187" s="457">
        <f>IF(AB166=1,Thermostat!$B$15,Thermostat!$B$16)</f>
        <v>66</v>
      </c>
      <c r="AC187" s="458">
        <f>IF(AC166=1,Thermostat!$B$15,Thermostat!$B$16)</f>
        <v>66</v>
      </c>
      <c r="AD187" s="39"/>
      <c r="AE187" s="39"/>
      <c r="AF187" s="39"/>
      <c r="AG187" s="39"/>
      <c r="AH187" s="39"/>
      <c r="AI187" s="39"/>
      <c r="AJ187" s="39"/>
      <c r="AK187" s="39"/>
    </row>
    <row r="188" spans="1:37" ht="30.6" customHeight="1" x14ac:dyDescent="0.3">
      <c r="A188" s="1069"/>
      <c r="B188" s="1144"/>
      <c r="C188" s="1060"/>
      <c r="D188" s="1170"/>
      <c r="E188" s="459" t="s">
        <v>475</v>
      </c>
      <c r="F188" s="352">
        <f>IF(F167=1,Thermostat!$B$15,Thermostat!$B$16)</f>
        <v>66</v>
      </c>
      <c r="G188" s="352">
        <f>IF(G167=1,Thermostat!$B$15,Thermostat!$B$16)</f>
        <v>60</v>
      </c>
      <c r="H188" s="352">
        <f>IF(H167=1,Thermostat!$B$15,Thermostat!$B$16)</f>
        <v>60</v>
      </c>
      <c r="I188" s="352">
        <f>IF(I167=1,Thermostat!$B$15,Thermostat!$B$16)</f>
        <v>60</v>
      </c>
      <c r="J188" s="352">
        <f>IF(J167=1,Thermostat!$B$15,Thermostat!$B$16)</f>
        <v>60</v>
      </c>
      <c r="K188" s="352">
        <f>IF(K167=1,Thermostat!$B$15,Thermostat!$B$16)</f>
        <v>66</v>
      </c>
      <c r="L188" s="352">
        <f>IF(L167=1,Thermostat!$B$15,Thermostat!$B$16)</f>
        <v>66</v>
      </c>
      <c r="M188" s="352">
        <f>IF(M167=1,Thermostat!$B$15,Thermostat!$B$16)</f>
        <v>66</v>
      </c>
      <c r="N188" s="352">
        <f>IF(N167=1,Thermostat!$B$15,Thermostat!$B$16)</f>
        <v>66</v>
      </c>
      <c r="O188" s="352">
        <f>IF(O167=1,Thermostat!$B$15,Thermostat!$B$16)</f>
        <v>66</v>
      </c>
      <c r="P188" s="352">
        <f>IF(P167=1,Thermostat!$B$15,Thermostat!$B$16)</f>
        <v>66</v>
      </c>
      <c r="Q188" s="352">
        <f>IF(Q167=1,Thermostat!$B$15,Thermostat!$B$16)</f>
        <v>66</v>
      </c>
      <c r="R188" s="352">
        <f>IF(R167=1,Thermostat!$B$15,Thermostat!$B$16)</f>
        <v>66</v>
      </c>
      <c r="S188" s="352">
        <f>IF(S167=1,Thermostat!$B$15,Thermostat!$B$16)</f>
        <v>66</v>
      </c>
      <c r="T188" s="352">
        <f>IF(T167=1,Thermostat!$B$15,Thermostat!$B$16)</f>
        <v>66</v>
      </c>
      <c r="U188" s="352">
        <f>IF(U167=1,Thermostat!$B$15,Thermostat!$B$16)</f>
        <v>66</v>
      </c>
      <c r="V188" s="352">
        <f>IF(V167=1,Thermostat!$B$15,Thermostat!$B$16)</f>
        <v>66</v>
      </c>
      <c r="W188" s="352">
        <f>IF(W167=1,Thermostat!$B$15,Thermostat!$B$16)</f>
        <v>66</v>
      </c>
      <c r="X188" s="352">
        <f>IF(X167=1,Thermostat!$B$15,Thermostat!$B$16)</f>
        <v>66</v>
      </c>
      <c r="Y188" s="352">
        <f>IF(Y167=1,Thermostat!$B$15,Thermostat!$B$16)</f>
        <v>66</v>
      </c>
      <c r="Z188" s="352">
        <f>IF(Z167=1,Thermostat!$B$15,Thermostat!$B$16)</f>
        <v>66</v>
      </c>
      <c r="AA188" s="352">
        <f>IF(AA167=1,Thermostat!$B$15,Thermostat!$B$16)</f>
        <v>66</v>
      </c>
      <c r="AB188" s="352">
        <f>IF(AB167=1,Thermostat!$B$15,Thermostat!$B$16)</f>
        <v>66</v>
      </c>
      <c r="AC188" s="460">
        <f>IF(AC167=1,Thermostat!$B$15,Thermostat!$B$16)</f>
        <v>66</v>
      </c>
      <c r="AD188" s="39"/>
      <c r="AE188" s="39"/>
      <c r="AF188" s="39"/>
      <c r="AG188" s="39"/>
      <c r="AH188" s="39"/>
      <c r="AI188" s="39"/>
      <c r="AJ188" s="39"/>
      <c r="AK188" s="39"/>
    </row>
    <row r="189" spans="1:37" ht="30.6" customHeight="1" x14ac:dyDescent="0.3">
      <c r="A189" s="1165"/>
      <c r="B189" s="1172"/>
      <c r="C189" s="1090"/>
      <c r="D189" s="1171"/>
      <c r="E189" s="461" t="s">
        <v>477</v>
      </c>
      <c r="F189" s="352">
        <f>IF(F168=1,Thermostat!$B$15,Thermostat!$B$16)</f>
        <v>66</v>
      </c>
      <c r="G189" s="352">
        <f>IF(G168=1,Thermostat!$B$15,Thermostat!$B$16)</f>
        <v>60</v>
      </c>
      <c r="H189" s="352">
        <f>IF(H168=1,Thermostat!$B$15,Thermostat!$B$16)</f>
        <v>60</v>
      </c>
      <c r="I189" s="352">
        <f>IF(I168=1,Thermostat!$B$15,Thermostat!$B$16)</f>
        <v>60</v>
      </c>
      <c r="J189" s="352">
        <f>IF(J168=1,Thermostat!$B$15,Thermostat!$B$16)</f>
        <v>60</v>
      </c>
      <c r="K189" s="352">
        <f>IF(K168=1,Thermostat!$B$15,Thermostat!$B$16)</f>
        <v>66</v>
      </c>
      <c r="L189" s="352">
        <f>IF(L168=1,Thermostat!$B$15,Thermostat!$B$16)</f>
        <v>66</v>
      </c>
      <c r="M189" s="352">
        <f>IF(M168=1,Thermostat!$B$15,Thermostat!$B$16)</f>
        <v>66</v>
      </c>
      <c r="N189" s="352">
        <f>IF(N168=1,Thermostat!$B$15,Thermostat!$B$16)</f>
        <v>66</v>
      </c>
      <c r="O189" s="352">
        <f>IF(O168=1,Thermostat!$B$15,Thermostat!$B$16)</f>
        <v>66</v>
      </c>
      <c r="P189" s="352">
        <f>IF(P168=1,Thermostat!$B$15,Thermostat!$B$16)</f>
        <v>66</v>
      </c>
      <c r="Q189" s="352">
        <f>IF(Q168=1,Thermostat!$B$15,Thermostat!$B$16)</f>
        <v>66</v>
      </c>
      <c r="R189" s="352">
        <f>IF(R168=1,Thermostat!$B$15,Thermostat!$B$16)</f>
        <v>66</v>
      </c>
      <c r="S189" s="352">
        <f>IF(S168=1,Thermostat!$B$15,Thermostat!$B$16)</f>
        <v>66</v>
      </c>
      <c r="T189" s="352">
        <f>IF(T168=1,Thermostat!$B$15,Thermostat!$B$16)</f>
        <v>66</v>
      </c>
      <c r="U189" s="352">
        <f>IF(U168=1,Thermostat!$B$15,Thermostat!$B$16)</f>
        <v>66</v>
      </c>
      <c r="V189" s="352">
        <f>IF(V168=1,Thermostat!$B$15,Thermostat!$B$16)</f>
        <v>66</v>
      </c>
      <c r="W189" s="352">
        <f>IF(W168=1,Thermostat!$B$15,Thermostat!$B$16)</f>
        <v>66</v>
      </c>
      <c r="X189" s="352">
        <f>IF(X168=1,Thermostat!$B$15,Thermostat!$B$16)</f>
        <v>66</v>
      </c>
      <c r="Y189" s="352">
        <f>IF(Y168=1,Thermostat!$B$15,Thermostat!$B$16)</f>
        <v>66</v>
      </c>
      <c r="Z189" s="352">
        <f>IF(Z168=1,Thermostat!$B$15,Thermostat!$B$16)</f>
        <v>66</v>
      </c>
      <c r="AA189" s="352">
        <f>IF(AA168=1,Thermostat!$B$15,Thermostat!$B$16)</f>
        <v>66</v>
      </c>
      <c r="AB189" s="352">
        <f>IF(AB168=1,Thermostat!$B$15,Thermostat!$B$16)</f>
        <v>66</v>
      </c>
      <c r="AC189" s="460">
        <f>IF(AC168=1,Thermostat!$B$15,Thermostat!$B$16)</f>
        <v>66</v>
      </c>
      <c r="AD189" s="39"/>
      <c r="AE189" s="39"/>
      <c r="AF189" s="39"/>
      <c r="AG189" s="39"/>
      <c r="AH189" s="39"/>
      <c r="AI189" s="39"/>
      <c r="AJ189" s="39"/>
      <c r="AK189" s="39"/>
    </row>
    <row r="190" spans="1:37" ht="30.6" customHeight="1" x14ac:dyDescent="0.3">
      <c r="A190" s="1068" t="str">
        <f>A184</f>
        <v>Kitchen</v>
      </c>
      <c r="B190" s="1173" t="str">
        <f>B184</f>
        <v>Kitchen</v>
      </c>
      <c r="C190" s="1059" t="s">
        <v>771</v>
      </c>
      <c r="D190" s="1214" t="s">
        <v>796</v>
      </c>
      <c r="E190" s="462" t="s">
        <v>468</v>
      </c>
      <c r="F190" s="346">
        <f>IF(F166=1,Thermostat!$B$17,Thermostat!$B$18)</f>
        <v>79</v>
      </c>
      <c r="G190" s="346">
        <f>IF(G166=1,Thermostat!$B$17,Thermostat!$B$18)</f>
        <v>86</v>
      </c>
      <c r="H190" s="346">
        <f>IF(H166=1,Thermostat!$B$17,Thermostat!$B$18)</f>
        <v>86</v>
      </c>
      <c r="I190" s="346">
        <f>IF(I166=1,Thermostat!$B$17,Thermostat!$B$18)</f>
        <v>86</v>
      </c>
      <c r="J190" s="346">
        <f>IF(J166=1,Thermostat!$B$17,Thermostat!$B$18)</f>
        <v>79</v>
      </c>
      <c r="K190" s="346">
        <f>IF(K166=1,Thermostat!$B$17,Thermostat!$B$18)</f>
        <v>79</v>
      </c>
      <c r="L190" s="346">
        <f>IF(L166=1,Thermostat!$B$17,Thermostat!$B$18)</f>
        <v>79</v>
      </c>
      <c r="M190" s="346">
        <f>IF(M166=1,Thermostat!$B$17,Thermostat!$B$18)</f>
        <v>79</v>
      </c>
      <c r="N190" s="346">
        <f>IF(N166=1,Thermostat!$B$17,Thermostat!$B$18)</f>
        <v>79</v>
      </c>
      <c r="O190" s="346">
        <f>IF(O166=1,Thermostat!$B$17,Thermostat!$B$18)</f>
        <v>79</v>
      </c>
      <c r="P190" s="346">
        <f>IF(P166=1,Thermostat!$B$17,Thermostat!$B$18)</f>
        <v>79</v>
      </c>
      <c r="Q190" s="346">
        <f>IF(Q166=1,Thermostat!$B$17,Thermostat!$B$18)</f>
        <v>79</v>
      </c>
      <c r="R190" s="346">
        <f>IF(R166=1,Thermostat!$B$17,Thermostat!$B$18)</f>
        <v>79</v>
      </c>
      <c r="S190" s="346">
        <f>IF(S166=1,Thermostat!$B$17,Thermostat!$B$18)</f>
        <v>79</v>
      </c>
      <c r="T190" s="346">
        <f>IF(T166=1,Thermostat!$B$17,Thermostat!$B$18)</f>
        <v>79</v>
      </c>
      <c r="U190" s="346">
        <f>IF(U166=1,Thermostat!$B$17,Thermostat!$B$18)</f>
        <v>79</v>
      </c>
      <c r="V190" s="346">
        <f>IF(V166=1,Thermostat!$B$17,Thermostat!$B$18)</f>
        <v>79</v>
      </c>
      <c r="W190" s="346">
        <f>IF(W166=1,Thermostat!$B$17,Thermostat!$B$18)</f>
        <v>79</v>
      </c>
      <c r="X190" s="346">
        <f>IF(X166=1,Thermostat!$B$17,Thermostat!$B$18)</f>
        <v>79</v>
      </c>
      <c r="Y190" s="346">
        <f>IF(Y166=1,Thermostat!$B$17,Thermostat!$B$18)</f>
        <v>79</v>
      </c>
      <c r="Z190" s="346">
        <f>IF(Z166=1,Thermostat!$B$17,Thermostat!$B$18)</f>
        <v>79</v>
      </c>
      <c r="AA190" s="346">
        <f>IF(AA166=1,Thermostat!$B$17,Thermostat!$B$18)</f>
        <v>79</v>
      </c>
      <c r="AB190" s="346">
        <f>IF(AB166=1,Thermostat!$B$17,Thermostat!$B$18)</f>
        <v>79</v>
      </c>
      <c r="AC190" s="463">
        <f>IF(AC166=1,Thermostat!$B$17,Thermostat!$B$18)</f>
        <v>79</v>
      </c>
      <c r="AD190" s="39"/>
      <c r="AE190" s="39"/>
      <c r="AF190" s="39"/>
      <c r="AG190" s="39"/>
      <c r="AH190" s="39"/>
      <c r="AI190" s="39"/>
      <c r="AJ190" s="39"/>
      <c r="AK190" s="39"/>
    </row>
    <row r="191" spans="1:37" ht="30.6" customHeight="1" x14ac:dyDescent="0.3">
      <c r="A191" s="1069"/>
      <c r="B191" s="1144"/>
      <c r="C191" s="1060"/>
      <c r="D191" s="1170"/>
      <c r="E191" s="464" t="s">
        <v>475</v>
      </c>
      <c r="F191" s="339">
        <f>IF(F167=1,Thermostat!$B$17,Thermostat!$B$18)</f>
        <v>79</v>
      </c>
      <c r="G191" s="339">
        <f>IF(G167=1,Thermostat!$B$17,Thermostat!$B$18)</f>
        <v>86</v>
      </c>
      <c r="H191" s="339">
        <f>IF(H167=1,Thermostat!$B$17,Thermostat!$B$18)</f>
        <v>86</v>
      </c>
      <c r="I191" s="339">
        <f>IF(I167=1,Thermostat!$B$17,Thermostat!$B$18)</f>
        <v>86</v>
      </c>
      <c r="J191" s="339">
        <f>IF(J167=1,Thermostat!$B$17,Thermostat!$B$18)</f>
        <v>86</v>
      </c>
      <c r="K191" s="339">
        <f>IF(K167=1,Thermostat!$B$17,Thermostat!$B$18)</f>
        <v>79</v>
      </c>
      <c r="L191" s="339">
        <f>IF(L167=1,Thermostat!$B$17,Thermostat!$B$18)</f>
        <v>79</v>
      </c>
      <c r="M191" s="339">
        <f>IF(M167=1,Thermostat!$B$17,Thermostat!$B$18)</f>
        <v>79</v>
      </c>
      <c r="N191" s="339">
        <f>IF(N167=1,Thermostat!$B$17,Thermostat!$B$18)</f>
        <v>79</v>
      </c>
      <c r="O191" s="339">
        <f>IF(O167=1,Thermostat!$B$17,Thermostat!$B$18)</f>
        <v>79</v>
      </c>
      <c r="P191" s="339">
        <f>IF(P167=1,Thermostat!$B$17,Thermostat!$B$18)</f>
        <v>79</v>
      </c>
      <c r="Q191" s="339">
        <f>IF(Q167=1,Thermostat!$B$17,Thermostat!$B$18)</f>
        <v>79</v>
      </c>
      <c r="R191" s="339">
        <f>IF(R167=1,Thermostat!$B$17,Thermostat!$B$18)</f>
        <v>79</v>
      </c>
      <c r="S191" s="339">
        <f>IF(S167=1,Thermostat!$B$17,Thermostat!$B$18)</f>
        <v>79</v>
      </c>
      <c r="T191" s="339">
        <f>IF(T167=1,Thermostat!$B$17,Thermostat!$B$18)</f>
        <v>79</v>
      </c>
      <c r="U191" s="339">
        <f>IF(U167=1,Thermostat!$B$17,Thermostat!$B$18)</f>
        <v>79</v>
      </c>
      <c r="V191" s="339">
        <f>IF(V167=1,Thermostat!$B$17,Thermostat!$B$18)</f>
        <v>79</v>
      </c>
      <c r="W191" s="339">
        <f>IF(W167=1,Thermostat!$B$17,Thermostat!$B$18)</f>
        <v>79</v>
      </c>
      <c r="X191" s="339">
        <f>IF(X167=1,Thermostat!$B$17,Thermostat!$B$18)</f>
        <v>79</v>
      </c>
      <c r="Y191" s="339">
        <f>IF(Y167=1,Thermostat!$B$17,Thermostat!$B$18)</f>
        <v>79</v>
      </c>
      <c r="Z191" s="339">
        <f>IF(Z167=1,Thermostat!$B$17,Thermostat!$B$18)</f>
        <v>79</v>
      </c>
      <c r="AA191" s="339">
        <f>IF(AA167=1,Thermostat!$B$17,Thermostat!$B$18)</f>
        <v>79</v>
      </c>
      <c r="AB191" s="339">
        <f>IF(AB167=1,Thermostat!$B$17,Thermostat!$B$18)</f>
        <v>79</v>
      </c>
      <c r="AC191" s="465">
        <f>IF(AC167=1,Thermostat!$B$17,Thermostat!$B$18)</f>
        <v>79</v>
      </c>
      <c r="AD191" s="39"/>
      <c r="AE191" s="39"/>
      <c r="AF191" s="39"/>
      <c r="AG191" s="39"/>
      <c r="AH191" s="39"/>
      <c r="AI191" s="39"/>
      <c r="AJ191" s="39"/>
      <c r="AK191" s="39"/>
    </row>
    <row r="192" spans="1:37" ht="30.6" customHeight="1" thickBot="1" x14ac:dyDescent="0.35">
      <c r="A192" s="1070"/>
      <c r="B192" s="1174"/>
      <c r="C192" s="1061"/>
      <c r="D192" s="1186"/>
      <c r="E192" s="466" t="s">
        <v>477</v>
      </c>
      <c r="F192" s="467">
        <f>IF(F168=1,Thermostat!$B$17,Thermostat!$B$18)</f>
        <v>79</v>
      </c>
      <c r="G192" s="467">
        <f>IF(G168=1,Thermostat!$B$17,Thermostat!$B$18)</f>
        <v>86</v>
      </c>
      <c r="H192" s="467">
        <f>IF(H168=1,Thermostat!$B$17,Thermostat!$B$18)</f>
        <v>86</v>
      </c>
      <c r="I192" s="467">
        <f>IF(I168=1,Thermostat!$B$17,Thermostat!$B$18)</f>
        <v>86</v>
      </c>
      <c r="J192" s="467">
        <f>IF(J168=1,Thermostat!$B$17,Thermostat!$B$18)</f>
        <v>86</v>
      </c>
      <c r="K192" s="467">
        <f>IF(K168=1,Thermostat!$B$17,Thermostat!$B$18)</f>
        <v>79</v>
      </c>
      <c r="L192" s="467">
        <f>IF(L168=1,Thermostat!$B$17,Thermostat!$B$18)</f>
        <v>79</v>
      </c>
      <c r="M192" s="467">
        <f>IF(M168=1,Thermostat!$B$17,Thermostat!$B$18)</f>
        <v>79</v>
      </c>
      <c r="N192" s="467">
        <f>IF(N168=1,Thermostat!$B$17,Thermostat!$B$18)</f>
        <v>79</v>
      </c>
      <c r="O192" s="467">
        <f>IF(O168=1,Thermostat!$B$17,Thermostat!$B$18)</f>
        <v>79</v>
      </c>
      <c r="P192" s="467">
        <f>IF(P168=1,Thermostat!$B$17,Thermostat!$B$18)</f>
        <v>79</v>
      </c>
      <c r="Q192" s="467">
        <f>IF(Q168=1,Thermostat!$B$17,Thermostat!$B$18)</f>
        <v>79</v>
      </c>
      <c r="R192" s="467">
        <f>IF(R168=1,Thermostat!$B$17,Thermostat!$B$18)</f>
        <v>79</v>
      </c>
      <c r="S192" s="467">
        <f>IF(S168=1,Thermostat!$B$17,Thermostat!$B$18)</f>
        <v>79</v>
      </c>
      <c r="T192" s="467">
        <f>IF(T168=1,Thermostat!$B$17,Thermostat!$B$18)</f>
        <v>79</v>
      </c>
      <c r="U192" s="467">
        <f>IF(U168=1,Thermostat!$B$17,Thermostat!$B$18)</f>
        <v>79</v>
      </c>
      <c r="V192" s="467">
        <f>IF(V168=1,Thermostat!$B$17,Thermostat!$B$18)</f>
        <v>79</v>
      </c>
      <c r="W192" s="467">
        <f>IF(W168=1,Thermostat!$B$17,Thermostat!$B$18)</f>
        <v>79</v>
      </c>
      <c r="X192" s="467">
        <f>IF(X168=1,Thermostat!$B$17,Thermostat!$B$18)</f>
        <v>79</v>
      </c>
      <c r="Y192" s="467">
        <f>IF(Y168=1,Thermostat!$B$17,Thermostat!$B$18)</f>
        <v>79</v>
      </c>
      <c r="Z192" s="467">
        <f>IF(Z168=1,Thermostat!$B$17,Thermostat!$B$18)</f>
        <v>79</v>
      </c>
      <c r="AA192" s="467">
        <f>IF(AA168=1,Thermostat!$B$17,Thermostat!$B$18)</f>
        <v>79</v>
      </c>
      <c r="AB192" s="467">
        <f>IF(AB168=1,Thermostat!$B$17,Thermostat!$B$18)</f>
        <v>79</v>
      </c>
      <c r="AC192" s="468">
        <f>IF(AC168=1,Thermostat!$B$17,Thermostat!$B$18)</f>
        <v>79</v>
      </c>
      <c r="AD192" s="39"/>
      <c r="AE192" s="39"/>
      <c r="AF192" s="39"/>
      <c r="AG192" s="39"/>
      <c r="AH192" s="39"/>
      <c r="AI192" s="39"/>
      <c r="AJ192" s="39"/>
      <c r="AK192" s="39"/>
    </row>
    <row r="193" spans="1:29" ht="20.399999999999999" customHeight="1" thickBot="1" x14ac:dyDescent="0.35">
      <c r="A193" s="1163" t="s">
        <v>150</v>
      </c>
      <c r="B193" s="1163"/>
      <c r="C193" s="1163" t="s">
        <v>797</v>
      </c>
      <c r="D193" s="1163"/>
      <c r="E193" s="1163"/>
      <c r="F193" s="1163"/>
      <c r="G193" s="1163"/>
      <c r="H193" s="1163"/>
      <c r="I193" s="1163"/>
      <c r="J193" s="1163"/>
      <c r="K193" s="1163"/>
      <c r="L193" s="1163"/>
      <c r="M193" s="1163"/>
      <c r="N193" s="1163"/>
      <c r="O193" s="1163"/>
      <c r="P193" s="1163"/>
      <c r="Q193" s="1163"/>
      <c r="R193" s="1163"/>
      <c r="S193" s="1163"/>
      <c r="T193" s="1163"/>
      <c r="U193" s="1163"/>
      <c r="V193" s="1163"/>
      <c r="W193" s="1163"/>
      <c r="X193" s="1163"/>
      <c r="Y193" s="1163"/>
      <c r="Z193" s="1163"/>
      <c r="AA193" s="1163"/>
      <c r="AB193" s="1163"/>
      <c r="AC193" s="1164"/>
    </row>
    <row r="194" spans="1:29" ht="34.200000000000003" customHeight="1" x14ac:dyDescent="0.3">
      <c r="A194" s="1068" t="s">
        <v>798</v>
      </c>
      <c r="B194" s="1166" t="s">
        <v>150</v>
      </c>
      <c r="C194" s="1059" t="s">
        <v>761</v>
      </c>
      <c r="D194" s="1169" t="s">
        <v>799</v>
      </c>
      <c r="E194" s="93" t="s">
        <v>468</v>
      </c>
      <c r="F194" s="68">
        <v>0</v>
      </c>
      <c r="G194" s="68">
        <v>0</v>
      </c>
      <c r="H194" s="68">
        <v>0</v>
      </c>
      <c r="I194" s="68">
        <v>0</v>
      </c>
      <c r="J194" s="68">
        <v>0</v>
      </c>
      <c r="K194" s="68">
        <v>0</v>
      </c>
      <c r="L194" s="68">
        <v>0.1</v>
      </c>
      <c r="M194" s="68">
        <v>0.2</v>
      </c>
      <c r="N194" s="68">
        <v>0.95</v>
      </c>
      <c r="O194" s="68">
        <v>0.95</v>
      </c>
      <c r="P194" s="68">
        <v>0.95</v>
      </c>
      <c r="Q194" s="68">
        <v>0.95</v>
      </c>
      <c r="R194" s="68">
        <v>0.5</v>
      </c>
      <c r="S194" s="68">
        <v>0.95</v>
      </c>
      <c r="T194" s="68">
        <v>0.95</v>
      </c>
      <c r="U194" s="68">
        <v>0.95</v>
      </c>
      <c r="V194" s="68">
        <v>0.95</v>
      </c>
      <c r="W194" s="68">
        <v>0.3</v>
      </c>
      <c r="X194" s="68">
        <v>0.1</v>
      </c>
      <c r="Y194" s="68">
        <v>0.1</v>
      </c>
      <c r="Z194" s="68">
        <v>0.1</v>
      </c>
      <c r="AA194" s="68">
        <v>0.1</v>
      </c>
      <c r="AB194" s="68">
        <v>0.05</v>
      </c>
      <c r="AC194" s="71">
        <v>0.05</v>
      </c>
    </row>
    <row r="195" spans="1:29" ht="34.200000000000003" customHeight="1" x14ac:dyDescent="0.3">
      <c r="A195" s="1069"/>
      <c r="B195" s="1167"/>
      <c r="C195" s="1060"/>
      <c r="D195" s="1170"/>
      <c r="E195" s="94" t="s">
        <v>475</v>
      </c>
      <c r="F195" s="69">
        <v>0</v>
      </c>
      <c r="G195" s="69">
        <v>0</v>
      </c>
      <c r="H195" s="69">
        <v>0</v>
      </c>
      <c r="I195" s="69">
        <v>0</v>
      </c>
      <c r="J195" s="69">
        <v>0</v>
      </c>
      <c r="K195" s="69">
        <v>0</v>
      </c>
      <c r="L195" s="475">
        <v>0.05</v>
      </c>
      <c r="M195" s="475">
        <v>0.05</v>
      </c>
      <c r="N195" s="475">
        <v>0.05</v>
      </c>
      <c r="O195" s="475">
        <v>0.05</v>
      </c>
      <c r="P195" s="475">
        <v>0.05</v>
      </c>
      <c r="Q195" s="475">
        <v>0.05</v>
      </c>
      <c r="R195" s="475">
        <v>0.05</v>
      </c>
      <c r="S195" s="475">
        <v>0.05</v>
      </c>
      <c r="T195" s="475">
        <v>0.05</v>
      </c>
      <c r="U195" s="475">
        <v>0.05</v>
      </c>
      <c r="V195" s="475">
        <v>0.05</v>
      </c>
      <c r="W195" s="475">
        <v>0.05</v>
      </c>
      <c r="X195" s="476">
        <v>0</v>
      </c>
      <c r="Y195" s="69">
        <v>0</v>
      </c>
      <c r="Z195" s="69">
        <v>0</v>
      </c>
      <c r="AA195" s="69">
        <v>0</v>
      </c>
      <c r="AB195" s="69">
        <v>0</v>
      </c>
      <c r="AC195" s="72">
        <v>0</v>
      </c>
    </row>
    <row r="196" spans="1:29" ht="34.200000000000003" customHeight="1" thickBot="1" x14ac:dyDescent="0.35">
      <c r="A196" s="1165"/>
      <c r="B196" s="1168"/>
      <c r="C196" s="1090"/>
      <c r="D196" s="1171"/>
      <c r="E196" s="415" t="s">
        <v>477</v>
      </c>
      <c r="F196" s="96">
        <v>0</v>
      </c>
      <c r="G196" s="96">
        <v>0</v>
      </c>
      <c r="H196" s="96">
        <v>0</v>
      </c>
      <c r="I196" s="96">
        <v>0</v>
      </c>
      <c r="J196" s="96">
        <v>0</v>
      </c>
      <c r="K196" s="96">
        <v>0</v>
      </c>
      <c r="L196" s="96">
        <v>0.05</v>
      </c>
      <c r="M196" s="96">
        <v>0.05</v>
      </c>
      <c r="N196" s="96">
        <v>0.05</v>
      </c>
      <c r="O196" s="96">
        <v>0.05</v>
      </c>
      <c r="P196" s="96">
        <v>0.05</v>
      </c>
      <c r="Q196" s="96">
        <v>0.05</v>
      </c>
      <c r="R196" s="96">
        <v>0.05</v>
      </c>
      <c r="S196" s="96">
        <v>0.05</v>
      </c>
      <c r="T196" s="96">
        <v>0.05</v>
      </c>
      <c r="U196" s="96">
        <v>0.05</v>
      </c>
      <c r="V196" s="96">
        <v>0.05</v>
      </c>
      <c r="W196" s="96">
        <v>0.05</v>
      </c>
      <c r="X196" s="96">
        <v>0</v>
      </c>
      <c r="Y196" s="96">
        <v>0</v>
      </c>
      <c r="Z196" s="96">
        <v>0</v>
      </c>
      <c r="AA196" s="96">
        <v>0</v>
      </c>
      <c r="AB196" s="96">
        <v>0</v>
      </c>
      <c r="AC196" s="417">
        <v>0</v>
      </c>
    </row>
    <row r="197" spans="1:29" ht="34.200000000000003" customHeight="1" x14ac:dyDescent="0.3">
      <c r="A197" s="1068" t="str">
        <f>A194</f>
        <v xml:space="preserve">Office, Conference space </v>
      </c>
      <c r="B197" s="1166" t="s">
        <v>150</v>
      </c>
      <c r="C197" s="1089" t="s">
        <v>763</v>
      </c>
      <c r="D197" s="1169" t="s">
        <v>800</v>
      </c>
      <c r="E197" s="309" t="s">
        <v>468</v>
      </c>
      <c r="F197" s="68">
        <v>0.05</v>
      </c>
      <c r="G197" s="68">
        <v>0.05</v>
      </c>
      <c r="H197" s="68">
        <v>0.05</v>
      </c>
      <c r="I197" s="68">
        <v>0.05</v>
      </c>
      <c r="J197" s="68">
        <v>0.05</v>
      </c>
      <c r="K197" s="556">
        <v>0.1</v>
      </c>
      <c r="L197" s="556">
        <v>0.1</v>
      </c>
      <c r="M197" s="556">
        <v>0.3</v>
      </c>
      <c r="N197" s="556">
        <v>0.65</v>
      </c>
      <c r="O197" s="556">
        <v>0.65</v>
      </c>
      <c r="P197" s="556">
        <v>0.65</v>
      </c>
      <c r="Q197" s="556">
        <v>0.65</v>
      </c>
      <c r="R197" s="556">
        <v>0.65</v>
      </c>
      <c r="S197" s="556">
        <v>0.65</v>
      </c>
      <c r="T197" s="556">
        <v>0.65</v>
      </c>
      <c r="U197" s="556">
        <v>0.65</v>
      </c>
      <c r="V197" s="556">
        <v>0.65</v>
      </c>
      <c r="W197" s="556">
        <v>0.35</v>
      </c>
      <c r="X197" s="556">
        <v>0.3</v>
      </c>
      <c r="Y197" s="556">
        <v>0.3</v>
      </c>
      <c r="Z197" s="68">
        <v>0.2</v>
      </c>
      <c r="AA197" s="68">
        <v>0.2</v>
      </c>
      <c r="AB197" s="68">
        <v>0.1</v>
      </c>
      <c r="AC197" s="71">
        <v>0.05</v>
      </c>
    </row>
    <row r="198" spans="1:29" ht="34.200000000000003" customHeight="1" x14ac:dyDescent="0.3">
      <c r="A198" s="1069"/>
      <c r="B198" s="1167"/>
      <c r="C198" s="1060"/>
      <c r="D198" s="1170"/>
      <c r="E198" s="310" t="s">
        <v>475</v>
      </c>
      <c r="F198" s="69">
        <v>0.05</v>
      </c>
      <c r="G198" s="69">
        <v>0.05</v>
      </c>
      <c r="H198" s="69">
        <v>0.05</v>
      </c>
      <c r="I198" s="69">
        <v>0.05</v>
      </c>
      <c r="J198" s="69">
        <v>0.05</v>
      </c>
      <c r="K198" s="476">
        <v>0.05</v>
      </c>
      <c r="L198" s="476">
        <v>0.05</v>
      </c>
      <c r="M198" s="476">
        <v>0.05</v>
      </c>
      <c r="N198" s="476">
        <v>0.05</v>
      </c>
      <c r="O198" s="476">
        <v>0.05</v>
      </c>
      <c r="P198" s="476">
        <v>0.05</v>
      </c>
      <c r="Q198" s="476">
        <v>0.05</v>
      </c>
      <c r="R198" s="476">
        <v>0.05</v>
      </c>
      <c r="S198" s="476">
        <v>0.05</v>
      </c>
      <c r="T198" s="476">
        <v>0.05</v>
      </c>
      <c r="U198" s="476">
        <v>0.05</v>
      </c>
      <c r="V198" s="476">
        <v>0.05</v>
      </c>
      <c r="W198" s="69">
        <v>0.05</v>
      </c>
      <c r="X198" s="69">
        <v>0.05</v>
      </c>
      <c r="Y198" s="69">
        <v>0.05</v>
      </c>
      <c r="Z198" s="69">
        <v>0.05</v>
      </c>
      <c r="AA198" s="69">
        <v>0.05</v>
      </c>
      <c r="AB198" s="69">
        <v>0.05</v>
      </c>
      <c r="AC198" s="72">
        <v>0.05</v>
      </c>
    </row>
    <row r="199" spans="1:29" ht="34.200000000000003" customHeight="1" thickBot="1" x14ac:dyDescent="0.35">
      <c r="A199" s="1165"/>
      <c r="B199" s="1168"/>
      <c r="C199" s="1090"/>
      <c r="D199" s="1171"/>
      <c r="E199" s="324" t="s">
        <v>477</v>
      </c>
      <c r="F199" s="70">
        <v>0.05</v>
      </c>
      <c r="G199" s="70">
        <v>0.05</v>
      </c>
      <c r="H199" s="70">
        <v>0.05</v>
      </c>
      <c r="I199" s="70">
        <v>0.05</v>
      </c>
      <c r="J199" s="70">
        <v>0.05</v>
      </c>
      <c r="K199" s="70">
        <v>0.05</v>
      </c>
      <c r="L199" s="70">
        <v>0.05</v>
      </c>
      <c r="M199" s="70">
        <v>0.05</v>
      </c>
      <c r="N199" s="70">
        <v>0.05</v>
      </c>
      <c r="O199" s="70">
        <v>0.05</v>
      </c>
      <c r="P199" s="70">
        <v>0.05</v>
      </c>
      <c r="Q199" s="70">
        <v>0.05</v>
      </c>
      <c r="R199" s="70">
        <v>0.05</v>
      </c>
      <c r="S199" s="70">
        <v>0.05</v>
      </c>
      <c r="T199" s="70">
        <v>0.05</v>
      </c>
      <c r="U199" s="70">
        <v>0.05</v>
      </c>
      <c r="V199" s="70">
        <v>0.05</v>
      </c>
      <c r="W199" s="70">
        <v>0.05</v>
      </c>
      <c r="X199" s="70">
        <v>0.05</v>
      </c>
      <c r="Y199" s="70">
        <v>0.05</v>
      </c>
      <c r="Z199" s="70">
        <v>0.05</v>
      </c>
      <c r="AA199" s="70">
        <v>0.05</v>
      </c>
      <c r="AB199" s="70">
        <v>0.05</v>
      </c>
      <c r="AC199" s="73">
        <v>0.05</v>
      </c>
    </row>
    <row r="200" spans="1:29" ht="34.200000000000003" customHeight="1" x14ac:dyDescent="0.3">
      <c r="A200" s="1068" t="str">
        <f t="shared" ref="A200" si="28">A197</f>
        <v xml:space="preserve">Office, Conference space </v>
      </c>
      <c r="B200" s="1166" t="s">
        <v>150</v>
      </c>
      <c r="C200" s="1089" t="s">
        <v>801</v>
      </c>
      <c r="D200" s="1221" t="s">
        <v>802</v>
      </c>
      <c r="E200" s="309" t="s">
        <v>468</v>
      </c>
      <c r="F200" s="477">
        <v>0.45</v>
      </c>
      <c r="G200" s="477">
        <v>0.45</v>
      </c>
      <c r="H200" s="477">
        <v>0.45</v>
      </c>
      <c r="I200" s="477">
        <v>0.45</v>
      </c>
      <c r="J200" s="477">
        <v>0.45</v>
      </c>
      <c r="K200" s="477">
        <v>0.45</v>
      </c>
      <c r="L200" s="477">
        <v>0.45</v>
      </c>
      <c r="M200" s="477">
        <v>0.74</v>
      </c>
      <c r="N200" s="477">
        <v>0.87</v>
      </c>
      <c r="O200" s="477">
        <v>0.9</v>
      </c>
      <c r="P200" s="477">
        <v>0.9</v>
      </c>
      <c r="Q200" s="477">
        <v>0.9</v>
      </c>
      <c r="R200" s="477">
        <v>0.9</v>
      </c>
      <c r="S200" s="477">
        <v>0.9</v>
      </c>
      <c r="T200" s="477">
        <v>0.9</v>
      </c>
      <c r="U200" s="477">
        <v>0.9</v>
      </c>
      <c r="V200" s="477">
        <v>0.9</v>
      </c>
      <c r="W200" s="477">
        <v>0.7</v>
      </c>
      <c r="X200" s="477">
        <v>0.5</v>
      </c>
      <c r="Y200" s="477">
        <v>0.5</v>
      </c>
      <c r="Z200" s="477">
        <v>0.5</v>
      </c>
      <c r="AA200" s="477">
        <v>0.45</v>
      </c>
      <c r="AB200" s="477">
        <v>0.45</v>
      </c>
      <c r="AC200" s="478">
        <v>0.45</v>
      </c>
    </row>
    <row r="201" spans="1:29" ht="34.200000000000003" customHeight="1" x14ac:dyDescent="0.3">
      <c r="A201" s="1069"/>
      <c r="B201" s="1167"/>
      <c r="C201" s="1060"/>
      <c r="D201" s="1222"/>
      <c r="E201" s="310" t="s">
        <v>475</v>
      </c>
      <c r="F201" s="405">
        <v>0.43</v>
      </c>
      <c r="G201" s="405">
        <v>0.43</v>
      </c>
      <c r="H201" s="405">
        <v>0.43</v>
      </c>
      <c r="I201" s="405">
        <v>0.43</v>
      </c>
      <c r="J201" s="405">
        <v>0.43</v>
      </c>
      <c r="K201" s="405">
        <v>0.43</v>
      </c>
      <c r="L201" s="405">
        <v>0.43</v>
      </c>
      <c r="M201" s="405">
        <v>0.43</v>
      </c>
      <c r="N201" s="405">
        <v>0.43</v>
      </c>
      <c r="O201" s="405">
        <v>0.43</v>
      </c>
      <c r="P201" s="405">
        <v>0.43</v>
      </c>
      <c r="Q201" s="405">
        <v>0.43</v>
      </c>
      <c r="R201" s="405">
        <v>0.43</v>
      </c>
      <c r="S201" s="405">
        <v>0.43</v>
      </c>
      <c r="T201" s="405">
        <v>0.43</v>
      </c>
      <c r="U201" s="405">
        <v>0.43</v>
      </c>
      <c r="V201" s="405">
        <v>0.43</v>
      </c>
      <c r="W201" s="405">
        <v>0.43</v>
      </c>
      <c r="X201" s="405">
        <v>0.43</v>
      </c>
      <c r="Y201" s="405">
        <v>0.43</v>
      </c>
      <c r="Z201" s="405">
        <v>0.43</v>
      </c>
      <c r="AA201" s="405">
        <v>0.43</v>
      </c>
      <c r="AB201" s="405">
        <v>0.43</v>
      </c>
      <c r="AC201" s="479">
        <v>0.43</v>
      </c>
    </row>
    <row r="202" spans="1:29" ht="34.200000000000003" customHeight="1" thickBot="1" x14ac:dyDescent="0.35">
      <c r="A202" s="1165"/>
      <c r="B202" s="1168"/>
      <c r="C202" s="1084"/>
      <c r="D202" s="1223"/>
      <c r="E202" s="311" t="s">
        <v>477</v>
      </c>
      <c r="F202" s="480">
        <v>0.43</v>
      </c>
      <c r="G202" s="480">
        <v>0.43</v>
      </c>
      <c r="H202" s="480">
        <v>0.43</v>
      </c>
      <c r="I202" s="480">
        <v>0.43</v>
      </c>
      <c r="J202" s="480">
        <v>0.43</v>
      </c>
      <c r="K202" s="480">
        <v>0.43</v>
      </c>
      <c r="L202" s="480">
        <v>0.43</v>
      </c>
      <c r="M202" s="480">
        <v>0.43</v>
      </c>
      <c r="N202" s="480">
        <v>0.43</v>
      </c>
      <c r="O202" s="480">
        <v>0.43</v>
      </c>
      <c r="P202" s="480">
        <v>0.43</v>
      </c>
      <c r="Q202" s="480">
        <v>0.43</v>
      </c>
      <c r="R202" s="480">
        <v>0.43</v>
      </c>
      <c r="S202" s="480">
        <v>0.43</v>
      </c>
      <c r="T202" s="480">
        <v>0.43</v>
      </c>
      <c r="U202" s="480">
        <v>0.43</v>
      </c>
      <c r="V202" s="480">
        <v>0.43</v>
      </c>
      <c r="W202" s="480">
        <v>0.43</v>
      </c>
      <c r="X202" s="480">
        <v>0.43</v>
      </c>
      <c r="Y202" s="480">
        <v>0.43</v>
      </c>
      <c r="Z202" s="480">
        <v>0.43</v>
      </c>
      <c r="AA202" s="480">
        <v>0.43</v>
      </c>
      <c r="AB202" s="480">
        <v>0.43</v>
      </c>
      <c r="AC202" s="481">
        <v>0.43</v>
      </c>
    </row>
    <row r="203" spans="1:29" ht="23.4" customHeight="1" x14ac:dyDescent="0.3">
      <c r="A203" s="1068" t="str">
        <f>A194</f>
        <v xml:space="preserve">Office, Conference space </v>
      </c>
      <c r="B203" s="1166" t="s">
        <v>150</v>
      </c>
      <c r="C203" s="1083" t="s">
        <v>766</v>
      </c>
      <c r="D203" s="1169" t="s">
        <v>803</v>
      </c>
      <c r="E203" s="312" t="s">
        <v>468</v>
      </c>
      <c r="F203" s="427">
        <v>0</v>
      </c>
      <c r="G203" s="427">
        <v>0</v>
      </c>
      <c r="H203" s="427">
        <v>0</v>
      </c>
      <c r="I203" s="427">
        <v>0</v>
      </c>
      <c r="J203" s="427">
        <v>0</v>
      </c>
      <c r="K203" s="427">
        <v>1</v>
      </c>
      <c r="L203" s="427">
        <v>1</v>
      </c>
      <c r="M203" s="427">
        <v>1</v>
      </c>
      <c r="N203" s="427">
        <v>1</v>
      </c>
      <c r="O203" s="427">
        <v>1</v>
      </c>
      <c r="P203" s="427">
        <v>1</v>
      </c>
      <c r="Q203" s="427">
        <v>1</v>
      </c>
      <c r="R203" s="427">
        <v>1</v>
      </c>
      <c r="S203" s="427">
        <v>1</v>
      </c>
      <c r="T203" s="427">
        <v>1</v>
      </c>
      <c r="U203" s="427">
        <v>1</v>
      </c>
      <c r="V203" s="427">
        <v>1</v>
      </c>
      <c r="W203" s="427">
        <v>1</v>
      </c>
      <c r="X203" s="427">
        <v>1</v>
      </c>
      <c r="Y203" s="427">
        <v>1</v>
      </c>
      <c r="Z203" s="427">
        <v>1</v>
      </c>
      <c r="AA203" s="427">
        <v>1</v>
      </c>
      <c r="AB203" s="427">
        <v>1</v>
      </c>
      <c r="AC203" s="429">
        <v>1</v>
      </c>
    </row>
    <row r="204" spans="1:29" ht="34.200000000000003" customHeight="1" x14ac:dyDescent="0.3">
      <c r="A204" s="1069"/>
      <c r="B204" s="1167"/>
      <c r="C204" s="1060"/>
      <c r="D204" s="1170"/>
      <c r="E204" s="310" t="s">
        <v>475</v>
      </c>
      <c r="F204" s="69">
        <v>0</v>
      </c>
      <c r="G204" s="69">
        <v>0</v>
      </c>
      <c r="H204" s="69">
        <v>0</v>
      </c>
      <c r="I204" s="69">
        <v>0</v>
      </c>
      <c r="J204" s="69">
        <v>0</v>
      </c>
      <c r="K204" s="476">
        <v>0</v>
      </c>
      <c r="L204" s="476">
        <v>0</v>
      </c>
      <c r="M204" s="476">
        <v>0</v>
      </c>
      <c r="N204" s="476">
        <v>0</v>
      </c>
      <c r="O204" s="476">
        <v>0</v>
      </c>
      <c r="P204" s="476">
        <v>0</v>
      </c>
      <c r="Q204" s="476">
        <v>0</v>
      </c>
      <c r="R204" s="476">
        <v>0</v>
      </c>
      <c r="S204" s="476">
        <v>0</v>
      </c>
      <c r="T204" s="476">
        <v>0</v>
      </c>
      <c r="U204" s="476">
        <v>0</v>
      </c>
      <c r="V204" s="476">
        <v>0</v>
      </c>
      <c r="W204" s="476">
        <v>0</v>
      </c>
      <c r="X204" s="476">
        <v>0</v>
      </c>
      <c r="Y204" s="69">
        <v>0</v>
      </c>
      <c r="Z204" s="69">
        <v>0</v>
      </c>
      <c r="AA204" s="69">
        <v>0</v>
      </c>
      <c r="AB204" s="69">
        <v>0</v>
      </c>
      <c r="AC204" s="72">
        <v>0</v>
      </c>
    </row>
    <row r="205" spans="1:29" ht="34.200000000000003" customHeight="1" thickBot="1" x14ac:dyDescent="0.35">
      <c r="A205" s="1165"/>
      <c r="B205" s="1168"/>
      <c r="C205" s="1084"/>
      <c r="D205" s="1171"/>
      <c r="E205" s="311" t="s">
        <v>477</v>
      </c>
      <c r="F205" s="70">
        <v>0</v>
      </c>
      <c r="G205" s="70">
        <v>0</v>
      </c>
      <c r="H205" s="70">
        <v>0</v>
      </c>
      <c r="I205" s="70">
        <v>0</v>
      </c>
      <c r="J205" s="70">
        <v>0</v>
      </c>
      <c r="K205" s="70">
        <v>0</v>
      </c>
      <c r="L205" s="70">
        <v>0</v>
      </c>
      <c r="M205" s="70">
        <v>0</v>
      </c>
      <c r="N205" s="70">
        <v>0</v>
      </c>
      <c r="O205" s="70">
        <v>0</v>
      </c>
      <c r="P205" s="70">
        <v>0</v>
      </c>
      <c r="Q205" s="70">
        <v>0</v>
      </c>
      <c r="R205" s="70">
        <v>0</v>
      </c>
      <c r="S205" s="70">
        <v>0</v>
      </c>
      <c r="T205" s="70">
        <v>0</v>
      </c>
      <c r="U205" s="70">
        <v>0</v>
      </c>
      <c r="V205" s="70">
        <v>0</v>
      </c>
      <c r="W205" s="70">
        <v>0</v>
      </c>
      <c r="X205" s="70">
        <v>0</v>
      </c>
      <c r="Y205" s="70">
        <v>0</v>
      </c>
      <c r="Z205" s="70">
        <v>0</v>
      </c>
      <c r="AA205" s="70">
        <v>0</v>
      </c>
      <c r="AB205" s="70">
        <v>0</v>
      </c>
      <c r="AC205" s="73">
        <v>0</v>
      </c>
    </row>
    <row r="206" spans="1:29" ht="34.200000000000003" customHeight="1" x14ac:dyDescent="0.3">
      <c r="A206" s="1068" t="str">
        <f>A194</f>
        <v xml:space="preserve">Office, Conference space </v>
      </c>
      <c r="B206" s="1166" t="s">
        <v>150</v>
      </c>
      <c r="C206" s="1083" t="s">
        <v>768</v>
      </c>
      <c r="D206" s="1169" t="s">
        <v>800</v>
      </c>
      <c r="E206" s="312" t="s">
        <v>468</v>
      </c>
      <c r="F206" s="325">
        <v>0.05</v>
      </c>
      <c r="G206" s="325">
        <v>0.05</v>
      </c>
      <c r="H206" s="325">
        <v>0.05</v>
      </c>
      <c r="I206" s="325">
        <v>0.05</v>
      </c>
      <c r="J206" s="325">
        <v>0.05</v>
      </c>
      <c r="K206" s="325">
        <v>0.08</v>
      </c>
      <c r="L206" s="325">
        <v>7.0000000000000007E-2</v>
      </c>
      <c r="M206" s="325">
        <v>0.19</v>
      </c>
      <c r="N206" s="325">
        <v>0.35</v>
      </c>
      <c r="O206" s="325">
        <v>0.38</v>
      </c>
      <c r="P206" s="325">
        <v>0.39</v>
      </c>
      <c r="Q206" s="325">
        <v>0.47</v>
      </c>
      <c r="R206" s="325">
        <v>0.56999999999999995</v>
      </c>
      <c r="S206" s="325">
        <v>0.54</v>
      </c>
      <c r="T206" s="325">
        <v>0.34</v>
      </c>
      <c r="U206" s="325">
        <v>0.33</v>
      </c>
      <c r="V206" s="325">
        <v>0.44</v>
      </c>
      <c r="W206" s="325">
        <v>0.26</v>
      </c>
      <c r="X206" s="325">
        <v>0.21</v>
      </c>
      <c r="Y206" s="325">
        <v>0.15</v>
      </c>
      <c r="Z206" s="325">
        <v>0.17</v>
      </c>
      <c r="AA206" s="325">
        <v>0.08</v>
      </c>
      <c r="AB206" s="325">
        <v>0.05</v>
      </c>
      <c r="AC206" s="326">
        <v>0.05</v>
      </c>
    </row>
    <row r="207" spans="1:29" ht="34.200000000000003" customHeight="1" x14ac:dyDescent="0.3">
      <c r="A207" s="1069"/>
      <c r="B207" s="1167"/>
      <c r="C207" s="1060"/>
      <c r="D207" s="1170"/>
      <c r="E207" s="310" t="s">
        <v>475</v>
      </c>
      <c r="F207" s="303">
        <v>0.05</v>
      </c>
      <c r="G207" s="303">
        <v>0.05</v>
      </c>
      <c r="H207" s="303">
        <v>0.05</v>
      </c>
      <c r="I207" s="303">
        <v>0.05</v>
      </c>
      <c r="J207" s="303">
        <v>0.05</v>
      </c>
      <c r="K207" s="303">
        <v>0.08</v>
      </c>
      <c r="L207" s="303">
        <v>7.0000000000000007E-2</v>
      </c>
      <c r="M207" s="303">
        <v>0.11</v>
      </c>
      <c r="N207" s="303">
        <v>0.15</v>
      </c>
      <c r="O207" s="303">
        <v>0.21</v>
      </c>
      <c r="P207" s="303">
        <v>0.19</v>
      </c>
      <c r="Q207" s="303">
        <v>0.23</v>
      </c>
      <c r="R207" s="303">
        <v>0.2</v>
      </c>
      <c r="S207" s="303">
        <v>0.19</v>
      </c>
      <c r="T207" s="303">
        <v>0.15</v>
      </c>
      <c r="U207" s="303">
        <v>0.12</v>
      </c>
      <c r="V207" s="303">
        <v>0.14000000000000001</v>
      </c>
      <c r="W207" s="303">
        <v>7.0000000000000007E-2</v>
      </c>
      <c r="X207" s="303">
        <v>7.0000000000000007E-2</v>
      </c>
      <c r="Y207" s="303">
        <v>7.0000000000000007E-2</v>
      </c>
      <c r="Z207" s="303">
        <v>7.0000000000000007E-2</v>
      </c>
      <c r="AA207" s="303">
        <v>0.09</v>
      </c>
      <c r="AB207" s="303">
        <v>0.05</v>
      </c>
      <c r="AC207" s="306">
        <v>0.05</v>
      </c>
    </row>
    <row r="208" spans="1:29" ht="34.200000000000003" customHeight="1" thickBot="1" x14ac:dyDescent="0.35">
      <c r="A208" s="1165"/>
      <c r="B208" s="1168"/>
      <c r="C208" s="1084"/>
      <c r="D208" s="1171"/>
      <c r="E208" s="311" t="s">
        <v>477</v>
      </c>
      <c r="F208" s="307">
        <v>0.04</v>
      </c>
      <c r="G208" s="307">
        <v>0.04</v>
      </c>
      <c r="H208" s="307">
        <v>0.04</v>
      </c>
      <c r="I208" s="307">
        <v>0.04</v>
      </c>
      <c r="J208" s="307">
        <v>0.04</v>
      </c>
      <c r="K208" s="307">
        <v>7.0000000000000007E-2</v>
      </c>
      <c r="L208" s="307">
        <v>0.04</v>
      </c>
      <c r="M208" s="307">
        <v>0.04</v>
      </c>
      <c r="N208" s="307">
        <v>0.04</v>
      </c>
      <c r="O208" s="307">
        <v>0.04</v>
      </c>
      <c r="P208" s="307">
        <v>0.04</v>
      </c>
      <c r="Q208" s="307">
        <v>0.06</v>
      </c>
      <c r="R208" s="307">
        <v>0.06</v>
      </c>
      <c r="S208" s="307">
        <v>0.09</v>
      </c>
      <c r="T208" s="307">
        <v>0.06</v>
      </c>
      <c r="U208" s="307">
        <v>0.04</v>
      </c>
      <c r="V208" s="307">
        <v>0.04</v>
      </c>
      <c r="W208" s="307">
        <v>0.04</v>
      </c>
      <c r="X208" s="307">
        <v>0.04</v>
      </c>
      <c r="Y208" s="307">
        <v>0.04</v>
      </c>
      <c r="Z208" s="307">
        <v>0.04</v>
      </c>
      <c r="AA208" s="307">
        <v>7.0000000000000007E-2</v>
      </c>
      <c r="AB208" s="307">
        <v>0.04</v>
      </c>
      <c r="AC208" s="308">
        <v>0.04</v>
      </c>
    </row>
    <row r="209" spans="1:37" ht="34.200000000000003" customHeight="1" x14ac:dyDescent="0.3">
      <c r="A209" s="1068" t="str">
        <f>A194</f>
        <v xml:space="preserve">Office, Conference space </v>
      </c>
      <c r="B209" s="1166" t="s">
        <v>150</v>
      </c>
      <c r="C209" s="1089" t="s">
        <v>337</v>
      </c>
      <c r="D209" s="1169" t="s">
        <v>803</v>
      </c>
      <c r="E209" s="309" t="s">
        <v>468</v>
      </c>
      <c r="F209" s="427">
        <v>1</v>
      </c>
      <c r="G209" s="427">
        <v>1</v>
      </c>
      <c r="H209" s="427">
        <v>1</v>
      </c>
      <c r="I209" s="427">
        <v>1</v>
      </c>
      <c r="J209" s="427">
        <v>1</v>
      </c>
      <c r="K209" s="427">
        <v>0.25</v>
      </c>
      <c r="L209" s="427">
        <v>0.25</v>
      </c>
      <c r="M209" s="427">
        <v>0.25</v>
      </c>
      <c r="N209" s="427">
        <v>0.25</v>
      </c>
      <c r="O209" s="427">
        <v>0.25</v>
      </c>
      <c r="P209" s="427">
        <v>0.25</v>
      </c>
      <c r="Q209" s="427">
        <v>0.25</v>
      </c>
      <c r="R209" s="427">
        <v>0.25</v>
      </c>
      <c r="S209" s="427">
        <v>0.25</v>
      </c>
      <c r="T209" s="427">
        <v>0.25</v>
      </c>
      <c r="U209" s="427">
        <v>0.25</v>
      </c>
      <c r="V209" s="427">
        <v>0.25</v>
      </c>
      <c r="W209" s="427">
        <v>0.25</v>
      </c>
      <c r="X209" s="427">
        <v>0.25</v>
      </c>
      <c r="Y209" s="427">
        <v>0.25</v>
      </c>
      <c r="Z209" s="427">
        <v>0.25</v>
      </c>
      <c r="AA209" s="427">
        <v>0.25</v>
      </c>
      <c r="AB209" s="427">
        <v>0.25</v>
      </c>
      <c r="AC209" s="429">
        <v>0.25</v>
      </c>
    </row>
    <row r="210" spans="1:37" ht="34.200000000000003" customHeight="1" x14ac:dyDescent="0.3">
      <c r="A210" s="1069"/>
      <c r="B210" s="1167"/>
      <c r="C210" s="1060"/>
      <c r="D210" s="1170"/>
      <c r="E210" s="310" t="s">
        <v>475</v>
      </c>
      <c r="F210" s="69">
        <v>1</v>
      </c>
      <c r="G210" s="69">
        <v>1</v>
      </c>
      <c r="H210" s="69">
        <v>1</v>
      </c>
      <c r="I210" s="69">
        <v>1</v>
      </c>
      <c r="J210" s="69">
        <v>1</v>
      </c>
      <c r="K210" s="476">
        <v>1</v>
      </c>
      <c r="L210" s="476">
        <v>1</v>
      </c>
      <c r="M210" s="476">
        <v>1</v>
      </c>
      <c r="N210" s="476">
        <v>1</v>
      </c>
      <c r="O210" s="476">
        <v>1</v>
      </c>
      <c r="P210" s="476">
        <v>1</v>
      </c>
      <c r="Q210" s="476">
        <v>1</v>
      </c>
      <c r="R210" s="476">
        <v>1</v>
      </c>
      <c r="S210" s="476">
        <v>1</v>
      </c>
      <c r="T210" s="476">
        <v>1</v>
      </c>
      <c r="U210" s="476">
        <v>1</v>
      </c>
      <c r="V210" s="476">
        <v>1</v>
      </c>
      <c r="W210" s="476">
        <v>1</v>
      </c>
      <c r="X210" s="476">
        <v>1</v>
      </c>
      <c r="Y210" s="69">
        <v>1</v>
      </c>
      <c r="Z210" s="69">
        <v>1</v>
      </c>
      <c r="AA210" s="69">
        <v>1</v>
      </c>
      <c r="AB210" s="69">
        <v>1</v>
      </c>
      <c r="AC210" s="72">
        <v>1</v>
      </c>
    </row>
    <row r="211" spans="1:37" ht="34.200000000000003" customHeight="1" thickBot="1" x14ac:dyDescent="0.35">
      <c r="A211" s="1165"/>
      <c r="B211" s="1168"/>
      <c r="C211" s="1090"/>
      <c r="D211" s="1171"/>
      <c r="E211" s="324" t="s">
        <v>477</v>
      </c>
      <c r="F211" s="96">
        <v>1</v>
      </c>
      <c r="G211" s="96">
        <v>1</v>
      </c>
      <c r="H211" s="96">
        <v>1</v>
      </c>
      <c r="I211" s="96">
        <v>1</v>
      </c>
      <c r="J211" s="96">
        <v>1</v>
      </c>
      <c r="K211" s="96">
        <v>1</v>
      </c>
      <c r="L211" s="96">
        <v>1</v>
      </c>
      <c r="M211" s="96">
        <v>1</v>
      </c>
      <c r="N211" s="96">
        <v>1</v>
      </c>
      <c r="O211" s="96">
        <v>1</v>
      </c>
      <c r="P211" s="96">
        <v>1</v>
      </c>
      <c r="Q211" s="96">
        <v>1</v>
      </c>
      <c r="R211" s="96">
        <v>1</v>
      </c>
      <c r="S211" s="96">
        <v>1</v>
      </c>
      <c r="T211" s="96">
        <v>1</v>
      </c>
      <c r="U211" s="96">
        <v>1</v>
      </c>
      <c r="V211" s="96">
        <v>1</v>
      </c>
      <c r="W211" s="96">
        <v>1</v>
      </c>
      <c r="X211" s="96">
        <v>1</v>
      </c>
      <c r="Y211" s="96">
        <v>1</v>
      </c>
      <c r="Z211" s="96">
        <v>1</v>
      </c>
      <c r="AA211" s="96">
        <v>1</v>
      </c>
      <c r="AB211" s="96">
        <v>1</v>
      </c>
      <c r="AC211" s="417">
        <v>1</v>
      </c>
    </row>
    <row r="212" spans="1:37" ht="34.200000000000003" customHeight="1" x14ac:dyDescent="0.3">
      <c r="A212" s="1068" t="str">
        <f>A194</f>
        <v xml:space="preserve">Office, Conference space </v>
      </c>
      <c r="B212" s="1166" t="s">
        <v>150</v>
      </c>
      <c r="C212" s="1225" t="s">
        <v>770</v>
      </c>
      <c r="D212" s="1228" t="s">
        <v>781</v>
      </c>
      <c r="E212" s="485" t="s">
        <v>468</v>
      </c>
      <c r="F212" s="482">
        <f>IF((F203=1),Thermostat!$B$3,Thermostat!$B$4)</f>
        <v>60</v>
      </c>
      <c r="G212" s="482">
        <f>IF((G203=1),Thermostat!$B$3,Thermostat!$B$4)</f>
        <v>60</v>
      </c>
      <c r="H212" s="482">
        <f>IF((H203=1),Thermostat!$B$3,Thermostat!$B$4)</f>
        <v>60</v>
      </c>
      <c r="I212" s="482">
        <f>IF((I203=1),Thermostat!$B$3,Thermostat!$B$4)</f>
        <v>60</v>
      </c>
      <c r="J212" s="482">
        <f>IF((J203=1),Thermostat!$B$3,Thermostat!$B$4)</f>
        <v>60</v>
      </c>
      <c r="K212" s="482">
        <f>IF((K203=1),Thermostat!$B$3,Thermostat!$B$4)</f>
        <v>70</v>
      </c>
      <c r="L212" s="482">
        <f>IF((L203=1),Thermostat!$B$3,Thermostat!$B$4)</f>
        <v>70</v>
      </c>
      <c r="M212" s="482">
        <f>IF((M203=1),Thermostat!$B$3,Thermostat!$B$4)</f>
        <v>70</v>
      </c>
      <c r="N212" s="482">
        <f>IF((N203=1),Thermostat!$B$3,Thermostat!$B$4)</f>
        <v>70</v>
      </c>
      <c r="O212" s="482">
        <f>IF((O203=1),Thermostat!$B$3,Thermostat!$B$4)</f>
        <v>70</v>
      </c>
      <c r="P212" s="482">
        <f>IF((P203=1),Thermostat!$B$3,Thermostat!$B$4)</f>
        <v>70</v>
      </c>
      <c r="Q212" s="482">
        <f>IF((Q203=1),Thermostat!$B$3,Thermostat!$B$4)</f>
        <v>70</v>
      </c>
      <c r="R212" s="482">
        <f>IF((R203=1),Thermostat!$B$3,Thermostat!$B$4)</f>
        <v>70</v>
      </c>
      <c r="S212" s="482">
        <f>IF((S203=1),Thermostat!$B$3,Thermostat!$B$4)</f>
        <v>70</v>
      </c>
      <c r="T212" s="482">
        <f>IF((T203=1),Thermostat!$B$3,Thermostat!$B$4)</f>
        <v>70</v>
      </c>
      <c r="U212" s="482">
        <f>IF((U203=1),Thermostat!$B$3,Thermostat!$B$4)</f>
        <v>70</v>
      </c>
      <c r="V212" s="482">
        <f>IF((V203=1),Thermostat!$B$3,Thermostat!$B$4)</f>
        <v>70</v>
      </c>
      <c r="W212" s="482">
        <f>IF((W203=1),Thermostat!$B$3,Thermostat!$B$4)</f>
        <v>70</v>
      </c>
      <c r="X212" s="482">
        <f>IF((X203=1),Thermostat!$B$3,Thermostat!$B$4)</f>
        <v>70</v>
      </c>
      <c r="Y212" s="482">
        <f>IF((Y203=1),Thermostat!$B$3,Thermostat!$B$4)</f>
        <v>70</v>
      </c>
      <c r="Z212" s="482">
        <f>IF((Z203=1),Thermostat!$B$3,Thermostat!$B$4)</f>
        <v>70</v>
      </c>
      <c r="AA212" s="482">
        <f>IF((AA203=1),Thermostat!$B$3,Thermostat!$B$4)</f>
        <v>70</v>
      </c>
      <c r="AB212" s="482">
        <f>IF((AB203=1),Thermostat!$B$3,Thermostat!$B$4)</f>
        <v>70</v>
      </c>
      <c r="AC212" s="483">
        <f>IF((AC203=1),Thermostat!$B$3,Thermostat!$B$4)</f>
        <v>70</v>
      </c>
    </row>
    <row r="213" spans="1:37" ht="34.200000000000003" customHeight="1" x14ac:dyDescent="0.3">
      <c r="A213" s="1069"/>
      <c r="B213" s="1167"/>
      <c r="C213" s="1226"/>
      <c r="D213" s="1229"/>
      <c r="E213" s="486" t="s">
        <v>475</v>
      </c>
      <c r="F213" s="339">
        <f>IF((F204=1),Thermostat!$B$3,Thermostat!$B$4)</f>
        <v>60</v>
      </c>
      <c r="G213" s="339">
        <f>IF((G204=1),Thermostat!$B$3,Thermostat!$B$4)</f>
        <v>60</v>
      </c>
      <c r="H213" s="339">
        <f>IF((H204=1),Thermostat!$B$3,Thermostat!$B$4)</f>
        <v>60</v>
      </c>
      <c r="I213" s="339">
        <f>IF((I204=1),Thermostat!$B$3,Thermostat!$B$4)</f>
        <v>60</v>
      </c>
      <c r="J213" s="339">
        <f>IF((J204=1),Thermostat!$B$3,Thermostat!$B$4)</f>
        <v>60</v>
      </c>
      <c r="K213" s="339">
        <f>IF((K204=1),Thermostat!$B$3,Thermostat!$B$4)</f>
        <v>60</v>
      </c>
      <c r="L213" s="339">
        <f>IF((L204=1),Thermostat!$B$3,Thermostat!$B$4)</f>
        <v>60</v>
      </c>
      <c r="M213" s="339">
        <f>IF((M204=1),Thermostat!$B$3,Thermostat!$B$4)</f>
        <v>60</v>
      </c>
      <c r="N213" s="339">
        <f>IF((N204=1),Thermostat!$B$3,Thermostat!$B$4)</f>
        <v>60</v>
      </c>
      <c r="O213" s="339">
        <f>IF((O204=1),Thermostat!$B$3,Thermostat!$B$4)</f>
        <v>60</v>
      </c>
      <c r="P213" s="339">
        <f>IF((P204=1),Thermostat!$B$3,Thermostat!$B$4)</f>
        <v>60</v>
      </c>
      <c r="Q213" s="339">
        <f>IF((Q204=1),Thermostat!$B$3,Thermostat!$B$4)</f>
        <v>60</v>
      </c>
      <c r="R213" s="339">
        <f>IF((R204=1),Thermostat!$B$3,Thermostat!$B$4)</f>
        <v>60</v>
      </c>
      <c r="S213" s="339">
        <f>IF((S204=1),Thermostat!$B$3,Thermostat!$B$4)</f>
        <v>60</v>
      </c>
      <c r="T213" s="339">
        <f>IF((T204=1),Thermostat!$B$3,Thermostat!$B$4)</f>
        <v>60</v>
      </c>
      <c r="U213" s="339">
        <f>IF((U204=1),Thermostat!$B$3,Thermostat!$B$4)</f>
        <v>60</v>
      </c>
      <c r="V213" s="339">
        <f>IF((V204=1),Thermostat!$B$3,Thermostat!$B$4)</f>
        <v>60</v>
      </c>
      <c r="W213" s="339">
        <f>IF((W204=1),Thermostat!$B$3,Thermostat!$B$4)</f>
        <v>60</v>
      </c>
      <c r="X213" s="339">
        <f>IF((X204=1),Thermostat!$B$3,Thermostat!$B$4)</f>
        <v>60</v>
      </c>
      <c r="Y213" s="339">
        <f>IF((Y204=1),Thermostat!$B$3,Thermostat!$B$4)</f>
        <v>60</v>
      </c>
      <c r="Z213" s="339">
        <f>IF((Z204=1),Thermostat!$B$3,Thermostat!$B$4)</f>
        <v>60</v>
      </c>
      <c r="AA213" s="339">
        <f>IF((AA204=1),Thermostat!$B$3,Thermostat!$B$4)</f>
        <v>60</v>
      </c>
      <c r="AB213" s="339">
        <f>IF((AB204=1),Thermostat!$B$3,Thermostat!$B$4)</f>
        <v>60</v>
      </c>
      <c r="AC213" s="465">
        <f>IF((AC204=1),Thermostat!$B$3,Thermostat!$B$4)</f>
        <v>60</v>
      </c>
    </row>
    <row r="214" spans="1:37" ht="34.200000000000003" customHeight="1" thickBot="1" x14ac:dyDescent="0.35">
      <c r="A214" s="1165"/>
      <c r="B214" s="1168"/>
      <c r="C214" s="1227"/>
      <c r="D214" s="1230"/>
      <c r="E214" s="487" t="s">
        <v>477</v>
      </c>
      <c r="F214" s="467">
        <f>IF((F205=1),Thermostat!$B$3,Thermostat!$B$4)</f>
        <v>60</v>
      </c>
      <c r="G214" s="467">
        <f>IF((G205=1),Thermostat!$B$3,Thermostat!$B$4)</f>
        <v>60</v>
      </c>
      <c r="H214" s="467">
        <f>IF((H205=1),Thermostat!$B$3,Thermostat!$B$4)</f>
        <v>60</v>
      </c>
      <c r="I214" s="467">
        <f>IF((I205=1),Thermostat!$B$3,Thermostat!$B$4)</f>
        <v>60</v>
      </c>
      <c r="J214" s="467">
        <f>IF((J205=1),Thermostat!$B$3,Thermostat!$B$4)</f>
        <v>60</v>
      </c>
      <c r="K214" s="467">
        <f>IF((K205=1),Thermostat!$B$3,Thermostat!$B$4)</f>
        <v>60</v>
      </c>
      <c r="L214" s="467">
        <f>IF((L205=1),Thermostat!$B$3,Thermostat!$B$4)</f>
        <v>60</v>
      </c>
      <c r="M214" s="467">
        <f>IF((M205=1),Thermostat!$B$3,Thermostat!$B$4)</f>
        <v>60</v>
      </c>
      <c r="N214" s="467">
        <f>IF((N205=1),Thermostat!$B$3,Thermostat!$B$4)</f>
        <v>60</v>
      </c>
      <c r="O214" s="467">
        <f>IF((O205=1),Thermostat!$B$3,Thermostat!$B$4)</f>
        <v>60</v>
      </c>
      <c r="P214" s="467">
        <f>IF((P205=1),Thermostat!$B$3,Thermostat!$B$4)</f>
        <v>60</v>
      </c>
      <c r="Q214" s="467">
        <f>IF((Q205=1),Thermostat!$B$3,Thermostat!$B$4)</f>
        <v>60</v>
      </c>
      <c r="R214" s="467">
        <f>IF((R205=1),Thermostat!$B$3,Thermostat!$B$4)</f>
        <v>60</v>
      </c>
      <c r="S214" s="467">
        <f>IF((S205=1),Thermostat!$B$3,Thermostat!$B$4)</f>
        <v>60</v>
      </c>
      <c r="T214" s="467">
        <f>IF((T205=1),Thermostat!$B$3,Thermostat!$B$4)</f>
        <v>60</v>
      </c>
      <c r="U214" s="467">
        <f>IF((U205=1),Thermostat!$B$3,Thermostat!$B$4)</f>
        <v>60</v>
      </c>
      <c r="V214" s="467">
        <f>IF((V205=1),Thermostat!$B$3,Thermostat!$B$4)</f>
        <v>60</v>
      </c>
      <c r="W214" s="467">
        <f>IF((W205=1),Thermostat!$B$3,Thermostat!$B$4)</f>
        <v>60</v>
      </c>
      <c r="X214" s="467">
        <f>IF((X205=1),Thermostat!$B$3,Thermostat!$B$4)</f>
        <v>60</v>
      </c>
      <c r="Y214" s="467">
        <f>IF((Y205=1),Thermostat!$B$3,Thermostat!$B$4)</f>
        <v>60</v>
      </c>
      <c r="Z214" s="467">
        <f>IF((Z205=1),Thermostat!$B$3,Thermostat!$B$4)</f>
        <v>60</v>
      </c>
      <c r="AA214" s="467">
        <f>IF((AA205=1),Thermostat!$B$3,Thermostat!$B$4)</f>
        <v>60</v>
      </c>
      <c r="AB214" s="467">
        <f>IF((AB205=1),Thermostat!$B$3,Thermostat!$B$4)</f>
        <v>60</v>
      </c>
      <c r="AC214" s="468">
        <f>IF((AC205=1),Thermostat!$B$3,Thermostat!$B$4)</f>
        <v>60</v>
      </c>
    </row>
    <row r="215" spans="1:37" ht="34.200000000000003" customHeight="1" x14ac:dyDescent="0.3">
      <c r="A215" s="1068" t="str">
        <f>A194</f>
        <v xml:space="preserve">Office, Conference space </v>
      </c>
      <c r="B215" s="1166" t="s">
        <v>150</v>
      </c>
      <c r="C215" s="1225" t="s">
        <v>771</v>
      </c>
      <c r="D215" s="1228" t="s">
        <v>781</v>
      </c>
      <c r="E215" s="488" t="s">
        <v>468</v>
      </c>
      <c r="F215" s="363">
        <f>IF((F203=1),Thermostat!$B$5,Thermostat!$B$6)</f>
        <v>85</v>
      </c>
      <c r="G215" s="363">
        <f>IF((G203=1),Thermostat!$B$5,Thermostat!$B$6)</f>
        <v>85</v>
      </c>
      <c r="H215" s="363">
        <f>IF((H203=1),Thermostat!$B$5,Thermostat!$B$6)</f>
        <v>85</v>
      </c>
      <c r="I215" s="363">
        <f>IF((I203=1),Thermostat!$B$5,Thermostat!$B$6)</f>
        <v>85</v>
      </c>
      <c r="J215" s="363">
        <f>IF((J203=1),Thermostat!$B$5,Thermostat!$B$6)</f>
        <v>85</v>
      </c>
      <c r="K215" s="363">
        <f>IF((K203=1),Thermostat!$B$5,Thermostat!$B$6)</f>
        <v>75</v>
      </c>
      <c r="L215" s="363">
        <f>IF((L203=1),Thermostat!$B$5,Thermostat!$B$6)</f>
        <v>75</v>
      </c>
      <c r="M215" s="363">
        <f>IF((M203=1),Thermostat!$B$5,Thermostat!$B$6)</f>
        <v>75</v>
      </c>
      <c r="N215" s="363">
        <f>IF((N203=1),Thermostat!$B$5,Thermostat!$B$6)</f>
        <v>75</v>
      </c>
      <c r="O215" s="363">
        <f>IF((O203=1),Thermostat!$B$5,Thermostat!$B$6)</f>
        <v>75</v>
      </c>
      <c r="P215" s="363">
        <f>IF((P203=1),Thermostat!$B$5,Thermostat!$B$6)</f>
        <v>75</v>
      </c>
      <c r="Q215" s="363">
        <f>IF((Q203=1),Thermostat!$B$5,Thermostat!$B$6)</f>
        <v>75</v>
      </c>
      <c r="R215" s="363">
        <f>IF((R203=1),Thermostat!$B$5,Thermostat!$B$6)</f>
        <v>75</v>
      </c>
      <c r="S215" s="363">
        <f>IF((S203=1),Thermostat!$B$5,Thermostat!$B$6)</f>
        <v>75</v>
      </c>
      <c r="T215" s="363">
        <f>IF((T203=1),Thermostat!$B$5,Thermostat!$B$6)</f>
        <v>75</v>
      </c>
      <c r="U215" s="363">
        <f>IF((U203=1),Thermostat!$B$5,Thermostat!$B$6)</f>
        <v>75</v>
      </c>
      <c r="V215" s="363">
        <f>IF((V203=1),Thermostat!$B$5,Thermostat!$B$6)</f>
        <v>75</v>
      </c>
      <c r="W215" s="363">
        <f>IF((W203=1),Thermostat!$B$5,Thermostat!$B$6)</f>
        <v>75</v>
      </c>
      <c r="X215" s="363">
        <f>IF((X203=1),Thermostat!$B$5,Thermostat!$B$6)</f>
        <v>75</v>
      </c>
      <c r="Y215" s="363">
        <f>IF((Y203=1),Thermostat!$B$5,Thermostat!$B$6)</f>
        <v>75</v>
      </c>
      <c r="Z215" s="363">
        <f>IF((Z203=1),Thermostat!$B$5,Thermostat!$B$6)</f>
        <v>75</v>
      </c>
      <c r="AA215" s="363">
        <f>IF((AA203=1),Thermostat!$B$5,Thermostat!$B$6)</f>
        <v>75</v>
      </c>
      <c r="AB215" s="363">
        <f>IF((AB203=1),Thermostat!$B$5,Thermostat!$B$6)</f>
        <v>75</v>
      </c>
      <c r="AC215" s="484">
        <f>IF((AC203=1),Thermostat!$B$5,Thermostat!$B$6)</f>
        <v>75</v>
      </c>
    </row>
    <row r="216" spans="1:37" ht="34.200000000000003" customHeight="1" x14ac:dyDescent="0.3">
      <c r="A216" s="1069"/>
      <c r="B216" s="1167"/>
      <c r="C216" s="1226"/>
      <c r="D216" s="1229"/>
      <c r="E216" s="486" t="s">
        <v>475</v>
      </c>
      <c r="F216" s="339">
        <f>IF((F204=1),Thermostat!$B$5,Thermostat!$B$6)</f>
        <v>85</v>
      </c>
      <c r="G216" s="339">
        <f>IF((G204=1),Thermostat!$B$5,Thermostat!$B$6)</f>
        <v>85</v>
      </c>
      <c r="H216" s="339">
        <f>IF((H204=1),Thermostat!$B$5,Thermostat!$B$6)</f>
        <v>85</v>
      </c>
      <c r="I216" s="339">
        <f>IF((I204=1),Thermostat!$B$5,Thermostat!$B$6)</f>
        <v>85</v>
      </c>
      <c r="J216" s="339">
        <f>IF((J204=1),Thermostat!$B$5,Thermostat!$B$6)</f>
        <v>85</v>
      </c>
      <c r="K216" s="339">
        <f>IF((K204=1),Thermostat!$B$5,Thermostat!$B$6)</f>
        <v>85</v>
      </c>
      <c r="L216" s="339">
        <f>IF((L204=1),Thermostat!$B$5,Thermostat!$B$6)</f>
        <v>85</v>
      </c>
      <c r="M216" s="339">
        <f>IF((M204=1),Thermostat!$B$5,Thermostat!$B$6)</f>
        <v>85</v>
      </c>
      <c r="N216" s="339">
        <f>IF((N204=1),Thermostat!$B$5,Thermostat!$B$6)</f>
        <v>85</v>
      </c>
      <c r="O216" s="339">
        <f>IF((O204=1),Thermostat!$B$5,Thermostat!$B$6)</f>
        <v>85</v>
      </c>
      <c r="P216" s="339">
        <f>IF((P204=1),Thermostat!$B$5,Thermostat!$B$6)</f>
        <v>85</v>
      </c>
      <c r="Q216" s="339">
        <f>IF((Q204=1),Thermostat!$B$5,Thermostat!$B$6)</f>
        <v>85</v>
      </c>
      <c r="R216" s="339">
        <f>IF((R204=1),Thermostat!$B$5,Thermostat!$B$6)</f>
        <v>85</v>
      </c>
      <c r="S216" s="339">
        <f>IF((S204=1),Thermostat!$B$5,Thermostat!$B$6)</f>
        <v>85</v>
      </c>
      <c r="T216" s="339">
        <f>IF((T204=1),Thermostat!$B$5,Thermostat!$B$6)</f>
        <v>85</v>
      </c>
      <c r="U216" s="339">
        <f>IF((U204=1),Thermostat!$B$5,Thermostat!$B$6)</f>
        <v>85</v>
      </c>
      <c r="V216" s="339">
        <f>IF((V204=1),Thermostat!$B$5,Thermostat!$B$6)</f>
        <v>85</v>
      </c>
      <c r="W216" s="339">
        <f>IF((W204=1),Thermostat!$B$5,Thermostat!$B$6)</f>
        <v>85</v>
      </c>
      <c r="X216" s="339">
        <f>IF((X204=1),Thermostat!$B$5,Thermostat!$B$6)</f>
        <v>85</v>
      </c>
      <c r="Y216" s="339">
        <f>IF((Y204=1),Thermostat!$B$5,Thermostat!$B$6)</f>
        <v>85</v>
      </c>
      <c r="Z216" s="339">
        <f>IF((Z204=1),Thermostat!$B$5,Thermostat!$B$6)</f>
        <v>85</v>
      </c>
      <c r="AA216" s="339">
        <f>IF((AA204=1),Thermostat!$B$5,Thermostat!$B$6)</f>
        <v>85</v>
      </c>
      <c r="AB216" s="339">
        <f>IF((AB204=1),Thermostat!$B$5,Thermostat!$B$6)</f>
        <v>85</v>
      </c>
      <c r="AC216" s="465">
        <f>IF((AC204=1),Thermostat!$B$5,Thermostat!$B$6)</f>
        <v>85</v>
      </c>
    </row>
    <row r="217" spans="1:37" ht="34.200000000000003" customHeight="1" thickBot="1" x14ac:dyDescent="0.35">
      <c r="A217" s="1070"/>
      <c r="B217" s="1231"/>
      <c r="C217" s="1227"/>
      <c r="D217" s="1230"/>
      <c r="E217" s="487" t="s">
        <v>477</v>
      </c>
      <c r="F217" s="467">
        <f>IF((F205=1),Thermostat!$B$5,Thermostat!$B$6)</f>
        <v>85</v>
      </c>
      <c r="G217" s="467">
        <f>IF((G205=1),Thermostat!$B$5,Thermostat!$B$6)</f>
        <v>85</v>
      </c>
      <c r="H217" s="467">
        <f>IF((H205=1),Thermostat!$B$5,Thermostat!$B$6)</f>
        <v>85</v>
      </c>
      <c r="I217" s="467">
        <f>IF((I205=1),Thermostat!$B$5,Thermostat!$B$6)</f>
        <v>85</v>
      </c>
      <c r="J217" s="467">
        <f>IF((J205=1),Thermostat!$B$5,Thermostat!$B$6)</f>
        <v>85</v>
      </c>
      <c r="K217" s="467">
        <f>IF((K205=1),Thermostat!$B$5,Thermostat!$B$6)</f>
        <v>85</v>
      </c>
      <c r="L217" s="467">
        <f>IF((L205=1),Thermostat!$B$5,Thermostat!$B$6)</f>
        <v>85</v>
      </c>
      <c r="M217" s="467">
        <f>IF((M205=1),Thermostat!$B$5,Thermostat!$B$6)</f>
        <v>85</v>
      </c>
      <c r="N217" s="467">
        <f>IF((N205=1),Thermostat!$B$5,Thermostat!$B$6)</f>
        <v>85</v>
      </c>
      <c r="O217" s="467">
        <f>IF((O205=1),Thermostat!$B$5,Thermostat!$B$6)</f>
        <v>85</v>
      </c>
      <c r="P217" s="467">
        <f>IF((P205=1),Thermostat!$B$5,Thermostat!$B$6)</f>
        <v>85</v>
      </c>
      <c r="Q217" s="467">
        <f>IF((Q205=1),Thermostat!$B$5,Thermostat!$B$6)</f>
        <v>85</v>
      </c>
      <c r="R217" s="467">
        <f>IF((R205=1),Thermostat!$B$5,Thermostat!$B$6)</f>
        <v>85</v>
      </c>
      <c r="S217" s="467">
        <f>IF((S205=1),Thermostat!$B$5,Thermostat!$B$6)</f>
        <v>85</v>
      </c>
      <c r="T217" s="467">
        <f>IF((T205=1),Thermostat!$B$5,Thermostat!$B$6)</f>
        <v>85</v>
      </c>
      <c r="U217" s="467">
        <f>IF((U205=1),Thermostat!$B$5,Thermostat!$B$6)</f>
        <v>85</v>
      </c>
      <c r="V217" s="467">
        <f>IF((V205=1),Thermostat!$B$5,Thermostat!$B$6)</f>
        <v>85</v>
      </c>
      <c r="W217" s="467">
        <f>IF((W205=1),Thermostat!$B$5,Thermostat!$B$6)</f>
        <v>85</v>
      </c>
      <c r="X217" s="467">
        <f>IF((X205=1),Thermostat!$B$5,Thermostat!$B$6)</f>
        <v>85</v>
      </c>
      <c r="Y217" s="467">
        <f>IF((Y205=1),Thermostat!$B$5,Thermostat!$B$6)</f>
        <v>85</v>
      </c>
      <c r="Z217" s="467">
        <f>IF((Z205=1),Thermostat!$B$5,Thermostat!$B$6)</f>
        <v>85</v>
      </c>
      <c r="AA217" s="467">
        <f>IF((AA205=1),Thermostat!$B$5,Thermostat!$B$6)</f>
        <v>85</v>
      </c>
      <c r="AB217" s="467">
        <f>IF((AB205=1),Thermostat!$B$5,Thermostat!$B$6)</f>
        <v>85</v>
      </c>
      <c r="AC217" s="468">
        <f>IF((AC205=1),Thermostat!$B$5,Thermostat!$B$6)</f>
        <v>85</v>
      </c>
    </row>
    <row r="218" spans="1:37" ht="30.6" customHeight="1" thickBot="1" x14ac:dyDescent="0.35">
      <c r="A218" s="1183" t="s">
        <v>797</v>
      </c>
      <c r="B218" s="1184"/>
      <c r="C218" s="1184"/>
      <c r="D218" s="1184"/>
      <c r="E218" s="1184"/>
      <c r="F218" s="1184"/>
      <c r="G218" s="1184"/>
      <c r="H218" s="1184"/>
      <c r="I218" s="1184"/>
      <c r="J218" s="1184"/>
      <c r="K218" s="1184"/>
      <c r="L218" s="1184"/>
      <c r="M218" s="1184"/>
      <c r="N218" s="1184"/>
      <c r="O218" s="1184"/>
      <c r="P218" s="1184"/>
      <c r="Q218" s="1184"/>
      <c r="R218" s="1184"/>
      <c r="S218" s="1184"/>
      <c r="T218" s="1184"/>
      <c r="U218" s="1184"/>
      <c r="V218" s="1184"/>
      <c r="W218" s="1184"/>
      <c r="X218" s="1184"/>
      <c r="Y218" s="1184"/>
      <c r="Z218" s="1184"/>
      <c r="AA218" s="1184"/>
      <c r="AB218" s="1184"/>
      <c r="AC218" s="1185"/>
      <c r="AD218" s="585" t="s">
        <v>752</v>
      </c>
      <c r="AE218" s="39"/>
      <c r="AF218" s="39"/>
      <c r="AG218" s="39"/>
      <c r="AH218" s="39"/>
      <c r="AI218" s="39"/>
      <c r="AJ218" s="39"/>
      <c r="AK218" s="39"/>
    </row>
    <row r="219" spans="1:37" ht="34.950000000000003" customHeight="1" x14ac:dyDescent="0.3">
      <c r="A219" s="1068"/>
      <c r="B219" s="1074" t="s">
        <v>189</v>
      </c>
      <c r="C219" s="1074" t="s">
        <v>656</v>
      </c>
      <c r="D219" s="1189" t="s">
        <v>804</v>
      </c>
      <c r="E219" s="309" t="s">
        <v>468</v>
      </c>
      <c r="F219" s="304">
        <v>0.12</v>
      </c>
      <c r="G219" s="304">
        <v>0.12</v>
      </c>
      <c r="H219" s="304">
        <v>0.12</v>
      </c>
      <c r="I219" s="304">
        <v>0.12</v>
      </c>
      <c r="J219" s="304">
        <v>0.12</v>
      </c>
      <c r="K219" s="304">
        <v>0.2</v>
      </c>
      <c r="L219" s="304">
        <v>0.4</v>
      </c>
      <c r="M219" s="304">
        <v>0.5</v>
      </c>
      <c r="N219" s="304">
        <v>0.5</v>
      </c>
      <c r="O219" s="304">
        <v>0.35</v>
      </c>
      <c r="P219" s="304">
        <v>0.15</v>
      </c>
      <c r="Q219" s="304">
        <v>0.15</v>
      </c>
      <c r="R219" s="304">
        <v>0.15</v>
      </c>
      <c r="S219" s="304">
        <v>0.15</v>
      </c>
      <c r="T219" s="304">
        <v>0.15</v>
      </c>
      <c r="U219" s="304">
        <v>0.15</v>
      </c>
      <c r="V219" s="304">
        <v>0.35</v>
      </c>
      <c r="W219" s="304">
        <v>0.5</v>
      </c>
      <c r="X219" s="304">
        <v>0.5</v>
      </c>
      <c r="Y219" s="304">
        <v>0.4</v>
      </c>
      <c r="Z219" s="304">
        <v>0.4</v>
      </c>
      <c r="AA219" s="304">
        <v>0.3</v>
      </c>
      <c r="AB219" s="304">
        <v>0.2</v>
      </c>
      <c r="AC219" s="305">
        <v>0.12</v>
      </c>
      <c r="AD219" s="37">
        <f>SUM(F219:AC219)*261+ SUM(F220:AC220)*52+ SUM(F221:AC221)*52</f>
        <v>2270.3000000000002</v>
      </c>
      <c r="AE219" s="39"/>
      <c r="AF219" s="39"/>
      <c r="AG219" s="39"/>
      <c r="AH219" s="39"/>
      <c r="AI219" s="39"/>
      <c r="AJ219" s="39"/>
      <c r="AK219" s="39"/>
    </row>
    <row r="220" spans="1:37" ht="34.950000000000003" customHeight="1" x14ac:dyDescent="0.3">
      <c r="A220" s="1069"/>
      <c r="B220" s="1075"/>
      <c r="C220" s="1075"/>
      <c r="D220" s="1190"/>
      <c r="E220" s="310" t="s">
        <v>475</v>
      </c>
      <c r="F220" s="303">
        <v>0.12</v>
      </c>
      <c r="G220" s="303">
        <v>0.12</v>
      </c>
      <c r="H220" s="303">
        <v>0.12</v>
      </c>
      <c r="I220" s="303">
        <v>0.12</v>
      </c>
      <c r="J220" s="303">
        <v>0.12</v>
      </c>
      <c r="K220" s="303">
        <v>0.2</v>
      </c>
      <c r="L220" s="303">
        <v>0.4</v>
      </c>
      <c r="M220" s="303">
        <v>0.5</v>
      </c>
      <c r="N220" s="303">
        <v>0.5</v>
      </c>
      <c r="O220" s="303">
        <v>0.35</v>
      </c>
      <c r="P220" s="303">
        <v>0.15</v>
      </c>
      <c r="Q220" s="303">
        <v>0.15</v>
      </c>
      <c r="R220" s="303">
        <v>0.15</v>
      </c>
      <c r="S220" s="303">
        <v>0.15</v>
      </c>
      <c r="T220" s="303">
        <v>0.15</v>
      </c>
      <c r="U220" s="303">
        <v>0.15</v>
      </c>
      <c r="V220" s="303">
        <v>0.35</v>
      </c>
      <c r="W220" s="303">
        <v>0.5</v>
      </c>
      <c r="X220" s="303">
        <v>0.5</v>
      </c>
      <c r="Y220" s="303">
        <v>0.4</v>
      </c>
      <c r="Z220" s="303">
        <v>0.4</v>
      </c>
      <c r="AA220" s="303">
        <v>0.3</v>
      </c>
      <c r="AB220" s="303">
        <v>0.2</v>
      </c>
      <c r="AC220" s="306">
        <v>0.12</v>
      </c>
      <c r="AE220" s="39"/>
      <c r="AF220" s="39"/>
      <c r="AG220" s="39"/>
      <c r="AH220" s="39"/>
      <c r="AI220" s="39"/>
      <c r="AJ220" s="39"/>
      <c r="AK220" s="39"/>
    </row>
    <row r="221" spans="1:37" ht="34.950000000000003" customHeight="1" thickBot="1" x14ac:dyDescent="0.35">
      <c r="A221" s="1070"/>
      <c r="B221" s="1076"/>
      <c r="C221" s="1076"/>
      <c r="D221" s="1191"/>
      <c r="E221" s="311" t="s">
        <v>477</v>
      </c>
      <c r="F221" s="307">
        <v>0.12</v>
      </c>
      <c r="G221" s="307">
        <v>0.12</v>
      </c>
      <c r="H221" s="307">
        <v>0.12</v>
      </c>
      <c r="I221" s="307">
        <v>0.12</v>
      </c>
      <c r="J221" s="307">
        <v>0.12</v>
      </c>
      <c r="K221" s="307">
        <v>0.2</v>
      </c>
      <c r="L221" s="307">
        <v>0.4</v>
      </c>
      <c r="M221" s="307">
        <v>0.5</v>
      </c>
      <c r="N221" s="307">
        <v>0.5</v>
      </c>
      <c r="O221" s="307">
        <v>0.35</v>
      </c>
      <c r="P221" s="307">
        <v>0.15</v>
      </c>
      <c r="Q221" s="307">
        <v>0.15</v>
      </c>
      <c r="R221" s="307">
        <v>0.15</v>
      </c>
      <c r="S221" s="307">
        <v>0.15</v>
      </c>
      <c r="T221" s="307">
        <v>0.15</v>
      </c>
      <c r="U221" s="307">
        <v>0.15</v>
      </c>
      <c r="V221" s="307">
        <v>0.35</v>
      </c>
      <c r="W221" s="307">
        <v>0.5</v>
      </c>
      <c r="X221" s="307">
        <v>0.5</v>
      </c>
      <c r="Y221" s="307">
        <v>0.4</v>
      </c>
      <c r="Z221" s="307">
        <v>0.4</v>
      </c>
      <c r="AA221" s="307">
        <v>0.3</v>
      </c>
      <c r="AB221" s="307">
        <v>0.2</v>
      </c>
      <c r="AC221" s="308">
        <v>0.12</v>
      </c>
      <c r="AE221" s="39"/>
      <c r="AF221" s="39"/>
      <c r="AG221" s="39"/>
      <c r="AH221" s="39"/>
      <c r="AI221" s="39"/>
      <c r="AJ221" s="39"/>
      <c r="AK221" s="39"/>
    </row>
    <row r="222" spans="1:37" ht="34.950000000000003" customHeight="1" x14ac:dyDescent="0.3">
      <c r="A222" s="1080"/>
      <c r="B222" s="1085" t="s">
        <v>189</v>
      </c>
      <c r="C222" s="1083" t="s">
        <v>805</v>
      </c>
      <c r="D222" s="1190" t="s">
        <v>804</v>
      </c>
      <c r="E222" s="312" t="s">
        <v>468</v>
      </c>
      <c r="F222" s="363">
        <v>1</v>
      </c>
      <c r="G222" s="363">
        <v>1</v>
      </c>
      <c r="H222" s="363">
        <v>1</v>
      </c>
      <c r="I222" s="363">
        <v>1</v>
      </c>
      <c r="J222" s="363">
        <v>1</v>
      </c>
      <c r="K222" s="363">
        <v>1</v>
      </c>
      <c r="L222" s="363">
        <v>1</v>
      </c>
      <c r="M222" s="363">
        <v>1</v>
      </c>
      <c r="N222" s="363">
        <v>1</v>
      </c>
      <c r="O222" s="363">
        <v>1</v>
      </c>
      <c r="P222" s="363">
        <v>1</v>
      </c>
      <c r="Q222" s="363">
        <v>1</v>
      </c>
      <c r="R222" s="363">
        <v>1</v>
      </c>
      <c r="S222" s="363">
        <v>1</v>
      </c>
      <c r="T222" s="363">
        <v>1</v>
      </c>
      <c r="U222" s="363">
        <v>1</v>
      </c>
      <c r="V222" s="363">
        <v>1</v>
      </c>
      <c r="W222" s="363">
        <v>1</v>
      </c>
      <c r="X222" s="363">
        <v>1</v>
      </c>
      <c r="Y222" s="363">
        <v>1</v>
      </c>
      <c r="Z222" s="363">
        <v>1</v>
      </c>
      <c r="AA222" s="363">
        <v>1</v>
      </c>
      <c r="AB222" s="363">
        <v>1</v>
      </c>
      <c r="AC222" s="364">
        <v>1</v>
      </c>
      <c r="AD222" s="39"/>
      <c r="AE222" s="39"/>
      <c r="AF222" s="39"/>
      <c r="AG222" s="39"/>
      <c r="AH222" s="39"/>
      <c r="AI222" s="39"/>
      <c r="AJ222" s="39"/>
      <c r="AK222" s="39"/>
    </row>
    <row r="223" spans="1:37" ht="34.950000000000003" customHeight="1" x14ac:dyDescent="0.3">
      <c r="A223" s="1081"/>
      <c r="B223" s="1075"/>
      <c r="C223" s="1217"/>
      <c r="D223" s="1190"/>
      <c r="E223" s="310" t="s">
        <v>475</v>
      </c>
      <c r="F223" s="339">
        <v>1</v>
      </c>
      <c r="G223" s="339">
        <v>1</v>
      </c>
      <c r="H223" s="339">
        <v>1</v>
      </c>
      <c r="I223" s="339">
        <v>1</v>
      </c>
      <c r="J223" s="339">
        <v>1</v>
      </c>
      <c r="K223" s="339">
        <v>1</v>
      </c>
      <c r="L223" s="339">
        <v>1</v>
      </c>
      <c r="M223" s="339">
        <v>1</v>
      </c>
      <c r="N223" s="339">
        <v>1</v>
      </c>
      <c r="O223" s="339">
        <v>1</v>
      </c>
      <c r="P223" s="339">
        <v>1</v>
      </c>
      <c r="Q223" s="339">
        <v>1</v>
      </c>
      <c r="R223" s="339">
        <v>1</v>
      </c>
      <c r="S223" s="339">
        <v>1</v>
      </c>
      <c r="T223" s="339">
        <v>1</v>
      </c>
      <c r="U223" s="339">
        <v>1</v>
      </c>
      <c r="V223" s="339">
        <v>1</v>
      </c>
      <c r="W223" s="339">
        <v>1</v>
      </c>
      <c r="X223" s="339">
        <v>1</v>
      </c>
      <c r="Y223" s="339">
        <v>1</v>
      </c>
      <c r="Z223" s="339">
        <v>1</v>
      </c>
      <c r="AA223" s="339">
        <v>1</v>
      </c>
      <c r="AB223" s="339">
        <v>1</v>
      </c>
      <c r="AC223" s="340">
        <v>1</v>
      </c>
      <c r="AD223" s="39"/>
      <c r="AE223" s="39"/>
      <c r="AF223" s="39"/>
      <c r="AG223" s="39"/>
      <c r="AH223" s="39"/>
      <c r="AI223" s="39"/>
      <c r="AJ223" s="39"/>
      <c r="AK223" s="39"/>
    </row>
    <row r="224" spans="1:37" ht="34.950000000000003" customHeight="1" thickBot="1" x14ac:dyDescent="0.35">
      <c r="A224" s="1082"/>
      <c r="B224" s="1086"/>
      <c r="C224" s="1218"/>
      <c r="D224" s="1220"/>
      <c r="E224" s="311" t="s">
        <v>477</v>
      </c>
      <c r="F224" s="348">
        <v>1</v>
      </c>
      <c r="G224" s="348">
        <v>1</v>
      </c>
      <c r="H224" s="348">
        <v>1</v>
      </c>
      <c r="I224" s="348">
        <v>1</v>
      </c>
      <c r="J224" s="348">
        <v>1</v>
      </c>
      <c r="K224" s="348">
        <v>1</v>
      </c>
      <c r="L224" s="348">
        <v>1</v>
      </c>
      <c r="M224" s="348">
        <v>1</v>
      </c>
      <c r="N224" s="348">
        <v>1</v>
      </c>
      <c r="O224" s="348">
        <v>1</v>
      </c>
      <c r="P224" s="348">
        <v>1</v>
      </c>
      <c r="Q224" s="348">
        <v>1</v>
      </c>
      <c r="R224" s="348">
        <v>1</v>
      </c>
      <c r="S224" s="348">
        <v>1</v>
      </c>
      <c r="T224" s="348">
        <v>1</v>
      </c>
      <c r="U224" s="348">
        <v>1</v>
      </c>
      <c r="V224" s="348">
        <v>1</v>
      </c>
      <c r="W224" s="348">
        <v>1</v>
      </c>
      <c r="X224" s="348">
        <v>1</v>
      </c>
      <c r="Y224" s="348">
        <v>1</v>
      </c>
      <c r="Z224" s="348">
        <v>1</v>
      </c>
      <c r="AA224" s="348">
        <v>1</v>
      </c>
      <c r="AB224" s="348">
        <v>1</v>
      </c>
      <c r="AC224" s="349">
        <v>1</v>
      </c>
      <c r="AD224" s="39"/>
      <c r="AE224" s="39"/>
      <c r="AF224" s="39"/>
      <c r="AG224" s="39"/>
      <c r="AH224" s="39"/>
      <c r="AI224" s="39"/>
      <c r="AJ224" s="39"/>
      <c r="AK224" s="39"/>
    </row>
    <row r="225" spans="1:37" ht="34.950000000000003" customHeight="1" x14ac:dyDescent="0.3">
      <c r="A225" s="1087"/>
      <c r="B225" s="1146" t="s">
        <v>189</v>
      </c>
      <c r="C225" s="1089" t="s">
        <v>806</v>
      </c>
      <c r="D225" s="1224" t="s">
        <v>807</v>
      </c>
      <c r="E225" s="309" t="s">
        <v>468</v>
      </c>
      <c r="F225" s="346">
        <v>0</v>
      </c>
      <c r="G225" s="346">
        <v>0</v>
      </c>
      <c r="H225" s="346">
        <v>0</v>
      </c>
      <c r="I225" s="346">
        <v>0</v>
      </c>
      <c r="J225" s="346">
        <v>0</v>
      </c>
      <c r="K225" s="346">
        <v>1</v>
      </c>
      <c r="L225" s="346">
        <v>1</v>
      </c>
      <c r="M225" s="346">
        <v>1</v>
      </c>
      <c r="N225" s="346">
        <v>1</v>
      </c>
      <c r="O225" s="346">
        <v>1</v>
      </c>
      <c r="P225" s="346">
        <v>1</v>
      </c>
      <c r="Q225" s="346">
        <v>1</v>
      </c>
      <c r="R225" s="346">
        <v>1</v>
      </c>
      <c r="S225" s="346">
        <v>1</v>
      </c>
      <c r="T225" s="346">
        <v>1</v>
      </c>
      <c r="U225" s="346">
        <v>1</v>
      </c>
      <c r="V225" s="346">
        <v>1</v>
      </c>
      <c r="W225" s="346">
        <v>1</v>
      </c>
      <c r="X225" s="346">
        <v>1</v>
      </c>
      <c r="Y225" s="346">
        <v>1</v>
      </c>
      <c r="Z225" s="346">
        <v>1</v>
      </c>
      <c r="AA225" s="346">
        <v>1</v>
      </c>
      <c r="AB225" s="346">
        <v>0</v>
      </c>
      <c r="AC225" s="347">
        <v>0</v>
      </c>
      <c r="AD225" s="39"/>
      <c r="AE225" s="39"/>
      <c r="AF225" s="39"/>
      <c r="AG225" s="39"/>
      <c r="AH225" s="39"/>
      <c r="AI225" s="39"/>
      <c r="AJ225" s="39"/>
      <c r="AK225" s="39"/>
    </row>
    <row r="226" spans="1:37" ht="34.950000000000003" customHeight="1" x14ac:dyDescent="0.3">
      <c r="A226" s="1081"/>
      <c r="B226" s="1075"/>
      <c r="C226" s="1217"/>
      <c r="D226" s="1190"/>
      <c r="E226" s="310" t="s">
        <v>475</v>
      </c>
      <c r="F226" s="339">
        <v>0</v>
      </c>
      <c r="G226" s="339">
        <v>0</v>
      </c>
      <c r="H226" s="339">
        <v>0</v>
      </c>
      <c r="I226" s="339">
        <v>0</v>
      </c>
      <c r="J226" s="339">
        <v>0</v>
      </c>
      <c r="K226" s="339">
        <v>1</v>
      </c>
      <c r="L226" s="339">
        <v>1</v>
      </c>
      <c r="M226" s="339">
        <v>1</v>
      </c>
      <c r="N226" s="339">
        <v>1</v>
      </c>
      <c r="O226" s="339">
        <v>1</v>
      </c>
      <c r="P226" s="339">
        <v>1</v>
      </c>
      <c r="Q226" s="339">
        <v>1</v>
      </c>
      <c r="R226" s="339">
        <v>1</v>
      </c>
      <c r="S226" s="339">
        <v>1</v>
      </c>
      <c r="T226" s="339">
        <v>1</v>
      </c>
      <c r="U226" s="339">
        <v>1</v>
      </c>
      <c r="V226" s="339">
        <v>1</v>
      </c>
      <c r="W226" s="339">
        <v>1</v>
      </c>
      <c r="X226" s="339">
        <v>1</v>
      </c>
      <c r="Y226" s="339">
        <v>1</v>
      </c>
      <c r="Z226" s="339">
        <v>1</v>
      </c>
      <c r="AA226" s="339">
        <v>1</v>
      </c>
      <c r="AB226" s="339">
        <v>1</v>
      </c>
      <c r="AC226" s="340">
        <v>1</v>
      </c>
      <c r="AD226" s="39"/>
      <c r="AE226" s="39"/>
      <c r="AF226" s="39"/>
      <c r="AG226" s="39"/>
      <c r="AH226" s="39"/>
      <c r="AI226" s="39"/>
      <c r="AJ226" s="39"/>
      <c r="AK226" s="39"/>
    </row>
    <row r="227" spans="1:37" ht="34.950000000000003" customHeight="1" thickBot="1" x14ac:dyDescent="0.35">
      <c r="A227" s="1082"/>
      <c r="B227" s="1086"/>
      <c r="C227" s="1218"/>
      <c r="D227" s="1220"/>
      <c r="E227" s="311" t="s">
        <v>477</v>
      </c>
      <c r="F227" s="348">
        <v>0</v>
      </c>
      <c r="G227" s="348">
        <v>0</v>
      </c>
      <c r="H227" s="348">
        <v>0</v>
      </c>
      <c r="I227" s="348">
        <v>0</v>
      </c>
      <c r="J227" s="348">
        <v>0</v>
      </c>
      <c r="K227" s="348">
        <v>1</v>
      </c>
      <c r="L227" s="348">
        <v>1</v>
      </c>
      <c r="M227" s="348">
        <v>1</v>
      </c>
      <c r="N227" s="348">
        <v>1</v>
      </c>
      <c r="O227" s="348">
        <v>1</v>
      </c>
      <c r="P227" s="348">
        <v>1</v>
      </c>
      <c r="Q227" s="348">
        <v>1</v>
      </c>
      <c r="R227" s="348">
        <v>1</v>
      </c>
      <c r="S227" s="348">
        <v>1</v>
      </c>
      <c r="T227" s="348">
        <v>1</v>
      </c>
      <c r="U227" s="348">
        <v>1</v>
      </c>
      <c r="V227" s="348">
        <v>1</v>
      </c>
      <c r="W227" s="348">
        <v>1</v>
      </c>
      <c r="X227" s="348">
        <v>1</v>
      </c>
      <c r="Y227" s="348">
        <v>1</v>
      </c>
      <c r="Z227" s="348">
        <v>1</v>
      </c>
      <c r="AA227" s="348">
        <v>1</v>
      </c>
      <c r="AB227" s="348">
        <v>1</v>
      </c>
      <c r="AC227" s="349">
        <v>1</v>
      </c>
      <c r="AD227" s="39"/>
      <c r="AE227" s="39"/>
      <c r="AF227" s="39"/>
      <c r="AG227" s="39"/>
      <c r="AH227" s="39"/>
      <c r="AI227" s="39"/>
      <c r="AJ227" s="39"/>
      <c r="AK227" s="39"/>
    </row>
    <row r="228" spans="1:37" ht="24.6" customHeight="1" x14ac:dyDescent="0.3">
      <c r="A228" s="1215" t="s">
        <v>808</v>
      </c>
      <c r="B228" s="1089" t="s">
        <v>189</v>
      </c>
      <c r="C228" s="1089" t="s">
        <v>809</v>
      </c>
      <c r="D228" s="1214" t="s">
        <v>810</v>
      </c>
      <c r="E228" s="309" t="s">
        <v>468</v>
      </c>
      <c r="F228" s="346">
        <v>146.5</v>
      </c>
      <c r="G228" s="346">
        <v>146.5</v>
      </c>
      <c r="H228" s="346">
        <v>146.5</v>
      </c>
      <c r="I228" s="346">
        <v>146.5</v>
      </c>
      <c r="J228" s="346">
        <v>146.5</v>
      </c>
      <c r="K228" s="346">
        <v>146.5</v>
      </c>
      <c r="L228" s="346">
        <v>146.5</v>
      </c>
      <c r="M228" s="346">
        <v>146.5</v>
      </c>
      <c r="N228" s="346">
        <v>146.5</v>
      </c>
      <c r="O228" s="346">
        <v>146.5</v>
      </c>
      <c r="P228" s="346">
        <v>146.5</v>
      </c>
      <c r="Q228" s="346">
        <v>146.5</v>
      </c>
      <c r="R228" s="346">
        <v>146.5</v>
      </c>
      <c r="S228" s="346">
        <v>146.5</v>
      </c>
      <c r="T228" s="346">
        <v>146.5</v>
      </c>
      <c r="U228" s="346">
        <v>146.5</v>
      </c>
      <c r="V228" s="346">
        <v>146.5</v>
      </c>
      <c r="W228" s="346">
        <v>146.5</v>
      </c>
      <c r="X228" s="346">
        <v>146.5</v>
      </c>
      <c r="Y228" s="346">
        <v>146.5</v>
      </c>
      <c r="Z228" s="346">
        <v>146.5</v>
      </c>
      <c r="AA228" s="346">
        <v>146.5</v>
      </c>
      <c r="AB228" s="346">
        <v>146.5</v>
      </c>
      <c r="AC228" s="346">
        <v>146.5</v>
      </c>
    </row>
    <row r="229" spans="1:37" ht="24.6" customHeight="1" x14ac:dyDescent="0.3">
      <c r="A229" s="1069"/>
      <c r="B229" s="1217"/>
      <c r="C229" s="1060"/>
      <c r="D229" s="1170"/>
      <c r="E229" s="310" t="s">
        <v>475</v>
      </c>
      <c r="F229" s="339">
        <v>146.5</v>
      </c>
      <c r="G229" s="339">
        <v>146.5</v>
      </c>
      <c r="H229" s="339">
        <v>146.5</v>
      </c>
      <c r="I229" s="339">
        <v>146.5</v>
      </c>
      <c r="J229" s="339">
        <v>146.5</v>
      </c>
      <c r="K229" s="339">
        <v>146.5</v>
      </c>
      <c r="L229" s="339">
        <v>146.5</v>
      </c>
      <c r="M229" s="339">
        <v>146.5</v>
      </c>
      <c r="N229" s="339">
        <v>146.5</v>
      </c>
      <c r="O229" s="339">
        <v>146.5</v>
      </c>
      <c r="P229" s="339">
        <v>146.5</v>
      </c>
      <c r="Q229" s="339">
        <v>146.5</v>
      </c>
      <c r="R229" s="339">
        <v>146.5</v>
      </c>
      <c r="S229" s="339">
        <v>146.5</v>
      </c>
      <c r="T229" s="339">
        <v>146.5</v>
      </c>
      <c r="U229" s="339">
        <v>146.5</v>
      </c>
      <c r="V229" s="339">
        <v>146.5</v>
      </c>
      <c r="W229" s="339">
        <v>146.5</v>
      </c>
      <c r="X229" s="339">
        <v>146.5</v>
      </c>
      <c r="Y229" s="339">
        <v>146.5</v>
      </c>
      <c r="Z229" s="339">
        <v>146.5</v>
      </c>
      <c r="AA229" s="339">
        <v>146.5</v>
      </c>
      <c r="AB229" s="339">
        <v>146.5</v>
      </c>
      <c r="AC229" s="339">
        <v>146.5</v>
      </c>
    </row>
    <row r="230" spans="1:37" ht="24.6" customHeight="1" thickBot="1" x14ac:dyDescent="0.35">
      <c r="A230" s="1216"/>
      <c r="B230" s="1218"/>
      <c r="C230" s="1084"/>
      <c r="D230" s="1219"/>
      <c r="E230" s="311" t="s">
        <v>477</v>
      </c>
      <c r="F230" s="348">
        <v>146.5</v>
      </c>
      <c r="G230" s="348">
        <v>146.5</v>
      </c>
      <c r="H230" s="348">
        <v>146.5</v>
      </c>
      <c r="I230" s="348">
        <v>146.5</v>
      </c>
      <c r="J230" s="348">
        <v>146.5</v>
      </c>
      <c r="K230" s="348">
        <v>146.5</v>
      </c>
      <c r="L230" s="348">
        <v>146.5</v>
      </c>
      <c r="M230" s="348">
        <v>146.5</v>
      </c>
      <c r="N230" s="348">
        <v>146.5</v>
      </c>
      <c r="O230" s="348">
        <v>146.5</v>
      </c>
      <c r="P230" s="348">
        <v>146.5</v>
      </c>
      <c r="Q230" s="348">
        <v>146.5</v>
      </c>
      <c r="R230" s="348">
        <v>146.5</v>
      </c>
      <c r="S230" s="348">
        <v>146.5</v>
      </c>
      <c r="T230" s="348">
        <v>146.5</v>
      </c>
      <c r="U230" s="348">
        <v>146.5</v>
      </c>
      <c r="V230" s="348">
        <v>146.5</v>
      </c>
      <c r="W230" s="348">
        <v>146.5</v>
      </c>
      <c r="X230" s="348">
        <v>146.5</v>
      </c>
      <c r="Y230" s="348">
        <v>146.5</v>
      </c>
      <c r="Z230" s="348">
        <v>146.5</v>
      </c>
      <c r="AA230" s="348">
        <v>146.5</v>
      </c>
      <c r="AB230" s="348">
        <v>146.5</v>
      </c>
      <c r="AC230" s="348">
        <v>146.5</v>
      </c>
    </row>
    <row r="231" spans="1:37" ht="24.6" customHeight="1" x14ac:dyDescent="0.3">
      <c r="A231" s="1215" t="s">
        <v>811</v>
      </c>
      <c r="B231" s="1089" t="s">
        <v>189</v>
      </c>
      <c r="C231" s="1089" t="s">
        <v>812</v>
      </c>
      <c r="D231" s="1214" t="s">
        <v>810</v>
      </c>
      <c r="E231" s="309" t="s">
        <v>468</v>
      </c>
      <c r="F231" s="346">
        <v>117.2</v>
      </c>
      <c r="G231" s="346">
        <v>117.2</v>
      </c>
      <c r="H231" s="346">
        <v>117.2</v>
      </c>
      <c r="I231" s="346">
        <v>117.2</v>
      </c>
      <c r="J231" s="346">
        <v>117.2</v>
      </c>
      <c r="K231" s="346">
        <v>117.2</v>
      </c>
      <c r="L231" s="346">
        <v>117.2</v>
      </c>
      <c r="M231" s="346">
        <v>117.2</v>
      </c>
      <c r="N231" s="346">
        <v>117.2</v>
      </c>
      <c r="O231" s="346">
        <v>117.2</v>
      </c>
      <c r="P231" s="346">
        <v>117.2</v>
      </c>
      <c r="Q231" s="346">
        <v>117.2</v>
      </c>
      <c r="R231" s="346">
        <v>117.2</v>
      </c>
      <c r="S231" s="346">
        <v>117.2</v>
      </c>
      <c r="T231" s="346">
        <v>117.2</v>
      </c>
      <c r="U231" s="346">
        <v>117.2</v>
      </c>
      <c r="V231" s="346">
        <v>117.2</v>
      </c>
      <c r="W231" s="346">
        <v>117.2</v>
      </c>
      <c r="X231" s="346">
        <v>117.2</v>
      </c>
      <c r="Y231" s="346">
        <v>117.2</v>
      </c>
      <c r="Z231" s="346">
        <v>117.2</v>
      </c>
      <c r="AA231" s="346">
        <v>117.2</v>
      </c>
      <c r="AB231" s="346">
        <v>117.2</v>
      </c>
      <c r="AC231" s="347">
        <v>117.2</v>
      </c>
    </row>
    <row r="232" spans="1:37" ht="24.6" customHeight="1" x14ac:dyDescent="0.3">
      <c r="A232" s="1069"/>
      <c r="B232" s="1217"/>
      <c r="C232" s="1060"/>
      <c r="D232" s="1170"/>
      <c r="E232" s="310" t="s">
        <v>475</v>
      </c>
      <c r="F232" s="339">
        <v>117.2</v>
      </c>
      <c r="G232" s="339">
        <v>117.2</v>
      </c>
      <c r="H232" s="339">
        <v>117.2</v>
      </c>
      <c r="I232" s="339">
        <v>117.2</v>
      </c>
      <c r="J232" s="339">
        <v>117.2</v>
      </c>
      <c r="K232" s="339">
        <v>117.2</v>
      </c>
      <c r="L232" s="339">
        <v>117.2</v>
      </c>
      <c r="M232" s="339">
        <v>117.2</v>
      </c>
      <c r="N232" s="339">
        <v>117.2</v>
      </c>
      <c r="O232" s="339">
        <v>117.2</v>
      </c>
      <c r="P232" s="339">
        <v>117.2</v>
      </c>
      <c r="Q232" s="339">
        <v>117.2</v>
      </c>
      <c r="R232" s="339">
        <v>117.2</v>
      </c>
      <c r="S232" s="339">
        <v>117.2</v>
      </c>
      <c r="T232" s="339">
        <v>117.2</v>
      </c>
      <c r="U232" s="339">
        <v>117.2</v>
      </c>
      <c r="V232" s="339">
        <v>117.2</v>
      </c>
      <c r="W232" s="339">
        <v>117.2</v>
      </c>
      <c r="X232" s="339">
        <v>117.2</v>
      </c>
      <c r="Y232" s="339">
        <v>117.2</v>
      </c>
      <c r="Z232" s="339">
        <v>117.2</v>
      </c>
      <c r="AA232" s="339">
        <v>117.2</v>
      </c>
      <c r="AB232" s="339">
        <v>117.2</v>
      </c>
      <c r="AC232" s="340">
        <v>117.2</v>
      </c>
    </row>
    <row r="233" spans="1:37" ht="24.6" customHeight="1" thickBot="1" x14ac:dyDescent="0.35">
      <c r="A233" s="1216"/>
      <c r="B233" s="1218"/>
      <c r="C233" s="1084"/>
      <c r="D233" s="1219"/>
      <c r="E233" s="311" t="s">
        <v>477</v>
      </c>
      <c r="F233" s="348">
        <v>117.2</v>
      </c>
      <c r="G233" s="348">
        <v>117.2</v>
      </c>
      <c r="H233" s="348">
        <v>117.2</v>
      </c>
      <c r="I233" s="348">
        <v>117.2</v>
      </c>
      <c r="J233" s="348">
        <v>117.2</v>
      </c>
      <c r="K233" s="348">
        <v>117.2</v>
      </c>
      <c r="L233" s="348">
        <v>117.2</v>
      </c>
      <c r="M233" s="348">
        <v>117.2</v>
      </c>
      <c r="N233" s="348">
        <v>117.2</v>
      </c>
      <c r="O233" s="348">
        <v>117.2</v>
      </c>
      <c r="P233" s="348">
        <v>117.2</v>
      </c>
      <c r="Q233" s="348">
        <v>117.2</v>
      </c>
      <c r="R233" s="348">
        <v>117.2</v>
      </c>
      <c r="S233" s="348">
        <v>117.2</v>
      </c>
      <c r="T233" s="348">
        <v>117.2</v>
      </c>
      <c r="U233" s="348">
        <v>117.2</v>
      </c>
      <c r="V233" s="348">
        <v>117.2</v>
      </c>
      <c r="W233" s="348">
        <v>117.2</v>
      </c>
      <c r="X233" s="348">
        <v>117.2</v>
      </c>
      <c r="Y233" s="348">
        <v>117.2</v>
      </c>
      <c r="Z233" s="348">
        <v>117.2</v>
      </c>
      <c r="AA233" s="348">
        <v>117.2</v>
      </c>
      <c r="AB233" s="348">
        <v>117.2</v>
      </c>
      <c r="AC233" s="349">
        <v>117.2</v>
      </c>
    </row>
    <row r="234" spans="1:37" ht="24.6" customHeight="1" x14ac:dyDescent="0.3">
      <c r="A234" s="1215" t="s">
        <v>150</v>
      </c>
      <c r="B234" s="1089" t="s">
        <v>189</v>
      </c>
      <c r="C234" s="1089" t="s">
        <v>813</v>
      </c>
      <c r="D234" s="1214" t="s">
        <v>810</v>
      </c>
      <c r="E234" s="309" t="s">
        <v>468</v>
      </c>
      <c r="F234" s="346">
        <v>131.9</v>
      </c>
      <c r="G234" s="346">
        <v>131.9</v>
      </c>
      <c r="H234" s="346">
        <v>131.9</v>
      </c>
      <c r="I234" s="346">
        <v>131.9</v>
      </c>
      <c r="J234" s="346">
        <v>131.9</v>
      </c>
      <c r="K234" s="346">
        <v>131.9</v>
      </c>
      <c r="L234" s="346">
        <v>131.9</v>
      </c>
      <c r="M234" s="346">
        <v>131.9</v>
      </c>
      <c r="N234" s="346">
        <v>131.9</v>
      </c>
      <c r="O234" s="346">
        <v>131.9</v>
      </c>
      <c r="P234" s="346">
        <v>131.9</v>
      </c>
      <c r="Q234" s="346">
        <v>131.9</v>
      </c>
      <c r="R234" s="346">
        <v>131.9</v>
      </c>
      <c r="S234" s="346">
        <v>131.9</v>
      </c>
      <c r="T234" s="346">
        <v>131.9</v>
      </c>
      <c r="U234" s="346">
        <v>131.9</v>
      </c>
      <c r="V234" s="346">
        <v>131.9</v>
      </c>
      <c r="W234" s="346">
        <v>131.9</v>
      </c>
      <c r="X234" s="346">
        <v>131.9</v>
      </c>
      <c r="Y234" s="346">
        <v>131.9</v>
      </c>
      <c r="Z234" s="346">
        <v>131.9</v>
      </c>
      <c r="AA234" s="346">
        <v>131.9</v>
      </c>
      <c r="AB234" s="346">
        <v>131.9</v>
      </c>
      <c r="AC234" s="347">
        <v>131.9</v>
      </c>
    </row>
    <row r="235" spans="1:37" ht="24.6" customHeight="1" x14ac:dyDescent="0.3">
      <c r="A235" s="1057"/>
      <c r="B235" s="1217"/>
      <c r="C235" s="1217"/>
      <c r="D235" s="1170"/>
      <c r="E235" s="310" t="s">
        <v>475</v>
      </c>
      <c r="F235" s="339">
        <v>131.9</v>
      </c>
      <c r="G235" s="339">
        <v>131.9</v>
      </c>
      <c r="H235" s="339">
        <v>131.9</v>
      </c>
      <c r="I235" s="339">
        <v>131.9</v>
      </c>
      <c r="J235" s="339">
        <v>131.9</v>
      </c>
      <c r="K235" s="339">
        <v>131.9</v>
      </c>
      <c r="L235" s="339">
        <v>131.9</v>
      </c>
      <c r="M235" s="339">
        <v>131.9</v>
      </c>
      <c r="N235" s="339">
        <v>131.9</v>
      </c>
      <c r="O235" s="339">
        <v>131.9</v>
      </c>
      <c r="P235" s="339">
        <v>131.9</v>
      </c>
      <c r="Q235" s="339">
        <v>131.9</v>
      </c>
      <c r="R235" s="339">
        <v>131.9</v>
      </c>
      <c r="S235" s="339">
        <v>131.9</v>
      </c>
      <c r="T235" s="339">
        <v>131.9</v>
      </c>
      <c r="U235" s="339">
        <v>131.9</v>
      </c>
      <c r="V235" s="339">
        <v>131.9</v>
      </c>
      <c r="W235" s="339">
        <v>131.9</v>
      </c>
      <c r="X235" s="339">
        <v>131.9</v>
      </c>
      <c r="Y235" s="339">
        <v>131.9</v>
      </c>
      <c r="Z235" s="339">
        <v>131.9</v>
      </c>
      <c r="AA235" s="339">
        <v>131.9</v>
      </c>
      <c r="AB235" s="339">
        <v>131.9</v>
      </c>
      <c r="AC235" s="340">
        <v>131.9</v>
      </c>
    </row>
    <row r="236" spans="1:37" ht="24.6" customHeight="1" thickBot="1" x14ac:dyDescent="0.35">
      <c r="A236" s="1058"/>
      <c r="B236" s="1218"/>
      <c r="C236" s="1240"/>
      <c r="D236" s="1219"/>
      <c r="E236" s="311" t="s">
        <v>477</v>
      </c>
      <c r="F236" s="348">
        <v>131.9</v>
      </c>
      <c r="G236" s="348">
        <v>131.9</v>
      </c>
      <c r="H236" s="348">
        <v>131.9</v>
      </c>
      <c r="I236" s="348">
        <v>131.9</v>
      </c>
      <c r="J236" s="348">
        <v>131.9</v>
      </c>
      <c r="K236" s="348">
        <v>131.9</v>
      </c>
      <c r="L236" s="348">
        <v>131.9</v>
      </c>
      <c r="M236" s="348">
        <v>131.9</v>
      </c>
      <c r="N236" s="348">
        <v>131.9</v>
      </c>
      <c r="O236" s="348">
        <v>131.9</v>
      </c>
      <c r="P236" s="348">
        <v>131.9</v>
      </c>
      <c r="Q236" s="348">
        <v>131.9</v>
      </c>
      <c r="R236" s="348">
        <v>131.9</v>
      </c>
      <c r="S236" s="348">
        <v>131.9</v>
      </c>
      <c r="T236" s="348">
        <v>131.9</v>
      </c>
      <c r="U236" s="348">
        <v>131.9</v>
      </c>
      <c r="V236" s="348">
        <v>131.9</v>
      </c>
      <c r="W236" s="348">
        <v>131.9</v>
      </c>
      <c r="X236" s="348">
        <v>131.9</v>
      </c>
      <c r="Y236" s="348">
        <v>131.9</v>
      </c>
      <c r="Z236" s="348">
        <v>131.9</v>
      </c>
      <c r="AA236" s="348">
        <v>131.9</v>
      </c>
      <c r="AB236" s="348">
        <v>131.9</v>
      </c>
      <c r="AC236" s="349">
        <v>131.9</v>
      </c>
    </row>
    <row r="237" spans="1:37" ht="24.6" customHeight="1" x14ac:dyDescent="0.3">
      <c r="A237" s="1242" t="s">
        <v>814</v>
      </c>
      <c r="B237" s="1245" t="s">
        <v>189</v>
      </c>
      <c r="C237" s="1245" t="s">
        <v>815</v>
      </c>
      <c r="D237" s="1249" t="s">
        <v>810</v>
      </c>
      <c r="E237" s="471" t="s">
        <v>468</v>
      </c>
      <c r="F237" s="441">
        <v>219.8</v>
      </c>
      <c r="G237" s="441">
        <v>219.8</v>
      </c>
      <c r="H237" s="441">
        <v>219.8</v>
      </c>
      <c r="I237" s="441">
        <v>219.8</v>
      </c>
      <c r="J237" s="441">
        <v>219.8</v>
      </c>
      <c r="K237" s="441">
        <v>219.8</v>
      </c>
      <c r="L237" s="441">
        <v>219.8</v>
      </c>
      <c r="M237" s="441">
        <v>219.8</v>
      </c>
      <c r="N237" s="441">
        <v>219.8</v>
      </c>
      <c r="O237" s="441">
        <v>219.8</v>
      </c>
      <c r="P237" s="441">
        <v>219.8</v>
      </c>
      <c r="Q237" s="441">
        <v>219.8</v>
      </c>
      <c r="R237" s="441">
        <v>219.8</v>
      </c>
      <c r="S237" s="441">
        <v>219.8</v>
      </c>
      <c r="T237" s="441">
        <v>219.8</v>
      </c>
      <c r="U237" s="441">
        <v>219.8</v>
      </c>
      <c r="V237" s="441">
        <v>219.8</v>
      </c>
      <c r="W237" s="441">
        <v>219.8</v>
      </c>
      <c r="X237" s="441">
        <v>219.8</v>
      </c>
      <c r="Y237" s="441">
        <v>219.8</v>
      </c>
      <c r="Z237" s="441">
        <v>219.8</v>
      </c>
      <c r="AA237" s="441">
        <v>219.8</v>
      </c>
      <c r="AB237" s="441">
        <v>219.8</v>
      </c>
      <c r="AC237" s="442">
        <v>219.8</v>
      </c>
      <c r="AD237" s="470"/>
    </row>
    <row r="238" spans="1:37" ht="24.6" customHeight="1" x14ac:dyDescent="0.3">
      <c r="A238" s="1243"/>
      <c r="B238" s="1246"/>
      <c r="C238" s="1246"/>
      <c r="D238" s="1250"/>
      <c r="E238" s="472" t="s">
        <v>475</v>
      </c>
      <c r="F238" s="443">
        <v>219.8</v>
      </c>
      <c r="G238" s="443">
        <v>219.8</v>
      </c>
      <c r="H238" s="443">
        <v>219.8</v>
      </c>
      <c r="I238" s="443">
        <v>219.8</v>
      </c>
      <c r="J238" s="443">
        <v>219.8</v>
      </c>
      <c r="K238" s="443">
        <v>219.8</v>
      </c>
      <c r="L238" s="443">
        <v>219.8</v>
      </c>
      <c r="M238" s="443">
        <v>219.8</v>
      </c>
      <c r="N238" s="443">
        <v>219.8</v>
      </c>
      <c r="O238" s="443">
        <v>219.8</v>
      </c>
      <c r="P238" s="443">
        <v>219.8</v>
      </c>
      <c r="Q238" s="443">
        <v>219.8</v>
      </c>
      <c r="R238" s="443">
        <v>219.8</v>
      </c>
      <c r="S238" s="443">
        <v>219.8</v>
      </c>
      <c r="T238" s="443">
        <v>219.8</v>
      </c>
      <c r="U238" s="443">
        <v>219.8</v>
      </c>
      <c r="V238" s="443">
        <v>219.8</v>
      </c>
      <c r="W238" s="443">
        <v>219.8</v>
      </c>
      <c r="X238" s="443">
        <v>219.8</v>
      </c>
      <c r="Y238" s="443">
        <v>219.8</v>
      </c>
      <c r="Z238" s="443">
        <v>219.8</v>
      </c>
      <c r="AA238" s="443">
        <v>219.8</v>
      </c>
      <c r="AB238" s="443">
        <v>219.8</v>
      </c>
      <c r="AC238" s="444">
        <v>219.8</v>
      </c>
      <c r="AD238" s="470"/>
    </row>
    <row r="239" spans="1:37" ht="24.6" customHeight="1" thickBot="1" x14ac:dyDescent="0.35">
      <c r="A239" s="1244"/>
      <c r="B239" s="1247"/>
      <c r="C239" s="1248"/>
      <c r="D239" s="1251"/>
      <c r="E239" s="473" t="s">
        <v>477</v>
      </c>
      <c r="F239" s="445">
        <v>219.8</v>
      </c>
      <c r="G239" s="445">
        <v>219.8</v>
      </c>
      <c r="H239" s="445">
        <v>219.8</v>
      </c>
      <c r="I239" s="445">
        <v>219.8</v>
      </c>
      <c r="J239" s="445">
        <v>219.8</v>
      </c>
      <c r="K239" s="445">
        <v>219.8</v>
      </c>
      <c r="L239" s="445">
        <v>219.8</v>
      </c>
      <c r="M239" s="445">
        <v>219.8</v>
      </c>
      <c r="N239" s="445">
        <v>219.8</v>
      </c>
      <c r="O239" s="445">
        <v>219.8</v>
      </c>
      <c r="P239" s="445">
        <v>219.8</v>
      </c>
      <c r="Q239" s="445">
        <v>219.8</v>
      </c>
      <c r="R239" s="445">
        <v>219.8</v>
      </c>
      <c r="S239" s="445">
        <v>219.8</v>
      </c>
      <c r="T239" s="445">
        <v>219.8</v>
      </c>
      <c r="U239" s="445">
        <v>219.8</v>
      </c>
      <c r="V239" s="445">
        <v>219.8</v>
      </c>
      <c r="W239" s="445">
        <v>219.8</v>
      </c>
      <c r="X239" s="445">
        <v>219.8</v>
      </c>
      <c r="Y239" s="445">
        <v>219.8</v>
      </c>
      <c r="Z239" s="445">
        <v>219.8</v>
      </c>
      <c r="AA239" s="445">
        <v>219.8</v>
      </c>
      <c r="AB239" s="445">
        <v>219.8</v>
      </c>
      <c r="AC239" s="446">
        <v>219.8</v>
      </c>
      <c r="AD239" s="470"/>
    </row>
    <row r="240" spans="1:37" ht="24.6" customHeight="1" x14ac:dyDescent="0.3">
      <c r="A240" s="1200" t="s">
        <v>816</v>
      </c>
      <c r="B240" s="1089" t="s">
        <v>189</v>
      </c>
      <c r="C240" s="1089" t="s">
        <v>817</v>
      </c>
      <c r="D240" s="1214" t="s">
        <v>810</v>
      </c>
      <c r="E240" s="309" t="s">
        <v>468</v>
      </c>
      <c r="F240" s="346">
        <v>161.19999999999999</v>
      </c>
      <c r="G240" s="346">
        <v>161.19999999999999</v>
      </c>
      <c r="H240" s="346">
        <v>161.19999999999999</v>
      </c>
      <c r="I240" s="346">
        <v>161.19999999999999</v>
      </c>
      <c r="J240" s="346">
        <v>161.19999999999999</v>
      </c>
      <c r="K240" s="346">
        <v>161.19999999999999</v>
      </c>
      <c r="L240" s="346">
        <v>161.19999999999999</v>
      </c>
      <c r="M240" s="346">
        <v>161.19999999999999</v>
      </c>
      <c r="N240" s="346">
        <v>161.19999999999999</v>
      </c>
      <c r="O240" s="346">
        <v>161.19999999999999</v>
      </c>
      <c r="P240" s="346">
        <v>161.19999999999999</v>
      </c>
      <c r="Q240" s="346">
        <v>161.19999999999999</v>
      </c>
      <c r="R240" s="346">
        <v>161.19999999999999</v>
      </c>
      <c r="S240" s="346">
        <v>161.19999999999999</v>
      </c>
      <c r="T240" s="346">
        <v>161.19999999999999</v>
      </c>
      <c r="U240" s="346">
        <v>161.19999999999999</v>
      </c>
      <c r="V240" s="346">
        <v>161.19999999999999</v>
      </c>
      <c r="W240" s="346">
        <v>161.19999999999999</v>
      </c>
      <c r="X240" s="346">
        <v>161.19999999999999</v>
      </c>
      <c r="Y240" s="346">
        <v>161.19999999999999</v>
      </c>
      <c r="Z240" s="346">
        <v>161.19999999999999</v>
      </c>
      <c r="AA240" s="346">
        <v>161.19999999999999</v>
      </c>
      <c r="AB240" s="346">
        <v>161.19999999999999</v>
      </c>
      <c r="AC240" s="347">
        <v>161.19999999999999</v>
      </c>
    </row>
    <row r="241" spans="1:29" ht="24.6" customHeight="1" x14ac:dyDescent="0.3">
      <c r="A241" s="1103"/>
      <c r="B241" s="1217"/>
      <c r="C241" s="1217"/>
      <c r="D241" s="1170"/>
      <c r="E241" s="310" t="s">
        <v>475</v>
      </c>
      <c r="F241" s="339">
        <v>161.19999999999999</v>
      </c>
      <c r="G241" s="339">
        <v>161.19999999999999</v>
      </c>
      <c r="H241" s="339">
        <v>161.19999999999999</v>
      </c>
      <c r="I241" s="339">
        <v>161.19999999999999</v>
      </c>
      <c r="J241" s="339">
        <v>161.19999999999999</v>
      </c>
      <c r="K241" s="339">
        <v>161.19999999999999</v>
      </c>
      <c r="L241" s="339">
        <v>161.19999999999999</v>
      </c>
      <c r="M241" s="339">
        <v>161.19999999999999</v>
      </c>
      <c r="N241" s="339">
        <v>161.19999999999999</v>
      </c>
      <c r="O241" s="339">
        <v>161.19999999999999</v>
      </c>
      <c r="P241" s="339">
        <v>161.19999999999999</v>
      </c>
      <c r="Q241" s="339">
        <v>161.19999999999999</v>
      </c>
      <c r="R241" s="339">
        <v>161.19999999999999</v>
      </c>
      <c r="S241" s="339">
        <v>161.19999999999999</v>
      </c>
      <c r="T241" s="339">
        <v>161.19999999999999</v>
      </c>
      <c r="U241" s="339">
        <v>161.19999999999999</v>
      </c>
      <c r="V241" s="339">
        <v>161.19999999999999</v>
      </c>
      <c r="W241" s="339">
        <v>161.19999999999999</v>
      </c>
      <c r="X241" s="339">
        <v>161.19999999999999</v>
      </c>
      <c r="Y241" s="339">
        <v>161.19999999999999</v>
      </c>
      <c r="Z241" s="339">
        <v>161.19999999999999</v>
      </c>
      <c r="AA241" s="339">
        <v>161.19999999999999</v>
      </c>
      <c r="AB241" s="339">
        <v>161.19999999999999</v>
      </c>
      <c r="AC241" s="340">
        <v>161.19999999999999</v>
      </c>
    </row>
    <row r="242" spans="1:29" ht="24.6" customHeight="1" thickBot="1" x14ac:dyDescent="0.35">
      <c r="A242" s="1241"/>
      <c r="B242" s="1217"/>
      <c r="C242" s="1217"/>
      <c r="D242" s="1171"/>
      <c r="E242" s="324" t="s">
        <v>477</v>
      </c>
      <c r="F242" s="341">
        <v>161.19999999999999</v>
      </c>
      <c r="G242" s="341">
        <v>161.19999999999999</v>
      </c>
      <c r="H242" s="341">
        <v>161.19999999999999</v>
      </c>
      <c r="I242" s="341">
        <v>161.19999999999999</v>
      </c>
      <c r="J242" s="341">
        <v>161.19999999999999</v>
      </c>
      <c r="K242" s="341">
        <v>161.19999999999999</v>
      </c>
      <c r="L242" s="341">
        <v>161.19999999999999</v>
      </c>
      <c r="M242" s="341">
        <v>161.19999999999999</v>
      </c>
      <c r="N242" s="341">
        <v>161.19999999999999</v>
      </c>
      <c r="O242" s="341">
        <v>161.19999999999999</v>
      </c>
      <c r="P242" s="341">
        <v>161.19999999999999</v>
      </c>
      <c r="Q242" s="341">
        <v>161.19999999999999</v>
      </c>
      <c r="R242" s="341">
        <v>161.19999999999999</v>
      </c>
      <c r="S242" s="341">
        <v>161.19999999999999</v>
      </c>
      <c r="T242" s="341">
        <v>161.19999999999999</v>
      </c>
      <c r="U242" s="341">
        <v>161.19999999999999</v>
      </c>
      <c r="V242" s="341">
        <v>161.19999999999999</v>
      </c>
      <c r="W242" s="341">
        <v>161.19999999999999</v>
      </c>
      <c r="X242" s="341">
        <v>161.19999999999999</v>
      </c>
      <c r="Y242" s="341">
        <v>161.19999999999999</v>
      </c>
      <c r="Z242" s="341">
        <v>161.19999999999999</v>
      </c>
      <c r="AA242" s="341">
        <v>161.19999999999999</v>
      </c>
      <c r="AB242" s="341">
        <v>161.19999999999999</v>
      </c>
      <c r="AC242" s="342">
        <v>161.19999999999999</v>
      </c>
    </row>
    <row r="243" spans="1:29" ht="24.6" customHeight="1" x14ac:dyDescent="0.3">
      <c r="A243" s="1068" t="s">
        <v>782</v>
      </c>
      <c r="B243" s="1059" t="s">
        <v>189</v>
      </c>
      <c r="C243" s="1059" t="s">
        <v>818</v>
      </c>
      <c r="D243" s="1169" t="s">
        <v>810</v>
      </c>
      <c r="E243" s="370" t="s">
        <v>468</v>
      </c>
      <c r="F243" s="482">
        <v>131.9</v>
      </c>
      <c r="G243" s="482">
        <v>131.9</v>
      </c>
      <c r="H243" s="482">
        <v>131.9</v>
      </c>
      <c r="I243" s="482">
        <v>131.9</v>
      </c>
      <c r="J243" s="482">
        <v>131.9</v>
      </c>
      <c r="K243" s="482">
        <v>131.9</v>
      </c>
      <c r="L243" s="482">
        <v>131.9</v>
      </c>
      <c r="M243" s="482">
        <v>131.9</v>
      </c>
      <c r="N243" s="482">
        <v>131.9</v>
      </c>
      <c r="O243" s="482">
        <v>131.9</v>
      </c>
      <c r="P243" s="482">
        <v>131.9</v>
      </c>
      <c r="Q243" s="482">
        <v>131.9</v>
      </c>
      <c r="R243" s="482">
        <v>131.9</v>
      </c>
      <c r="S243" s="482">
        <v>131.9</v>
      </c>
      <c r="T243" s="482">
        <v>131.9</v>
      </c>
      <c r="U243" s="482">
        <v>131.9</v>
      </c>
      <c r="V243" s="482">
        <v>131.9</v>
      </c>
      <c r="W243" s="482">
        <v>131.9</v>
      </c>
      <c r="X243" s="482">
        <v>131.9</v>
      </c>
      <c r="Y243" s="482">
        <v>131.9</v>
      </c>
      <c r="Z243" s="482">
        <v>131.9</v>
      </c>
      <c r="AA243" s="482">
        <v>131.9</v>
      </c>
      <c r="AB243" s="482">
        <v>131.9</v>
      </c>
      <c r="AC243" s="483">
        <v>131.9</v>
      </c>
    </row>
    <row r="244" spans="1:29" ht="24.6" customHeight="1" x14ac:dyDescent="0.3">
      <c r="A244" s="1057"/>
      <c r="B244" s="1217"/>
      <c r="C244" s="1217"/>
      <c r="D244" s="1170"/>
      <c r="E244" s="310" t="s">
        <v>475</v>
      </c>
      <c r="F244" s="339">
        <v>131.9</v>
      </c>
      <c r="G244" s="339">
        <v>131.9</v>
      </c>
      <c r="H244" s="339">
        <v>131.9</v>
      </c>
      <c r="I244" s="339">
        <v>131.9</v>
      </c>
      <c r="J244" s="339">
        <v>131.9</v>
      </c>
      <c r="K244" s="339">
        <v>131.9</v>
      </c>
      <c r="L244" s="339">
        <v>131.9</v>
      </c>
      <c r="M244" s="339">
        <v>131.9</v>
      </c>
      <c r="N244" s="339">
        <v>131.9</v>
      </c>
      <c r="O244" s="339">
        <v>131.9</v>
      </c>
      <c r="P244" s="339">
        <v>131.9</v>
      </c>
      <c r="Q244" s="339">
        <v>131.9</v>
      </c>
      <c r="R244" s="339">
        <v>131.9</v>
      </c>
      <c r="S244" s="339">
        <v>131.9</v>
      </c>
      <c r="T244" s="339">
        <v>131.9</v>
      </c>
      <c r="U244" s="339">
        <v>131.9</v>
      </c>
      <c r="V244" s="339">
        <v>131.9</v>
      </c>
      <c r="W244" s="339">
        <v>131.9</v>
      </c>
      <c r="X244" s="339">
        <v>131.9</v>
      </c>
      <c r="Y244" s="339">
        <v>131.9</v>
      </c>
      <c r="Z244" s="339">
        <v>131.9</v>
      </c>
      <c r="AA244" s="339">
        <v>131.9</v>
      </c>
      <c r="AB244" s="339">
        <v>131.9</v>
      </c>
      <c r="AC244" s="465">
        <v>131.9</v>
      </c>
    </row>
    <row r="245" spans="1:29" ht="24.6" customHeight="1" thickBot="1" x14ac:dyDescent="0.35">
      <c r="A245" s="1058"/>
      <c r="B245" s="1240"/>
      <c r="C245" s="1240"/>
      <c r="D245" s="1186"/>
      <c r="E245" s="374" t="s">
        <v>477</v>
      </c>
      <c r="F245" s="467">
        <v>131.9</v>
      </c>
      <c r="G245" s="467">
        <v>131.9</v>
      </c>
      <c r="H245" s="467">
        <v>131.9</v>
      </c>
      <c r="I245" s="467">
        <v>131.9</v>
      </c>
      <c r="J245" s="467">
        <v>131.9</v>
      </c>
      <c r="K245" s="467">
        <v>131.9</v>
      </c>
      <c r="L245" s="467">
        <v>131.9</v>
      </c>
      <c r="M245" s="467">
        <v>131.9</v>
      </c>
      <c r="N245" s="467">
        <v>131.9</v>
      </c>
      <c r="O245" s="467">
        <v>131.9</v>
      </c>
      <c r="P245" s="467">
        <v>131.9</v>
      </c>
      <c r="Q245" s="467">
        <v>131.9</v>
      </c>
      <c r="R245" s="467">
        <v>131.9</v>
      </c>
      <c r="S245" s="467">
        <v>131.9</v>
      </c>
      <c r="T245" s="467">
        <v>131.9</v>
      </c>
      <c r="U245" s="467">
        <v>131.9</v>
      </c>
      <c r="V245" s="467">
        <v>131.9</v>
      </c>
      <c r="W245" s="467">
        <v>131.9</v>
      </c>
      <c r="X245" s="467">
        <v>131.9</v>
      </c>
      <c r="Y245" s="467">
        <v>131.9</v>
      </c>
      <c r="Z245" s="467">
        <v>131.9</v>
      </c>
      <c r="AA245" s="467">
        <v>131.9</v>
      </c>
      <c r="AB245" s="467">
        <v>131.9</v>
      </c>
      <c r="AC245" s="468">
        <v>131.9</v>
      </c>
    </row>
    <row r="246" spans="1:29" ht="24.6" customHeight="1" thickBot="1" x14ac:dyDescent="0.35">
      <c r="A246" s="1295" t="s">
        <v>207</v>
      </c>
      <c r="B246" s="1296"/>
      <c r="C246" s="1296"/>
      <c r="D246" s="1296"/>
      <c r="E246" s="1296"/>
      <c r="F246" s="1296"/>
      <c r="G246" s="1296"/>
      <c r="H246" s="1296"/>
      <c r="I246" s="1296"/>
      <c r="J246" s="1296"/>
      <c r="K246" s="1296"/>
      <c r="L246" s="1296"/>
      <c r="M246" s="1296"/>
      <c r="N246" s="1296"/>
      <c r="O246" s="1296"/>
      <c r="P246" s="1296"/>
      <c r="Q246" s="1296"/>
      <c r="R246" s="1296"/>
      <c r="S246" s="1296"/>
      <c r="T246" s="1296"/>
      <c r="U246" s="1296"/>
      <c r="V246" s="1296"/>
      <c r="W246" s="1296"/>
      <c r="X246" s="1296"/>
      <c r="Y246" s="1296"/>
      <c r="Z246" s="1296"/>
      <c r="AA246" s="1296"/>
      <c r="AB246" s="1296"/>
      <c r="AC246" s="1296"/>
    </row>
    <row r="247" spans="1:29" ht="24.6" customHeight="1" x14ac:dyDescent="0.3">
      <c r="A247" s="1297" t="s">
        <v>1134</v>
      </c>
      <c r="B247" s="1300" t="s">
        <v>207</v>
      </c>
      <c r="C247" s="1300" t="s">
        <v>761</v>
      </c>
      <c r="D247" s="1303" t="s">
        <v>773</v>
      </c>
      <c r="E247" s="1279" t="s">
        <v>468</v>
      </c>
      <c r="F247" s="1280">
        <v>0</v>
      </c>
      <c r="G247" s="1280">
        <v>0</v>
      </c>
      <c r="H247" s="1280">
        <v>0</v>
      </c>
      <c r="I247" s="1280">
        <v>0</v>
      </c>
      <c r="J247" s="1280">
        <v>0</v>
      </c>
      <c r="K247" s="1280">
        <v>0</v>
      </c>
      <c r="L247" s="1280">
        <v>0</v>
      </c>
      <c r="M247" s="1280">
        <v>0</v>
      </c>
      <c r="N247" s="1280">
        <v>0.2</v>
      </c>
      <c r="O247" s="1280">
        <v>0.2</v>
      </c>
      <c r="P247" s="1280">
        <v>0.2</v>
      </c>
      <c r="Q247" s="1280">
        <v>0.8</v>
      </c>
      <c r="R247" s="1280">
        <v>0.8</v>
      </c>
      <c r="S247" s="1280">
        <v>0.8</v>
      </c>
      <c r="T247" s="1280">
        <v>0.8</v>
      </c>
      <c r="U247" s="1280">
        <v>0.8</v>
      </c>
      <c r="V247" s="1280">
        <v>0.8</v>
      </c>
      <c r="W247" s="1280">
        <v>0.8</v>
      </c>
      <c r="X247" s="1280">
        <v>0.2</v>
      </c>
      <c r="Y247" s="1280">
        <v>0.2</v>
      </c>
      <c r="Z247" s="1280">
        <v>0.2</v>
      </c>
      <c r="AA247" s="1280">
        <v>0.2</v>
      </c>
      <c r="AB247" s="1280">
        <v>0.1</v>
      </c>
      <c r="AC247" s="1281">
        <v>0</v>
      </c>
    </row>
    <row r="248" spans="1:29" ht="24.6" customHeight="1" x14ac:dyDescent="0.3">
      <c r="A248" s="1298"/>
      <c r="B248" s="1301"/>
      <c r="C248" s="1301"/>
      <c r="D248" s="1304"/>
      <c r="E248" s="1282" t="s">
        <v>475</v>
      </c>
      <c r="F248" s="1283">
        <v>0</v>
      </c>
      <c r="G248" s="1283">
        <v>0</v>
      </c>
      <c r="H248" s="1283">
        <v>0</v>
      </c>
      <c r="I248" s="1283">
        <v>0</v>
      </c>
      <c r="J248" s="1283">
        <v>0</v>
      </c>
      <c r="K248" s="1283">
        <v>0</v>
      </c>
      <c r="L248" s="1283">
        <v>0</v>
      </c>
      <c r="M248" s="1283">
        <v>0</v>
      </c>
      <c r="N248" s="1283">
        <v>0.2</v>
      </c>
      <c r="O248" s="1283">
        <v>0.2</v>
      </c>
      <c r="P248" s="1283">
        <v>0.2</v>
      </c>
      <c r="Q248" s="1283">
        <v>0.6</v>
      </c>
      <c r="R248" s="1283">
        <v>0.6</v>
      </c>
      <c r="S248" s="1283">
        <v>0.6</v>
      </c>
      <c r="T248" s="1283">
        <v>0.6</v>
      </c>
      <c r="U248" s="1283">
        <v>0.6</v>
      </c>
      <c r="V248" s="1283">
        <v>0.6</v>
      </c>
      <c r="W248" s="1283">
        <v>0.6</v>
      </c>
      <c r="X248" s="1283">
        <v>0.6</v>
      </c>
      <c r="Y248" s="1283">
        <v>0.6</v>
      </c>
      <c r="Z248" s="1283">
        <v>0.6</v>
      </c>
      <c r="AA248" s="1283">
        <v>0.8</v>
      </c>
      <c r="AB248" s="1283">
        <v>0.1</v>
      </c>
      <c r="AC248" s="1284">
        <v>0</v>
      </c>
    </row>
    <row r="249" spans="1:29" ht="24.6" customHeight="1" thickBot="1" x14ac:dyDescent="0.35">
      <c r="A249" s="1299"/>
      <c r="B249" s="1302"/>
      <c r="C249" s="1302"/>
      <c r="D249" s="1309"/>
      <c r="E249" s="1285" t="s">
        <v>477</v>
      </c>
      <c r="F249" s="1286">
        <v>0</v>
      </c>
      <c r="G249" s="1286">
        <v>0</v>
      </c>
      <c r="H249" s="1286">
        <v>0</v>
      </c>
      <c r="I249" s="1286">
        <v>0</v>
      </c>
      <c r="J249" s="1286">
        <v>0</v>
      </c>
      <c r="K249" s="1286">
        <v>0</v>
      </c>
      <c r="L249" s="1286">
        <v>0</v>
      </c>
      <c r="M249" s="1286">
        <v>0</v>
      </c>
      <c r="N249" s="1286">
        <v>0.1</v>
      </c>
      <c r="O249" s="1286">
        <v>0.1</v>
      </c>
      <c r="P249" s="1286">
        <v>0.1</v>
      </c>
      <c r="Q249" s="1286">
        <v>0.1</v>
      </c>
      <c r="R249" s="1286">
        <v>0.1</v>
      </c>
      <c r="S249" s="1286">
        <v>0.7</v>
      </c>
      <c r="T249" s="1286">
        <v>0.7</v>
      </c>
      <c r="U249" s="1286">
        <v>0.7</v>
      </c>
      <c r="V249" s="1286">
        <v>0.7</v>
      </c>
      <c r="W249" s="1286">
        <v>0.7</v>
      </c>
      <c r="X249" s="1286">
        <v>0.7</v>
      </c>
      <c r="Y249" s="1286">
        <v>0.7</v>
      </c>
      <c r="Z249" s="1286">
        <v>0.7</v>
      </c>
      <c r="AA249" s="1286">
        <v>0.7</v>
      </c>
      <c r="AB249" s="1286">
        <v>0.2</v>
      </c>
      <c r="AC249" s="1287">
        <v>0</v>
      </c>
    </row>
    <row r="250" spans="1:29" ht="24.6" customHeight="1" x14ac:dyDescent="0.3">
      <c r="A250" s="1298" t="s">
        <v>1134</v>
      </c>
      <c r="B250" s="1306" t="s">
        <v>207</v>
      </c>
      <c r="C250" s="1301" t="s">
        <v>763</v>
      </c>
      <c r="D250" s="1304" t="s">
        <v>773</v>
      </c>
      <c r="E250" s="1288" t="s">
        <v>468</v>
      </c>
      <c r="F250" s="1289">
        <v>0.05</v>
      </c>
      <c r="G250" s="1289">
        <v>0.05</v>
      </c>
      <c r="H250" s="1289">
        <v>0.05</v>
      </c>
      <c r="I250" s="1289">
        <v>0.05</v>
      </c>
      <c r="J250" s="1289">
        <v>0.05</v>
      </c>
      <c r="K250" s="1289">
        <v>0.05</v>
      </c>
      <c r="L250" s="1289">
        <v>0.35</v>
      </c>
      <c r="M250" s="1289">
        <v>0.35</v>
      </c>
      <c r="N250" s="1289">
        <v>0.35</v>
      </c>
      <c r="O250" s="1289">
        <v>0.65</v>
      </c>
      <c r="P250" s="1289">
        <v>0.65</v>
      </c>
      <c r="Q250" s="1289">
        <v>0.65</v>
      </c>
      <c r="R250" s="1289">
        <v>0.65</v>
      </c>
      <c r="S250" s="1289">
        <v>0.65</v>
      </c>
      <c r="T250" s="1289">
        <v>0.65</v>
      </c>
      <c r="U250" s="1289">
        <v>0.65</v>
      </c>
      <c r="V250" s="1289">
        <v>0.65</v>
      </c>
      <c r="W250" s="1289">
        <v>0.65</v>
      </c>
      <c r="X250" s="1289">
        <v>0.65</v>
      </c>
      <c r="Y250" s="1289">
        <v>0.65</v>
      </c>
      <c r="Z250" s="1289">
        <v>0.65</v>
      </c>
      <c r="AA250" s="1289">
        <v>0.65</v>
      </c>
      <c r="AB250" s="1289">
        <v>0.25</v>
      </c>
      <c r="AC250" s="1290">
        <v>0.05</v>
      </c>
    </row>
    <row r="251" spans="1:29" ht="24.6" customHeight="1" x14ac:dyDescent="0.3">
      <c r="A251" s="1298"/>
      <c r="B251" s="1306"/>
      <c r="C251" s="1301"/>
      <c r="D251" s="1304"/>
      <c r="E251" s="1282" t="s">
        <v>475</v>
      </c>
      <c r="F251" s="1283">
        <v>0.05</v>
      </c>
      <c r="G251" s="1283">
        <v>0.05</v>
      </c>
      <c r="H251" s="1283">
        <v>0.05</v>
      </c>
      <c r="I251" s="1283">
        <v>0.05</v>
      </c>
      <c r="J251" s="1283">
        <v>0.05</v>
      </c>
      <c r="K251" s="1283">
        <v>0.05</v>
      </c>
      <c r="L251" s="1283">
        <v>0.05</v>
      </c>
      <c r="M251" s="1283">
        <v>0.3</v>
      </c>
      <c r="N251" s="1283">
        <v>0.3</v>
      </c>
      <c r="O251" s="1283">
        <v>0.4</v>
      </c>
      <c r="P251" s="1283">
        <v>0.4</v>
      </c>
      <c r="Q251" s="1283">
        <v>0.4</v>
      </c>
      <c r="R251" s="1283">
        <v>0.4</v>
      </c>
      <c r="S251" s="1283">
        <v>0.4</v>
      </c>
      <c r="T251" s="1283">
        <v>0.4</v>
      </c>
      <c r="U251" s="1283">
        <v>0.4</v>
      </c>
      <c r="V251" s="1283">
        <v>0.4</v>
      </c>
      <c r="W251" s="1283">
        <v>0.4</v>
      </c>
      <c r="X251" s="1283">
        <v>0.4</v>
      </c>
      <c r="Y251" s="1283">
        <v>0.4</v>
      </c>
      <c r="Z251" s="1283">
        <v>0.4</v>
      </c>
      <c r="AA251" s="1283">
        <v>0.4</v>
      </c>
      <c r="AB251" s="1283">
        <v>0.4</v>
      </c>
      <c r="AC251" s="1291">
        <v>0.05</v>
      </c>
    </row>
    <row r="252" spans="1:29" ht="24.6" customHeight="1" thickBot="1" x14ac:dyDescent="0.35">
      <c r="A252" s="1298"/>
      <c r="B252" s="1306"/>
      <c r="C252" s="1301"/>
      <c r="D252" s="1304"/>
      <c r="E252" s="1292" t="s">
        <v>477</v>
      </c>
      <c r="F252" s="1293">
        <v>0.05</v>
      </c>
      <c r="G252" s="1293">
        <v>0.05</v>
      </c>
      <c r="H252" s="1293">
        <v>0.05</v>
      </c>
      <c r="I252" s="1293">
        <v>0.05</v>
      </c>
      <c r="J252" s="1293">
        <v>0.05</v>
      </c>
      <c r="K252" s="1293">
        <v>0.05</v>
      </c>
      <c r="L252" s="1293">
        <v>0.05</v>
      </c>
      <c r="M252" s="1293">
        <v>0.3</v>
      </c>
      <c r="N252" s="1293">
        <v>0.3</v>
      </c>
      <c r="O252" s="1293">
        <v>0.3</v>
      </c>
      <c r="P252" s="1293">
        <v>0.3</v>
      </c>
      <c r="Q252" s="1293">
        <v>0.3</v>
      </c>
      <c r="R252" s="1293">
        <v>0.55000000000000004</v>
      </c>
      <c r="S252" s="1293">
        <v>0.55000000000000004</v>
      </c>
      <c r="T252" s="1293">
        <v>0.55000000000000004</v>
      </c>
      <c r="U252" s="1293">
        <v>0.55000000000000004</v>
      </c>
      <c r="V252" s="1293">
        <v>0.55000000000000004</v>
      </c>
      <c r="W252" s="1293">
        <v>0.55000000000000004</v>
      </c>
      <c r="X252" s="1293">
        <v>0.55000000000000004</v>
      </c>
      <c r="Y252" s="1293">
        <v>0.55000000000000004</v>
      </c>
      <c r="Z252" s="1293">
        <v>0.55000000000000004</v>
      </c>
      <c r="AA252" s="1293">
        <v>0.55000000000000004</v>
      </c>
      <c r="AB252" s="1293">
        <v>0.05</v>
      </c>
      <c r="AC252" s="1294">
        <v>0.05</v>
      </c>
    </row>
    <row r="253" spans="1:29" ht="24.6" customHeight="1" x14ac:dyDescent="0.3">
      <c r="A253" s="1297" t="s">
        <v>1134</v>
      </c>
      <c r="B253" s="1305" t="s">
        <v>207</v>
      </c>
      <c r="C253" s="1310" t="s">
        <v>765</v>
      </c>
      <c r="D253" s="1303" t="s">
        <v>773</v>
      </c>
      <c r="E253" s="1279" t="s">
        <v>468</v>
      </c>
      <c r="F253" s="1280">
        <v>0.05</v>
      </c>
      <c r="G253" s="1280">
        <v>0.05</v>
      </c>
      <c r="H253" s="1280">
        <v>0.05</v>
      </c>
      <c r="I253" s="1280">
        <v>0.05</v>
      </c>
      <c r="J253" s="1280">
        <v>0.05</v>
      </c>
      <c r="K253" s="1280">
        <v>0.05</v>
      </c>
      <c r="L253" s="1280">
        <v>0.4</v>
      </c>
      <c r="M253" s="1280">
        <v>0.4</v>
      </c>
      <c r="N253" s="1280">
        <v>0.4</v>
      </c>
      <c r="O253" s="1280">
        <v>0.75</v>
      </c>
      <c r="P253" s="1280">
        <v>0.75</v>
      </c>
      <c r="Q253" s="1280">
        <v>0.75</v>
      </c>
      <c r="R253" s="1280">
        <v>0.75</v>
      </c>
      <c r="S253" s="1280">
        <v>0.75</v>
      </c>
      <c r="T253" s="1280">
        <v>0.75</v>
      </c>
      <c r="U253" s="1280">
        <v>0.75</v>
      </c>
      <c r="V253" s="1280">
        <v>0.75</v>
      </c>
      <c r="W253" s="1280">
        <v>0.75</v>
      </c>
      <c r="X253" s="1280">
        <v>0.75</v>
      </c>
      <c r="Y253" s="1280">
        <v>0.75</v>
      </c>
      <c r="Z253" s="1280">
        <v>0.75</v>
      </c>
      <c r="AA253" s="1280">
        <v>0.75</v>
      </c>
      <c r="AB253" s="1280">
        <v>0.25</v>
      </c>
      <c r="AC253" s="1281">
        <v>0.05</v>
      </c>
    </row>
    <row r="254" spans="1:29" ht="24.6" customHeight="1" x14ac:dyDescent="0.3">
      <c r="A254" s="1298"/>
      <c r="B254" s="1306"/>
      <c r="C254" s="1307"/>
      <c r="D254" s="1304"/>
      <c r="E254" s="1282" t="s">
        <v>475</v>
      </c>
      <c r="F254" s="1283">
        <v>0.05</v>
      </c>
      <c r="G254" s="1283">
        <v>0.05</v>
      </c>
      <c r="H254" s="1283">
        <v>0.05</v>
      </c>
      <c r="I254" s="1283">
        <v>0.05</v>
      </c>
      <c r="J254" s="1283">
        <v>0.05</v>
      </c>
      <c r="K254" s="1283">
        <v>0.05</v>
      </c>
      <c r="L254" s="1283">
        <v>0.05</v>
      </c>
      <c r="M254" s="1283">
        <v>0.3</v>
      </c>
      <c r="N254" s="1283">
        <v>0.3</v>
      </c>
      <c r="O254" s="1283">
        <v>0.5</v>
      </c>
      <c r="P254" s="1283">
        <v>0.5</v>
      </c>
      <c r="Q254" s="1283">
        <v>0.5</v>
      </c>
      <c r="R254" s="1283">
        <v>0.5</v>
      </c>
      <c r="S254" s="1283">
        <v>0.5</v>
      </c>
      <c r="T254" s="1283">
        <v>0.5</v>
      </c>
      <c r="U254" s="1283">
        <v>0.5</v>
      </c>
      <c r="V254" s="1283">
        <v>0.5</v>
      </c>
      <c r="W254" s="1283">
        <v>0.5</v>
      </c>
      <c r="X254" s="1283">
        <v>0.5</v>
      </c>
      <c r="Y254" s="1283">
        <v>0.5</v>
      </c>
      <c r="Z254" s="1283">
        <v>0.5</v>
      </c>
      <c r="AA254" s="1283">
        <v>0.5</v>
      </c>
      <c r="AB254" s="1283">
        <v>0.5</v>
      </c>
      <c r="AC254" s="1284">
        <v>0.05</v>
      </c>
    </row>
    <row r="255" spans="1:29" ht="24.6" customHeight="1" thickBot="1" x14ac:dyDescent="0.35">
      <c r="A255" s="1299"/>
      <c r="B255" s="1308"/>
      <c r="C255" s="1311"/>
      <c r="D255" s="1309"/>
      <c r="E255" s="1285" t="s">
        <v>477</v>
      </c>
      <c r="F255" s="1286">
        <v>0.05</v>
      </c>
      <c r="G255" s="1286">
        <v>0.05</v>
      </c>
      <c r="H255" s="1286">
        <v>0.05</v>
      </c>
      <c r="I255" s="1286">
        <v>0.05</v>
      </c>
      <c r="J255" s="1286">
        <v>0.05</v>
      </c>
      <c r="K255" s="1286">
        <v>0.05</v>
      </c>
      <c r="L255" s="1286">
        <v>0.05</v>
      </c>
      <c r="M255" s="1286">
        <v>0.3</v>
      </c>
      <c r="N255" s="1286">
        <v>0.3</v>
      </c>
      <c r="O255" s="1286">
        <v>0.3</v>
      </c>
      <c r="P255" s="1286">
        <v>0.3</v>
      </c>
      <c r="Q255" s="1286">
        <v>0.3</v>
      </c>
      <c r="R255" s="1286">
        <v>0.65</v>
      </c>
      <c r="S255" s="1286">
        <v>0.65</v>
      </c>
      <c r="T255" s="1286">
        <v>0.65</v>
      </c>
      <c r="U255" s="1286">
        <v>0.65</v>
      </c>
      <c r="V255" s="1286">
        <v>0.65</v>
      </c>
      <c r="W255" s="1286">
        <v>0.65</v>
      </c>
      <c r="X255" s="1286">
        <v>0.65</v>
      </c>
      <c r="Y255" s="1286">
        <v>0.65</v>
      </c>
      <c r="Z255" s="1286">
        <v>0.65</v>
      </c>
      <c r="AA255" s="1286">
        <v>0.65</v>
      </c>
      <c r="AB255" s="1286">
        <v>0.05</v>
      </c>
      <c r="AC255" s="1287">
        <v>0.05</v>
      </c>
    </row>
    <row r="256" spans="1:29" ht="24.6" customHeight="1" x14ac:dyDescent="0.3">
      <c r="A256" s="1298" t="s">
        <v>1134</v>
      </c>
      <c r="B256" s="1306" t="s">
        <v>207</v>
      </c>
      <c r="C256" s="1307" t="s">
        <v>766</v>
      </c>
      <c r="D256" s="1304" t="s">
        <v>773</v>
      </c>
      <c r="E256" s="1288" t="s">
        <v>468</v>
      </c>
      <c r="F256" s="1289">
        <v>0</v>
      </c>
      <c r="G256" s="1289">
        <v>0</v>
      </c>
      <c r="H256" s="1289">
        <v>0</v>
      </c>
      <c r="I256" s="1289">
        <v>0</v>
      </c>
      <c r="J256" s="1289">
        <v>0</v>
      </c>
      <c r="K256" s="1289">
        <v>0</v>
      </c>
      <c r="L256" s="1289">
        <v>0</v>
      </c>
      <c r="M256" s="1289">
        <v>1</v>
      </c>
      <c r="N256" s="1289">
        <v>1</v>
      </c>
      <c r="O256" s="1289">
        <v>1</v>
      </c>
      <c r="P256" s="1289">
        <v>1</v>
      </c>
      <c r="Q256" s="1289">
        <v>1</v>
      </c>
      <c r="R256" s="1289">
        <v>1</v>
      </c>
      <c r="S256" s="1289">
        <v>1</v>
      </c>
      <c r="T256" s="1289">
        <v>1</v>
      </c>
      <c r="U256" s="1289">
        <v>1</v>
      </c>
      <c r="V256" s="1289">
        <v>1</v>
      </c>
      <c r="W256" s="1289">
        <v>1</v>
      </c>
      <c r="X256" s="1289">
        <v>1</v>
      </c>
      <c r="Y256" s="1289">
        <v>1</v>
      </c>
      <c r="Z256" s="1289">
        <v>1</v>
      </c>
      <c r="AA256" s="1289">
        <v>1</v>
      </c>
      <c r="AB256" s="1289">
        <v>1</v>
      </c>
      <c r="AC256" s="1290">
        <v>0</v>
      </c>
    </row>
    <row r="257" spans="1:29" ht="24.6" customHeight="1" x14ac:dyDescent="0.3">
      <c r="A257" s="1298"/>
      <c r="B257" s="1306"/>
      <c r="C257" s="1307"/>
      <c r="D257" s="1304"/>
      <c r="E257" s="1282" t="s">
        <v>475</v>
      </c>
      <c r="F257" s="1283">
        <v>0</v>
      </c>
      <c r="G257" s="1283">
        <v>0</v>
      </c>
      <c r="H257" s="1283">
        <v>0</v>
      </c>
      <c r="I257" s="1283">
        <v>0</v>
      </c>
      <c r="J257" s="1283">
        <v>0</v>
      </c>
      <c r="K257" s="1283">
        <v>0</v>
      </c>
      <c r="L257" s="1283">
        <v>0</v>
      </c>
      <c r="M257" s="1283">
        <v>1</v>
      </c>
      <c r="N257" s="1283">
        <v>1</v>
      </c>
      <c r="O257" s="1283">
        <v>1</v>
      </c>
      <c r="P257" s="1283">
        <v>1</v>
      </c>
      <c r="Q257" s="1283">
        <v>1</v>
      </c>
      <c r="R257" s="1283">
        <v>1</v>
      </c>
      <c r="S257" s="1283">
        <v>1</v>
      </c>
      <c r="T257" s="1283">
        <v>1</v>
      </c>
      <c r="U257" s="1283">
        <v>1</v>
      </c>
      <c r="V257" s="1283">
        <v>1</v>
      </c>
      <c r="W257" s="1283">
        <v>1</v>
      </c>
      <c r="X257" s="1283">
        <v>1</v>
      </c>
      <c r="Y257" s="1283">
        <v>1</v>
      </c>
      <c r="Z257" s="1283">
        <v>1</v>
      </c>
      <c r="AA257" s="1283">
        <v>1</v>
      </c>
      <c r="AB257" s="1283">
        <v>1</v>
      </c>
      <c r="AC257" s="1291">
        <v>0</v>
      </c>
    </row>
    <row r="258" spans="1:29" ht="24.6" customHeight="1" thickBot="1" x14ac:dyDescent="0.35">
      <c r="A258" s="1298"/>
      <c r="B258" s="1306"/>
      <c r="C258" s="1307"/>
      <c r="D258" s="1304"/>
      <c r="E258" s="1292" t="s">
        <v>477</v>
      </c>
      <c r="F258" s="1293">
        <v>0</v>
      </c>
      <c r="G258" s="1293">
        <v>0</v>
      </c>
      <c r="H258" s="1293">
        <v>0</v>
      </c>
      <c r="I258" s="1293">
        <v>0</v>
      </c>
      <c r="J258" s="1293">
        <v>0</v>
      </c>
      <c r="K258" s="1293">
        <v>0</v>
      </c>
      <c r="L258" s="1293">
        <v>0</v>
      </c>
      <c r="M258" s="1293">
        <v>1</v>
      </c>
      <c r="N258" s="1293">
        <v>1</v>
      </c>
      <c r="O258" s="1293">
        <v>1</v>
      </c>
      <c r="P258" s="1293">
        <v>1</v>
      </c>
      <c r="Q258" s="1293">
        <v>1</v>
      </c>
      <c r="R258" s="1293">
        <v>1</v>
      </c>
      <c r="S258" s="1293">
        <v>1</v>
      </c>
      <c r="T258" s="1293">
        <v>1</v>
      </c>
      <c r="U258" s="1293">
        <v>1</v>
      </c>
      <c r="V258" s="1293">
        <v>1</v>
      </c>
      <c r="W258" s="1293">
        <v>1</v>
      </c>
      <c r="X258" s="1293">
        <v>1</v>
      </c>
      <c r="Y258" s="1293">
        <v>1</v>
      </c>
      <c r="Z258" s="1293">
        <v>1</v>
      </c>
      <c r="AA258" s="1293">
        <v>1</v>
      </c>
      <c r="AB258" s="1293">
        <v>1</v>
      </c>
      <c r="AC258" s="1294">
        <v>0</v>
      </c>
    </row>
    <row r="259" spans="1:29" ht="24.6" customHeight="1" x14ac:dyDescent="0.3">
      <c r="A259" s="1297" t="s">
        <v>1134</v>
      </c>
      <c r="B259" s="1305" t="s">
        <v>207</v>
      </c>
      <c r="C259" s="1310" t="s">
        <v>768</v>
      </c>
      <c r="D259" s="1303" t="s">
        <v>773</v>
      </c>
      <c r="E259" s="1279" t="s">
        <v>468</v>
      </c>
      <c r="F259" s="1280">
        <v>0</v>
      </c>
      <c r="G259" s="1280">
        <v>0</v>
      </c>
      <c r="H259" s="1280">
        <v>0</v>
      </c>
      <c r="I259" s="1280">
        <v>0</v>
      </c>
      <c r="J259" s="1280">
        <v>0</v>
      </c>
      <c r="K259" s="1280">
        <v>0</v>
      </c>
      <c r="L259" s="1280">
        <v>0</v>
      </c>
      <c r="M259" s="1280">
        <v>0</v>
      </c>
      <c r="N259" s="1280">
        <v>0</v>
      </c>
      <c r="O259" s="1280">
        <v>0.05</v>
      </c>
      <c r="P259" s="1280">
        <v>0.05</v>
      </c>
      <c r="Q259" s="1280">
        <v>0.35</v>
      </c>
      <c r="R259" s="1280">
        <v>0.05</v>
      </c>
      <c r="S259" s="1280">
        <v>0.05</v>
      </c>
      <c r="T259" s="1280">
        <v>0.05</v>
      </c>
      <c r="U259" s="1280">
        <v>0.05</v>
      </c>
      <c r="V259" s="1280">
        <v>0.05</v>
      </c>
      <c r="W259" s="1280">
        <v>0</v>
      </c>
      <c r="X259" s="1280">
        <v>0</v>
      </c>
      <c r="Y259" s="1280">
        <v>0</v>
      </c>
      <c r="Z259" s="1280">
        <v>0</v>
      </c>
      <c r="AA259" s="1280">
        <v>0</v>
      </c>
      <c r="AB259" s="1280">
        <v>0</v>
      </c>
      <c r="AC259" s="1281">
        <v>0</v>
      </c>
    </row>
    <row r="260" spans="1:29" ht="24.6" customHeight="1" x14ac:dyDescent="0.3">
      <c r="A260" s="1298"/>
      <c r="B260" s="1306"/>
      <c r="C260" s="1307"/>
      <c r="D260" s="1304"/>
      <c r="E260" s="1282" t="s">
        <v>475</v>
      </c>
      <c r="F260" s="1283">
        <v>0</v>
      </c>
      <c r="G260" s="1283">
        <v>0</v>
      </c>
      <c r="H260" s="1283">
        <v>0</v>
      </c>
      <c r="I260" s="1283">
        <v>0</v>
      </c>
      <c r="J260" s="1283">
        <v>0</v>
      </c>
      <c r="K260" s="1283">
        <v>0</v>
      </c>
      <c r="L260" s="1283">
        <v>0</v>
      </c>
      <c r="M260" s="1283">
        <v>0</v>
      </c>
      <c r="N260" s="1283">
        <v>0</v>
      </c>
      <c r="O260" s="1283">
        <v>0.05</v>
      </c>
      <c r="P260" s="1283">
        <v>0.05</v>
      </c>
      <c r="Q260" s="1283">
        <v>0.2</v>
      </c>
      <c r="R260" s="1283">
        <v>0</v>
      </c>
      <c r="S260" s="1283">
        <v>0</v>
      </c>
      <c r="T260" s="1283">
        <v>0</v>
      </c>
      <c r="U260" s="1283">
        <v>0</v>
      </c>
      <c r="V260" s="1283">
        <v>0</v>
      </c>
      <c r="W260" s="1283">
        <v>0</v>
      </c>
      <c r="X260" s="1283">
        <v>0</v>
      </c>
      <c r="Y260" s="1283">
        <v>0.65</v>
      </c>
      <c r="Z260" s="1283">
        <v>0.3</v>
      </c>
      <c r="AA260" s="1283">
        <v>0</v>
      </c>
      <c r="AB260" s="1283">
        <v>0</v>
      </c>
      <c r="AC260" s="1284">
        <v>0</v>
      </c>
    </row>
    <row r="261" spans="1:29" ht="24.6" customHeight="1" thickBot="1" x14ac:dyDescent="0.35">
      <c r="A261" s="1299"/>
      <c r="B261" s="1308"/>
      <c r="C261" s="1311"/>
      <c r="D261" s="1309"/>
      <c r="E261" s="1285" t="s">
        <v>477</v>
      </c>
      <c r="F261" s="1286">
        <v>0</v>
      </c>
      <c r="G261" s="1286">
        <v>0</v>
      </c>
      <c r="H261" s="1286">
        <v>0</v>
      </c>
      <c r="I261" s="1286">
        <v>0</v>
      </c>
      <c r="J261" s="1286">
        <v>0</v>
      </c>
      <c r="K261" s="1286">
        <v>0</v>
      </c>
      <c r="L261" s="1286">
        <v>0</v>
      </c>
      <c r="M261" s="1286">
        <v>0</v>
      </c>
      <c r="N261" s="1286">
        <v>0</v>
      </c>
      <c r="O261" s="1286">
        <v>0.05</v>
      </c>
      <c r="P261" s="1286">
        <v>0.05</v>
      </c>
      <c r="Q261" s="1286">
        <v>0.1</v>
      </c>
      <c r="R261" s="1286">
        <v>0</v>
      </c>
      <c r="S261" s="1286">
        <v>0</v>
      </c>
      <c r="T261" s="1286">
        <v>0</v>
      </c>
      <c r="U261" s="1286">
        <v>0</v>
      </c>
      <c r="V261" s="1286">
        <v>0</v>
      </c>
      <c r="W261" s="1286">
        <v>0</v>
      </c>
      <c r="X261" s="1286">
        <v>0</v>
      </c>
      <c r="Y261" s="1286">
        <v>0.65</v>
      </c>
      <c r="Z261" s="1286">
        <v>0.3</v>
      </c>
      <c r="AA261" s="1286">
        <v>0</v>
      </c>
      <c r="AB261" s="1286">
        <v>0</v>
      </c>
      <c r="AC261" s="1287">
        <v>0</v>
      </c>
    </row>
    <row r="262" spans="1:29" ht="24.6" customHeight="1" x14ac:dyDescent="0.3">
      <c r="A262" s="1298" t="s">
        <v>1134</v>
      </c>
      <c r="B262" s="1306" t="s">
        <v>207</v>
      </c>
      <c r="C262" s="1307" t="s">
        <v>337</v>
      </c>
      <c r="D262" s="1304" t="s">
        <v>773</v>
      </c>
      <c r="E262" s="1288" t="s">
        <v>468</v>
      </c>
      <c r="F262" s="1289">
        <v>1</v>
      </c>
      <c r="G262" s="1289">
        <v>1</v>
      </c>
      <c r="H262" s="1289">
        <v>1</v>
      </c>
      <c r="I262" s="1289">
        <v>1</v>
      </c>
      <c r="J262" s="1289">
        <v>1</v>
      </c>
      <c r="K262" s="1289">
        <v>1</v>
      </c>
      <c r="L262" s="1289">
        <v>1</v>
      </c>
      <c r="M262" s="1289">
        <v>0.25</v>
      </c>
      <c r="N262" s="1289">
        <v>0.25</v>
      </c>
      <c r="O262" s="1289">
        <v>0.25</v>
      </c>
      <c r="P262" s="1289">
        <v>0.25</v>
      </c>
      <c r="Q262" s="1289">
        <v>0.25</v>
      </c>
      <c r="R262" s="1289">
        <v>0.25</v>
      </c>
      <c r="S262" s="1289">
        <v>0.25</v>
      </c>
      <c r="T262" s="1289">
        <v>0.25</v>
      </c>
      <c r="U262" s="1289">
        <v>0.25</v>
      </c>
      <c r="V262" s="1289">
        <v>0.25</v>
      </c>
      <c r="W262" s="1289">
        <v>0.25</v>
      </c>
      <c r="X262" s="1289">
        <v>0.25</v>
      </c>
      <c r="Y262" s="1289">
        <v>0.25</v>
      </c>
      <c r="Z262" s="1289">
        <v>0.25</v>
      </c>
      <c r="AA262" s="1289">
        <v>0.25</v>
      </c>
      <c r="AB262" s="1289">
        <v>0.25</v>
      </c>
      <c r="AC262" s="1290">
        <v>1</v>
      </c>
    </row>
    <row r="263" spans="1:29" ht="24.6" customHeight="1" x14ac:dyDescent="0.3">
      <c r="A263" s="1298"/>
      <c r="B263" s="1306"/>
      <c r="C263" s="1307"/>
      <c r="D263" s="1304"/>
      <c r="E263" s="1282" t="s">
        <v>475</v>
      </c>
      <c r="F263" s="1283">
        <v>1</v>
      </c>
      <c r="G263" s="1283">
        <v>1</v>
      </c>
      <c r="H263" s="1283">
        <v>1</v>
      </c>
      <c r="I263" s="1283">
        <v>1</v>
      </c>
      <c r="J263" s="1283">
        <v>1</v>
      </c>
      <c r="K263" s="1283">
        <v>1</v>
      </c>
      <c r="L263" s="1283">
        <v>1</v>
      </c>
      <c r="M263" s="1283">
        <v>0.25</v>
      </c>
      <c r="N263" s="1283">
        <v>0.25</v>
      </c>
      <c r="O263" s="1283">
        <v>0.25</v>
      </c>
      <c r="P263" s="1283">
        <v>0.25</v>
      </c>
      <c r="Q263" s="1283">
        <v>0.25</v>
      </c>
      <c r="R263" s="1283">
        <v>0.25</v>
      </c>
      <c r="S263" s="1283">
        <v>0.25</v>
      </c>
      <c r="T263" s="1283">
        <v>0.25</v>
      </c>
      <c r="U263" s="1283">
        <v>0.25</v>
      </c>
      <c r="V263" s="1283">
        <v>0.25</v>
      </c>
      <c r="W263" s="1283">
        <v>0.25</v>
      </c>
      <c r="X263" s="1283">
        <v>0.25</v>
      </c>
      <c r="Y263" s="1283">
        <v>0.25</v>
      </c>
      <c r="Z263" s="1283">
        <v>0.25</v>
      </c>
      <c r="AA263" s="1283">
        <v>0.25</v>
      </c>
      <c r="AB263" s="1283">
        <v>0.25</v>
      </c>
      <c r="AC263" s="1291">
        <v>1</v>
      </c>
    </row>
    <row r="264" spans="1:29" ht="24.6" customHeight="1" thickBot="1" x14ac:dyDescent="0.35">
      <c r="A264" s="1298"/>
      <c r="B264" s="1306"/>
      <c r="C264" s="1307"/>
      <c r="D264" s="1304"/>
      <c r="E264" s="1292" t="s">
        <v>477</v>
      </c>
      <c r="F264" s="1293">
        <v>1</v>
      </c>
      <c r="G264" s="1293">
        <v>1</v>
      </c>
      <c r="H264" s="1293">
        <v>1</v>
      </c>
      <c r="I264" s="1293">
        <v>1</v>
      </c>
      <c r="J264" s="1293">
        <v>1</v>
      </c>
      <c r="K264" s="1293">
        <v>1</v>
      </c>
      <c r="L264" s="1293">
        <v>1</v>
      </c>
      <c r="M264" s="1293">
        <v>0.25</v>
      </c>
      <c r="N264" s="1293">
        <v>0.25</v>
      </c>
      <c r="O264" s="1293">
        <v>0.25</v>
      </c>
      <c r="P264" s="1293">
        <v>0.25</v>
      </c>
      <c r="Q264" s="1293">
        <v>0.25</v>
      </c>
      <c r="R264" s="1293">
        <v>0.25</v>
      </c>
      <c r="S264" s="1293">
        <v>0.25</v>
      </c>
      <c r="T264" s="1293">
        <v>0.25</v>
      </c>
      <c r="U264" s="1293">
        <v>0.25</v>
      </c>
      <c r="V264" s="1293">
        <v>0.25</v>
      </c>
      <c r="W264" s="1293">
        <v>0.25</v>
      </c>
      <c r="X264" s="1293">
        <v>0.25</v>
      </c>
      <c r="Y264" s="1293">
        <v>0.25</v>
      </c>
      <c r="Z264" s="1293">
        <v>0.25</v>
      </c>
      <c r="AA264" s="1293">
        <v>0.25</v>
      </c>
      <c r="AB264" s="1293">
        <v>0.25</v>
      </c>
      <c r="AC264" s="1294">
        <v>1</v>
      </c>
    </row>
    <row r="265" spans="1:29" ht="24.6" customHeight="1" x14ac:dyDescent="0.3">
      <c r="A265" s="1297" t="s">
        <v>1134</v>
      </c>
      <c r="B265" s="1305" t="s">
        <v>207</v>
      </c>
      <c r="C265" s="1310" t="s">
        <v>775</v>
      </c>
      <c r="D265" s="1303" t="s">
        <v>773</v>
      </c>
      <c r="E265" s="1279" t="s">
        <v>468</v>
      </c>
      <c r="F265" s="1280">
        <v>0</v>
      </c>
      <c r="G265" s="1280">
        <v>0</v>
      </c>
      <c r="H265" s="1280">
        <v>0</v>
      </c>
      <c r="I265" s="1280">
        <v>0</v>
      </c>
      <c r="J265" s="1280">
        <v>0</v>
      </c>
      <c r="K265" s="1280">
        <v>0</v>
      </c>
      <c r="L265" s="1280">
        <v>0</v>
      </c>
      <c r="M265" s="1280">
        <v>0</v>
      </c>
      <c r="N265" s="1280">
        <v>0.3</v>
      </c>
      <c r="O265" s="1280">
        <v>0.3</v>
      </c>
      <c r="P265" s="1280">
        <v>0.2</v>
      </c>
      <c r="Q265" s="1280">
        <v>0.9</v>
      </c>
      <c r="R265" s="1280">
        <v>0.9</v>
      </c>
      <c r="S265" s="1280">
        <v>0.9</v>
      </c>
      <c r="T265" s="1280">
        <v>0.2</v>
      </c>
      <c r="U265" s="1280">
        <v>0.2</v>
      </c>
      <c r="V265" s="1280">
        <v>0.2</v>
      </c>
      <c r="W265" s="1280">
        <v>0.5</v>
      </c>
      <c r="X265" s="1280">
        <v>0.5</v>
      </c>
      <c r="Y265" s="1280">
        <v>0.1</v>
      </c>
      <c r="Z265" s="1280">
        <v>0.1</v>
      </c>
      <c r="AA265" s="1280">
        <v>0.1</v>
      </c>
      <c r="AB265" s="1280">
        <v>0</v>
      </c>
      <c r="AC265" s="1281">
        <v>0</v>
      </c>
    </row>
    <row r="266" spans="1:29" ht="24.6" customHeight="1" x14ac:dyDescent="0.3">
      <c r="A266" s="1298"/>
      <c r="B266" s="1306"/>
      <c r="C266" s="1307"/>
      <c r="D266" s="1304"/>
      <c r="E266" s="1282" t="s">
        <v>475</v>
      </c>
      <c r="F266" s="1283">
        <v>0</v>
      </c>
      <c r="G266" s="1283">
        <v>0</v>
      </c>
      <c r="H266" s="1283">
        <v>0</v>
      </c>
      <c r="I266" s="1283">
        <v>0</v>
      </c>
      <c r="J266" s="1283">
        <v>0</v>
      </c>
      <c r="K266" s="1283">
        <v>0</v>
      </c>
      <c r="L266" s="1283">
        <v>0</v>
      </c>
      <c r="M266" s="1283">
        <v>0</v>
      </c>
      <c r="N266" s="1283">
        <v>0.3</v>
      </c>
      <c r="O266" s="1283">
        <v>0.3</v>
      </c>
      <c r="P266" s="1283">
        <v>0.2</v>
      </c>
      <c r="Q266" s="1283">
        <v>0.7</v>
      </c>
      <c r="R266" s="1283">
        <v>0.7</v>
      </c>
      <c r="S266" s="1283">
        <v>0.7</v>
      </c>
      <c r="T266" s="1283">
        <v>0.2</v>
      </c>
      <c r="U266" s="1283">
        <v>0.2</v>
      </c>
      <c r="V266" s="1283">
        <v>0.2</v>
      </c>
      <c r="W266" s="1283">
        <v>0.4</v>
      </c>
      <c r="X266" s="1283">
        <v>0.4</v>
      </c>
      <c r="Y266" s="1283">
        <v>0.1</v>
      </c>
      <c r="Z266" s="1283">
        <v>0.1</v>
      </c>
      <c r="AA266" s="1283">
        <v>0.1</v>
      </c>
      <c r="AB266" s="1283">
        <v>0</v>
      </c>
      <c r="AC266" s="1284">
        <v>0</v>
      </c>
    </row>
    <row r="267" spans="1:29" ht="24.6" customHeight="1" thickBot="1" x14ac:dyDescent="0.35">
      <c r="A267" s="1299"/>
      <c r="B267" s="1308"/>
      <c r="C267" s="1311"/>
      <c r="D267" s="1309"/>
      <c r="E267" s="1285" t="s">
        <v>477</v>
      </c>
      <c r="F267" s="1286">
        <v>0</v>
      </c>
      <c r="G267" s="1286">
        <v>0</v>
      </c>
      <c r="H267" s="1286">
        <v>0</v>
      </c>
      <c r="I267" s="1286">
        <v>0</v>
      </c>
      <c r="J267" s="1286">
        <v>0</v>
      </c>
      <c r="K267" s="1286">
        <v>0</v>
      </c>
      <c r="L267" s="1286">
        <v>0</v>
      </c>
      <c r="M267" s="1286">
        <v>0</v>
      </c>
      <c r="N267" s="1286">
        <v>0.2</v>
      </c>
      <c r="O267" s="1286">
        <v>0.2</v>
      </c>
      <c r="P267" s="1286">
        <v>0.1</v>
      </c>
      <c r="Q267" s="1286">
        <v>0.1</v>
      </c>
      <c r="R267" s="1286">
        <v>0.3</v>
      </c>
      <c r="S267" s="1286">
        <v>0.8</v>
      </c>
      <c r="T267" s="1286">
        <v>0.2</v>
      </c>
      <c r="U267" s="1286">
        <v>0.2</v>
      </c>
      <c r="V267" s="1286">
        <v>0.2</v>
      </c>
      <c r="W267" s="1286">
        <v>0.5</v>
      </c>
      <c r="X267" s="1286">
        <v>0.5</v>
      </c>
      <c r="Y267" s="1286">
        <v>0.1</v>
      </c>
      <c r="Z267" s="1286">
        <v>0.1</v>
      </c>
      <c r="AA267" s="1286">
        <v>0.1</v>
      </c>
      <c r="AB267" s="1286">
        <v>0</v>
      </c>
      <c r="AC267" s="1287">
        <v>0</v>
      </c>
    </row>
    <row r="268" spans="1:29" ht="24.6" customHeight="1" x14ac:dyDescent="0.3">
      <c r="A268" s="1297" t="s">
        <v>1134</v>
      </c>
      <c r="B268" s="1305" t="s">
        <v>207</v>
      </c>
      <c r="C268" s="1300" t="s">
        <v>770</v>
      </c>
      <c r="D268" s="1303" t="s">
        <v>773</v>
      </c>
      <c r="E268" s="1279" t="s">
        <v>468</v>
      </c>
      <c r="F268" s="1280">
        <v>60</v>
      </c>
      <c r="G268" s="1280">
        <v>60</v>
      </c>
      <c r="H268" s="1280">
        <v>60</v>
      </c>
      <c r="I268" s="1280">
        <v>60</v>
      </c>
      <c r="J268" s="1280">
        <v>60</v>
      </c>
      <c r="K268" s="1280">
        <v>60</v>
      </c>
      <c r="L268" s="1280">
        <v>60</v>
      </c>
      <c r="M268" s="1280">
        <v>60</v>
      </c>
      <c r="N268" s="1280">
        <v>60</v>
      </c>
      <c r="O268" s="1280">
        <v>60</v>
      </c>
      <c r="P268" s="1280">
        <v>60</v>
      </c>
      <c r="Q268" s="1280">
        <v>60</v>
      </c>
      <c r="R268" s="1280">
        <v>60</v>
      </c>
      <c r="S268" s="1280">
        <v>60</v>
      </c>
      <c r="T268" s="1280">
        <v>60</v>
      </c>
      <c r="U268" s="1280">
        <v>60</v>
      </c>
      <c r="V268" s="1280">
        <v>60</v>
      </c>
      <c r="W268" s="1280">
        <v>60</v>
      </c>
      <c r="X268" s="1280">
        <v>60</v>
      </c>
      <c r="Y268" s="1280">
        <v>60</v>
      </c>
      <c r="Z268" s="1280">
        <v>60</v>
      </c>
      <c r="AA268" s="1280">
        <v>60</v>
      </c>
      <c r="AB268" s="1280">
        <v>60</v>
      </c>
      <c r="AC268" s="1281">
        <v>60</v>
      </c>
    </row>
    <row r="269" spans="1:29" ht="24.6" customHeight="1" x14ac:dyDescent="0.3">
      <c r="A269" s="1298"/>
      <c r="B269" s="1306"/>
      <c r="C269" s="1301"/>
      <c r="D269" s="1304"/>
      <c r="E269" s="1282" t="s">
        <v>475</v>
      </c>
      <c r="F269" s="1283">
        <v>60</v>
      </c>
      <c r="G269" s="1283">
        <v>60</v>
      </c>
      <c r="H269" s="1283">
        <v>60</v>
      </c>
      <c r="I269" s="1283">
        <v>60</v>
      </c>
      <c r="J269" s="1283">
        <v>60</v>
      </c>
      <c r="K269" s="1283">
        <v>60</v>
      </c>
      <c r="L269" s="1283">
        <v>60</v>
      </c>
      <c r="M269" s="1283">
        <v>60</v>
      </c>
      <c r="N269" s="1283">
        <v>60</v>
      </c>
      <c r="O269" s="1283">
        <v>60</v>
      </c>
      <c r="P269" s="1283">
        <v>60</v>
      </c>
      <c r="Q269" s="1283">
        <v>60</v>
      </c>
      <c r="R269" s="1283">
        <v>60</v>
      </c>
      <c r="S269" s="1283">
        <v>60</v>
      </c>
      <c r="T269" s="1283">
        <v>60</v>
      </c>
      <c r="U269" s="1283">
        <v>60</v>
      </c>
      <c r="V269" s="1283">
        <v>60</v>
      </c>
      <c r="W269" s="1283">
        <v>60</v>
      </c>
      <c r="X269" s="1283">
        <v>60</v>
      </c>
      <c r="Y269" s="1283">
        <v>60</v>
      </c>
      <c r="Z269" s="1283">
        <v>60</v>
      </c>
      <c r="AA269" s="1283">
        <v>60</v>
      </c>
      <c r="AB269" s="1283">
        <v>60</v>
      </c>
      <c r="AC269" s="1284">
        <v>60</v>
      </c>
    </row>
    <row r="270" spans="1:29" ht="24.6" customHeight="1" thickBot="1" x14ac:dyDescent="0.35">
      <c r="A270" s="1299"/>
      <c r="B270" s="1308"/>
      <c r="C270" s="1302"/>
      <c r="D270" s="1309"/>
      <c r="E270" s="1285" t="s">
        <v>477</v>
      </c>
      <c r="F270" s="1286">
        <v>60</v>
      </c>
      <c r="G270" s="1286">
        <v>60</v>
      </c>
      <c r="H270" s="1286">
        <v>60</v>
      </c>
      <c r="I270" s="1286">
        <v>60</v>
      </c>
      <c r="J270" s="1286">
        <v>60</v>
      </c>
      <c r="K270" s="1286">
        <v>60</v>
      </c>
      <c r="L270" s="1286">
        <v>60</v>
      </c>
      <c r="M270" s="1286">
        <v>60</v>
      </c>
      <c r="N270" s="1286">
        <v>60</v>
      </c>
      <c r="O270" s="1286">
        <v>60</v>
      </c>
      <c r="P270" s="1286">
        <v>60</v>
      </c>
      <c r="Q270" s="1286">
        <v>60</v>
      </c>
      <c r="R270" s="1286">
        <v>60</v>
      </c>
      <c r="S270" s="1286">
        <v>60</v>
      </c>
      <c r="T270" s="1286">
        <v>60</v>
      </c>
      <c r="U270" s="1286">
        <v>60</v>
      </c>
      <c r="V270" s="1286">
        <v>60</v>
      </c>
      <c r="W270" s="1286">
        <v>60</v>
      </c>
      <c r="X270" s="1286">
        <v>60</v>
      </c>
      <c r="Y270" s="1286">
        <v>60</v>
      </c>
      <c r="Z270" s="1286">
        <v>60</v>
      </c>
      <c r="AA270" s="1286">
        <v>60</v>
      </c>
      <c r="AB270" s="1286">
        <v>60</v>
      </c>
      <c r="AC270" s="1287">
        <v>60</v>
      </c>
    </row>
    <row r="271" spans="1:29" ht="24.6" customHeight="1" x14ac:dyDescent="0.3">
      <c r="A271" s="1297" t="s">
        <v>1134</v>
      </c>
      <c r="B271" s="1305" t="s">
        <v>207</v>
      </c>
      <c r="C271" s="1300" t="s">
        <v>771</v>
      </c>
      <c r="D271" s="1303" t="s">
        <v>773</v>
      </c>
      <c r="E271" s="1279" t="s">
        <v>468</v>
      </c>
      <c r="F271" s="1280">
        <v>85</v>
      </c>
      <c r="G271" s="1280">
        <v>85</v>
      </c>
      <c r="H271" s="1280">
        <v>85</v>
      </c>
      <c r="I271" s="1280">
        <v>85</v>
      </c>
      <c r="J271" s="1280">
        <v>85</v>
      </c>
      <c r="K271" s="1280">
        <v>85</v>
      </c>
      <c r="L271" s="1280">
        <v>85</v>
      </c>
      <c r="M271" s="1280">
        <v>85</v>
      </c>
      <c r="N271" s="1280">
        <v>85</v>
      </c>
      <c r="O271" s="1280">
        <v>85</v>
      </c>
      <c r="P271" s="1280">
        <v>85</v>
      </c>
      <c r="Q271" s="1280">
        <v>85</v>
      </c>
      <c r="R271" s="1280">
        <v>85</v>
      </c>
      <c r="S271" s="1280">
        <v>85</v>
      </c>
      <c r="T271" s="1280">
        <v>85</v>
      </c>
      <c r="U271" s="1280">
        <v>85</v>
      </c>
      <c r="V271" s="1280">
        <v>85</v>
      </c>
      <c r="W271" s="1280">
        <v>85</v>
      </c>
      <c r="X271" s="1280">
        <v>85</v>
      </c>
      <c r="Y271" s="1280">
        <v>85</v>
      </c>
      <c r="Z271" s="1280">
        <v>85</v>
      </c>
      <c r="AA271" s="1280">
        <v>85</v>
      </c>
      <c r="AB271" s="1280">
        <v>85</v>
      </c>
      <c r="AC271" s="1281">
        <v>85</v>
      </c>
    </row>
    <row r="272" spans="1:29" ht="24.6" customHeight="1" x14ac:dyDescent="0.3">
      <c r="A272" s="1298"/>
      <c r="B272" s="1306"/>
      <c r="C272" s="1301"/>
      <c r="D272" s="1304"/>
      <c r="E272" s="1282" t="s">
        <v>475</v>
      </c>
      <c r="F272" s="1283">
        <v>85</v>
      </c>
      <c r="G272" s="1283">
        <v>85</v>
      </c>
      <c r="H272" s="1283">
        <v>85</v>
      </c>
      <c r="I272" s="1283">
        <v>85</v>
      </c>
      <c r="J272" s="1283">
        <v>85</v>
      </c>
      <c r="K272" s="1283">
        <v>85</v>
      </c>
      <c r="L272" s="1283">
        <v>85</v>
      </c>
      <c r="M272" s="1283">
        <v>85</v>
      </c>
      <c r="N272" s="1283">
        <v>85</v>
      </c>
      <c r="O272" s="1283">
        <v>85</v>
      </c>
      <c r="P272" s="1283">
        <v>85</v>
      </c>
      <c r="Q272" s="1283">
        <v>85</v>
      </c>
      <c r="R272" s="1283">
        <v>85</v>
      </c>
      <c r="S272" s="1283">
        <v>85</v>
      </c>
      <c r="T272" s="1283">
        <v>85</v>
      </c>
      <c r="U272" s="1283">
        <v>85</v>
      </c>
      <c r="V272" s="1283">
        <v>85</v>
      </c>
      <c r="W272" s="1283">
        <v>85</v>
      </c>
      <c r="X272" s="1283">
        <v>85</v>
      </c>
      <c r="Y272" s="1283">
        <v>85</v>
      </c>
      <c r="Z272" s="1283">
        <v>85</v>
      </c>
      <c r="AA272" s="1283">
        <v>85</v>
      </c>
      <c r="AB272" s="1283">
        <v>85</v>
      </c>
      <c r="AC272" s="1284">
        <v>85</v>
      </c>
    </row>
    <row r="273" spans="1:37" ht="24.6" customHeight="1" thickBot="1" x14ac:dyDescent="0.35">
      <c r="A273" s="1299"/>
      <c r="B273" s="1308"/>
      <c r="C273" s="1302"/>
      <c r="D273" s="1309"/>
      <c r="E273" s="1285" t="s">
        <v>477</v>
      </c>
      <c r="F273" s="1286">
        <v>85</v>
      </c>
      <c r="G273" s="1286">
        <v>85</v>
      </c>
      <c r="H273" s="1286">
        <v>85</v>
      </c>
      <c r="I273" s="1286">
        <v>85</v>
      </c>
      <c r="J273" s="1286">
        <v>85</v>
      </c>
      <c r="K273" s="1286">
        <v>85</v>
      </c>
      <c r="L273" s="1286">
        <v>85</v>
      </c>
      <c r="M273" s="1286">
        <v>85</v>
      </c>
      <c r="N273" s="1286">
        <v>85</v>
      </c>
      <c r="O273" s="1286">
        <v>85</v>
      </c>
      <c r="P273" s="1286">
        <v>85</v>
      </c>
      <c r="Q273" s="1286">
        <v>85</v>
      </c>
      <c r="R273" s="1286">
        <v>85</v>
      </c>
      <c r="S273" s="1286">
        <v>85</v>
      </c>
      <c r="T273" s="1286">
        <v>85</v>
      </c>
      <c r="U273" s="1286">
        <v>85</v>
      </c>
      <c r="V273" s="1286">
        <v>85</v>
      </c>
      <c r="W273" s="1286">
        <v>85</v>
      </c>
      <c r="X273" s="1286">
        <v>85</v>
      </c>
      <c r="Y273" s="1286">
        <v>85</v>
      </c>
      <c r="Z273" s="1286">
        <v>85</v>
      </c>
      <c r="AA273" s="1286">
        <v>85</v>
      </c>
      <c r="AB273" s="1286">
        <v>85</v>
      </c>
      <c r="AC273" s="1287">
        <v>85</v>
      </c>
    </row>
    <row r="274" spans="1:37" ht="24.6" customHeight="1" x14ac:dyDescent="0.3">
      <c r="A274" s="440"/>
      <c r="B274" s="440"/>
      <c r="C274" s="440"/>
      <c r="D274" s="440"/>
      <c r="F274" s="469"/>
      <c r="G274" s="469"/>
      <c r="H274" s="469"/>
      <c r="I274" s="469"/>
      <c r="J274" s="469"/>
      <c r="K274" s="469"/>
      <c r="L274" s="469"/>
      <c r="M274" s="469"/>
      <c r="N274" s="469"/>
      <c r="O274" s="469"/>
      <c r="P274" s="469"/>
      <c r="Q274" s="469"/>
      <c r="R274" s="469"/>
      <c r="S274" s="469"/>
      <c r="T274" s="469"/>
      <c r="U274" s="469"/>
      <c r="V274" s="469"/>
      <c r="W274" s="469"/>
      <c r="X274" s="469"/>
      <c r="Y274" s="469"/>
      <c r="Z274" s="469"/>
      <c r="AA274" s="469"/>
      <c r="AB274" s="469"/>
      <c r="AC274" s="469"/>
    </row>
    <row r="275" spans="1:37" ht="24.6" customHeight="1" x14ac:dyDescent="0.3">
      <c r="A275" s="440"/>
      <c r="B275" s="440"/>
      <c r="C275" s="440"/>
      <c r="D275" s="440"/>
      <c r="F275" s="469"/>
      <c r="G275" s="469"/>
      <c r="H275" s="469"/>
      <c r="I275" s="469"/>
      <c r="J275" s="469"/>
      <c r="K275" s="469"/>
      <c r="L275" s="469"/>
      <c r="M275" s="469"/>
      <c r="N275" s="469"/>
      <c r="O275" s="469"/>
      <c r="P275" s="469"/>
      <c r="Q275" s="469"/>
      <c r="R275" s="469"/>
      <c r="S275" s="469"/>
      <c r="T275" s="469"/>
      <c r="U275" s="469"/>
      <c r="V275" s="469"/>
      <c r="W275" s="469"/>
      <c r="X275" s="469"/>
      <c r="Y275" s="469"/>
      <c r="Z275" s="469"/>
      <c r="AA275" s="469"/>
      <c r="AB275" s="469"/>
      <c r="AC275" s="469"/>
    </row>
    <row r="276" spans="1:37" ht="24.6" customHeight="1" x14ac:dyDescent="0.3">
      <c r="A276" s="440"/>
      <c r="B276" s="440"/>
      <c r="C276" s="440"/>
      <c r="D276" s="440"/>
      <c r="F276" s="469"/>
      <c r="G276" s="469"/>
      <c r="H276" s="469"/>
      <c r="I276" s="469"/>
      <c r="J276" s="469"/>
      <c r="K276" s="469"/>
      <c r="L276" s="469"/>
      <c r="M276" s="469"/>
      <c r="N276" s="469"/>
      <c r="O276" s="469"/>
      <c r="P276" s="469"/>
      <c r="Q276" s="469"/>
      <c r="R276" s="469"/>
      <c r="S276" s="469"/>
      <c r="T276" s="469"/>
      <c r="U276" s="469"/>
      <c r="V276" s="469"/>
      <c r="W276" s="469"/>
      <c r="X276" s="469"/>
      <c r="Y276" s="469"/>
      <c r="Z276" s="469"/>
      <c r="AA276" s="469"/>
      <c r="AB276" s="469"/>
      <c r="AC276" s="469"/>
    </row>
    <row r="277" spans="1:37" ht="24.6" customHeight="1" x14ac:dyDescent="0.3">
      <c r="A277" s="440"/>
      <c r="B277" s="440"/>
      <c r="C277" s="440"/>
      <c r="D277" s="440"/>
      <c r="F277" s="469"/>
      <c r="G277" s="469"/>
      <c r="H277" s="469"/>
      <c r="I277" s="469"/>
      <c r="J277" s="469"/>
      <c r="K277" s="469"/>
      <c r="L277" s="469"/>
      <c r="M277" s="469"/>
      <c r="N277" s="469"/>
      <c r="O277" s="469"/>
      <c r="P277" s="469"/>
      <c r="Q277" s="469"/>
      <c r="R277" s="469"/>
      <c r="S277" s="469"/>
      <c r="T277" s="469"/>
      <c r="U277" s="469"/>
      <c r="V277" s="469"/>
      <c r="W277" s="469"/>
      <c r="X277" s="469"/>
      <c r="Y277" s="469"/>
      <c r="Z277" s="469"/>
      <c r="AA277" s="469"/>
      <c r="AB277" s="469"/>
      <c r="AC277" s="469"/>
    </row>
    <row r="278" spans="1:37" ht="21.6" customHeight="1" x14ac:dyDescent="0.3">
      <c r="A278" s="440"/>
      <c r="B278" s="440"/>
      <c r="C278" s="440"/>
      <c r="D278" s="440"/>
      <c r="F278" s="469"/>
      <c r="G278" s="469"/>
      <c r="H278" s="469"/>
      <c r="I278" s="469"/>
      <c r="J278" s="469"/>
      <c r="K278" s="469"/>
      <c r="L278" s="469"/>
      <c r="M278" s="469"/>
      <c r="N278" s="469"/>
      <c r="O278" s="469"/>
      <c r="P278" s="469"/>
      <c r="Q278" s="469"/>
      <c r="R278" s="469"/>
      <c r="S278" s="469"/>
      <c r="T278" s="469"/>
      <c r="U278" s="469"/>
      <c r="V278" s="469"/>
      <c r="W278" s="469"/>
      <c r="X278" s="469"/>
      <c r="Y278" s="469"/>
      <c r="Z278" s="469"/>
      <c r="AA278" s="469"/>
      <c r="AB278" s="469"/>
      <c r="AC278" s="469"/>
    </row>
    <row r="279" spans="1:37" ht="21.6" customHeight="1" x14ac:dyDescent="0.3">
      <c r="A279" s="440"/>
      <c r="B279" s="440"/>
      <c r="C279" s="440"/>
      <c r="D279" s="440"/>
      <c r="F279" s="469"/>
      <c r="G279" s="469"/>
      <c r="H279" s="469"/>
      <c r="I279" s="469"/>
      <c r="J279" s="469"/>
      <c r="K279" s="469"/>
      <c r="L279" s="469"/>
      <c r="M279" s="469"/>
      <c r="N279" s="469"/>
      <c r="O279" s="469"/>
      <c r="P279" s="469"/>
      <c r="Q279" s="469"/>
      <c r="R279" s="469"/>
      <c r="S279" s="469"/>
      <c r="T279" s="469"/>
      <c r="U279" s="469"/>
      <c r="V279" s="469"/>
      <c r="W279" s="469"/>
      <c r="X279" s="469"/>
      <c r="Y279" s="469"/>
      <c r="Z279" s="469"/>
      <c r="AA279" s="469"/>
      <c r="AB279" s="469"/>
      <c r="AC279" s="469"/>
    </row>
    <row r="280" spans="1:37" ht="21.6" customHeight="1" x14ac:dyDescent="0.3">
      <c r="A280" s="440"/>
      <c r="B280" s="440"/>
      <c r="C280" s="440"/>
      <c r="D280" s="440"/>
      <c r="F280" s="469"/>
      <c r="G280" s="469"/>
      <c r="H280" s="469"/>
      <c r="I280" s="469"/>
      <c r="J280" s="469"/>
      <c r="K280" s="469"/>
      <c r="L280" s="469"/>
      <c r="M280" s="469"/>
      <c r="N280" s="469"/>
      <c r="O280" s="469"/>
      <c r="P280" s="469"/>
      <c r="Q280" s="469"/>
      <c r="R280" s="469"/>
      <c r="S280" s="469"/>
      <c r="T280" s="469"/>
      <c r="U280" s="469"/>
      <c r="V280" s="469"/>
      <c r="W280" s="469"/>
      <c r="X280" s="469"/>
      <c r="Y280" s="469"/>
      <c r="Z280" s="469"/>
      <c r="AA280" s="469"/>
      <c r="AB280" s="469"/>
      <c r="AC280" s="469"/>
    </row>
    <row r="281" spans="1:37" ht="21.6" customHeight="1" x14ac:dyDescent="0.3">
      <c r="A281" s="440"/>
      <c r="B281" s="440"/>
      <c r="C281" s="440"/>
      <c r="D281" s="440"/>
      <c r="F281" s="469"/>
      <c r="G281" s="469"/>
      <c r="H281" s="469"/>
      <c r="I281" s="469"/>
      <c r="J281" s="469"/>
      <c r="K281" s="469"/>
      <c r="L281" s="469"/>
      <c r="M281" s="469"/>
      <c r="N281" s="469"/>
      <c r="O281" s="469"/>
      <c r="P281" s="469"/>
      <c r="Q281" s="469"/>
      <c r="R281" s="469"/>
      <c r="S281" s="469"/>
      <c r="T281" s="469"/>
      <c r="U281" s="469"/>
      <c r="V281" s="469"/>
      <c r="W281" s="469"/>
      <c r="X281" s="469"/>
      <c r="Y281" s="469"/>
      <c r="Z281" s="469"/>
      <c r="AA281" s="469"/>
      <c r="AB281" s="469"/>
      <c r="AC281" s="469"/>
    </row>
    <row r="283" spans="1:37" s="46" customFormat="1" ht="21.6" hidden="1" customHeight="1" thickBot="1" x14ac:dyDescent="0.35">
      <c r="A283" s="839" t="s">
        <v>452</v>
      </c>
      <c r="C283" s="110"/>
      <c r="D283" s="110"/>
      <c r="E283" s="110"/>
      <c r="F283" s="110"/>
      <c r="G283" s="110"/>
    </row>
    <row r="284" spans="1:37" s="281" customFormat="1" ht="21.6" hidden="1" customHeight="1" x14ac:dyDescent="0.3">
      <c r="A284" s="1237" t="s">
        <v>154</v>
      </c>
      <c r="B284" s="1089" t="s">
        <v>189</v>
      </c>
      <c r="C284" s="1089" t="s">
        <v>819</v>
      </c>
      <c r="D284" s="1214" t="s">
        <v>820</v>
      </c>
      <c r="E284" s="530" t="s">
        <v>468</v>
      </c>
      <c r="F284" s="531">
        <f>Data!$Q$85*F234+Data!$Q$86*F234+Data!$Q$87*F237+Data!$Q$88*F228</f>
        <v>160.46</v>
      </c>
      <c r="G284" s="531">
        <f>Data!$Q$85*G234+Data!$Q$86*G234+Data!$Q$87*G237+Data!$Q$88*G228</f>
        <v>160.46</v>
      </c>
      <c r="H284" s="531">
        <f>Data!$Q$85*H234+Data!$Q$86*H234+Data!$Q$87*H237+Data!$Q$88*H228</f>
        <v>160.46</v>
      </c>
      <c r="I284" s="531">
        <f>Data!$Q$85*I234+Data!$Q$86*I234+Data!$Q$87*I237+Data!$Q$88*I228</f>
        <v>160.46</v>
      </c>
      <c r="J284" s="531">
        <f>Data!$Q$85*J234+Data!$Q$86*J234+Data!$Q$87*J237+Data!$Q$88*J228</f>
        <v>160.46</v>
      </c>
      <c r="K284" s="531">
        <f>Data!$Q$85*K234+Data!$Q$86*K234+Data!$Q$87*K237+Data!$Q$88*K228</f>
        <v>160.46</v>
      </c>
      <c r="L284" s="531">
        <f>Data!$Q$85*L234+Data!$Q$86*L234+Data!$Q$87*L237+Data!$Q$88*L228</f>
        <v>160.46</v>
      </c>
      <c r="M284" s="531">
        <f>Data!$Q$85*M234+Data!$Q$86*M234+Data!$Q$87*M237+Data!$Q$88*M228</f>
        <v>160.46</v>
      </c>
      <c r="N284" s="531">
        <f>Data!$Q$85*N234+Data!$Q$86*N234+Data!$Q$87*N237+Data!$Q$88*N228</f>
        <v>160.46</v>
      </c>
      <c r="O284" s="531">
        <f>Data!$Q$85*O234+Data!$Q$86*O234+Data!$Q$87*O237+Data!$Q$88*O228</f>
        <v>160.46</v>
      </c>
      <c r="P284" s="531">
        <f>Data!$Q$85*P234+Data!$Q$86*P234+Data!$Q$87*P237+Data!$Q$88*P228</f>
        <v>160.46</v>
      </c>
      <c r="Q284" s="531">
        <f>Data!$Q$85*Q234+Data!$Q$86*Q234+Data!$Q$87*Q237+Data!$Q$88*Q228</f>
        <v>160.46</v>
      </c>
      <c r="R284" s="531">
        <f>Data!$Q$85*R234+Data!$Q$86*R234+Data!$Q$87*R237+Data!$Q$88*R228</f>
        <v>160.46</v>
      </c>
      <c r="S284" s="531">
        <f>Data!$Q$85*S234+Data!$Q$86*S234+Data!$Q$87*S237+Data!$Q$88*S228</f>
        <v>160.46</v>
      </c>
      <c r="T284" s="531">
        <f>Data!$Q$85*T234+Data!$Q$86*T234+Data!$Q$87*T237+Data!$Q$88*T228</f>
        <v>160.46</v>
      </c>
      <c r="U284" s="531">
        <f>Data!$Q$85*U234+Data!$Q$86*U234+Data!$Q$87*U237+Data!$Q$88*U228</f>
        <v>160.46</v>
      </c>
      <c r="V284" s="531">
        <f>Data!$Q$85*V234+Data!$Q$86*V234+Data!$Q$87*V237+Data!$Q$88*V228</f>
        <v>160.46</v>
      </c>
      <c r="W284" s="531">
        <f>Data!$Q$85*W234+Data!$Q$86*W234+Data!$Q$87*W237+Data!$Q$88*W228</f>
        <v>160.46</v>
      </c>
      <c r="X284" s="531">
        <f>Data!$Q$85*X234+Data!$Q$86*X234+Data!$Q$87*X237+Data!$Q$88*X228</f>
        <v>160.46</v>
      </c>
      <c r="Y284" s="531">
        <f>Data!$Q$85*Y234+Data!$Q$86*Y234+Data!$Q$87*Y237+Data!$Q$88*Y228</f>
        <v>160.46</v>
      </c>
      <c r="Z284" s="531">
        <f>Data!$Q$85*Z234+Data!$Q$86*Z234+Data!$Q$87*Z237+Data!$Q$88*Z228</f>
        <v>160.46</v>
      </c>
      <c r="AA284" s="531">
        <f>Data!$Q$85*AA234+Data!$Q$86*AA234+Data!$Q$87*AA237+Data!$Q$88*AA228</f>
        <v>160.46</v>
      </c>
      <c r="AB284" s="531">
        <f>Data!$Q$85*AB234+Data!$Q$86*AB234+Data!$Q$87*AB237+Data!$Q$88*AB228</f>
        <v>160.46</v>
      </c>
      <c r="AC284" s="532">
        <f>Data!$Q$85*AC234+Data!$Q$86*AC234+Data!$Q$87*AC237+Data!$Q$88*AC228</f>
        <v>160.46</v>
      </c>
    </row>
    <row r="285" spans="1:37" s="281" customFormat="1" ht="21.6" hidden="1" customHeight="1" x14ac:dyDescent="0.3">
      <c r="A285" s="1238"/>
      <c r="B285" s="1217"/>
      <c r="C285" s="1217"/>
      <c r="D285" s="1170"/>
      <c r="E285" s="533" t="s">
        <v>475</v>
      </c>
      <c r="F285" s="529">
        <f>Data!$Q$85*F235+Data!$Q$86*F235+Data!$Q$87*F238+Data!$Q$88*F229</f>
        <v>160.46</v>
      </c>
      <c r="G285" s="529">
        <f>Data!$Q$85*G235+Data!$Q$86*G235+Data!$Q$87*G238+Data!$Q$88*G229</f>
        <v>160.46</v>
      </c>
      <c r="H285" s="529">
        <f>Data!$Q$85*H235+Data!$Q$86*H235+Data!$Q$87*H238+Data!$Q$88*H229</f>
        <v>160.46</v>
      </c>
      <c r="I285" s="529">
        <f>Data!$Q$85*I235+Data!$Q$86*I235+Data!$Q$87*I238+Data!$Q$88*I229</f>
        <v>160.46</v>
      </c>
      <c r="J285" s="529">
        <f>Data!$Q$85*J235+Data!$Q$86*J235+Data!$Q$87*J238+Data!$Q$88*J229</f>
        <v>160.46</v>
      </c>
      <c r="K285" s="529">
        <f>Data!$Q$85*K235+Data!$Q$86*K235+Data!$Q$87*K238+Data!$Q$88*K229</f>
        <v>160.46</v>
      </c>
      <c r="L285" s="529">
        <f>Data!$Q$85*L235+Data!$Q$86*L235+Data!$Q$87*L238+Data!$Q$88*L229</f>
        <v>160.46</v>
      </c>
      <c r="M285" s="529">
        <f>Data!$Q$85*M235+Data!$Q$86*M235+Data!$Q$87*M238+Data!$Q$88*M229</f>
        <v>160.46</v>
      </c>
      <c r="N285" s="529">
        <f>Data!$Q$85*N235+Data!$Q$86*N235+Data!$Q$87*N238+Data!$Q$88*N229</f>
        <v>160.46</v>
      </c>
      <c r="O285" s="529">
        <f>Data!$Q$85*O235+Data!$Q$86*O235+Data!$Q$87*O238+Data!$Q$88*O229</f>
        <v>160.46</v>
      </c>
      <c r="P285" s="529">
        <f>Data!$Q$85*P235+Data!$Q$86*P235+Data!$Q$87*P238+Data!$Q$88*P229</f>
        <v>160.46</v>
      </c>
      <c r="Q285" s="529">
        <f>Data!$Q$85*Q235+Data!$Q$86*Q235+Data!$Q$87*Q238+Data!$Q$88*Q229</f>
        <v>160.46</v>
      </c>
      <c r="R285" s="529">
        <f>Data!$Q$85*R235+Data!$Q$86*R235+Data!$Q$87*R238+Data!$Q$88*R229</f>
        <v>160.46</v>
      </c>
      <c r="S285" s="529">
        <f>Data!$Q$85*S235+Data!$Q$86*S235+Data!$Q$87*S238+Data!$Q$88*S229</f>
        <v>160.46</v>
      </c>
      <c r="T285" s="529">
        <f>Data!$Q$85*T235+Data!$Q$86*T235+Data!$Q$87*T238+Data!$Q$88*T229</f>
        <v>160.46</v>
      </c>
      <c r="U285" s="529">
        <f>Data!$Q$85*U235+Data!$Q$86*U235+Data!$Q$87*U238+Data!$Q$88*U229</f>
        <v>160.46</v>
      </c>
      <c r="V285" s="529">
        <f>Data!$Q$85*V235+Data!$Q$86*V235+Data!$Q$87*V238+Data!$Q$88*V229</f>
        <v>160.46</v>
      </c>
      <c r="W285" s="529">
        <f>Data!$Q$85*W235+Data!$Q$86*W235+Data!$Q$87*W238+Data!$Q$88*W229</f>
        <v>160.46</v>
      </c>
      <c r="X285" s="529">
        <f>Data!$Q$85*X235+Data!$Q$86*X235+Data!$Q$87*X238+Data!$Q$88*X229</f>
        <v>160.46</v>
      </c>
      <c r="Y285" s="529">
        <f>Data!$Q$85*Y235+Data!$Q$86*Y235+Data!$Q$87*Y238+Data!$Q$88*Y229</f>
        <v>160.46</v>
      </c>
      <c r="Z285" s="529">
        <f>Data!$Q$85*Z235+Data!$Q$86*Z235+Data!$Q$87*Z238+Data!$Q$88*Z229</f>
        <v>160.46</v>
      </c>
      <c r="AA285" s="529">
        <f>Data!$Q$85*AA235+Data!$Q$86*AA235+Data!$Q$87*AA238+Data!$Q$88*AA229</f>
        <v>160.46</v>
      </c>
      <c r="AB285" s="529">
        <f>Data!$Q$85*AB235+Data!$Q$86*AB235+Data!$Q$87*AB238+Data!$Q$88*AB229</f>
        <v>160.46</v>
      </c>
      <c r="AC285" s="534">
        <f>Data!$Q$85*AC235+Data!$Q$86*AC235+Data!$Q$87*AC238+Data!$Q$88*AC229</f>
        <v>160.46</v>
      </c>
    </row>
    <row r="286" spans="1:37" s="281" customFormat="1" ht="21.6" hidden="1" customHeight="1" thickBot="1" x14ac:dyDescent="0.35">
      <c r="A286" s="1239"/>
      <c r="B286" s="1218"/>
      <c r="C286" s="1240"/>
      <c r="D286" s="1219"/>
      <c r="E286" s="535" t="s">
        <v>477</v>
      </c>
      <c r="F286" s="536">
        <f>Data!$Q$85*F236+Data!$Q$86*F236+Data!$Q$87*F239+Data!$Q$88*F230</f>
        <v>160.46</v>
      </c>
      <c r="G286" s="536">
        <f>Data!$Q$85*G236+Data!$Q$86*G236+Data!$Q$87*G239+Data!$Q$88*G230</f>
        <v>160.46</v>
      </c>
      <c r="H286" s="536">
        <f>Data!$Q$85*H236+Data!$Q$86*H236+Data!$Q$87*H239+Data!$Q$88*H230</f>
        <v>160.46</v>
      </c>
      <c r="I286" s="536">
        <f>Data!$Q$85*I236+Data!$Q$86*I236+Data!$Q$87*I239+Data!$Q$88*I230</f>
        <v>160.46</v>
      </c>
      <c r="J286" s="536">
        <f>Data!$Q$85*J236+Data!$Q$86*J236+Data!$Q$87*J239+Data!$Q$88*J230</f>
        <v>160.46</v>
      </c>
      <c r="K286" s="536">
        <f>Data!$Q$85*K236+Data!$Q$86*K236+Data!$Q$87*K239+Data!$Q$88*K230</f>
        <v>160.46</v>
      </c>
      <c r="L286" s="536">
        <f>Data!$Q$85*L236+Data!$Q$86*L236+Data!$Q$87*L239+Data!$Q$88*L230</f>
        <v>160.46</v>
      </c>
      <c r="M286" s="536">
        <f>Data!$Q$85*M236+Data!$Q$86*M236+Data!$Q$87*M239+Data!$Q$88*M230</f>
        <v>160.46</v>
      </c>
      <c r="N286" s="536">
        <f>Data!$Q$85*N236+Data!$Q$86*N236+Data!$Q$87*N239+Data!$Q$88*N230</f>
        <v>160.46</v>
      </c>
      <c r="O286" s="536">
        <f>Data!$Q$85*O236+Data!$Q$86*O236+Data!$Q$87*O239+Data!$Q$88*O230</f>
        <v>160.46</v>
      </c>
      <c r="P286" s="536">
        <f>Data!$Q$85*P236+Data!$Q$86*P236+Data!$Q$87*P239+Data!$Q$88*P230</f>
        <v>160.46</v>
      </c>
      <c r="Q286" s="536">
        <f>Data!$Q$85*Q236+Data!$Q$86*Q236+Data!$Q$87*Q239+Data!$Q$88*Q230</f>
        <v>160.46</v>
      </c>
      <c r="R286" s="536">
        <f>Data!$Q$85*R236+Data!$Q$86*R236+Data!$Q$87*R239+Data!$Q$88*R230</f>
        <v>160.46</v>
      </c>
      <c r="S286" s="536">
        <f>Data!$Q$85*S236+Data!$Q$86*S236+Data!$Q$87*S239+Data!$Q$88*S230</f>
        <v>160.46</v>
      </c>
      <c r="T286" s="536">
        <f>Data!$Q$85*T236+Data!$Q$86*T236+Data!$Q$87*T239+Data!$Q$88*T230</f>
        <v>160.46</v>
      </c>
      <c r="U286" s="536">
        <f>Data!$Q$85*U236+Data!$Q$86*U236+Data!$Q$87*U239+Data!$Q$88*U230</f>
        <v>160.46</v>
      </c>
      <c r="V286" s="536">
        <f>Data!$Q$85*V236+Data!$Q$86*V236+Data!$Q$87*V239+Data!$Q$88*V230</f>
        <v>160.46</v>
      </c>
      <c r="W286" s="536">
        <f>Data!$Q$85*W236+Data!$Q$86*W236+Data!$Q$87*W239+Data!$Q$88*W230</f>
        <v>160.46</v>
      </c>
      <c r="X286" s="536">
        <f>Data!$Q$85*X236+Data!$Q$86*X236+Data!$Q$87*X239+Data!$Q$88*X230</f>
        <v>160.46</v>
      </c>
      <c r="Y286" s="536">
        <f>Data!$Q$85*Y236+Data!$Q$86*Y236+Data!$Q$87*Y239+Data!$Q$88*Y230</f>
        <v>160.46</v>
      </c>
      <c r="Z286" s="536">
        <f>Data!$Q$85*Z236+Data!$Q$86*Z236+Data!$Q$87*Z239+Data!$Q$88*Z230</f>
        <v>160.46</v>
      </c>
      <c r="AA286" s="536">
        <f>Data!$Q$85*AA236+Data!$Q$86*AA236+Data!$Q$87*AA239+Data!$Q$88*AA230</f>
        <v>160.46</v>
      </c>
      <c r="AB286" s="536">
        <f>Data!$Q$85*AB236+Data!$Q$86*AB236+Data!$Q$87*AB239+Data!$Q$88*AB230</f>
        <v>160.46</v>
      </c>
      <c r="AC286" s="537">
        <f>Data!$Q$85*AC236+Data!$Q$86*AC236+Data!$Q$87*AC239+Data!$Q$88*AC230</f>
        <v>160.46</v>
      </c>
    </row>
    <row r="287" spans="1:37" s="281" customFormat="1" ht="21.6" hidden="1" customHeight="1" thickBot="1" x14ac:dyDescent="0.35">
      <c r="A287" s="579"/>
      <c r="C287" s="301"/>
      <c r="D287" s="301"/>
      <c r="E287" s="301"/>
      <c r="F287" s="301"/>
      <c r="G287" s="301"/>
    </row>
    <row r="288" spans="1:37" ht="25.2" hidden="1" customHeight="1" x14ac:dyDescent="0.3">
      <c r="A288" s="1068" t="s">
        <v>760</v>
      </c>
      <c r="B288" s="1059" t="s">
        <v>821</v>
      </c>
      <c r="C288" s="1232" t="s">
        <v>761</v>
      </c>
      <c r="D288" s="1234" t="s">
        <v>764</v>
      </c>
      <c r="E288" s="370" t="s">
        <v>468</v>
      </c>
      <c r="F288" s="371">
        <v>0.9</v>
      </c>
      <c r="G288" s="371">
        <v>0.9</v>
      </c>
      <c r="H288" s="371">
        <v>0.9</v>
      </c>
      <c r="I288" s="371">
        <v>0.9</v>
      </c>
      <c r="J288" s="371">
        <v>0.9</v>
      </c>
      <c r="K288" s="371">
        <v>0.9</v>
      </c>
      <c r="L288" s="371">
        <v>0.7</v>
      </c>
      <c r="M288" s="371">
        <v>0.4</v>
      </c>
      <c r="N288" s="371">
        <v>0.4</v>
      </c>
      <c r="O288" s="371">
        <v>0.2</v>
      </c>
      <c r="P288" s="371">
        <v>0.2</v>
      </c>
      <c r="Q288" s="371">
        <v>0.2</v>
      </c>
      <c r="R288" s="371">
        <v>0.2</v>
      </c>
      <c r="S288" s="371">
        <v>0.2</v>
      </c>
      <c r="T288" s="371">
        <v>0.2</v>
      </c>
      <c r="U288" s="371">
        <v>0.3</v>
      </c>
      <c r="V288" s="371">
        <v>0.5</v>
      </c>
      <c r="W288" s="371">
        <v>0.5</v>
      </c>
      <c r="X288" s="371">
        <v>0.5</v>
      </c>
      <c r="Y288" s="371">
        <v>0.7</v>
      </c>
      <c r="Z288" s="371">
        <v>0.7</v>
      </c>
      <c r="AA288" s="371">
        <v>0.8</v>
      </c>
      <c r="AB288" s="371">
        <v>0.9</v>
      </c>
      <c r="AC288" s="372">
        <v>0.9</v>
      </c>
      <c r="AD288" s="39"/>
      <c r="AE288" s="39"/>
      <c r="AF288" s="39"/>
      <c r="AG288" s="39"/>
      <c r="AH288" s="39"/>
      <c r="AI288" s="39"/>
      <c r="AJ288" s="39"/>
      <c r="AK288" s="39"/>
    </row>
    <row r="289" spans="1:39" ht="25.2" hidden="1" customHeight="1" x14ac:dyDescent="0.3">
      <c r="A289" s="1069"/>
      <c r="B289" s="1060"/>
      <c r="C289" s="1150"/>
      <c r="D289" s="1235"/>
      <c r="E289" s="310" t="s">
        <v>475</v>
      </c>
      <c r="F289" s="303">
        <v>0.9</v>
      </c>
      <c r="G289" s="303">
        <v>0.9</v>
      </c>
      <c r="H289" s="303">
        <v>0.9</v>
      </c>
      <c r="I289" s="303">
        <v>0.9</v>
      </c>
      <c r="J289" s="303">
        <v>0.9</v>
      </c>
      <c r="K289" s="303">
        <v>0.9</v>
      </c>
      <c r="L289" s="303">
        <v>0.7</v>
      </c>
      <c r="M289" s="303">
        <v>0.5</v>
      </c>
      <c r="N289" s="303">
        <v>0.5</v>
      </c>
      <c r="O289" s="303">
        <v>0.3</v>
      </c>
      <c r="P289" s="303">
        <v>0.3</v>
      </c>
      <c r="Q289" s="303">
        <v>0.3</v>
      </c>
      <c r="R289" s="303">
        <v>0.3</v>
      </c>
      <c r="S289" s="303">
        <v>0.3</v>
      </c>
      <c r="T289" s="303">
        <v>0.3</v>
      </c>
      <c r="U289" s="303">
        <v>0.3</v>
      </c>
      <c r="V289" s="303">
        <v>0.3</v>
      </c>
      <c r="W289" s="303">
        <v>0.5</v>
      </c>
      <c r="X289" s="303">
        <v>0.6</v>
      </c>
      <c r="Y289" s="303">
        <v>0.6</v>
      </c>
      <c r="Z289" s="303">
        <v>0.6</v>
      </c>
      <c r="AA289" s="303">
        <v>0.7</v>
      </c>
      <c r="AB289" s="303">
        <v>0.7</v>
      </c>
      <c r="AC289" s="373">
        <v>0.7</v>
      </c>
      <c r="AD289" s="39"/>
      <c r="AE289" s="39"/>
      <c r="AF289" s="39"/>
      <c r="AG289" s="39"/>
      <c r="AH289" s="39"/>
      <c r="AI289" s="39"/>
      <c r="AJ289" s="39"/>
      <c r="AK289" s="39"/>
    </row>
    <row r="290" spans="1:39" ht="25.2" hidden="1" customHeight="1" thickBot="1" x14ac:dyDescent="0.35">
      <c r="A290" s="1070"/>
      <c r="B290" s="1061"/>
      <c r="C290" s="1233"/>
      <c r="D290" s="1236"/>
      <c r="E290" s="374" t="s">
        <v>477</v>
      </c>
      <c r="F290" s="375">
        <v>0.7</v>
      </c>
      <c r="G290" s="375">
        <v>0.7</v>
      </c>
      <c r="H290" s="375">
        <v>0.7</v>
      </c>
      <c r="I290" s="375">
        <v>0.7</v>
      </c>
      <c r="J290" s="375">
        <v>0.7</v>
      </c>
      <c r="K290" s="375">
        <v>0.7</v>
      </c>
      <c r="L290" s="375">
        <v>0.7</v>
      </c>
      <c r="M290" s="375">
        <v>0.7</v>
      </c>
      <c r="N290" s="375">
        <v>0.5</v>
      </c>
      <c r="O290" s="375">
        <v>0.5</v>
      </c>
      <c r="P290" s="375">
        <v>0.5</v>
      </c>
      <c r="Q290" s="375">
        <v>0.3</v>
      </c>
      <c r="R290" s="375">
        <v>0.3</v>
      </c>
      <c r="S290" s="375">
        <v>0.2</v>
      </c>
      <c r="T290" s="375">
        <v>0.2</v>
      </c>
      <c r="U290" s="375">
        <v>0.2</v>
      </c>
      <c r="V290" s="375">
        <v>0.3</v>
      </c>
      <c r="W290" s="375">
        <v>0.4</v>
      </c>
      <c r="X290" s="375">
        <v>0.4</v>
      </c>
      <c r="Y290" s="375">
        <v>0.6</v>
      </c>
      <c r="Z290" s="375">
        <v>0.6</v>
      </c>
      <c r="AA290" s="375">
        <v>0.8</v>
      </c>
      <c r="AB290" s="375">
        <v>0.8</v>
      </c>
      <c r="AC290" s="376">
        <v>0.8</v>
      </c>
      <c r="AD290" s="39"/>
      <c r="AE290" s="39"/>
      <c r="AF290" s="39"/>
      <c r="AG290" s="39"/>
      <c r="AH290" s="39"/>
      <c r="AI290" s="39"/>
      <c r="AJ290" s="39"/>
      <c r="AK290" s="39"/>
    </row>
    <row r="291" spans="1:39" ht="38.700000000000003" hidden="1" customHeight="1" x14ac:dyDescent="0.3">
      <c r="A291" s="1080" t="str">
        <f>A288</f>
        <v>Service and Back Up prep in Basement</v>
      </c>
      <c r="B291" s="1083" t="str">
        <f>B288</f>
        <v>LargeHotelBasemet</v>
      </c>
      <c r="C291" s="1155" t="s">
        <v>763</v>
      </c>
      <c r="D291" s="1252" t="s">
        <v>764</v>
      </c>
      <c r="E291" s="312" t="s">
        <v>468</v>
      </c>
      <c r="F291" s="325">
        <v>0.2</v>
      </c>
      <c r="G291" s="325">
        <v>0.15</v>
      </c>
      <c r="H291" s="325">
        <v>0.1</v>
      </c>
      <c r="I291" s="325">
        <v>0.1</v>
      </c>
      <c r="J291" s="325">
        <v>0.1</v>
      </c>
      <c r="K291" s="325">
        <v>0.2</v>
      </c>
      <c r="L291" s="325">
        <v>0.4</v>
      </c>
      <c r="M291" s="325">
        <v>0.5</v>
      </c>
      <c r="N291" s="325">
        <v>0.4</v>
      </c>
      <c r="O291" s="325">
        <v>0.4</v>
      </c>
      <c r="P291" s="325">
        <v>0.25</v>
      </c>
      <c r="Q291" s="325">
        <v>0.25</v>
      </c>
      <c r="R291" s="325">
        <v>0.25</v>
      </c>
      <c r="S291" s="325">
        <v>0.25</v>
      </c>
      <c r="T291" s="325">
        <v>0.25</v>
      </c>
      <c r="U291" s="325">
        <v>0.25</v>
      </c>
      <c r="V291" s="325">
        <v>0.25</v>
      </c>
      <c r="W291" s="325">
        <v>0.25</v>
      </c>
      <c r="X291" s="325">
        <v>0.6</v>
      </c>
      <c r="Y291" s="325">
        <v>0.8</v>
      </c>
      <c r="Z291" s="325">
        <v>0.9</v>
      </c>
      <c r="AA291" s="325">
        <v>0.8</v>
      </c>
      <c r="AB291" s="325">
        <v>0.6</v>
      </c>
      <c r="AC291" s="326">
        <v>0.3</v>
      </c>
      <c r="AD291" s="39"/>
      <c r="AE291" s="39"/>
      <c r="AF291" s="39"/>
      <c r="AG291" s="39"/>
      <c r="AH291" s="39"/>
      <c r="AI291" s="39"/>
      <c r="AJ291" s="39"/>
      <c r="AK291" s="39"/>
      <c r="AM291" s="47"/>
    </row>
    <row r="292" spans="1:39" ht="38.700000000000003" hidden="1" customHeight="1" x14ac:dyDescent="0.3">
      <c r="A292" s="1081"/>
      <c r="B292" s="1060"/>
      <c r="C292" s="1150"/>
      <c r="D292" s="1235"/>
      <c r="E292" s="310" t="s">
        <v>475</v>
      </c>
      <c r="F292" s="303">
        <v>0.2</v>
      </c>
      <c r="G292" s="303">
        <v>0.2</v>
      </c>
      <c r="H292" s="303">
        <v>0.1</v>
      </c>
      <c r="I292" s="303">
        <v>0.1</v>
      </c>
      <c r="J292" s="303">
        <v>0.1</v>
      </c>
      <c r="K292" s="303">
        <v>0.1</v>
      </c>
      <c r="L292" s="303">
        <v>0.3</v>
      </c>
      <c r="M292" s="303">
        <v>0.3</v>
      </c>
      <c r="N292" s="303">
        <v>0.4</v>
      </c>
      <c r="O292" s="303">
        <v>0.4</v>
      </c>
      <c r="P292" s="303">
        <v>0.3</v>
      </c>
      <c r="Q292" s="303">
        <v>0.25</v>
      </c>
      <c r="R292" s="303">
        <v>0.25</v>
      </c>
      <c r="S292" s="303">
        <v>0.25</v>
      </c>
      <c r="T292" s="303">
        <v>0.25</v>
      </c>
      <c r="U292" s="303">
        <v>0.25</v>
      </c>
      <c r="V292" s="303">
        <v>0.25</v>
      </c>
      <c r="W292" s="303">
        <v>0.25</v>
      </c>
      <c r="X292" s="303">
        <v>0.6</v>
      </c>
      <c r="Y292" s="303">
        <v>0.7</v>
      </c>
      <c r="Z292" s="303">
        <v>0.7</v>
      </c>
      <c r="AA292" s="303">
        <v>0.7</v>
      </c>
      <c r="AB292" s="303">
        <v>0.6</v>
      </c>
      <c r="AC292" s="306">
        <v>0.3</v>
      </c>
      <c r="AD292" s="39"/>
      <c r="AE292" s="39"/>
      <c r="AF292" s="39"/>
      <c r="AG292" s="39"/>
      <c r="AH292" s="39"/>
      <c r="AI292" s="39"/>
      <c r="AJ292" s="39"/>
      <c r="AK292" s="39"/>
      <c r="AM292" s="47"/>
    </row>
    <row r="293" spans="1:39" ht="38.700000000000003" hidden="1" customHeight="1" thickBot="1" x14ac:dyDescent="0.35">
      <c r="A293" s="1082"/>
      <c r="B293" s="1084"/>
      <c r="C293" s="1151"/>
      <c r="D293" s="1253"/>
      <c r="E293" s="311" t="s">
        <v>477</v>
      </c>
      <c r="F293" s="307">
        <v>0.3</v>
      </c>
      <c r="G293" s="307">
        <v>0.3</v>
      </c>
      <c r="H293" s="307">
        <v>0.2</v>
      </c>
      <c r="I293" s="307">
        <v>0.2</v>
      </c>
      <c r="J293" s="307">
        <v>0.2</v>
      </c>
      <c r="K293" s="307">
        <v>0.2</v>
      </c>
      <c r="L293" s="307">
        <v>0.3</v>
      </c>
      <c r="M293" s="307">
        <v>0.4</v>
      </c>
      <c r="N293" s="307">
        <v>0.4</v>
      </c>
      <c r="O293" s="307">
        <v>0.3</v>
      </c>
      <c r="P293" s="307">
        <v>0.3</v>
      </c>
      <c r="Q293" s="307">
        <v>0.3</v>
      </c>
      <c r="R293" s="307">
        <v>0.3</v>
      </c>
      <c r="S293" s="307">
        <v>0.2</v>
      </c>
      <c r="T293" s="307">
        <v>0.2</v>
      </c>
      <c r="U293" s="307">
        <v>0.2</v>
      </c>
      <c r="V293" s="307">
        <v>0.2</v>
      </c>
      <c r="W293" s="307">
        <v>0.2</v>
      </c>
      <c r="X293" s="307">
        <v>0.5</v>
      </c>
      <c r="Y293" s="307">
        <v>0.7</v>
      </c>
      <c r="Z293" s="307">
        <v>0.8</v>
      </c>
      <c r="AA293" s="307">
        <v>0.6</v>
      </c>
      <c r="AB293" s="307">
        <v>0.5</v>
      </c>
      <c r="AC293" s="308">
        <v>0.3</v>
      </c>
      <c r="AD293" s="39"/>
      <c r="AE293" s="39"/>
      <c r="AF293" s="39"/>
      <c r="AG293" s="39"/>
      <c r="AH293" s="39"/>
      <c r="AI293" s="39"/>
      <c r="AJ293" s="39"/>
      <c r="AK293" s="39"/>
      <c r="AM293" s="47"/>
    </row>
    <row r="294" spans="1:39" ht="38.700000000000003" hidden="1" customHeight="1" x14ac:dyDescent="0.3">
      <c r="A294" s="1087" t="str">
        <f>A288</f>
        <v>Service and Back Up prep in Basement</v>
      </c>
      <c r="B294" s="1089" t="str">
        <f>B288</f>
        <v>LargeHotelBasemet</v>
      </c>
      <c r="C294" s="1091" t="s">
        <v>765</v>
      </c>
      <c r="D294" s="1252" t="s">
        <v>764</v>
      </c>
      <c r="E294" s="312" t="s">
        <v>468</v>
      </c>
      <c r="F294" s="325">
        <v>0.3</v>
      </c>
      <c r="G294" s="325">
        <v>0.25</v>
      </c>
      <c r="H294" s="325">
        <v>0.2</v>
      </c>
      <c r="I294" s="325">
        <v>0.2</v>
      </c>
      <c r="J294" s="325">
        <v>0.2</v>
      </c>
      <c r="K294" s="325">
        <v>0.3</v>
      </c>
      <c r="L294" s="325">
        <v>0.5</v>
      </c>
      <c r="M294" s="325">
        <v>0.6</v>
      </c>
      <c r="N294" s="325">
        <v>0.5</v>
      </c>
      <c r="O294" s="325">
        <v>0.5</v>
      </c>
      <c r="P294" s="325">
        <v>0.35</v>
      </c>
      <c r="Q294" s="325">
        <v>0.35</v>
      </c>
      <c r="R294" s="325">
        <v>0.35</v>
      </c>
      <c r="S294" s="325">
        <v>0.35</v>
      </c>
      <c r="T294" s="325">
        <v>0.35</v>
      </c>
      <c r="U294" s="325">
        <v>0.35</v>
      </c>
      <c r="V294" s="325">
        <v>0.35</v>
      </c>
      <c r="W294" s="325">
        <v>0.35</v>
      </c>
      <c r="X294" s="325">
        <v>0.7</v>
      </c>
      <c r="Y294" s="325">
        <v>0.9</v>
      </c>
      <c r="Z294" s="325">
        <v>0.95</v>
      </c>
      <c r="AA294" s="325">
        <v>0.9</v>
      </c>
      <c r="AB294" s="325">
        <v>0.7</v>
      </c>
      <c r="AC294" s="326">
        <v>0.4</v>
      </c>
      <c r="AD294" s="39"/>
      <c r="AE294" s="39"/>
      <c r="AF294" s="39"/>
      <c r="AG294" s="39"/>
      <c r="AH294" s="39"/>
      <c r="AI294" s="39"/>
      <c r="AJ294" s="39"/>
      <c r="AK294" s="39"/>
      <c r="AM294" s="47"/>
    </row>
    <row r="295" spans="1:39" ht="38.700000000000003" hidden="1" customHeight="1" x14ac:dyDescent="0.3">
      <c r="A295" s="1081"/>
      <c r="B295" s="1060"/>
      <c r="C295" s="1092"/>
      <c r="D295" s="1235"/>
      <c r="E295" s="310" t="s">
        <v>475</v>
      </c>
      <c r="F295" s="303">
        <v>0.3</v>
      </c>
      <c r="G295" s="303">
        <v>0.3</v>
      </c>
      <c r="H295" s="303">
        <v>0.2</v>
      </c>
      <c r="I295" s="303">
        <v>0.2</v>
      </c>
      <c r="J295" s="303">
        <v>0.2</v>
      </c>
      <c r="K295" s="303">
        <v>0.2</v>
      </c>
      <c r="L295" s="303">
        <v>0.4</v>
      </c>
      <c r="M295" s="303">
        <v>0.4</v>
      </c>
      <c r="N295" s="303">
        <v>0.5</v>
      </c>
      <c r="O295" s="303">
        <v>0.5</v>
      </c>
      <c r="P295" s="303">
        <v>0.4</v>
      </c>
      <c r="Q295" s="303">
        <v>0.35</v>
      </c>
      <c r="R295" s="303">
        <v>0.35</v>
      </c>
      <c r="S295" s="303">
        <v>0.35</v>
      </c>
      <c r="T295" s="303">
        <v>0.35</v>
      </c>
      <c r="U295" s="303">
        <v>0.35</v>
      </c>
      <c r="V295" s="303">
        <v>0.35</v>
      </c>
      <c r="W295" s="303">
        <v>0.35</v>
      </c>
      <c r="X295" s="303">
        <v>0.7</v>
      </c>
      <c r="Y295" s="303">
        <v>0.8</v>
      </c>
      <c r="Z295" s="303">
        <v>0.8</v>
      </c>
      <c r="AA295" s="303">
        <v>0.8</v>
      </c>
      <c r="AB295" s="303">
        <v>0.7</v>
      </c>
      <c r="AC295" s="306">
        <v>0.4</v>
      </c>
      <c r="AD295" s="39"/>
      <c r="AE295" s="39"/>
      <c r="AF295" s="39"/>
      <c r="AG295" s="39"/>
      <c r="AH295" s="39"/>
      <c r="AI295" s="39"/>
      <c r="AJ295" s="39"/>
      <c r="AK295" s="39"/>
      <c r="AM295" s="47"/>
    </row>
    <row r="296" spans="1:39" ht="38.700000000000003" hidden="1" customHeight="1" thickBot="1" x14ac:dyDescent="0.35">
      <c r="A296" s="1088"/>
      <c r="B296" s="1090"/>
      <c r="C296" s="1093"/>
      <c r="D296" s="1253"/>
      <c r="E296" s="324" t="s">
        <v>477</v>
      </c>
      <c r="F296" s="327">
        <v>0.4</v>
      </c>
      <c r="G296" s="327">
        <v>0.4</v>
      </c>
      <c r="H296" s="327">
        <v>0.3</v>
      </c>
      <c r="I296" s="327">
        <v>0.3</v>
      </c>
      <c r="J296" s="327">
        <v>0.3</v>
      </c>
      <c r="K296" s="327">
        <v>0.3</v>
      </c>
      <c r="L296" s="327">
        <v>0.4</v>
      </c>
      <c r="M296" s="327">
        <v>0.5</v>
      </c>
      <c r="N296" s="327">
        <v>0.5</v>
      </c>
      <c r="O296" s="327">
        <v>0.4</v>
      </c>
      <c r="P296" s="327">
        <v>0.4</v>
      </c>
      <c r="Q296" s="327">
        <v>0.4</v>
      </c>
      <c r="R296" s="327">
        <v>0.4</v>
      </c>
      <c r="S296" s="327">
        <v>0.3</v>
      </c>
      <c r="T296" s="327">
        <v>0.3</v>
      </c>
      <c r="U296" s="327">
        <v>0.3</v>
      </c>
      <c r="V296" s="327">
        <v>0.3</v>
      </c>
      <c r="W296" s="327">
        <v>0.3</v>
      </c>
      <c r="X296" s="327">
        <v>0.6</v>
      </c>
      <c r="Y296" s="327">
        <v>0.8</v>
      </c>
      <c r="Z296" s="327">
        <v>0.9</v>
      </c>
      <c r="AA296" s="327">
        <v>0.7</v>
      </c>
      <c r="AB296" s="327">
        <v>0.6</v>
      </c>
      <c r="AC296" s="328">
        <v>0.4</v>
      </c>
      <c r="AD296" s="39"/>
      <c r="AE296" s="39"/>
      <c r="AF296" s="39"/>
      <c r="AG296" s="39"/>
      <c r="AH296" s="39"/>
      <c r="AI296" s="39"/>
      <c r="AJ296" s="39"/>
      <c r="AK296" s="39"/>
      <c r="AM296" s="47"/>
    </row>
    <row r="297" spans="1:39" ht="38.4" hidden="1" customHeight="1" x14ac:dyDescent="0.3">
      <c r="A297" s="1068" t="str">
        <f>A288</f>
        <v>Service and Back Up prep in Basement</v>
      </c>
      <c r="B297" s="1059" t="str">
        <f>B288</f>
        <v>LargeHotelBasemet</v>
      </c>
      <c r="C297" s="1059" t="s">
        <v>766</v>
      </c>
      <c r="D297" s="1252" t="s">
        <v>764</v>
      </c>
      <c r="E297" s="498" t="s">
        <v>468</v>
      </c>
      <c r="F297" s="499">
        <v>1</v>
      </c>
      <c r="G297" s="499">
        <v>1</v>
      </c>
      <c r="H297" s="499">
        <v>1</v>
      </c>
      <c r="I297" s="499">
        <v>1</v>
      </c>
      <c r="J297" s="499">
        <v>1</v>
      </c>
      <c r="K297" s="499">
        <v>1</v>
      </c>
      <c r="L297" s="499">
        <v>1</v>
      </c>
      <c r="M297" s="499">
        <v>1</v>
      </c>
      <c r="N297" s="499">
        <v>1</v>
      </c>
      <c r="O297" s="499">
        <v>1</v>
      </c>
      <c r="P297" s="499">
        <v>1</v>
      </c>
      <c r="Q297" s="499">
        <v>1</v>
      </c>
      <c r="R297" s="499">
        <v>1</v>
      </c>
      <c r="S297" s="499">
        <v>1</v>
      </c>
      <c r="T297" s="499">
        <v>1</v>
      </c>
      <c r="U297" s="499">
        <v>1</v>
      </c>
      <c r="V297" s="499">
        <v>1</v>
      </c>
      <c r="W297" s="499">
        <v>1</v>
      </c>
      <c r="X297" s="499">
        <v>1</v>
      </c>
      <c r="Y297" s="499">
        <v>1</v>
      </c>
      <c r="Z297" s="499">
        <v>1</v>
      </c>
      <c r="AA297" s="499">
        <v>1</v>
      </c>
      <c r="AB297" s="499">
        <v>1</v>
      </c>
      <c r="AC297" s="500">
        <v>1</v>
      </c>
      <c r="AD297" s="39"/>
      <c r="AE297" s="39"/>
      <c r="AF297" s="39"/>
      <c r="AG297" s="39"/>
      <c r="AH297" s="39"/>
      <c r="AI297" s="39"/>
      <c r="AJ297" s="39"/>
      <c r="AK297" s="39"/>
      <c r="AM297" s="47"/>
    </row>
    <row r="298" spans="1:39" ht="38.700000000000003" hidden="1" customHeight="1" x14ac:dyDescent="0.3">
      <c r="A298" s="1069"/>
      <c r="B298" s="1060"/>
      <c r="C298" s="1060"/>
      <c r="D298" s="1235"/>
      <c r="E298" s="472" t="s">
        <v>475</v>
      </c>
      <c r="F298" s="489">
        <v>1</v>
      </c>
      <c r="G298" s="489">
        <v>1</v>
      </c>
      <c r="H298" s="489">
        <v>1</v>
      </c>
      <c r="I298" s="489">
        <v>1</v>
      </c>
      <c r="J298" s="489">
        <v>1</v>
      </c>
      <c r="K298" s="489">
        <v>1</v>
      </c>
      <c r="L298" s="489">
        <v>1</v>
      </c>
      <c r="M298" s="489">
        <v>1</v>
      </c>
      <c r="N298" s="489">
        <v>1</v>
      </c>
      <c r="O298" s="489">
        <v>1</v>
      </c>
      <c r="P298" s="489">
        <v>1</v>
      </c>
      <c r="Q298" s="489">
        <v>1</v>
      </c>
      <c r="R298" s="489">
        <v>1</v>
      </c>
      <c r="S298" s="489">
        <v>1</v>
      </c>
      <c r="T298" s="489">
        <v>1</v>
      </c>
      <c r="U298" s="489">
        <v>1</v>
      </c>
      <c r="V298" s="489">
        <v>1</v>
      </c>
      <c r="W298" s="489">
        <v>1</v>
      </c>
      <c r="X298" s="489">
        <v>1</v>
      </c>
      <c r="Y298" s="489">
        <v>1</v>
      </c>
      <c r="Z298" s="489">
        <v>1</v>
      </c>
      <c r="AA298" s="489">
        <v>1</v>
      </c>
      <c r="AB298" s="489">
        <v>1</v>
      </c>
      <c r="AC298" s="501">
        <v>1</v>
      </c>
      <c r="AD298" s="39"/>
      <c r="AE298" s="39"/>
      <c r="AF298" s="39"/>
      <c r="AG298" s="39"/>
      <c r="AH298" s="39"/>
      <c r="AI298" s="39"/>
      <c r="AJ298" s="39"/>
      <c r="AK298" s="39"/>
      <c r="AM298" s="47"/>
    </row>
    <row r="299" spans="1:39" ht="38.4" hidden="1" customHeight="1" thickBot="1" x14ac:dyDescent="0.35">
      <c r="A299" s="1070"/>
      <c r="B299" s="1061"/>
      <c r="C299" s="1061"/>
      <c r="D299" s="1253"/>
      <c r="E299" s="502" t="s">
        <v>477</v>
      </c>
      <c r="F299" s="503">
        <v>1</v>
      </c>
      <c r="G299" s="503">
        <v>1</v>
      </c>
      <c r="H299" s="503">
        <v>1</v>
      </c>
      <c r="I299" s="503">
        <v>1</v>
      </c>
      <c r="J299" s="503">
        <v>1</v>
      </c>
      <c r="K299" s="503">
        <v>1</v>
      </c>
      <c r="L299" s="503">
        <v>1</v>
      </c>
      <c r="M299" s="503">
        <v>1</v>
      </c>
      <c r="N299" s="503">
        <v>1</v>
      </c>
      <c r="O299" s="503">
        <v>1</v>
      </c>
      <c r="P299" s="503">
        <v>1</v>
      </c>
      <c r="Q299" s="503">
        <v>1</v>
      </c>
      <c r="R299" s="503">
        <v>1</v>
      </c>
      <c r="S299" s="503">
        <v>1</v>
      </c>
      <c r="T299" s="503">
        <v>1</v>
      </c>
      <c r="U299" s="503">
        <v>1</v>
      </c>
      <c r="V299" s="503">
        <v>1</v>
      </c>
      <c r="W299" s="503">
        <v>1</v>
      </c>
      <c r="X299" s="503">
        <v>1</v>
      </c>
      <c r="Y299" s="503">
        <v>1</v>
      </c>
      <c r="Z299" s="503">
        <v>1</v>
      </c>
      <c r="AA299" s="503">
        <v>1</v>
      </c>
      <c r="AB299" s="503">
        <v>1</v>
      </c>
      <c r="AC299" s="504">
        <v>1</v>
      </c>
      <c r="AD299" s="39"/>
      <c r="AE299" s="39"/>
      <c r="AF299" s="39"/>
      <c r="AG299" s="39"/>
      <c r="AH299" s="39"/>
      <c r="AI299" s="39"/>
      <c r="AJ299" s="39"/>
      <c r="AK299" s="39"/>
      <c r="AM299" s="47"/>
    </row>
    <row r="300" spans="1:39" ht="38.700000000000003" hidden="1" customHeight="1" x14ac:dyDescent="0.3">
      <c r="A300" s="1056" t="str">
        <f>A288</f>
        <v>Service and Back Up prep in Basement</v>
      </c>
      <c r="B300" s="1059" t="str">
        <f>B288</f>
        <v>LargeHotelBasemet</v>
      </c>
      <c r="C300" s="1059" t="s">
        <v>768</v>
      </c>
      <c r="D300" s="1234" t="s">
        <v>769</v>
      </c>
      <c r="E300" s="370" t="s">
        <v>468</v>
      </c>
      <c r="F300" s="493">
        <v>1</v>
      </c>
      <c r="G300" s="493">
        <v>1</v>
      </c>
      <c r="H300" s="493">
        <v>1</v>
      </c>
      <c r="I300" s="493">
        <v>1</v>
      </c>
      <c r="J300" s="493">
        <v>1</v>
      </c>
      <c r="K300" s="493">
        <v>0.75</v>
      </c>
      <c r="L300" s="493">
        <v>0.75</v>
      </c>
      <c r="M300" s="493">
        <v>0.75</v>
      </c>
      <c r="N300" s="493">
        <v>0.4</v>
      </c>
      <c r="O300" s="493">
        <v>0.4</v>
      </c>
      <c r="P300" s="493">
        <v>0.4</v>
      </c>
      <c r="Q300" s="493">
        <v>0.4</v>
      </c>
      <c r="R300" s="493">
        <v>0.4</v>
      </c>
      <c r="S300" s="493">
        <v>0.4</v>
      </c>
      <c r="T300" s="493">
        <v>0.4</v>
      </c>
      <c r="U300" s="493">
        <v>0.4</v>
      </c>
      <c r="V300" s="493">
        <v>0.4</v>
      </c>
      <c r="W300" s="493">
        <v>0.75</v>
      </c>
      <c r="X300" s="493">
        <v>0.75</v>
      </c>
      <c r="Y300" s="493">
        <v>0.75</v>
      </c>
      <c r="Z300" s="493">
        <v>0.75</v>
      </c>
      <c r="AA300" s="493">
        <v>1</v>
      </c>
      <c r="AB300" s="493">
        <v>1</v>
      </c>
      <c r="AC300" s="494">
        <v>1</v>
      </c>
      <c r="AD300" s="39"/>
      <c r="AE300" s="39"/>
      <c r="AF300" s="39"/>
      <c r="AG300" s="39"/>
      <c r="AH300" s="39"/>
      <c r="AI300" s="39"/>
      <c r="AJ300" s="39"/>
      <c r="AK300" s="39"/>
      <c r="AM300" s="47"/>
    </row>
    <row r="301" spans="1:39" ht="38.700000000000003" hidden="1" customHeight="1" x14ac:dyDescent="0.3">
      <c r="A301" s="1057"/>
      <c r="B301" s="1060"/>
      <c r="C301" s="1060"/>
      <c r="D301" s="1235"/>
      <c r="E301" s="310" t="s">
        <v>475</v>
      </c>
      <c r="F301" s="330">
        <v>0.9</v>
      </c>
      <c r="G301" s="330">
        <v>0.9</v>
      </c>
      <c r="H301" s="330">
        <v>0.9</v>
      </c>
      <c r="I301" s="330">
        <v>0.9</v>
      </c>
      <c r="J301" s="330">
        <v>0.9</v>
      </c>
      <c r="K301" s="330">
        <v>0.65</v>
      </c>
      <c r="L301" s="330">
        <v>0.65</v>
      </c>
      <c r="M301" s="330">
        <v>0.65</v>
      </c>
      <c r="N301" s="330">
        <v>0.3</v>
      </c>
      <c r="O301" s="330">
        <v>0.3</v>
      </c>
      <c r="P301" s="330">
        <v>0.3</v>
      </c>
      <c r="Q301" s="330">
        <v>0.3</v>
      </c>
      <c r="R301" s="330">
        <v>0.3</v>
      </c>
      <c r="S301" s="330">
        <v>0.3</v>
      </c>
      <c r="T301" s="330">
        <v>0.3</v>
      </c>
      <c r="U301" s="330">
        <v>0.3</v>
      </c>
      <c r="V301" s="330">
        <v>0.3</v>
      </c>
      <c r="W301" s="330">
        <v>0.7</v>
      </c>
      <c r="X301" s="330">
        <v>0.7</v>
      </c>
      <c r="Y301" s="330">
        <v>0.7</v>
      </c>
      <c r="Z301" s="330">
        <v>0.7</v>
      </c>
      <c r="AA301" s="330">
        <v>0.9</v>
      </c>
      <c r="AB301" s="330">
        <v>0.9</v>
      </c>
      <c r="AC301" s="495">
        <v>0.9</v>
      </c>
      <c r="AD301" s="39"/>
      <c r="AE301" s="39"/>
      <c r="AF301" s="39"/>
      <c r="AG301" s="39"/>
      <c r="AH301" s="39"/>
      <c r="AI301" s="39"/>
      <c r="AJ301" s="39"/>
      <c r="AK301" s="39"/>
      <c r="AM301" s="47"/>
    </row>
    <row r="302" spans="1:39" ht="38.700000000000003" hidden="1" customHeight="1" thickBot="1" x14ac:dyDescent="0.35">
      <c r="A302" s="1058"/>
      <c r="B302" s="1061"/>
      <c r="C302" s="1061"/>
      <c r="D302" s="1236"/>
      <c r="E302" s="374" t="s">
        <v>477</v>
      </c>
      <c r="F302" s="496">
        <f>F301</f>
        <v>0.9</v>
      </c>
      <c r="G302" s="496">
        <f t="shared" ref="G302:AB302" si="29">G301</f>
        <v>0.9</v>
      </c>
      <c r="H302" s="496">
        <f t="shared" si="29"/>
        <v>0.9</v>
      </c>
      <c r="I302" s="496">
        <f t="shared" si="29"/>
        <v>0.9</v>
      </c>
      <c r="J302" s="496">
        <f t="shared" si="29"/>
        <v>0.9</v>
      </c>
      <c r="K302" s="496">
        <f t="shared" si="29"/>
        <v>0.65</v>
      </c>
      <c r="L302" s="496">
        <f t="shared" si="29"/>
        <v>0.65</v>
      </c>
      <c r="M302" s="496">
        <f t="shared" si="29"/>
        <v>0.65</v>
      </c>
      <c r="N302" s="496">
        <f t="shared" si="29"/>
        <v>0.3</v>
      </c>
      <c r="O302" s="496">
        <f t="shared" si="29"/>
        <v>0.3</v>
      </c>
      <c r="P302" s="496">
        <f t="shared" si="29"/>
        <v>0.3</v>
      </c>
      <c r="Q302" s="496">
        <f t="shared" si="29"/>
        <v>0.3</v>
      </c>
      <c r="R302" s="496">
        <f t="shared" si="29"/>
        <v>0.3</v>
      </c>
      <c r="S302" s="496">
        <f t="shared" si="29"/>
        <v>0.3</v>
      </c>
      <c r="T302" s="496">
        <f t="shared" si="29"/>
        <v>0.3</v>
      </c>
      <c r="U302" s="496">
        <f t="shared" si="29"/>
        <v>0.3</v>
      </c>
      <c r="V302" s="496">
        <f t="shared" si="29"/>
        <v>0.3</v>
      </c>
      <c r="W302" s="496">
        <f t="shared" si="29"/>
        <v>0.7</v>
      </c>
      <c r="X302" s="496">
        <f t="shared" si="29"/>
        <v>0.7</v>
      </c>
      <c r="Y302" s="496">
        <f t="shared" si="29"/>
        <v>0.7</v>
      </c>
      <c r="Z302" s="496">
        <f t="shared" si="29"/>
        <v>0.7</v>
      </c>
      <c r="AA302" s="496">
        <f t="shared" si="29"/>
        <v>0.9</v>
      </c>
      <c r="AB302" s="496">
        <f t="shared" si="29"/>
        <v>0.9</v>
      </c>
      <c r="AC302" s="497">
        <f>AC301</f>
        <v>0.9</v>
      </c>
      <c r="AD302" s="39"/>
      <c r="AE302" s="39"/>
      <c r="AF302" s="39"/>
      <c r="AG302" s="39"/>
      <c r="AH302" s="39"/>
      <c r="AI302" s="39"/>
      <c r="AJ302" s="39"/>
      <c r="AK302" s="39"/>
      <c r="AM302" s="47"/>
    </row>
    <row r="303" spans="1:39" ht="34.200000000000003" hidden="1" customHeight="1" x14ac:dyDescent="0.3">
      <c r="A303" s="1056" t="s">
        <v>822</v>
      </c>
      <c r="B303" s="1166" t="s">
        <v>150</v>
      </c>
      <c r="C303" s="1059" t="s">
        <v>761</v>
      </c>
      <c r="D303" s="1169" t="s">
        <v>800</v>
      </c>
      <c r="E303" s="93" t="s">
        <v>468</v>
      </c>
      <c r="F303" s="68">
        <v>0</v>
      </c>
      <c r="G303" s="68">
        <v>0</v>
      </c>
      <c r="H303" s="68">
        <v>0</v>
      </c>
      <c r="I303" s="68">
        <v>0</v>
      </c>
      <c r="J303" s="68">
        <v>0</v>
      </c>
      <c r="K303" s="68">
        <v>0</v>
      </c>
      <c r="L303" s="68">
        <v>0.1</v>
      </c>
      <c r="M303" s="68">
        <v>0.2</v>
      </c>
      <c r="N303" s="68">
        <v>0.95</v>
      </c>
      <c r="O303" s="68">
        <v>0.95</v>
      </c>
      <c r="P303" s="68">
        <v>0.95</v>
      </c>
      <c r="Q303" s="68">
        <v>0.95</v>
      </c>
      <c r="R303" s="68">
        <v>0.5</v>
      </c>
      <c r="S303" s="68">
        <v>0.95</v>
      </c>
      <c r="T303" s="68">
        <v>0.95</v>
      </c>
      <c r="U303" s="68">
        <v>0.95</v>
      </c>
      <c r="V303" s="68">
        <v>0.95</v>
      </c>
      <c r="W303" s="68">
        <v>0.3</v>
      </c>
      <c r="X303" s="68">
        <v>0.1</v>
      </c>
      <c r="Y303" s="68">
        <v>0.1</v>
      </c>
      <c r="Z303" s="68">
        <v>0.1</v>
      </c>
      <c r="AA303" s="68">
        <v>0.1</v>
      </c>
      <c r="AB303" s="68">
        <v>0.05</v>
      </c>
      <c r="AC303" s="71">
        <v>0.05</v>
      </c>
    </row>
    <row r="304" spans="1:39" ht="34.200000000000003" hidden="1" customHeight="1" x14ac:dyDescent="0.3">
      <c r="A304" s="1057"/>
      <c r="B304" s="1167"/>
      <c r="C304" s="1060"/>
      <c r="D304" s="1170"/>
      <c r="E304" s="94" t="s">
        <v>475</v>
      </c>
      <c r="F304" s="69">
        <v>0</v>
      </c>
      <c r="G304" s="69">
        <v>0</v>
      </c>
      <c r="H304" s="69">
        <v>0</v>
      </c>
      <c r="I304" s="69">
        <v>0</v>
      </c>
      <c r="J304" s="69">
        <v>0</v>
      </c>
      <c r="K304" s="69">
        <v>0</v>
      </c>
      <c r="L304" s="475">
        <v>0.05</v>
      </c>
      <c r="M304" s="475">
        <v>0.05</v>
      </c>
      <c r="N304" s="475">
        <v>0.05</v>
      </c>
      <c r="O304" s="475">
        <v>0.05</v>
      </c>
      <c r="P304" s="475">
        <v>0.05</v>
      </c>
      <c r="Q304" s="475">
        <v>0.05</v>
      </c>
      <c r="R304" s="475">
        <v>0.05</v>
      </c>
      <c r="S304" s="475">
        <v>0.05</v>
      </c>
      <c r="T304" s="475">
        <v>0.05</v>
      </c>
      <c r="U304" s="475">
        <v>0.05</v>
      </c>
      <c r="V304" s="475">
        <v>0.05</v>
      </c>
      <c r="W304" s="475">
        <v>0.05</v>
      </c>
      <c r="X304" s="476">
        <v>0</v>
      </c>
      <c r="Y304" s="69">
        <v>0</v>
      </c>
      <c r="Z304" s="69">
        <v>0</v>
      </c>
      <c r="AA304" s="69">
        <v>0</v>
      </c>
      <c r="AB304" s="69">
        <v>0</v>
      </c>
      <c r="AC304" s="72">
        <v>0</v>
      </c>
    </row>
    <row r="305" spans="1:29" ht="34.200000000000003" hidden="1" customHeight="1" thickBot="1" x14ac:dyDescent="0.35">
      <c r="A305" s="1058"/>
      <c r="B305" s="1168"/>
      <c r="C305" s="1090"/>
      <c r="D305" s="1171"/>
      <c r="E305" s="415" t="s">
        <v>477</v>
      </c>
      <c r="F305" s="96">
        <v>0</v>
      </c>
      <c r="G305" s="96">
        <v>0</v>
      </c>
      <c r="H305" s="96">
        <v>0</v>
      </c>
      <c r="I305" s="96">
        <v>0</v>
      </c>
      <c r="J305" s="96">
        <v>0</v>
      </c>
      <c r="K305" s="96">
        <v>0</v>
      </c>
      <c r="L305" s="96">
        <v>0.05</v>
      </c>
      <c r="M305" s="96">
        <v>0.05</v>
      </c>
      <c r="N305" s="96">
        <v>0.05</v>
      </c>
      <c r="O305" s="96">
        <v>0.05</v>
      </c>
      <c r="P305" s="96">
        <v>0.05</v>
      </c>
      <c r="Q305" s="96">
        <v>0.05</v>
      </c>
      <c r="R305" s="96">
        <v>0.05</v>
      </c>
      <c r="S305" s="96">
        <v>0.05</v>
      </c>
      <c r="T305" s="96">
        <v>0.05</v>
      </c>
      <c r="U305" s="96">
        <v>0.05</v>
      </c>
      <c r="V305" s="96">
        <v>0.05</v>
      </c>
      <c r="W305" s="96">
        <v>0.05</v>
      </c>
      <c r="X305" s="96">
        <v>0</v>
      </c>
      <c r="Y305" s="96">
        <v>0</v>
      </c>
      <c r="Z305" s="96">
        <v>0</v>
      </c>
      <c r="AA305" s="96">
        <v>0</v>
      </c>
      <c r="AB305" s="96">
        <v>0</v>
      </c>
      <c r="AC305" s="417">
        <v>0</v>
      </c>
    </row>
    <row r="306" spans="1:29" ht="34.200000000000003" hidden="1" customHeight="1" x14ac:dyDescent="0.3">
      <c r="A306" s="1056" t="str">
        <f>A303</f>
        <v>Conference and Office in Basement</v>
      </c>
      <c r="B306" s="1166" t="str">
        <f>B303</f>
        <v>Office</v>
      </c>
      <c r="C306" s="1089" t="s">
        <v>763</v>
      </c>
      <c r="D306" s="1169" t="s">
        <v>800</v>
      </c>
      <c r="E306" s="309" t="s">
        <v>468</v>
      </c>
      <c r="F306" s="68">
        <v>0.05</v>
      </c>
      <c r="G306" s="68">
        <v>0.05</v>
      </c>
      <c r="H306" s="68">
        <v>0.05</v>
      </c>
      <c r="I306" s="68">
        <v>0.05</v>
      </c>
      <c r="J306" s="68">
        <v>0.05</v>
      </c>
      <c r="K306" s="68">
        <v>0.1</v>
      </c>
      <c r="L306" s="68">
        <v>0.1</v>
      </c>
      <c r="M306" s="68">
        <v>0.3</v>
      </c>
      <c r="N306" s="68">
        <v>0.65</v>
      </c>
      <c r="O306" s="68">
        <v>0.65</v>
      </c>
      <c r="P306" s="68">
        <v>0.65</v>
      </c>
      <c r="Q306" s="68">
        <v>0.65</v>
      </c>
      <c r="R306" s="68">
        <v>0.65</v>
      </c>
      <c r="S306" s="68">
        <v>0.65</v>
      </c>
      <c r="T306" s="68">
        <v>0.65</v>
      </c>
      <c r="U306" s="68">
        <v>0.65</v>
      </c>
      <c r="V306" s="68">
        <v>0.65</v>
      </c>
      <c r="W306" s="68">
        <v>0.35</v>
      </c>
      <c r="X306" s="68">
        <v>0.3</v>
      </c>
      <c r="Y306" s="68">
        <v>0.3</v>
      </c>
      <c r="Z306" s="68">
        <v>0.2</v>
      </c>
      <c r="AA306" s="68">
        <v>0.2</v>
      </c>
      <c r="AB306" s="68">
        <v>0.1</v>
      </c>
      <c r="AC306" s="71">
        <v>0.05</v>
      </c>
    </row>
    <row r="307" spans="1:29" ht="34.200000000000003" hidden="1" customHeight="1" x14ac:dyDescent="0.3">
      <c r="A307" s="1057"/>
      <c r="B307" s="1167"/>
      <c r="C307" s="1060"/>
      <c r="D307" s="1170"/>
      <c r="E307" s="310" t="s">
        <v>475</v>
      </c>
      <c r="F307" s="69">
        <v>0.05</v>
      </c>
      <c r="G307" s="69">
        <v>0.05</v>
      </c>
      <c r="H307" s="69">
        <v>0.05</v>
      </c>
      <c r="I307" s="69">
        <v>0.05</v>
      </c>
      <c r="J307" s="69">
        <v>0.05</v>
      </c>
      <c r="K307" s="69">
        <v>0.05</v>
      </c>
      <c r="L307" s="69">
        <v>0.1</v>
      </c>
      <c r="M307" s="69">
        <v>0.1</v>
      </c>
      <c r="N307" s="69">
        <v>0.3</v>
      </c>
      <c r="O307" s="69">
        <v>0.3</v>
      </c>
      <c r="P307" s="69">
        <v>0.3</v>
      </c>
      <c r="Q307" s="69">
        <v>0.3</v>
      </c>
      <c r="R307" s="69">
        <v>0.15</v>
      </c>
      <c r="S307" s="69">
        <v>0.15</v>
      </c>
      <c r="T307" s="69">
        <v>0.15</v>
      </c>
      <c r="U307" s="69">
        <v>0.15</v>
      </c>
      <c r="V307" s="69">
        <v>0.15</v>
      </c>
      <c r="W307" s="69">
        <v>0.05</v>
      </c>
      <c r="X307" s="69">
        <v>0.05</v>
      </c>
      <c r="Y307" s="69">
        <v>0.05</v>
      </c>
      <c r="Z307" s="69">
        <v>0.05</v>
      </c>
      <c r="AA307" s="69">
        <v>0.05</v>
      </c>
      <c r="AB307" s="69">
        <v>0.05</v>
      </c>
      <c r="AC307" s="72">
        <v>0.05</v>
      </c>
    </row>
    <row r="308" spans="1:29" ht="34.200000000000003" hidden="1" customHeight="1" thickBot="1" x14ac:dyDescent="0.35">
      <c r="A308" s="1058"/>
      <c r="B308" s="1168"/>
      <c r="C308" s="1090"/>
      <c r="D308" s="1171"/>
      <c r="E308" s="324" t="s">
        <v>477</v>
      </c>
      <c r="F308" s="70">
        <v>0.05</v>
      </c>
      <c r="G308" s="70">
        <v>0.05</v>
      </c>
      <c r="H308" s="70">
        <v>0.05</v>
      </c>
      <c r="I308" s="70">
        <v>0.05</v>
      </c>
      <c r="J308" s="70">
        <v>0.05</v>
      </c>
      <c r="K308" s="70">
        <v>0.05</v>
      </c>
      <c r="L308" s="70">
        <v>0.05</v>
      </c>
      <c r="M308" s="70">
        <v>0.05</v>
      </c>
      <c r="N308" s="70">
        <v>0.05</v>
      </c>
      <c r="O308" s="70">
        <v>0.05</v>
      </c>
      <c r="P308" s="70">
        <v>0.05</v>
      </c>
      <c r="Q308" s="70">
        <v>0.05</v>
      </c>
      <c r="R308" s="70">
        <v>0.05</v>
      </c>
      <c r="S308" s="70">
        <v>0.05</v>
      </c>
      <c r="T308" s="70">
        <v>0.05</v>
      </c>
      <c r="U308" s="70">
        <v>0.05</v>
      </c>
      <c r="V308" s="70">
        <v>0.05</v>
      </c>
      <c r="W308" s="70">
        <v>0.05</v>
      </c>
      <c r="X308" s="70">
        <v>0.05</v>
      </c>
      <c r="Y308" s="70">
        <v>0.05</v>
      </c>
      <c r="Z308" s="70">
        <v>0.05</v>
      </c>
      <c r="AA308" s="70">
        <v>0.05</v>
      </c>
      <c r="AB308" s="70">
        <v>0.05</v>
      </c>
      <c r="AC308" s="73">
        <v>0.05</v>
      </c>
    </row>
    <row r="309" spans="1:29" ht="34.200000000000003" hidden="1" customHeight="1" x14ac:dyDescent="0.3">
      <c r="A309" s="1056" t="str">
        <f t="shared" ref="A309" si="30">A306</f>
        <v>Conference and Office in Basement</v>
      </c>
      <c r="B309" s="1166" t="str">
        <f>B303</f>
        <v>Office</v>
      </c>
      <c r="C309" s="1089" t="s">
        <v>801</v>
      </c>
      <c r="D309" s="1221" t="s">
        <v>654</v>
      </c>
      <c r="E309" s="309" t="s">
        <v>468</v>
      </c>
      <c r="F309" s="477">
        <v>0.45</v>
      </c>
      <c r="G309" s="477">
        <v>0.45</v>
      </c>
      <c r="H309" s="477">
        <v>0.45</v>
      </c>
      <c r="I309" s="477">
        <v>0.45</v>
      </c>
      <c r="J309" s="477">
        <v>0.45</v>
      </c>
      <c r="K309" s="477">
        <v>0.45</v>
      </c>
      <c r="L309" s="477">
        <v>0.45</v>
      </c>
      <c r="M309" s="477">
        <v>0.74</v>
      </c>
      <c r="N309" s="477">
        <v>0.87</v>
      </c>
      <c r="O309" s="477">
        <v>0.9</v>
      </c>
      <c r="P309" s="477">
        <v>0.9</v>
      </c>
      <c r="Q309" s="477">
        <v>0.9</v>
      </c>
      <c r="R309" s="477">
        <v>0.9</v>
      </c>
      <c r="S309" s="477">
        <v>0.9</v>
      </c>
      <c r="T309" s="477">
        <v>0.9</v>
      </c>
      <c r="U309" s="477">
        <v>0.9</v>
      </c>
      <c r="V309" s="477">
        <v>0.9</v>
      </c>
      <c r="W309" s="477">
        <v>0.7</v>
      </c>
      <c r="X309" s="477">
        <v>0.5</v>
      </c>
      <c r="Y309" s="477">
        <v>0.5</v>
      </c>
      <c r="Z309" s="477">
        <v>0.5</v>
      </c>
      <c r="AA309" s="477">
        <v>0.45</v>
      </c>
      <c r="AB309" s="477">
        <v>0.45</v>
      </c>
      <c r="AC309" s="478">
        <v>0.45</v>
      </c>
    </row>
    <row r="310" spans="1:29" ht="34.200000000000003" hidden="1" customHeight="1" x14ac:dyDescent="0.3">
      <c r="A310" s="1057"/>
      <c r="B310" s="1167"/>
      <c r="C310" s="1060"/>
      <c r="D310" s="1222"/>
      <c r="E310" s="310" t="s">
        <v>475</v>
      </c>
      <c r="F310" s="405">
        <v>0.43</v>
      </c>
      <c r="G310" s="405">
        <v>0.43</v>
      </c>
      <c r="H310" s="405">
        <v>0.43</v>
      </c>
      <c r="I310" s="405">
        <v>0.43</v>
      </c>
      <c r="J310" s="405">
        <v>0.43</v>
      </c>
      <c r="K310" s="405">
        <v>0.43</v>
      </c>
      <c r="L310" s="405">
        <v>0.43</v>
      </c>
      <c r="M310" s="405">
        <v>0.43</v>
      </c>
      <c r="N310" s="405">
        <v>0.43</v>
      </c>
      <c r="O310" s="405">
        <v>0.43</v>
      </c>
      <c r="P310" s="405">
        <v>0.43</v>
      </c>
      <c r="Q310" s="405">
        <v>0.43</v>
      </c>
      <c r="R310" s="405">
        <v>0.43</v>
      </c>
      <c r="S310" s="405">
        <v>0.43</v>
      </c>
      <c r="T310" s="405">
        <v>0.43</v>
      </c>
      <c r="U310" s="405">
        <v>0.43</v>
      </c>
      <c r="V310" s="405">
        <v>0.43</v>
      </c>
      <c r="W310" s="405">
        <v>0.43</v>
      </c>
      <c r="X310" s="405">
        <v>0.43</v>
      </c>
      <c r="Y310" s="405">
        <v>0.43</v>
      </c>
      <c r="Z310" s="405">
        <v>0.43</v>
      </c>
      <c r="AA310" s="405">
        <v>0.43</v>
      </c>
      <c r="AB310" s="405">
        <v>0.43</v>
      </c>
      <c r="AC310" s="479">
        <v>0.43</v>
      </c>
    </row>
    <row r="311" spans="1:29" ht="34.200000000000003" hidden="1" customHeight="1" thickBot="1" x14ac:dyDescent="0.35">
      <c r="A311" s="1058"/>
      <c r="B311" s="1168"/>
      <c r="C311" s="1084"/>
      <c r="D311" s="1223"/>
      <c r="E311" s="311" t="s">
        <v>477</v>
      </c>
      <c r="F311" s="480">
        <v>0.43</v>
      </c>
      <c r="G311" s="480">
        <v>0.43</v>
      </c>
      <c r="H311" s="480">
        <v>0.43</v>
      </c>
      <c r="I311" s="480">
        <v>0.43</v>
      </c>
      <c r="J311" s="480">
        <v>0.43</v>
      </c>
      <c r="K311" s="480">
        <v>0.43</v>
      </c>
      <c r="L311" s="480">
        <v>0.43</v>
      </c>
      <c r="M311" s="480">
        <v>0.43</v>
      </c>
      <c r="N311" s="480">
        <v>0.43</v>
      </c>
      <c r="O311" s="480">
        <v>0.43</v>
      </c>
      <c r="P311" s="480">
        <v>0.43</v>
      </c>
      <c r="Q311" s="480">
        <v>0.43</v>
      </c>
      <c r="R311" s="480">
        <v>0.43</v>
      </c>
      <c r="S311" s="480">
        <v>0.43</v>
      </c>
      <c r="T311" s="480">
        <v>0.43</v>
      </c>
      <c r="U311" s="480">
        <v>0.43</v>
      </c>
      <c r="V311" s="480">
        <v>0.43</v>
      </c>
      <c r="W311" s="480">
        <v>0.43</v>
      </c>
      <c r="X311" s="480">
        <v>0.43</v>
      </c>
      <c r="Y311" s="480">
        <v>0.43</v>
      </c>
      <c r="Z311" s="480">
        <v>0.43</v>
      </c>
      <c r="AA311" s="480">
        <v>0.43</v>
      </c>
      <c r="AB311" s="480">
        <v>0.43</v>
      </c>
      <c r="AC311" s="481">
        <v>0.43</v>
      </c>
    </row>
    <row r="312" spans="1:29" ht="23.4" hidden="1" customHeight="1" x14ac:dyDescent="0.3">
      <c r="A312" s="1056" t="str">
        <f>A303</f>
        <v>Conference and Office in Basement</v>
      </c>
      <c r="B312" s="1166" t="str">
        <f>B303</f>
        <v>Office</v>
      </c>
      <c r="C312" s="1083" t="s">
        <v>766</v>
      </c>
      <c r="D312" s="1169" t="s">
        <v>800</v>
      </c>
      <c r="E312" s="312" t="s">
        <v>468</v>
      </c>
      <c r="F312" s="427">
        <v>0</v>
      </c>
      <c r="G312" s="427">
        <v>0</v>
      </c>
      <c r="H312" s="427">
        <v>0</v>
      </c>
      <c r="I312" s="427">
        <v>0</v>
      </c>
      <c r="J312" s="427">
        <v>0</v>
      </c>
      <c r="K312" s="427">
        <v>1</v>
      </c>
      <c r="L312" s="427">
        <v>1</v>
      </c>
      <c r="M312" s="427">
        <v>1</v>
      </c>
      <c r="N312" s="427">
        <v>1</v>
      </c>
      <c r="O312" s="427">
        <v>1</v>
      </c>
      <c r="P312" s="427">
        <v>1</v>
      </c>
      <c r="Q312" s="427">
        <v>1</v>
      </c>
      <c r="R312" s="427">
        <v>1</v>
      </c>
      <c r="S312" s="427">
        <v>1</v>
      </c>
      <c r="T312" s="427">
        <v>1</v>
      </c>
      <c r="U312" s="427">
        <v>1</v>
      </c>
      <c r="V312" s="427">
        <v>1</v>
      </c>
      <c r="W312" s="427">
        <v>1</v>
      </c>
      <c r="X312" s="427">
        <v>1</v>
      </c>
      <c r="Y312" s="427">
        <v>1</v>
      </c>
      <c r="Z312" s="427">
        <v>1</v>
      </c>
      <c r="AA312" s="427">
        <v>1</v>
      </c>
      <c r="AB312" s="427">
        <v>1</v>
      </c>
      <c r="AC312" s="429">
        <v>1</v>
      </c>
    </row>
    <row r="313" spans="1:29" ht="34.200000000000003" hidden="1" customHeight="1" x14ac:dyDescent="0.3">
      <c r="A313" s="1057"/>
      <c r="B313" s="1167"/>
      <c r="C313" s="1060"/>
      <c r="D313" s="1170"/>
      <c r="E313" s="310" t="s">
        <v>475</v>
      </c>
      <c r="F313" s="69">
        <v>0</v>
      </c>
      <c r="G313" s="69">
        <v>0</v>
      </c>
      <c r="H313" s="69">
        <v>0</v>
      </c>
      <c r="I313" s="69">
        <v>0</v>
      </c>
      <c r="J313" s="69">
        <v>0</v>
      </c>
      <c r="K313" s="69">
        <v>1</v>
      </c>
      <c r="L313" s="69">
        <v>1</v>
      </c>
      <c r="M313" s="69">
        <v>1</v>
      </c>
      <c r="N313" s="69">
        <v>1</v>
      </c>
      <c r="O313" s="69">
        <v>1</v>
      </c>
      <c r="P313" s="69">
        <v>1</v>
      </c>
      <c r="Q313" s="69">
        <v>1</v>
      </c>
      <c r="R313" s="69">
        <v>1</v>
      </c>
      <c r="S313" s="69">
        <v>1</v>
      </c>
      <c r="T313" s="69">
        <v>1</v>
      </c>
      <c r="U313" s="69">
        <v>1</v>
      </c>
      <c r="V313" s="69">
        <v>1</v>
      </c>
      <c r="W313" s="69">
        <v>1</v>
      </c>
      <c r="X313" s="69">
        <v>1</v>
      </c>
      <c r="Y313" s="69">
        <v>0</v>
      </c>
      <c r="Z313" s="69">
        <v>0</v>
      </c>
      <c r="AA313" s="69">
        <v>0</v>
      </c>
      <c r="AB313" s="69">
        <v>0</v>
      </c>
      <c r="AC313" s="72">
        <v>0</v>
      </c>
    </row>
    <row r="314" spans="1:29" ht="34.200000000000003" hidden="1" customHeight="1" thickBot="1" x14ac:dyDescent="0.35">
      <c r="A314" s="1057"/>
      <c r="B314" s="1168"/>
      <c r="C314" s="1090"/>
      <c r="D314" s="1171"/>
      <c r="E314" s="311" t="s">
        <v>477</v>
      </c>
      <c r="F314" s="70">
        <v>0</v>
      </c>
      <c r="G314" s="70">
        <v>0</v>
      </c>
      <c r="H314" s="70">
        <v>0</v>
      </c>
      <c r="I314" s="70">
        <v>0</v>
      </c>
      <c r="J314" s="70">
        <v>0</v>
      </c>
      <c r="K314" s="70">
        <v>0</v>
      </c>
      <c r="L314" s="70">
        <v>0</v>
      </c>
      <c r="M314" s="70">
        <v>0</v>
      </c>
      <c r="N314" s="70">
        <v>0</v>
      </c>
      <c r="O314" s="70">
        <v>0</v>
      </c>
      <c r="P314" s="70">
        <v>0</v>
      </c>
      <c r="Q314" s="70">
        <v>0</v>
      </c>
      <c r="R314" s="70">
        <v>0</v>
      </c>
      <c r="S314" s="70">
        <v>0</v>
      </c>
      <c r="T314" s="70">
        <v>0</v>
      </c>
      <c r="U314" s="70">
        <v>0</v>
      </c>
      <c r="V314" s="70">
        <v>0</v>
      </c>
      <c r="W314" s="70">
        <v>0</v>
      </c>
      <c r="X314" s="70">
        <v>0</v>
      </c>
      <c r="Y314" s="70">
        <v>0</v>
      </c>
      <c r="Z314" s="70">
        <v>0</v>
      </c>
      <c r="AA314" s="70">
        <v>0</v>
      </c>
      <c r="AB314" s="70">
        <v>0</v>
      </c>
      <c r="AC314" s="73">
        <v>0</v>
      </c>
    </row>
    <row r="315" spans="1:29" ht="34.200000000000003" hidden="1" customHeight="1" x14ac:dyDescent="0.3">
      <c r="A315" s="1056" t="str">
        <f>A303</f>
        <v>Conference and Office in Basement</v>
      </c>
      <c r="B315" s="1166" t="str">
        <f>B303</f>
        <v>Office</v>
      </c>
      <c r="C315" s="1059" t="s">
        <v>768</v>
      </c>
      <c r="D315" s="1169" t="s">
        <v>800</v>
      </c>
      <c r="E315" s="312" t="s">
        <v>468</v>
      </c>
      <c r="F315" s="325">
        <v>0.13100000000000001</v>
      </c>
      <c r="G315" s="325">
        <v>7.4999999999999997E-2</v>
      </c>
      <c r="H315" s="325">
        <v>8.4000000000000005E-2</v>
      </c>
      <c r="I315" s="325">
        <v>0.10299999999999999</v>
      </c>
      <c r="J315" s="325">
        <v>0.187</v>
      </c>
      <c r="K315" s="325">
        <v>0.41099999999999998</v>
      </c>
      <c r="L315" s="325">
        <v>0.83199999999999996</v>
      </c>
      <c r="M315" s="325">
        <v>1</v>
      </c>
      <c r="N315" s="325">
        <v>0.83199999999999996</v>
      </c>
      <c r="O315" s="325">
        <v>0.61699999999999999</v>
      </c>
      <c r="P315" s="325">
        <v>0.48599999999999999</v>
      </c>
      <c r="Q315" s="325">
        <v>0.35499999999999998</v>
      </c>
      <c r="R315" s="325">
        <v>0.33600000000000002</v>
      </c>
      <c r="S315" s="325">
        <v>0.308</v>
      </c>
      <c r="T315" s="325">
        <v>0.29899999999999999</v>
      </c>
      <c r="U315" s="325">
        <v>0.24299999999999999</v>
      </c>
      <c r="V315" s="325">
        <v>0.39300000000000002</v>
      </c>
      <c r="W315" s="325">
        <v>0.44900000000000001</v>
      </c>
      <c r="X315" s="325">
        <v>0.48599999999999999</v>
      </c>
      <c r="Y315" s="325">
        <v>0.439</v>
      </c>
      <c r="Z315" s="325">
        <v>0.39300000000000002</v>
      </c>
      <c r="AA315" s="325">
        <v>0.36399999999999999</v>
      </c>
      <c r="AB315" s="325">
        <v>0.33600000000000002</v>
      </c>
      <c r="AC315" s="326">
        <v>0.20599999999999999</v>
      </c>
    </row>
    <row r="316" spans="1:29" ht="34.200000000000003" hidden="1" customHeight="1" x14ac:dyDescent="0.3">
      <c r="A316" s="1057"/>
      <c r="B316" s="1167"/>
      <c r="C316" s="1060"/>
      <c r="D316" s="1170"/>
      <c r="E316" s="310" t="s">
        <v>475</v>
      </c>
      <c r="F316" s="303">
        <v>0.217</v>
      </c>
      <c r="G316" s="303">
        <v>0.12</v>
      </c>
      <c r="H316" s="303">
        <v>0.108</v>
      </c>
      <c r="I316" s="303">
        <v>9.6000000000000002E-2</v>
      </c>
      <c r="J316" s="303">
        <v>0.18099999999999999</v>
      </c>
      <c r="K316" s="303">
        <v>0.27700000000000002</v>
      </c>
      <c r="L316" s="303">
        <v>0.313</v>
      </c>
      <c r="M316" s="303">
        <v>0.56599999999999995</v>
      </c>
      <c r="N316" s="303">
        <v>0.92800000000000005</v>
      </c>
      <c r="O316" s="303">
        <v>1</v>
      </c>
      <c r="P316" s="303">
        <v>0.89200000000000002</v>
      </c>
      <c r="Q316" s="303">
        <v>0.73499999999999999</v>
      </c>
      <c r="R316" s="303">
        <v>0.61399999999999999</v>
      </c>
      <c r="S316" s="303">
        <v>0.51800000000000002</v>
      </c>
      <c r="T316" s="303">
        <v>0.47</v>
      </c>
      <c r="U316" s="303">
        <v>0.47</v>
      </c>
      <c r="V316" s="303">
        <v>0.627</v>
      </c>
      <c r="W316" s="303">
        <v>0.69899999999999995</v>
      </c>
      <c r="X316" s="303">
        <v>0.67500000000000004</v>
      </c>
      <c r="Y316" s="303">
        <v>0.627</v>
      </c>
      <c r="Z316" s="303">
        <v>0.56599999999999995</v>
      </c>
      <c r="AA316" s="303">
        <v>0.53</v>
      </c>
      <c r="AB316" s="303">
        <v>0.48199999999999998</v>
      </c>
      <c r="AC316" s="306">
        <v>0.33700000000000002</v>
      </c>
    </row>
    <row r="317" spans="1:29" ht="34.200000000000003" hidden="1" customHeight="1" thickBot="1" x14ac:dyDescent="0.35">
      <c r="A317" s="1057"/>
      <c r="B317" s="1167"/>
      <c r="C317" s="1090"/>
      <c r="D317" s="1171"/>
      <c r="E317" s="324" t="s">
        <v>477</v>
      </c>
      <c r="F317" s="327">
        <v>0.217</v>
      </c>
      <c r="G317" s="327">
        <v>0.12</v>
      </c>
      <c r="H317" s="327">
        <v>0.108</v>
      </c>
      <c r="I317" s="327">
        <v>9.6000000000000002E-2</v>
      </c>
      <c r="J317" s="327">
        <v>0.18099999999999999</v>
      </c>
      <c r="K317" s="327">
        <v>0.27700000000000002</v>
      </c>
      <c r="L317" s="327">
        <v>0.313</v>
      </c>
      <c r="M317" s="327">
        <v>0.56599999999999995</v>
      </c>
      <c r="N317" s="327">
        <v>0.92800000000000005</v>
      </c>
      <c r="O317" s="327">
        <v>1</v>
      </c>
      <c r="P317" s="327">
        <v>0.89200000000000002</v>
      </c>
      <c r="Q317" s="327">
        <v>0.73499999999999999</v>
      </c>
      <c r="R317" s="327">
        <v>0.61399999999999999</v>
      </c>
      <c r="S317" s="327">
        <v>0.51800000000000002</v>
      </c>
      <c r="T317" s="327">
        <v>0.47</v>
      </c>
      <c r="U317" s="327">
        <v>0.47</v>
      </c>
      <c r="V317" s="327">
        <v>0.627</v>
      </c>
      <c r="W317" s="327">
        <v>0.69899999999999995</v>
      </c>
      <c r="X317" s="327">
        <v>0.67500000000000004</v>
      </c>
      <c r="Y317" s="327">
        <v>0.627</v>
      </c>
      <c r="Z317" s="327">
        <v>0.56599999999999995</v>
      </c>
      <c r="AA317" s="327">
        <v>0.53</v>
      </c>
      <c r="AB317" s="327">
        <v>0.48199999999999998</v>
      </c>
      <c r="AC317" s="328">
        <v>0.33700000000000002</v>
      </c>
    </row>
    <row r="318" spans="1:29" ht="34.200000000000003" hidden="1" customHeight="1" x14ac:dyDescent="0.3">
      <c r="A318" s="1102" t="s">
        <v>823</v>
      </c>
      <c r="B318" s="1105" t="str">
        <f t="shared" ref="B318:AC318" si="31">B29</f>
        <v>Assembly</v>
      </c>
      <c r="C318" s="1105" t="str">
        <f t="shared" si="31"/>
        <v>Occupancy</v>
      </c>
      <c r="D318" s="1108" t="str">
        <f t="shared" si="31"/>
        <v>T24 2022 - Appendix 5.4B, [Assembly]</v>
      </c>
      <c r="E318" s="505" t="str">
        <f t="shared" si="31"/>
        <v>Weekday</v>
      </c>
      <c r="F318" s="847">
        <f t="shared" si="31"/>
        <v>0</v>
      </c>
      <c r="G318" s="847">
        <f t="shared" si="31"/>
        <v>0</v>
      </c>
      <c r="H318" s="847">
        <f t="shared" si="31"/>
        <v>0</v>
      </c>
      <c r="I318" s="847">
        <f t="shared" si="31"/>
        <v>0</v>
      </c>
      <c r="J318" s="847">
        <f t="shared" si="31"/>
        <v>0</v>
      </c>
      <c r="K318" s="847">
        <f t="shared" si="31"/>
        <v>0</v>
      </c>
      <c r="L318" s="847">
        <f t="shared" si="31"/>
        <v>0</v>
      </c>
      <c r="M318" s="847">
        <f t="shared" si="31"/>
        <v>0</v>
      </c>
      <c r="N318" s="847">
        <f t="shared" si="31"/>
        <v>0.2</v>
      </c>
      <c r="O318" s="847">
        <f t="shared" si="31"/>
        <v>0.2</v>
      </c>
      <c r="P318" s="847">
        <f t="shared" si="31"/>
        <v>0.2</v>
      </c>
      <c r="Q318" s="847">
        <f t="shared" si="31"/>
        <v>0.8</v>
      </c>
      <c r="R318" s="847">
        <f t="shared" si="31"/>
        <v>0.8</v>
      </c>
      <c r="S318" s="847">
        <f t="shared" si="31"/>
        <v>0.8</v>
      </c>
      <c r="T318" s="847">
        <f t="shared" si="31"/>
        <v>0.8</v>
      </c>
      <c r="U318" s="847">
        <f t="shared" si="31"/>
        <v>0.8</v>
      </c>
      <c r="V318" s="847">
        <f t="shared" si="31"/>
        <v>0.8</v>
      </c>
      <c r="W318" s="847">
        <f t="shared" si="31"/>
        <v>0.8</v>
      </c>
      <c r="X318" s="847">
        <f t="shared" si="31"/>
        <v>0.2</v>
      </c>
      <c r="Y318" s="847">
        <f t="shared" si="31"/>
        <v>0.2</v>
      </c>
      <c r="Z318" s="847">
        <f t="shared" si="31"/>
        <v>0.2</v>
      </c>
      <c r="AA318" s="847">
        <f t="shared" si="31"/>
        <v>0.2</v>
      </c>
      <c r="AB318" s="847">
        <f t="shared" si="31"/>
        <v>0.1</v>
      </c>
      <c r="AC318" s="850">
        <f t="shared" si="31"/>
        <v>0</v>
      </c>
    </row>
    <row r="319" spans="1:29" ht="34.200000000000003" hidden="1" customHeight="1" x14ac:dyDescent="0.3">
      <c r="A319" s="1103"/>
      <c r="B319" s="1106">
        <f t="shared" ref="B319:AC319" si="32">B30</f>
        <v>0</v>
      </c>
      <c r="C319" s="1106">
        <f t="shared" si="32"/>
        <v>0</v>
      </c>
      <c r="D319" s="1109">
        <f t="shared" si="32"/>
        <v>0</v>
      </c>
      <c r="E319" s="506" t="str">
        <f t="shared" si="32"/>
        <v>Saturday</v>
      </c>
      <c r="F319" s="848">
        <f t="shared" si="32"/>
        <v>0</v>
      </c>
      <c r="G319" s="848">
        <f t="shared" si="32"/>
        <v>0</v>
      </c>
      <c r="H319" s="848">
        <f t="shared" si="32"/>
        <v>0</v>
      </c>
      <c r="I319" s="848">
        <f t="shared" si="32"/>
        <v>0</v>
      </c>
      <c r="J319" s="848">
        <f t="shared" si="32"/>
        <v>0</v>
      </c>
      <c r="K319" s="848">
        <f t="shared" si="32"/>
        <v>0</v>
      </c>
      <c r="L319" s="848">
        <f t="shared" si="32"/>
        <v>0</v>
      </c>
      <c r="M319" s="848">
        <f t="shared" si="32"/>
        <v>0</v>
      </c>
      <c r="N319" s="848">
        <f t="shared" si="32"/>
        <v>0.2</v>
      </c>
      <c r="O319" s="848">
        <f t="shared" si="32"/>
        <v>0.2</v>
      </c>
      <c r="P319" s="848">
        <f t="shared" si="32"/>
        <v>0.2</v>
      </c>
      <c r="Q319" s="848">
        <f t="shared" si="32"/>
        <v>0.6</v>
      </c>
      <c r="R319" s="848">
        <f t="shared" si="32"/>
        <v>0.6</v>
      </c>
      <c r="S319" s="848">
        <f t="shared" si="32"/>
        <v>0.6</v>
      </c>
      <c r="T319" s="848">
        <f t="shared" si="32"/>
        <v>0.6</v>
      </c>
      <c r="U319" s="848">
        <f t="shared" si="32"/>
        <v>0.6</v>
      </c>
      <c r="V319" s="848">
        <f t="shared" si="32"/>
        <v>0.6</v>
      </c>
      <c r="W319" s="848">
        <f t="shared" si="32"/>
        <v>0.6</v>
      </c>
      <c r="X319" s="848">
        <f t="shared" si="32"/>
        <v>0.6</v>
      </c>
      <c r="Y319" s="848">
        <f t="shared" si="32"/>
        <v>0.6</v>
      </c>
      <c r="Z319" s="848">
        <f t="shared" si="32"/>
        <v>0.6</v>
      </c>
      <c r="AA319" s="848">
        <f t="shared" si="32"/>
        <v>0.8</v>
      </c>
      <c r="AB319" s="848">
        <f t="shared" si="32"/>
        <v>0.1</v>
      </c>
      <c r="AC319" s="851">
        <f t="shared" si="32"/>
        <v>0</v>
      </c>
    </row>
    <row r="320" spans="1:29" ht="34.200000000000003" hidden="1" customHeight="1" thickBot="1" x14ac:dyDescent="0.35">
      <c r="A320" s="1104"/>
      <c r="B320" s="1107">
        <f t="shared" ref="B320:AC320" si="33">B31</f>
        <v>0</v>
      </c>
      <c r="C320" s="1107">
        <f t="shared" si="33"/>
        <v>0</v>
      </c>
      <c r="D320" s="1110">
        <f t="shared" si="33"/>
        <v>0</v>
      </c>
      <c r="E320" s="507" t="str">
        <f t="shared" si="33"/>
        <v>Sunday</v>
      </c>
      <c r="F320" s="849">
        <f t="shared" si="33"/>
        <v>0</v>
      </c>
      <c r="G320" s="849">
        <f t="shared" si="33"/>
        <v>0</v>
      </c>
      <c r="H320" s="849">
        <f t="shared" si="33"/>
        <v>0</v>
      </c>
      <c r="I320" s="849">
        <f t="shared" si="33"/>
        <v>0</v>
      </c>
      <c r="J320" s="849">
        <f t="shared" si="33"/>
        <v>0</v>
      </c>
      <c r="K320" s="849">
        <f t="shared" si="33"/>
        <v>0</v>
      </c>
      <c r="L320" s="849">
        <f t="shared" si="33"/>
        <v>0</v>
      </c>
      <c r="M320" s="849">
        <f t="shared" si="33"/>
        <v>0</v>
      </c>
      <c r="N320" s="849">
        <f t="shared" si="33"/>
        <v>0.1</v>
      </c>
      <c r="O320" s="849">
        <f t="shared" si="33"/>
        <v>0.1</v>
      </c>
      <c r="P320" s="849">
        <f t="shared" si="33"/>
        <v>0.1</v>
      </c>
      <c r="Q320" s="849">
        <f t="shared" si="33"/>
        <v>0.1</v>
      </c>
      <c r="R320" s="849">
        <f t="shared" si="33"/>
        <v>0.1</v>
      </c>
      <c r="S320" s="849">
        <f t="shared" si="33"/>
        <v>0.7</v>
      </c>
      <c r="T320" s="849">
        <f t="shared" si="33"/>
        <v>0.7</v>
      </c>
      <c r="U320" s="849">
        <f t="shared" si="33"/>
        <v>0.7</v>
      </c>
      <c r="V320" s="849">
        <f t="shared" si="33"/>
        <v>0.7</v>
      </c>
      <c r="W320" s="849">
        <f t="shared" si="33"/>
        <v>0.7</v>
      </c>
      <c r="X320" s="849">
        <f t="shared" si="33"/>
        <v>0.7</v>
      </c>
      <c r="Y320" s="849">
        <f t="shared" si="33"/>
        <v>0.7</v>
      </c>
      <c r="Z320" s="849">
        <f t="shared" si="33"/>
        <v>0.7</v>
      </c>
      <c r="AA320" s="849">
        <f t="shared" si="33"/>
        <v>0.7</v>
      </c>
      <c r="AB320" s="849">
        <f t="shared" si="33"/>
        <v>0.2</v>
      </c>
      <c r="AC320" s="852">
        <f t="shared" si="33"/>
        <v>0</v>
      </c>
    </row>
    <row r="321" spans="1:39" ht="34.200000000000003" hidden="1" customHeight="1" x14ac:dyDescent="0.3">
      <c r="A321" s="1200" t="str">
        <f>A318</f>
        <v>Storage in Basement</v>
      </c>
      <c r="B321" s="1213" t="str">
        <f t="shared" ref="B321:AC321" si="34">B32</f>
        <v>Assembly</v>
      </c>
      <c r="C321" s="1213" t="str">
        <f t="shared" si="34"/>
        <v>Lights</v>
      </c>
      <c r="D321" s="1255" t="str">
        <f t="shared" si="34"/>
        <v>T24 2022 - Appendix 5.4B, [Assembly]</v>
      </c>
      <c r="E321" s="508" t="str">
        <f t="shared" si="34"/>
        <v>Weekday</v>
      </c>
      <c r="F321" s="853">
        <f t="shared" si="34"/>
        <v>0.05</v>
      </c>
      <c r="G321" s="853">
        <f t="shared" si="34"/>
        <v>0.05</v>
      </c>
      <c r="H321" s="853">
        <f t="shared" si="34"/>
        <v>0.05</v>
      </c>
      <c r="I321" s="853">
        <f t="shared" si="34"/>
        <v>0.05</v>
      </c>
      <c r="J321" s="853">
        <f t="shared" si="34"/>
        <v>0.05</v>
      </c>
      <c r="K321" s="853">
        <f t="shared" si="34"/>
        <v>0.05</v>
      </c>
      <c r="L321" s="853">
        <f t="shared" si="34"/>
        <v>0.35</v>
      </c>
      <c r="M321" s="853">
        <f t="shared" si="34"/>
        <v>0.35</v>
      </c>
      <c r="N321" s="853">
        <f t="shared" si="34"/>
        <v>0.35</v>
      </c>
      <c r="O321" s="853">
        <f t="shared" si="34"/>
        <v>0.65</v>
      </c>
      <c r="P321" s="853">
        <f t="shared" si="34"/>
        <v>0.65</v>
      </c>
      <c r="Q321" s="853">
        <f t="shared" si="34"/>
        <v>0.65</v>
      </c>
      <c r="R321" s="853">
        <f t="shared" si="34"/>
        <v>0.65</v>
      </c>
      <c r="S321" s="853">
        <f t="shared" si="34"/>
        <v>0.65</v>
      </c>
      <c r="T321" s="853">
        <f t="shared" si="34"/>
        <v>0.65</v>
      </c>
      <c r="U321" s="853">
        <f t="shared" si="34"/>
        <v>0.65</v>
      </c>
      <c r="V321" s="853">
        <f t="shared" si="34"/>
        <v>0.65</v>
      </c>
      <c r="W321" s="853">
        <f t="shared" si="34"/>
        <v>0.65</v>
      </c>
      <c r="X321" s="853">
        <f t="shared" si="34"/>
        <v>0.65</v>
      </c>
      <c r="Y321" s="853">
        <f t="shared" si="34"/>
        <v>0.65</v>
      </c>
      <c r="Z321" s="853">
        <f t="shared" si="34"/>
        <v>0.65</v>
      </c>
      <c r="AA321" s="853">
        <f t="shared" si="34"/>
        <v>0.65</v>
      </c>
      <c r="AB321" s="853">
        <f t="shared" si="34"/>
        <v>0.25</v>
      </c>
      <c r="AC321" s="855">
        <f t="shared" si="34"/>
        <v>0.05</v>
      </c>
    </row>
    <row r="322" spans="1:39" ht="34.200000000000003" hidden="1" customHeight="1" x14ac:dyDescent="0.3">
      <c r="A322" s="1103"/>
      <c r="B322" s="1106">
        <f t="shared" ref="B322:AC322" si="35">B33</f>
        <v>0</v>
      </c>
      <c r="C322" s="1106">
        <f t="shared" si="35"/>
        <v>0</v>
      </c>
      <c r="D322" s="1109">
        <f t="shared" si="35"/>
        <v>0</v>
      </c>
      <c r="E322" s="506" t="str">
        <f t="shared" si="35"/>
        <v>Saturday</v>
      </c>
      <c r="F322" s="848">
        <f t="shared" si="35"/>
        <v>0.05</v>
      </c>
      <c r="G322" s="848">
        <f t="shared" si="35"/>
        <v>0.05</v>
      </c>
      <c r="H322" s="848">
        <f t="shared" si="35"/>
        <v>0.05</v>
      </c>
      <c r="I322" s="848">
        <f t="shared" si="35"/>
        <v>0.05</v>
      </c>
      <c r="J322" s="848">
        <f t="shared" si="35"/>
        <v>0.05</v>
      </c>
      <c r="K322" s="848">
        <f t="shared" si="35"/>
        <v>0.05</v>
      </c>
      <c r="L322" s="848">
        <f t="shared" si="35"/>
        <v>0.05</v>
      </c>
      <c r="M322" s="848">
        <f t="shared" si="35"/>
        <v>0.3</v>
      </c>
      <c r="N322" s="848">
        <f t="shared" si="35"/>
        <v>0.3</v>
      </c>
      <c r="O322" s="848">
        <f t="shared" si="35"/>
        <v>0.4</v>
      </c>
      <c r="P322" s="848">
        <f t="shared" si="35"/>
        <v>0.4</v>
      </c>
      <c r="Q322" s="848">
        <f t="shared" si="35"/>
        <v>0.4</v>
      </c>
      <c r="R322" s="848">
        <f t="shared" si="35"/>
        <v>0.4</v>
      </c>
      <c r="S322" s="848">
        <f t="shared" si="35"/>
        <v>0.4</v>
      </c>
      <c r="T322" s="848">
        <f t="shared" si="35"/>
        <v>0.4</v>
      </c>
      <c r="U322" s="848">
        <f t="shared" si="35"/>
        <v>0.4</v>
      </c>
      <c r="V322" s="848">
        <f t="shared" si="35"/>
        <v>0.4</v>
      </c>
      <c r="W322" s="848">
        <f t="shared" si="35"/>
        <v>0.4</v>
      </c>
      <c r="X322" s="848">
        <f t="shared" si="35"/>
        <v>0.4</v>
      </c>
      <c r="Y322" s="848">
        <f t="shared" si="35"/>
        <v>0.4</v>
      </c>
      <c r="Z322" s="848">
        <f t="shared" si="35"/>
        <v>0.4</v>
      </c>
      <c r="AA322" s="848">
        <f t="shared" si="35"/>
        <v>0.4</v>
      </c>
      <c r="AB322" s="848">
        <f t="shared" si="35"/>
        <v>0.4</v>
      </c>
      <c r="AC322" s="851">
        <f t="shared" si="35"/>
        <v>0.05</v>
      </c>
    </row>
    <row r="323" spans="1:39" ht="34.200000000000003" hidden="1" customHeight="1" thickBot="1" x14ac:dyDescent="0.35">
      <c r="A323" s="1241"/>
      <c r="B323" s="1212">
        <f t="shared" ref="B323:AC323" si="36">B34</f>
        <v>0</v>
      </c>
      <c r="C323" s="1212">
        <f t="shared" si="36"/>
        <v>0</v>
      </c>
      <c r="D323" s="1256">
        <f t="shared" si="36"/>
        <v>0</v>
      </c>
      <c r="E323" s="509" t="str">
        <f t="shared" si="36"/>
        <v>Sunday</v>
      </c>
      <c r="F323" s="854">
        <f t="shared" si="36"/>
        <v>0.05</v>
      </c>
      <c r="G323" s="854">
        <f t="shared" si="36"/>
        <v>0.05</v>
      </c>
      <c r="H323" s="854">
        <f t="shared" si="36"/>
        <v>0.05</v>
      </c>
      <c r="I323" s="854">
        <f t="shared" si="36"/>
        <v>0.05</v>
      </c>
      <c r="J323" s="854">
        <f t="shared" si="36"/>
        <v>0.05</v>
      </c>
      <c r="K323" s="854">
        <f t="shared" si="36"/>
        <v>0.05</v>
      </c>
      <c r="L323" s="854">
        <f t="shared" si="36"/>
        <v>0.05</v>
      </c>
      <c r="M323" s="854">
        <f t="shared" si="36"/>
        <v>0.3</v>
      </c>
      <c r="N323" s="854">
        <f t="shared" si="36"/>
        <v>0.3</v>
      </c>
      <c r="O323" s="854">
        <f t="shared" si="36"/>
        <v>0.3</v>
      </c>
      <c r="P323" s="854">
        <f t="shared" si="36"/>
        <v>0.3</v>
      </c>
      <c r="Q323" s="854">
        <f t="shared" si="36"/>
        <v>0.3</v>
      </c>
      <c r="R323" s="854">
        <f t="shared" si="36"/>
        <v>0.55000000000000004</v>
      </c>
      <c r="S323" s="854">
        <f t="shared" si="36"/>
        <v>0.55000000000000004</v>
      </c>
      <c r="T323" s="854">
        <f t="shared" si="36"/>
        <v>0.55000000000000004</v>
      </c>
      <c r="U323" s="854">
        <f t="shared" si="36"/>
        <v>0.55000000000000004</v>
      </c>
      <c r="V323" s="854">
        <f t="shared" si="36"/>
        <v>0.55000000000000004</v>
      </c>
      <c r="W323" s="854">
        <f t="shared" si="36"/>
        <v>0.55000000000000004</v>
      </c>
      <c r="X323" s="854">
        <f t="shared" si="36"/>
        <v>0.55000000000000004</v>
      </c>
      <c r="Y323" s="854">
        <f t="shared" si="36"/>
        <v>0.55000000000000004</v>
      </c>
      <c r="Z323" s="854">
        <f t="shared" si="36"/>
        <v>0.55000000000000004</v>
      </c>
      <c r="AA323" s="854">
        <f t="shared" si="36"/>
        <v>0.55000000000000004</v>
      </c>
      <c r="AB323" s="854">
        <f t="shared" si="36"/>
        <v>0.05</v>
      </c>
      <c r="AC323" s="856">
        <f t="shared" si="36"/>
        <v>0.05</v>
      </c>
    </row>
    <row r="324" spans="1:39" ht="34.200000000000003" hidden="1" customHeight="1" x14ac:dyDescent="0.3">
      <c r="A324" s="1102" t="str">
        <f>A318</f>
        <v>Storage in Basement</v>
      </c>
      <c r="B324" s="1105" t="str">
        <f t="shared" ref="B324:AC324" si="37">B35</f>
        <v>Assembly</v>
      </c>
      <c r="C324" s="1105" t="str">
        <f t="shared" si="37"/>
        <v>ElecEquipment</v>
      </c>
      <c r="D324" s="1108" t="str">
        <f t="shared" si="37"/>
        <v>T24 2022 - Appendix 5.4B, [Assembly]</v>
      </c>
      <c r="E324" s="505" t="str">
        <f t="shared" si="37"/>
        <v>Weekday</v>
      </c>
      <c r="F324" s="847">
        <f t="shared" si="37"/>
        <v>0.05</v>
      </c>
      <c r="G324" s="847">
        <f t="shared" si="37"/>
        <v>0.05</v>
      </c>
      <c r="H324" s="847">
        <f t="shared" si="37"/>
        <v>0.05</v>
      </c>
      <c r="I324" s="847">
        <f t="shared" si="37"/>
        <v>0.05</v>
      </c>
      <c r="J324" s="847">
        <f t="shared" si="37"/>
        <v>0.05</v>
      </c>
      <c r="K324" s="847">
        <f t="shared" si="37"/>
        <v>0.05</v>
      </c>
      <c r="L324" s="847">
        <f t="shared" si="37"/>
        <v>0.4</v>
      </c>
      <c r="M324" s="847">
        <f t="shared" si="37"/>
        <v>0.4</v>
      </c>
      <c r="N324" s="847">
        <f t="shared" si="37"/>
        <v>0.4</v>
      </c>
      <c r="O324" s="847">
        <f t="shared" si="37"/>
        <v>0.75</v>
      </c>
      <c r="P324" s="847">
        <f t="shared" si="37"/>
        <v>0.75</v>
      </c>
      <c r="Q324" s="847">
        <f t="shared" si="37"/>
        <v>0.75</v>
      </c>
      <c r="R324" s="847">
        <f t="shared" si="37"/>
        <v>0.75</v>
      </c>
      <c r="S324" s="847">
        <f t="shared" si="37"/>
        <v>0.75</v>
      </c>
      <c r="T324" s="847">
        <f t="shared" si="37"/>
        <v>0.75</v>
      </c>
      <c r="U324" s="847">
        <f t="shared" si="37"/>
        <v>0.75</v>
      </c>
      <c r="V324" s="847">
        <f t="shared" si="37"/>
        <v>0.75</v>
      </c>
      <c r="W324" s="847">
        <f t="shared" si="37"/>
        <v>0.75</v>
      </c>
      <c r="X324" s="847">
        <f t="shared" si="37"/>
        <v>0.75</v>
      </c>
      <c r="Y324" s="847">
        <f t="shared" si="37"/>
        <v>0.75</v>
      </c>
      <c r="Z324" s="847">
        <f t="shared" si="37"/>
        <v>0.75</v>
      </c>
      <c r="AA324" s="847">
        <f t="shared" si="37"/>
        <v>0.75</v>
      </c>
      <c r="AB324" s="847">
        <f t="shared" si="37"/>
        <v>0.25</v>
      </c>
      <c r="AC324" s="850">
        <f t="shared" si="37"/>
        <v>0.05</v>
      </c>
    </row>
    <row r="325" spans="1:39" ht="34.200000000000003" hidden="1" customHeight="1" x14ac:dyDescent="0.3">
      <c r="A325" s="1103"/>
      <c r="B325" s="1106">
        <f t="shared" ref="B325:AC325" si="38">B36</f>
        <v>0</v>
      </c>
      <c r="C325" s="1106">
        <f t="shared" si="38"/>
        <v>0</v>
      </c>
      <c r="D325" s="1109">
        <f t="shared" si="38"/>
        <v>0</v>
      </c>
      <c r="E325" s="506" t="str">
        <f t="shared" si="38"/>
        <v>Saturday</v>
      </c>
      <c r="F325" s="848">
        <f t="shared" si="38"/>
        <v>0.05</v>
      </c>
      <c r="G325" s="848">
        <f t="shared" si="38"/>
        <v>0.05</v>
      </c>
      <c r="H325" s="848">
        <f t="shared" si="38"/>
        <v>0.05</v>
      </c>
      <c r="I325" s="848">
        <f t="shared" si="38"/>
        <v>0.05</v>
      </c>
      <c r="J325" s="848">
        <f t="shared" si="38"/>
        <v>0.05</v>
      </c>
      <c r="K325" s="848">
        <f t="shared" si="38"/>
        <v>0.05</v>
      </c>
      <c r="L325" s="848">
        <f t="shared" si="38"/>
        <v>0.05</v>
      </c>
      <c r="M325" s="848">
        <f t="shared" si="38"/>
        <v>0.3</v>
      </c>
      <c r="N325" s="848">
        <f t="shared" si="38"/>
        <v>0.3</v>
      </c>
      <c r="O325" s="848">
        <f t="shared" si="38"/>
        <v>0.5</v>
      </c>
      <c r="P325" s="848">
        <f t="shared" si="38"/>
        <v>0.5</v>
      </c>
      <c r="Q325" s="848">
        <f t="shared" si="38"/>
        <v>0.5</v>
      </c>
      <c r="R325" s="848">
        <f t="shared" si="38"/>
        <v>0.5</v>
      </c>
      <c r="S325" s="848">
        <f t="shared" si="38"/>
        <v>0.5</v>
      </c>
      <c r="T325" s="848">
        <f t="shared" si="38"/>
        <v>0.5</v>
      </c>
      <c r="U325" s="848">
        <f t="shared" si="38"/>
        <v>0.5</v>
      </c>
      <c r="V325" s="848">
        <f t="shared" si="38"/>
        <v>0.5</v>
      </c>
      <c r="W325" s="848">
        <f t="shared" si="38"/>
        <v>0.5</v>
      </c>
      <c r="X325" s="848">
        <f t="shared" si="38"/>
        <v>0.5</v>
      </c>
      <c r="Y325" s="848">
        <f t="shared" si="38"/>
        <v>0.5</v>
      </c>
      <c r="Z325" s="848">
        <f t="shared" si="38"/>
        <v>0.5</v>
      </c>
      <c r="AA325" s="848">
        <f t="shared" si="38"/>
        <v>0.5</v>
      </c>
      <c r="AB325" s="848">
        <f t="shared" si="38"/>
        <v>0.5</v>
      </c>
      <c r="AC325" s="851">
        <f t="shared" si="38"/>
        <v>0.05</v>
      </c>
    </row>
    <row r="326" spans="1:39" ht="34.200000000000003" hidden="1" customHeight="1" thickBot="1" x14ac:dyDescent="0.35">
      <c r="A326" s="1104"/>
      <c r="B326" s="1107">
        <f t="shared" ref="B326:AC326" si="39">B37</f>
        <v>0</v>
      </c>
      <c r="C326" s="1107">
        <f t="shared" si="39"/>
        <v>0</v>
      </c>
      <c r="D326" s="1110">
        <f t="shared" si="39"/>
        <v>0</v>
      </c>
      <c r="E326" s="507" t="str">
        <f t="shared" si="39"/>
        <v>Sunday</v>
      </c>
      <c r="F326" s="849">
        <f t="shared" si="39"/>
        <v>0.05</v>
      </c>
      <c r="G326" s="849">
        <f t="shared" si="39"/>
        <v>0.05</v>
      </c>
      <c r="H326" s="849">
        <f t="shared" si="39"/>
        <v>0.05</v>
      </c>
      <c r="I326" s="849">
        <f t="shared" si="39"/>
        <v>0.05</v>
      </c>
      <c r="J326" s="849">
        <f t="shared" si="39"/>
        <v>0.05</v>
      </c>
      <c r="K326" s="849">
        <f t="shared" si="39"/>
        <v>0.05</v>
      </c>
      <c r="L326" s="849">
        <f t="shared" si="39"/>
        <v>0.05</v>
      </c>
      <c r="M326" s="849">
        <f t="shared" si="39"/>
        <v>0.3</v>
      </c>
      <c r="N326" s="849">
        <f t="shared" si="39"/>
        <v>0.3</v>
      </c>
      <c r="O326" s="849">
        <f t="shared" si="39"/>
        <v>0.3</v>
      </c>
      <c r="P326" s="849">
        <f t="shared" si="39"/>
        <v>0.3</v>
      </c>
      <c r="Q326" s="849">
        <f t="shared" si="39"/>
        <v>0.3</v>
      </c>
      <c r="R326" s="849">
        <f t="shared" si="39"/>
        <v>0.65</v>
      </c>
      <c r="S326" s="849">
        <f t="shared" si="39"/>
        <v>0.65</v>
      </c>
      <c r="T326" s="849">
        <f t="shared" si="39"/>
        <v>0.65</v>
      </c>
      <c r="U326" s="849">
        <f t="shared" si="39"/>
        <v>0.65</v>
      </c>
      <c r="V326" s="849">
        <f t="shared" si="39"/>
        <v>0.65</v>
      </c>
      <c r="W326" s="849">
        <f t="shared" si="39"/>
        <v>0.65</v>
      </c>
      <c r="X326" s="849">
        <f t="shared" si="39"/>
        <v>0.65</v>
      </c>
      <c r="Y326" s="849">
        <f t="shared" si="39"/>
        <v>0.65</v>
      </c>
      <c r="Z326" s="849">
        <f t="shared" si="39"/>
        <v>0.65</v>
      </c>
      <c r="AA326" s="849">
        <f t="shared" si="39"/>
        <v>0.65</v>
      </c>
      <c r="AB326" s="849">
        <f t="shared" si="39"/>
        <v>0.05</v>
      </c>
      <c r="AC326" s="852">
        <f t="shared" si="39"/>
        <v>0.05</v>
      </c>
    </row>
    <row r="327" spans="1:39" ht="34.200000000000003" hidden="1" customHeight="1" x14ac:dyDescent="0.3">
      <c r="A327" s="1200" t="str">
        <f>A318</f>
        <v>Storage in Basement</v>
      </c>
      <c r="B327" s="1213" t="str">
        <f t="shared" ref="B327:AC327" si="40">B38</f>
        <v>Assembly</v>
      </c>
      <c r="C327" s="1213" t="str">
        <f t="shared" si="40"/>
        <v>HVACAvail</v>
      </c>
      <c r="D327" s="1255" t="str">
        <f t="shared" si="40"/>
        <v>T24 2022 - Appendix 5.4B, [Assembly]</v>
      </c>
      <c r="E327" s="508" t="str">
        <f t="shared" si="40"/>
        <v>Weekday</v>
      </c>
      <c r="F327" s="853">
        <f t="shared" si="40"/>
        <v>0</v>
      </c>
      <c r="G327" s="853">
        <f t="shared" si="40"/>
        <v>0</v>
      </c>
      <c r="H327" s="853">
        <f t="shared" si="40"/>
        <v>0</v>
      </c>
      <c r="I327" s="853">
        <f t="shared" si="40"/>
        <v>0</v>
      </c>
      <c r="J327" s="853">
        <f t="shared" si="40"/>
        <v>0</v>
      </c>
      <c r="K327" s="853">
        <f t="shared" si="40"/>
        <v>0</v>
      </c>
      <c r="L327" s="853">
        <f t="shared" si="40"/>
        <v>0</v>
      </c>
      <c r="M327" s="853">
        <f t="shared" si="40"/>
        <v>1</v>
      </c>
      <c r="N327" s="853">
        <f t="shared" si="40"/>
        <v>1</v>
      </c>
      <c r="O327" s="853">
        <f t="shared" si="40"/>
        <v>1</v>
      </c>
      <c r="P327" s="853">
        <f t="shared" si="40"/>
        <v>1</v>
      </c>
      <c r="Q327" s="853">
        <f t="shared" si="40"/>
        <v>1</v>
      </c>
      <c r="R327" s="853">
        <f t="shared" si="40"/>
        <v>1</v>
      </c>
      <c r="S327" s="853">
        <f t="shared" si="40"/>
        <v>1</v>
      </c>
      <c r="T327" s="853">
        <f t="shared" si="40"/>
        <v>1</v>
      </c>
      <c r="U327" s="853">
        <f t="shared" si="40"/>
        <v>1</v>
      </c>
      <c r="V327" s="853">
        <f t="shared" si="40"/>
        <v>1</v>
      </c>
      <c r="W327" s="853">
        <f t="shared" si="40"/>
        <v>1</v>
      </c>
      <c r="X327" s="853">
        <f t="shared" si="40"/>
        <v>1</v>
      </c>
      <c r="Y327" s="853">
        <f t="shared" si="40"/>
        <v>1</v>
      </c>
      <c r="Z327" s="853">
        <f t="shared" si="40"/>
        <v>1</v>
      </c>
      <c r="AA327" s="853">
        <f t="shared" si="40"/>
        <v>1</v>
      </c>
      <c r="AB327" s="853">
        <f t="shared" si="40"/>
        <v>1</v>
      </c>
      <c r="AC327" s="855">
        <f t="shared" si="40"/>
        <v>0</v>
      </c>
    </row>
    <row r="328" spans="1:39" ht="34.200000000000003" hidden="1" customHeight="1" x14ac:dyDescent="0.3">
      <c r="A328" s="1103"/>
      <c r="B328" s="1106">
        <f t="shared" ref="B328:AC328" si="41">B39</f>
        <v>0</v>
      </c>
      <c r="C328" s="1106">
        <f t="shared" si="41"/>
        <v>0</v>
      </c>
      <c r="D328" s="1109">
        <f t="shared" si="41"/>
        <v>0</v>
      </c>
      <c r="E328" s="506" t="str">
        <f t="shared" si="41"/>
        <v>Saturday</v>
      </c>
      <c r="F328" s="848">
        <f t="shared" si="41"/>
        <v>0</v>
      </c>
      <c r="G328" s="848">
        <f t="shared" si="41"/>
        <v>0</v>
      </c>
      <c r="H328" s="848">
        <f t="shared" si="41"/>
        <v>0</v>
      </c>
      <c r="I328" s="848">
        <f t="shared" si="41"/>
        <v>0</v>
      </c>
      <c r="J328" s="848">
        <f t="shared" si="41"/>
        <v>0</v>
      </c>
      <c r="K328" s="848">
        <f t="shared" si="41"/>
        <v>0</v>
      </c>
      <c r="L328" s="848">
        <f t="shared" si="41"/>
        <v>0</v>
      </c>
      <c r="M328" s="848">
        <f t="shared" si="41"/>
        <v>1</v>
      </c>
      <c r="N328" s="848">
        <f t="shared" si="41"/>
        <v>1</v>
      </c>
      <c r="O328" s="848">
        <f t="shared" si="41"/>
        <v>1</v>
      </c>
      <c r="P328" s="848">
        <f t="shared" si="41"/>
        <v>1</v>
      </c>
      <c r="Q328" s="848">
        <f t="shared" si="41"/>
        <v>1</v>
      </c>
      <c r="R328" s="848">
        <f t="shared" si="41"/>
        <v>1</v>
      </c>
      <c r="S328" s="848">
        <f t="shared" si="41"/>
        <v>1</v>
      </c>
      <c r="T328" s="848">
        <f t="shared" si="41"/>
        <v>1</v>
      </c>
      <c r="U328" s="848">
        <f t="shared" si="41"/>
        <v>1</v>
      </c>
      <c r="V328" s="848">
        <f t="shared" si="41"/>
        <v>1</v>
      </c>
      <c r="W328" s="848">
        <f t="shared" si="41"/>
        <v>1</v>
      </c>
      <c r="X328" s="848">
        <f t="shared" si="41"/>
        <v>1</v>
      </c>
      <c r="Y328" s="848">
        <f t="shared" si="41"/>
        <v>1</v>
      </c>
      <c r="Z328" s="848">
        <f t="shared" si="41"/>
        <v>1</v>
      </c>
      <c r="AA328" s="848">
        <f t="shared" si="41"/>
        <v>1</v>
      </c>
      <c r="AB328" s="848">
        <f t="shared" si="41"/>
        <v>1</v>
      </c>
      <c r="AC328" s="851">
        <f t="shared" si="41"/>
        <v>0</v>
      </c>
    </row>
    <row r="329" spans="1:39" ht="34.200000000000003" hidden="1" customHeight="1" thickBot="1" x14ac:dyDescent="0.35">
      <c r="A329" s="1241"/>
      <c r="B329" s="1212">
        <f t="shared" ref="B329:AC329" si="42">B40</f>
        <v>0</v>
      </c>
      <c r="C329" s="1212">
        <f t="shared" si="42"/>
        <v>0</v>
      </c>
      <c r="D329" s="1256">
        <f t="shared" si="42"/>
        <v>0</v>
      </c>
      <c r="E329" s="509" t="str">
        <f t="shared" si="42"/>
        <v>Sunday</v>
      </c>
      <c r="F329" s="854">
        <f t="shared" si="42"/>
        <v>0</v>
      </c>
      <c r="G329" s="854">
        <f t="shared" si="42"/>
        <v>0</v>
      </c>
      <c r="H329" s="854">
        <f t="shared" si="42"/>
        <v>0</v>
      </c>
      <c r="I329" s="854">
        <f t="shared" si="42"/>
        <v>0</v>
      </c>
      <c r="J329" s="854">
        <f t="shared" si="42"/>
        <v>0</v>
      </c>
      <c r="K329" s="854">
        <f t="shared" si="42"/>
        <v>0</v>
      </c>
      <c r="L329" s="854">
        <f t="shared" si="42"/>
        <v>0</v>
      </c>
      <c r="M329" s="854">
        <f t="shared" si="42"/>
        <v>1</v>
      </c>
      <c r="N329" s="854">
        <f t="shared" si="42"/>
        <v>1</v>
      </c>
      <c r="O329" s="854">
        <f t="shared" si="42"/>
        <v>1</v>
      </c>
      <c r="P329" s="854">
        <f t="shared" si="42"/>
        <v>1</v>
      </c>
      <c r="Q329" s="854">
        <f t="shared" si="42"/>
        <v>1</v>
      </c>
      <c r="R329" s="854">
        <f t="shared" si="42"/>
        <v>1</v>
      </c>
      <c r="S329" s="854">
        <f t="shared" si="42"/>
        <v>1</v>
      </c>
      <c r="T329" s="854">
        <f t="shared" si="42"/>
        <v>1</v>
      </c>
      <c r="U329" s="854">
        <f t="shared" si="42"/>
        <v>1</v>
      </c>
      <c r="V329" s="854">
        <f t="shared" si="42"/>
        <v>1</v>
      </c>
      <c r="W329" s="854">
        <f t="shared" si="42"/>
        <v>1</v>
      </c>
      <c r="X329" s="854">
        <f t="shared" si="42"/>
        <v>1</v>
      </c>
      <c r="Y329" s="854">
        <f t="shared" si="42"/>
        <v>1</v>
      </c>
      <c r="Z329" s="854">
        <f t="shared" si="42"/>
        <v>1</v>
      </c>
      <c r="AA329" s="854">
        <f t="shared" si="42"/>
        <v>1</v>
      </c>
      <c r="AB329" s="854">
        <f t="shared" si="42"/>
        <v>1</v>
      </c>
      <c r="AC329" s="856">
        <f t="shared" si="42"/>
        <v>0</v>
      </c>
    </row>
    <row r="330" spans="1:39" ht="34.200000000000003" hidden="1" customHeight="1" x14ac:dyDescent="0.3">
      <c r="A330" s="1102" t="str">
        <f>A318</f>
        <v>Storage in Basement</v>
      </c>
      <c r="B330" s="1105" t="str">
        <f t="shared" ref="B330:AC330" si="43">B41</f>
        <v>Assembly</v>
      </c>
      <c r="C330" s="1105" t="str">
        <f t="shared" si="43"/>
        <v>ServiceHotWater</v>
      </c>
      <c r="D330" s="1108" t="str">
        <f t="shared" si="43"/>
        <v>T24 2022 - Appendix 5.4B, [Assembly]</v>
      </c>
      <c r="E330" s="505" t="str">
        <f t="shared" si="43"/>
        <v>Weekday</v>
      </c>
      <c r="F330" s="847">
        <f t="shared" si="43"/>
        <v>0</v>
      </c>
      <c r="G330" s="847">
        <f t="shared" si="43"/>
        <v>0</v>
      </c>
      <c r="H330" s="847">
        <f t="shared" si="43"/>
        <v>0</v>
      </c>
      <c r="I330" s="847">
        <f t="shared" si="43"/>
        <v>0</v>
      </c>
      <c r="J330" s="847">
        <f t="shared" si="43"/>
        <v>0</v>
      </c>
      <c r="K330" s="847">
        <f t="shared" si="43"/>
        <v>0</v>
      </c>
      <c r="L330" s="847">
        <f t="shared" si="43"/>
        <v>0</v>
      </c>
      <c r="M330" s="847">
        <f t="shared" si="43"/>
        <v>0</v>
      </c>
      <c r="N330" s="847">
        <f t="shared" si="43"/>
        <v>0</v>
      </c>
      <c r="O330" s="847">
        <f t="shared" si="43"/>
        <v>0.05</v>
      </c>
      <c r="P330" s="847">
        <f t="shared" si="43"/>
        <v>0.05</v>
      </c>
      <c r="Q330" s="847">
        <f t="shared" si="43"/>
        <v>0.35</v>
      </c>
      <c r="R330" s="847">
        <f t="shared" si="43"/>
        <v>0.05</v>
      </c>
      <c r="S330" s="847">
        <f t="shared" si="43"/>
        <v>0.05</v>
      </c>
      <c r="T330" s="847">
        <f t="shared" si="43"/>
        <v>0.05</v>
      </c>
      <c r="U330" s="847">
        <f t="shared" si="43"/>
        <v>0.05</v>
      </c>
      <c r="V330" s="847">
        <f t="shared" si="43"/>
        <v>0.05</v>
      </c>
      <c r="W330" s="847">
        <f t="shared" si="43"/>
        <v>0</v>
      </c>
      <c r="X330" s="847">
        <f t="shared" si="43"/>
        <v>0</v>
      </c>
      <c r="Y330" s="847">
        <f t="shared" si="43"/>
        <v>0</v>
      </c>
      <c r="Z330" s="847">
        <f t="shared" si="43"/>
        <v>0</v>
      </c>
      <c r="AA330" s="847">
        <f t="shared" si="43"/>
        <v>0</v>
      </c>
      <c r="AB330" s="847">
        <f t="shared" si="43"/>
        <v>0</v>
      </c>
      <c r="AC330" s="850">
        <f t="shared" si="43"/>
        <v>0</v>
      </c>
    </row>
    <row r="331" spans="1:39" ht="34.200000000000003" hidden="1" customHeight="1" x14ac:dyDescent="0.3">
      <c r="A331" s="1103"/>
      <c r="B331" s="1106">
        <f t="shared" ref="B331:AC331" si="44">B42</f>
        <v>0</v>
      </c>
      <c r="C331" s="1106">
        <f t="shared" si="44"/>
        <v>0</v>
      </c>
      <c r="D331" s="1109">
        <f t="shared" si="44"/>
        <v>0</v>
      </c>
      <c r="E331" s="506" t="str">
        <f t="shared" si="44"/>
        <v>Saturday</v>
      </c>
      <c r="F331" s="848">
        <f t="shared" si="44"/>
        <v>0</v>
      </c>
      <c r="G331" s="848">
        <f t="shared" si="44"/>
        <v>0</v>
      </c>
      <c r="H331" s="848">
        <f t="shared" si="44"/>
        <v>0</v>
      </c>
      <c r="I331" s="848">
        <f t="shared" si="44"/>
        <v>0</v>
      </c>
      <c r="J331" s="848">
        <f t="shared" si="44"/>
        <v>0</v>
      </c>
      <c r="K331" s="848">
        <f t="shared" si="44"/>
        <v>0</v>
      </c>
      <c r="L331" s="848">
        <f t="shared" si="44"/>
        <v>0</v>
      </c>
      <c r="M331" s="848">
        <f t="shared" si="44"/>
        <v>0</v>
      </c>
      <c r="N331" s="848">
        <f t="shared" si="44"/>
        <v>0</v>
      </c>
      <c r="O331" s="848">
        <f t="shared" si="44"/>
        <v>0.05</v>
      </c>
      <c r="P331" s="848">
        <f t="shared" si="44"/>
        <v>0.05</v>
      </c>
      <c r="Q331" s="848">
        <f t="shared" si="44"/>
        <v>0.2</v>
      </c>
      <c r="R331" s="848">
        <f t="shared" si="44"/>
        <v>0</v>
      </c>
      <c r="S331" s="848">
        <f t="shared" si="44"/>
        <v>0</v>
      </c>
      <c r="T331" s="848">
        <f t="shared" si="44"/>
        <v>0</v>
      </c>
      <c r="U331" s="848">
        <f t="shared" si="44"/>
        <v>0</v>
      </c>
      <c r="V331" s="848">
        <f t="shared" si="44"/>
        <v>0</v>
      </c>
      <c r="W331" s="848">
        <f t="shared" si="44"/>
        <v>0</v>
      </c>
      <c r="X331" s="848">
        <f t="shared" si="44"/>
        <v>0</v>
      </c>
      <c r="Y331" s="848">
        <f t="shared" si="44"/>
        <v>0.65</v>
      </c>
      <c r="Z331" s="848">
        <f t="shared" si="44"/>
        <v>0.3</v>
      </c>
      <c r="AA331" s="848">
        <f t="shared" si="44"/>
        <v>0</v>
      </c>
      <c r="AB331" s="848">
        <f t="shared" si="44"/>
        <v>0</v>
      </c>
      <c r="AC331" s="851">
        <f t="shared" si="44"/>
        <v>0</v>
      </c>
    </row>
    <row r="332" spans="1:39" ht="34.200000000000003" hidden="1" customHeight="1" thickBot="1" x14ac:dyDescent="0.35">
      <c r="A332" s="1104"/>
      <c r="B332" s="1107">
        <f t="shared" ref="B332:AC332" si="45">B43</f>
        <v>0</v>
      </c>
      <c r="C332" s="1107">
        <f t="shared" si="45"/>
        <v>0</v>
      </c>
      <c r="D332" s="1110">
        <f t="shared" si="45"/>
        <v>0</v>
      </c>
      <c r="E332" s="507" t="str">
        <f t="shared" si="45"/>
        <v>Sunday</v>
      </c>
      <c r="F332" s="849">
        <f t="shared" si="45"/>
        <v>0</v>
      </c>
      <c r="G332" s="849">
        <f t="shared" si="45"/>
        <v>0</v>
      </c>
      <c r="H332" s="849">
        <f t="shared" si="45"/>
        <v>0</v>
      </c>
      <c r="I332" s="849">
        <f t="shared" si="45"/>
        <v>0</v>
      </c>
      <c r="J332" s="849">
        <f t="shared" si="45"/>
        <v>0</v>
      </c>
      <c r="K332" s="849">
        <f t="shared" si="45"/>
        <v>0</v>
      </c>
      <c r="L332" s="849">
        <f t="shared" si="45"/>
        <v>0</v>
      </c>
      <c r="M332" s="849">
        <f t="shared" si="45"/>
        <v>0</v>
      </c>
      <c r="N332" s="849">
        <f t="shared" si="45"/>
        <v>0</v>
      </c>
      <c r="O332" s="849">
        <f t="shared" si="45"/>
        <v>0.05</v>
      </c>
      <c r="P332" s="849">
        <f t="shared" si="45"/>
        <v>0.05</v>
      </c>
      <c r="Q332" s="849">
        <f t="shared" si="45"/>
        <v>0.1</v>
      </c>
      <c r="R332" s="849">
        <f t="shared" si="45"/>
        <v>0</v>
      </c>
      <c r="S332" s="849">
        <f t="shared" si="45"/>
        <v>0</v>
      </c>
      <c r="T332" s="849">
        <f t="shared" si="45"/>
        <v>0</v>
      </c>
      <c r="U332" s="849">
        <f t="shared" si="45"/>
        <v>0</v>
      </c>
      <c r="V332" s="849">
        <f t="shared" si="45"/>
        <v>0</v>
      </c>
      <c r="W332" s="849">
        <f t="shared" si="45"/>
        <v>0</v>
      </c>
      <c r="X332" s="849">
        <f t="shared" si="45"/>
        <v>0</v>
      </c>
      <c r="Y332" s="849">
        <f t="shared" si="45"/>
        <v>0.65</v>
      </c>
      <c r="Z332" s="849">
        <f t="shared" si="45"/>
        <v>0.3</v>
      </c>
      <c r="AA332" s="849">
        <f t="shared" si="45"/>
        <v>0</v>
      </c>
      <c r="AB332" s="849">
        <f t="shared" si="45"/>
        <v>0</v>
      </c>
      <c r="AC332" s="852">
        <f t="shared" si="45"/>
        <v>0</v>
      </c>
    </row>
    <row r="333" spans="1:39" ht="38.4" hidden="1" customHeight="1" x14ac:dyDescent="0.3">
      <c r="A333" s="440"/>
      <c r="C333" s="440"/>
      <c r="D333" s="490"/>
      <c r="E333" s="474"/>
      <c r="F333" s="491"/>
      <c r="G333" s="491"/>
      <c r="H333" s="491"/>
      <c r="I333" s="491"/>
      <c r="J333" s="491"/>
      <c r="K333" s="491"/>
      <c r="L333" s="491"/>
      <c r="M333" s="491"/>
      <c r="N333" s="491"/>
      <c r="O333" s="491"/>
      <c r="P333" s="491"/>
      <c r="Q333" s="491"/>
      <c r="R333" s="491"/>
      <c r="S333" s="491"/>
      <c r="T333" s="491"/>
      <c r="U333" s="491"/>
      <c r="V333" s="491"/>
      <c r="W333" s="491"/>
      <c r="X333" s="491"/>
      <c r="Y333" s="491"/>
      <c r="Z333" s="491"/>
      <c r="AA333" s="491"/>
      <c r="AB333" s="491"/>
      <c r="AC333" s="491"/>
      <c r="AD333" s="39"/>
      <c r="AE333" s="39"/>
      <c r="AF333" s="39"/>
      <c r="AG333" s="39"/>
      <c r="AH333" s="39"/>
      <c r="AI333" s="39"/>
      <c r="AJ333" s="39"/>
      <c r="AK333" s="39"/>
      <c r="AM333" s="47"/>
    </row>
    <row r="334" spans="1:39" s="281" customFormat="1" ht="21.6" hidden="1" customHeight="1" x14ac:dyDescent="0.3">
      <c r="A334" s="492" t="s">
        <v>824</v>
      </c>
      <c r="D334" s="301"/>
      <c r="E334" s="301"/>
      <c r="F334" s="301"/>
      <c r="G334" s="301"/>
    </row>
    <row r="335" spans="1:39" hidden="1" x14ac:dyDescent="0.3"/>
    <row r="336" spans="1:39" ht="13.2" hidden="1" x14ac:dyDescent="0.3">
      <c r="A336" s="1111" t="s">
        <v>756</v>
      </c>
      <c r="C336" s="1111" t="s">
        <v>757</v>
      </c>
      <c r="D336" s="1111" t="s">
        <v>260</v>
      </c>
      <c r="E336" s="1111" t="s">
        <v>758</v>
      </c>
      <c r="F336" s="1130" t="s">
        <v>759</v>
      </c>
      <c r="G336" s="1130"/>
      <c r="H336" s="1130"/>
      <c r="I336" s="1130"/>
      <c r="J336" s="1130"/>
      <c r="K336" s="1130"/>
      <c r="L336" s="1130"/>
      <c r="M336" s="1130"/>
      <c r="N336" s="1130"/>
      <c r="O336" s="1130"/>
      <c r="P336" s="1130"/>
      <c r="Q336" s="1130"/>
      <c r="R336" s="1130"/>
      <c r="S336" s="1130"/>
      <c r="T336" s="1130"/>
      <c r="U336" s="1130"/>
      <c r="V336" s="1130"/>
      <c r="W336" s="1130"/>
      <c r="X336" s="1130"/>
      <c r="Y336" s="1130"/>
      <c r="Z336" s="1130"/>
      <c r="AA336" s="1130"/>
      <c r="AB336" s="1130"/>
      <c r="AC336" s="1130"/>
    </row>
    <row r="337" spans="1:37" ht="24" hidden="1" customHeight="1" thickBot="1" x14ac:dyDescent="0.35">
      <c r="A337" s="1112"/>
      <c r="C337" s="1112"/>
      <c r="D337" s="1112"/>
      <c r="E337" s="1112"/>
      <c r="F337" s="868">
        <v>1</v>
      </c>
      <c r="G337" s="868">
        <v>2</v>
      </c>
      <c r="H337" s="868">
        <v>3</v>
      </c>
      <c r="I337" s="868">
        <v>4</v>
      </c>
      <c r="J337" s="868">
        <v>5</v>
      </c>
      <c r="K337" s="868">
        <v>6</v>
      </c>
      <c r="L337" s="868">
        <v>7</v>
      </c>
      <c r="M337" s="868">
        <v>8</v>
      </c>
      <c r="N337" s="868">
        <v>9</v>
      </c>
      <c r="O337" s="868">
        <v>10</v>
      </c>
      <c r="P337" s="868">
        <v>11</v>
      </c>
      <c r="Q337" s="868">
        <v>12</v>
      </c>
      <c r="R337" s="868">
        <v>13</v>
      </c>
      <c r="S337" s="868">
        <v>14</v>
      </c>
      <c r="T337" s="868">
        <v>15</v>
      </c>
      <c r="U337" s="868">
        <v>16</v>
      </c>
      <c r="V337" s="868">
        <v>17</v>
      </c>
      <c r="W337" s="868">
        <v>18</v>
      </c>
      <c r="X337" s="868">
        <v>19</v>
      </c>
      <c r="Y337" s="868">
        <v>20</v>
      </c>
      <c r="Z337" s="868">
        <v>21</v>
      </c>
      <c r="AA337" s="868">
        <v>22</v>
      </c>
      <c r="AB337" s="868">
        <v>23</v>
      </c>
      <c r="AC337" s="868">
        <v>24</v>
      </c>
      <c r="AD337" s="38"/>
      <c r="AE337" s="38"/>
      <c r="AF337" s="38"/>
      <c r="AG337" s="38"/>
      <c r="AH337" s="38"/>
      <c r="AI337" s="39"/>
      <c r="AJ337" s="39"/>
      <c r="AK337" s="39"/>
    </row>
    <row r="338" spans="1:37" ht="25.2" hidden="1" customHeight="1" x14ac:dyDescent="0.3">
      <c r="A338" s="1119" t="s">
        <v>825</v>
      </c>
      <c r="C338" s="1113" t="s">
        <v>656</v>
      </c>
      <c r="D338" s="1116" t="s">
        <v>826</v>
      </c>
      <c r="E338" s="88" t="s">
        <v>468</v>
      </c>
      <c r="F338" s="81">
        <v>0.12</v>
      </c>
      <c r="G338" s="81">
        <v>0.12</v>
      </c>
      <c r="H338" s="81">
        <v>0.12</v>
      </c>
      <c r="I338" s="81">
        <v>0.12</v>
      </c>
      <c r="J338" s="81">
        <v>0.12</v>
      </c>
      <c r="K338" s="81">
        <v>0.2</v>
      </c>
      <c r="L338" s="81">
        <v>0.4</v>
      </c>
      <c r="M338" s="81">
        <v>0.5</v>
      </c>
      <c r="N338" s="81">
        <v>0.5</v>
      </c>
      <c r="O338" s="81">
        <v>0.35</v>
      </c>
      <c r="P338" s="81">
        <v>0.15</v>
      </c>
      <c r="Q338" s="81">
        <v>0.15</v>
      </c>
      <c r="R338" s="81">
        <v>0.15</v>
      </c>
      <c r="S338" s="81">
        <v>0.15</v>
      </c>
      <c r="T338" s="81">
        <v>0.15</v>
      </c>
      <c r="U338" s="81">
        <v>0.15</v>
      </c>
      <c r="V338" s="81">
        <v>0.35</v>
      </c>
      <c r="W338" s="81">
        <v>0.5</v>
      </c>
      <c r="X338" s="81">
        <v>0.5</v>
      </c>
      <c r="Y338" s="81">
        <v>0.4</v>
      </c>
      <c r="Z338" s="81">
        <v>0.4</v>
      </c>
      <c r="AA338" s="81">
        <v>0.3</v>
      </c>
      <c r="AB338" s="81">
        <v>0.2</v>
      </c>
      <c r="AC338" s="82">
        <v>0.12</v>
      </c>
      <c r="AD338" s="39"/>
      <c r="AE338" s="39"/>
      <c r="AF338" s="39"/>
      <c r="AG338" s="39"/>
      <c r="AH338" s="39"/>
      <c r="AI338" s="39"/>
      <c r="AJ338" s="39"/>
      <c r="AK338" s="39"/>
    </row>
    <row r="339" spans="1:37" hidden="1" x14ac:dyDescent="0.3">
      <c r="A339" s="1120"/>
      <c r="C339" s="1114"/>
      <c r="D339" s="1117"/>
      <c r="E339" s="89" t="s">
        <v>475</v>
      </c>
      <c r="F339" s="78">
        <v>0.12</v>
      </c>
      <c r="G339" s="78">
        <v>0.12</v>
      </c>
      <c r="H339" s="78">
        <v>0.12</v>
      </c>
      <c r="I339" s="78">
        <v>0.12</v>
      </c>
      <c r="J339" s="78">
        <v>0.12</v>
      </c>
      <c r="K339" s="78">
        <v>0.2</v>
      </c>
      <c r="L339" s="78">
        <v>0.4</v>
      </c>
      <c r="M339" s="78">
        <v>0.5</v>
      </c>
      <c r="N339" s="78">
        <v>0.5</v>
      </c>
      <c r="O339" s="78">
        <v>0.35</v>
      </c>
      <c r="P339" s="78">
        <v>0.15</v>
      </c>
      <c r="Q339" s="78">
        <v>0.15</v>
      </c>
      <c r="R339" s="78">
        <v>0.15</v>
      </c>
      <c r="S339" s="78">
        <v>0.15</v>
      </c>
      <c r="T339" s="78">
        <v>0.15</v>
      </c>
      <c r="U339" s="78">
        <v>0.15</v>
      </c>
      <c r="V339" s="78">
        <v>0.35</v>
      </c>
      <c r="W339" s="78">
        <v>0.5</v>
      </c>
      <c r="X339" s="78">
        <v>0.5</v>
      </c>
      <c r="Y339" s="78">
        <v>0.4</v>
      </c>
      <c r="Z339" s="78">
        <v>0.4</v>
      </c>
      <c r="AA339" s="78">
        <v>0.3</v>
      </c>
      <c r="AB339" s="78">
        <v>0.2</v>
      </c>
      <c r="AC339" s="83">
        <v>0.12</v>
      </c>
      <c r="AD339" s="39"/>
      <c r="AE339" s="39"/>
      <c r="AF339" s="39"/>
      <c r="AG339" s="39"/>
      <c r="AH339" s="39"/>
      <c r="AI339" s="39"/>
      <c r="AJ339" s="39"/>
      <c r="AK339" s="39"/>
    </row>
    <row r="340" spans="1:37" ht="12" hidden="1" thickBot="1" x14ac:dyDescent="0.35">
      <c r="A340" s="1121"/>
      <c r="C340" s="1115"/>
      <c r="D340" s="1118"/>
      <c r="E340" s="90" t="s">
        <v>477</v>
      </c>
      <c r="F340" s="79">
        <v>0.12</v>
      </c>
      <c r="G340" s="79">
        <v>0.12</v>
      </c>
      <c r="H340" s="79">
        <v>0.12</v>
      </c>
      <c r="I340" s="79">
        <v>0.12</v>
      </c>
      <c r="J340" s="79">
        <v>0.12</v>
      </c>
      <c r="K340" s="79">
        <v>0.2</v>
      </c>
      <c r="L340" s="79">
        <v>0.4</v>
      </c>
      <c r="M340" s="79">
        <v>0.5</v>
      </c>
      <c r="N340" s="79">
        <v>0.5</v>
      </c>
      <c r="O340" s="79">
        <v>0.35</v>
      </c>
      <c r="P340" s="79">
        <v>0.15</v>
      </c>
      <c r="Q340" s="79">
        <v>0.15</v>
      </c>
      <c r="R340" s="79">
        <v>0.15</v>
      </c>
      <c r="S340" s="79">
        <v>0.15</v>
      </c>
      <c r="T340" s="79">
        <v>0.15</v>
      </c>
      <c r="U340" s="79">
        <v>0.15</v>
      </c>
      <c r="V340" s="79">
        <v>0.35</v>
      </c>
      <c r="W340" s="79">
        <v>0.5</v>
      </c>
      <c r="X340" s="79">
        <v>0.5</v>
      </c>
      <c r="Y340" s="79">
        <v>0.4</v>
      </c>
      <c r="Z340" s="79">
        <v>0.4</v>
      </c>
      <c r="AA340" s="79">
        <v>0.3</v>
      </c>
      <c r="AB340" s="79">
        <v>0.2</v>
      </c>
      <c r="AC340" s="84">
        <v>0.12</v>
      </c>
      <c r="AD340" s="39"/>
      <c r="AE340" s="39"/>
      <c r="AF340" s="39"/>
      <c r="AG340" s="39"/>
      <c r="AH340" s="39"/>
      <c r="AI340" s="39"/>
      <c r="AJ340" s="39"/>
      <c r="AK340" s="39"/>
    </row>
    <row r="341" spans="1:37" hidden="1" x14ac:dyDescent="0.3">
      <c r="A341" s="1119" t="s">
        <v>825</v>
      </c>
      <c r="C341" s="1113" t="s">
        <v>827</v>
      </c>
      <c r="D341" s="1116" t="s">
        <v>828</v>
      </c>
      <c r="E341" s="88" t="s">
        <v>468</v>
      </c>
      <c r="F341" s="81">
        <v>0</v>
      </c>
      <c r="G341" s="81">
        <v>0</v>
      </c>
      <c r="H341" s="81">
        <v>0</v>
      </c>
      <c r="I341" s="81">
        <v>0</v>
      </c>
      <c r="J341" s="81">
        <v>0</v>
      </c>
      <c r="K341" s="81">
        <v>0</v>
      </c>
      <c r="L341" s="81">
        <v>0</v>
      </c>
      <c r="M341" s="81">
        <v>0</v>
      </c>
      <c r="N341" s="81">
        <v>0.2</v>
      </c>
      <c r="O341" s="81">
        <v>0.2</v>
      </c>
      <c r="P341" s="81">
        <v>0.2</v>
      </c>
      <c r="Q341" s="81">
        <v>0.8</v>
      </c>
      <c r="R341" s="81">
        <v>0.8</v>
      </c>
      <c r="S341" s="81">
        <v>0.8</v>
      </c>
      <c r="T341" s="81">
        <v>0.8</v>
      </c>
      <c r="U341" s="81">
        <v>0.8</v>
      </c>
      <c r="V341" s="81">
        <v>0.8</v>
      </c>
      <c r="W341" s="81">
        <v>0.8</v>
      </c>
      <c r="X341" s="81">
        <v>0.2</v>
      </c>
      <c r="Y341" s="81">
        <v>0.2</v>
      </c>
      <c r="Z341" s="81">
        <v>0.2</v>
      </c>
      <c r="AA341" s="81">
        <v>0.2</v>
      </c>
      <c r="AB341" s="81">
        <v>0.1</v>
      </c>
      <c r="AC341" s="82">
        <v>0</v>
      </c>
      <c r="AD341" s="39"/>
      <c r="AE341" s="39"/>
      <c r="AF341" s="39"/>
      <c r="AG341" s="39"/>
      <c r="AH341" s="39"/>
      <c r="AI341" s="39"/>
      <c r="AJ341" s="39"/>
      <c r="AK341" s="39"/>
    </row>
    <row r="342" spans="1:37" hidden="1" x14ac:dyDescent="0.3">
      <c r="A342" s="1120"/>
      <c r="C342" s="1114"/>
      <c r="D342" s="1117"/>
      <c r="E342" s="89" t="s">
        <v>475</v>
      </c>
      <c r="F342" s="78">
        <v>0</v>
      </c>
      <c r="G342" s="78">
        <v>0</v>
      </c>
      <c r="H342" s="78">
        <v>0</v>
      </c>
      <c r="I342" s="78">
        <v>0</v>
      </c>
      <c r="J342" s="78">
        <v>0</v>
      </c>
      <c r="K342" s="78">
        <v>0</v>
      </c>
      <c r="L342" s="78">
        <v>0</v>
      </c>
      <c r="M342" s="78">
        <v>0</v>
      </c>
      <c r="N342" s="78">
        <v>0.2</v>
      </c>
      <c r="O342" s="78">
        <v>0.2</v>
      </c>
      <c r="P342" s="78">
        <v>0.2</v>
      </c>
      <c r="Q342" s="78">
        <v>0.6</v>
      </c>
      <c r="R342" s="78">
        <v>0.6</v>
      </c>
      <c r="S342" s="78">
        <v>0.6</v>
      </c>
      <c r="T342" s="78">
        <v>0.6</v>
      </c>
      <c r="U342" s="78">
        <v>0.6</v>
      </c>
      <c r="V342" s="78">
        <v>0.6</v>
      </c>
      <c r="W342" s="78">
        <v>0.6</v>
      </c>
      <c r="X342" s="78">
        <v>0.6</v>
      </c>
      <c r="Y342" s="78">
        <v>0.6</v>
      </c>
      <c r="Z342" s="78">
        <v>0.6</v>
      </c>
      <c r="AA342" s="78">
        <v>0.8</v>
      </c>
      <c r="AB342" s="78">
        <v>0.1</v>
      </c>
      <c r="AC342" s="83">
        <v>0</v>
      </c>
    </row>
    <row r="343" spans="1:37" ht="12" hidden="1" thickBot="1" x14ac:dyDescent="0.35">
      <c r="A343" s="1121"/>
      <c r="C343" s="1115"/>
      <c r="D343" s="1118"/>
      <c r="E343" s="90" t="s">
        <v>477</v>
      </c>
      <c r="F343" s="79">
        <v>0</v>
      </c>
      <c r="G343" s="79">
        <v>0</v>
      </c>
      <c r="H343" s="79">
        <v>0</v>
      </c>
      <c r="I343" s="79">
        <v>0</v>
      </c>
      <c r="J343" s="79">
        <v>0</v>
      </c>
      <c r="K343" s="79">
        <v>0</v>
      </c>
      <c r="L343" s="79">
        <v>0</v>
      </c>
      <c r="M343" s="79">
        <v>0</v>
      </c>
      <c r="N343" s="79">
        <v>0.1</v>
      </c>
      <c r="O343" s="79">
        <v>0.1</v>
      </c>
      <c r="P343" s="79">
        <v>0.1</v>
      </c>
      <c r="Q343" s="79">
        <v>0.1</v>
      </c>
      <c r="R343" s="79">
        <v>0.1</v>
      </c>
      <c r="S343" s="79">
        <v>0.7</v>
      </c>
      <c r="T343" s="79">
        <v>0.7</v>
      </c>
      <c r="U343" s="79">
        <v>0.7</v>
      </c>
      <c r="V343" s="79">
        <v>0.7</v>
      </c>
      <c r="W343" s="79">
        <v>0.7</v>
      </c>
      <c r="X343" s="79">
        <v>0.7</v>
      </c>
      <c r="Y343" s="79">
        <v>0.7</v>
      </c>
      <c r="Z343" s="79">
        <v>0.7</v>
      </c>
      <c r="AA343" s="79">
        <v>0.7</v>
      </c>
      <c r="AB343" s="79">
        <v>0.2</v>
      </c>
      <c r="AC343" s="84">
        <v>0</v>
      </c>
    </row>
    <row r="344" spans="1:37" hidden="1" x14ac:dyDescent="0.3">
      <c r="A344" s="1119" t="s">
        <v>825</v>
      </c>
      <c r="C344" s="1113" t="s">
        <v>829</v>
      </c>
      <c r="D344" s="1116" t="s">
        <v>828</v>
      </c>
      <c r="E344" s="88" t="s">
        <v>468</v>
      </c>
      <c r="F344" s="81">
        <v>0.05</v>
      </c>
      <c r="G344" s="81">
        <v>0.05</v>
      </c>
      <c r="H344" s="81">
        <v>0.05</v>
      </c>
      <c r="I344" s="81">
        <v>0.05</v>
      </c>
      <c r="J344" s="81">
        <v>0.05</v>
      </c>
      <c r="K344" s="81">
        <v>0.05</v>
      </c>
      <c r="L344" s="81">
        <v>0.35</v>
      </c>
      <c r="M344" s="81">
        <v>0.35</v>
      </c>
      <c r="N344" s="81">
        <v>0.35</v>
      </c>
      <c r="O344" s="81">
        <v>0.65</v>
      </c>
      <c r="P344" s="81">
        <v>0.65</v>
      </c>
      <c r="Q344" s="81">
        <v>0.65</v>
      </c>
      <c r="R344" s="81">
        <v>0.65</v>
      </c>
      <c r="S344" s="81">
        <v>0.65</v>
      </c>
      <c r="T344" s="81">
        <v>0.65</v>
      </c>
      <c r="U344" s="81">
        <v>0.65</v>
      </c>
      <c r="V344" s="81">
        <v>0.65</v>
      </c>
      <c r="W344" s="81">
        <v>0.65</v>
      </c>
      <c r="X344" s="81">
        <v>0.65</v>
      </c>
      <c r="Y344" s="81">
        <v>0.65</v>
      </c>
      <c r="Z344" s="81">
        <v>0.65</v>
      </c>
      <c r="AA344" s="81">
        <v>0.65</v>
      </c>
      <c r="AB344" s="81">
        <v>0.25</v>
      </c>
      <c r="AC344" s="82">
        <v>0.05</v>
      </c>
    </row>
    <row r="345" spans="1:37" hidden="1" x14ac:dyDescent="0.3">
      <c r="A345" s="1120"/>
      <c r="C345" s="1114"/>
      <c r="D345" s="1117"/>
      <c r="E345" s="89" t="s">
        <v>475</v>
      </c>
      <c r="F345" s="78">
        <v>0.05</v>
      </c>
      <c r="G345" s="78">
        <v>0.05</v>
      </c>
      <c r="H345" s="78">
        <v>0.05</v>
      </c>
      <c r="I345" s="78">
        <v>0.05</v>
      </c>
      <c r="J345" s="78">
        <v>0.05</v>
      </c>
      <c r="K345" s="78">
        <v>0.05</v>
      </c>
      <c r="L345" s="78">
        <v>0.05</v>
      </c>
      <c r="M345" s="78">
        <v>0.3</v>
      </c>
      <c r="N345" s="78">
        <v>0.3</v>
      </c>
      <c r="O345" s="78">
        <v>0.4</v>
      </c>
      <c r="P345" s="78">
        <v>0.4</v>
      </c>
      <c r="Q345" s="78">
        <v>0.4</v>
      </c>
      <c r="R345" s="78">
        <v>0.4</v>
      </c>
      <c r="S345" s="78">
        <v>0.4</v>
      </c>
      <c r="T345" s="78">
        <v>0.4</v>
      </c>
      <c r="U345" s="78">
        <v>0.4</v>
      </c>
      <c r="V345" s="78">
        <v>0.4</v>
      </c>
      <c r="W345" s="78">
        <v>0.4</v>
      </c>
      <c r="X345" s="78">
        <v>0.4</v>
      </c>
      <c r="Y345" s="78">
        <v>0.4</v>
      </c>
      <c r="Z345" s="78">
        <v>0.4</v>
      </c>
      <c r="AA345" s="78">
        <v>0.4</v>
      </c>
      <c r="AB345" s="78">
        <v>0.4</v>
      </c>
      <c r="AC345" s="83">
        <v>0.05</v>
      </c>
    </row>
    <row r="346" spans="1:37" ht="12" hidden="1" thickBot="1" x14ac:dyDescent="0.35">
      <c r="A346" s="1121"/>
      <c r="C346" s="1115"/>
      <c r="D346" s="1118"/>
      <c r="E346" s="90" t="s">
        <v>477</v>
      </c>
      <c r="F346" s="79">
        <v>0.05</v>
      </c>
      <c r="G346" s="79">
        <v>0.05</v>
      </c>
      <c r="H346" s="79">
        <v>0.05</v>
      </c>
      <c r="I346" s="79">
        <v>0.05</v>
      </c>
      <c r="J346" s="79">
        <v>0.05</v>
      </c>
      <c r="K346" s="79">
        <v>0.05</v>
      </c>
      <c r="L346" s="79">
        <v>0.05</v>
      </c>
      <c r="M346" s="79">
        <v>0.3</v>
      </c>
      <c r="N346" s="79">
        <v>0.3</v>
      </c>
      <c r="O346" s="79">
        <v>0.3</v>
      </c>
      <c r="P346" s="79">
        <v>0.3</v>
      </c>
      <c r="Q346" s="79">
        <v>0.3</v>
      </c>
      <c r="R346" s="79">
        <v>0.55000000000000004</v>
      </c>
      <c r="S346" s="79">
        <v>0.55000000000000004</v>
      </c>
      <c r="T346" s="79">
        <v>0.55000000000000004</v>
      </c>
      <c r="U346" s="79">
        <v>0.55000000000000004</v>
      </c>
      <c r="V346" s="79">
        <v>0.55000000000000004</v>
      </c>
      <c r="W346" s="79">
        <v>0.55000000000000004</v>
      </c>
      <c r="X346" s="79">
        <v>0.55000000000000004</v>
      </c>
      <c r="Y346" s="79">
        <v>0.55000000000000004</v>
      </c>
      <c r="Z346" s="79">
        <v>0.55000000000000004</v>
      </c>
      <c r="AA346" s="79">
        <v>0.55000000000000004</v>
      </c>
      <c r="AB346" s="79">
        <v>0.05</v>
      </c>
      <c r="AC346" s="84">
        <v>0.05</v>
      </c>
    </row>
    <row r="347" spans="1:37" hidden="1" x14ac:dyDescent="0.3">
      <c r="A347" s="1119" t="s">
        <v>825</v>
      </c>
      <c r="C347" s="1122" t="s">
        <v>830</v>
      </c>
      <c r="D347" s="1116" t="s">
        <v>828</v>
      </c>
      <c r="E347" s="88" t="s">
        <v>468</v>
      </c>
      <c r="F347" s="81">
        <v>0.05</v>
      </c>
      <c r="G347" s="81">
        <v>0.05</v>
      </c>
      <c r="H347" s="81">
        <v>0.05</v>
      </c>
      <c r="I347" s="81">
        <v>0.05</v>
      </c>
      <c r="J347" s="81">
        <v>0.05</v>
      </c>
      <c r="K347" s="81">
        <v>0.05</v>
      </c>
      <c r="L347" s="81">
        <v>0.4</v>
      </c>
      <c r="M347" s="81">
        <v>0.4</v>
      </c>
      <c r="N347" s="81">
        <v>0.4</v>
      </c>
      <c r="O347" s="81">
        <v>0.75</v>
      </c>
      <c r="P347" s="81">
        <v>0.75</v>
      </c>
      <c r="Q347" s="81">
        <v>0.75</v>
      </c>
      <c r="R347" s="81">
        <v>0.75</v>
      </c>
      <c r="S347" s="81">
        <v>0.75</v>
      </c>
      <c r="T347" s="81">
        <v>0.75</v>
      </c>
      <c r="U347" s="81">
        <v>0.75</v>
      </c>
      <c r="V347" s="81">
        <v>0.75</v>
      </c>
      <c r="W347" s="81">
        <v>0.75</v>
      </c>
      <c r="X347" s="81">
        <v>0.75</v>
      </c>
      <c r="Y347" s="81">
        <v>0.75</v>
      </c>
      <c r="Z347" s="81">
        <v>0.75</v>
      </c>
      <c r="AA347" s="81">
        <v>0.75</v>
      </c>
      <c r="AB347" s="81">
        <v>0.25</v>
      </c>
      <c r="AC347" s="82">
        <v>0.05</v>
      </c>
    </row>
    <row r="348" spans="1:37" hidden="1" x14ac:dyDescent="0.3">
      <c r="A348" s="1120"/>
      <c r="C348" s="1123"/>
      <c r="D348" s="1117"/>
      <c r="E348" s="89" t="s">
        <v>475</v>
      </c>
      <c r="F348" s="78">
        <v>0.05</v>
      </c>
      <c r="G348" s="78">
        <v>0.05</v>
      </c>
      <c r="H348" s="78">
        <v>0.05</v>
      </c>
      <c r="I348" s="78">
        <v>0.05</v>
      </c>
      <c r="J348" s="78">
        <v>0.05</v>
      </c>
      <c r="K348" s="78">
        <v>0.05</v>
      </c>
      <c r="L348" s="78">
        <v>0.05</v>
      </c>
      <c r="M348" s="78">
        <v>0.3</v>
      </c>
      <c r="N348" s="78">
        <v>0.3</v>
      </c>
      <c r="O348" s="78">
        <v>0.5</v>
      </c>
      <c r="P348" s="78">
        <v>0.5</v>
      </c>
      <c r="Q348" s="78">
        <v>0.5</v>
      </c>
      <c r="R348" s="78">
        <v>0.5</v>
      </c>
      <c r="S348" s="78">
        <v>0.5</v>
      </c>
      <c r="T348" s="78">
        <v>0.5</v>
      </c>
      <c r="U348" s="78">
        <v>0.5</v>
      </c>
      <c r="V348" s="78">
        <v>0.5</v>
      </c>
      <c r="W348" s="78">
        <v>0.5</v>
      </c>
      <c r="X348" s="78">
        <v>0.5</v>
      </c>
      <c r="Y348" s="78">
        <v>0.5</v>
      </c>
      <c r="Z348" s="78">
        <v>0.5</v>
      </c>
      <c r="AA348" s="78">
        <v>0.5</v>
      </c>
      <c r="AB348" s="78">
        <v>0.5</v>
      </c>
      <c r="AC348" s="83">
        <v>0.05</v>
      </c>
    </row>
    <row r="349" spans="1:37" ht="12" hidden="1" thickBot="1" x14ac:dyDescent="0.35">
      <c r="A349" s="1126"/>
      <c r="C349" s="1124"/>
      <c r="D349" s="1125"/>
      <c r="E349" s="91" t="s">
        <v>477</v>
      </c>
      <c r="F349" s="86">
        <v>0.05</v>
      </c>
      <c r="G349" s="86">
        <v>0.05</v>
      </c>
      <c r="H349" s="86">
        <v>0.05</v>
      </c>
      <c r="I349" s="86">
        <v>0.05</v>
      </c>
      <c r="J349" s="86">
        <v>0.05</v>
      </c>
      <c r="K349" s="86">
        <v>0.05</v>
      </c>
      <c r="L349" s="86">
        <v>0.05</v>
      </c>
      <c r="M349" s="86">
        <v>0.3</v>
      </c>
      <c r="N349" s="86">
        <v>0.3</v>
      </c>
      <c r="O349" s="86">
        <v>0.3</v>
      </c>
      <c r="P349" s="86">
        <v>0.3</v>
      </c>
      <c r="Q349" s="86">
        <v>0.3</v>
      </c>
      <c r="R349" s="86">
        <v>0.65</v>
      </c>
      <c r="S349" s="86">
        <v>0.65</v>
      </c>
      <c r="T349" s="86">
        <v>0.65</v>
      </c>
      <c r="U349" s="86">
        <v>0.65</v>
      </c>
      <c r="V349" s="86">
        <v>0.65</v>
      </c>
      <c r="W349" s="86">
        <v>0.65</v>
      </c>
      <c r="X349" s="86">
        <v>0.65</v>
      </c>
      <c r="Y349" s="86">
        <v>0.65</v>
      </c>
      <c r="Z349" s="86">
        <v>0.65</v>
      </c>
      <c r="AA349" s="86">
        <v>0.65</v>
      </c>
      <c r="AB349" s="86">
        <v>0.05</v>
      </c>
      <c r="AC349" s="87">
        <v>0.05</v>
      </c>
    </row>
    <row r="350" spans="1:37" hidden="1" x14ac:dyDescent="0.3">
      <c r="A350" s="1132" t="s">
        <v>825</v>
      </c>
      <c r="C350" s="1127" t="s">
        <v>831</v>
      </c>
      <c r="D350" s="1131" t="s">
        <v>828</v>
      </c>
      <c r="E350" s="92" t="s">
        <v>468</v>
      </c>
      <c r="F350" s="80">
        <v>0</v>
      </c>
      <c r="G350" s="80">
        <v>0</v>
      </c>
      <c r="H350" s="80">
        <v>0</v>
      </c>
      <c r="I350" s="80">
        <v>0</v>
      </c>
      <c r="J350" s="80">
        <v>0</v>
      </c>
      <c r="K350" s="80">
        <v>0</v>
      </c>
      <c r="L350" s="80">
        <v>0</v>
      </c>
      <c r="M350" s="80">
        <v>1</v>
      </c>
      <c r="N350" s="80">
        <v>1</v>
      </c>
      <c r="O350" s="80">
        <v>1</v>
      </c>
      <c r="P350" s="80">
        <v>1</v>
      </c>
      <c r="Q350" s="80">
        <v>1</v>
      </c>
      <c r="R350" s="80">
        <v>1</v>
      </c>
      <c r="S350" s="80">
        <v>1</v>
      </c>
      <c r="T350" s="80">
        <v>1</v>
      </c>
      <c r="U350" s="80">
        <v>1</v>
      </c>
      <c r="V350" s="80">
        <v>1</v>
      </c>
      <c r="W350" s="80">
        <v>1</v>
      </c>
      <c r="X350" s="80">
        <v>1</v>
      </c>
      <c r="Y350" s="80">
        <v>1</v>
      </c>
      <c r="Z350" s="80">
        <v>1</v>
      </c>
      <c r="AA350" s="80">
        <v>1</v>
      </c>
      <c r="AB350" s="80">
        <v>1</v>
      </c>
      <c r="AC350" s="85">
        <v>0</v>
      </c>
    </row>
    <row r="351" spans="1:37" hidden="1" x14ac:dyDescent="0.3">
      <c r="A351" s="1120"/>
      <c r="C351" s="1123"/>
      <c r="D351" s="1117"/>
      <c r="E351" s="89" t="s">
        <v>475</v>
      </c>
      <c r="F351" s="78">
        <v>0</v>
      </c>
      <c r="G351" s="78">
        <v>0</v>
      </c>
      <c r="H351" s="78">
        <v>0</v>
      </c>
      <c r="I351" s="78">
        <v>0</v>
      </c>
      <c r="J351" s="78">
        <v>0</v>
      </c>
      <c r="K351" s="78">
        <v>0</v>
      </c>
      <c r="L351" s="78">
        <v>0</v>
      </c>
      <c r="M351" s="78">
        <v>1</v>
      </c>
      <c r="N351" s="78">
        <v>1</v>
      </c>
      <c r="O351" s="78">
        <v>1</v>
      </c>
      <c r="P351" s="78">
        <v>1</v>
      </c>
      <c r="Q351" s="78">
        <v>1</v>
      </c>
      <c r="R351" s="78">
        <v>1</v>
      </c>
      <c r="S351" s="78">
        <v>1</v>
      </c>
      <c r="T351" s="78">
        <v>1</v>
      </c>
      <c r="U351" s="78">
        <v>1</v>
      </c>
      <c r="V351" s="78">
        <v>1</v>
      </c>
      <c r="W351" s="78">
        <v>1</v>
      </c>
      <c r="X351" s="78">
        <v>1</v>
      </c>
      <c r="Y351" s="78">
        <v>1</v>
      </c>
      <c r="Z351" s="78">
        <v>1</v>
      </c>
      <c r="AA351" s="78">
        <v>1</v>
      </c>
      <c r="AB351" s="78">
        <v>1</v>
      </c>
      <c r="AC351" s="83">
        <v>0</v>
      </c>
    </row>
    <row r="352" spans="1:37" ht="12" hidden="1" thickBot="1" x14ac:dyDescent="0.35">
      <c r="A352" s="1126"/>
      <c r="C352" s="1124"/>
      <c r="D352" s="1125"/>
      <c r="E352" s="91" t="s">
        <v>477</v>
      </c>
      <c r="F352" s="86">
        <v>0</v>
      </c>
      <c r="G352" s="86">
        <v>0</v>
      </c>
      <c r="H352" s="86">
        <v>0</v>
      </c>
      <c r="I352" s="86">
        <v>0</v>
      </c>
      <c r="J352" s="86">
        <v>0</v>
      </c>
      <c r="K352" s="86">
        <v>0</v>
      </c>
      <c r="L352" s="86">
        <v>0</v>
      </c>
      <c r="M352" s="86">
        <v>1</v>
      </c>
      <c r="N352" s="86">
        <v>1</v>
      </c>
      <c r="O352" s="86">
        <v>1</v>
      </c>
      <c r="P352" s="86">
        <v>1</v>
      </c>
      <c r="Q352" s="86">
        <v>1</v>
      </c>
      <c r="R352" s="86">
        <v>1</v>
      </c>
      <c r="S352" s="86">
        <v>1</v>
      </c>
      <c r="T352" s="86">
        <v>1</v>
      </c>
      <c r="U352" s="86">
        <v>1</v>
      </c>
      <c r="V352" s="86">
        <v>1</v>
      </c>
      <c r="W352" s="86">
        <v>1</v>
      </c>
      <c r="X352" s="86">
        <v>1</v>
      </c>
      <c r="Y352" s="86">
        <v>1</v>
      </c>
      <c r="Z352" s="86">
        <v>1</v>
      </c>
      <c r="AA352" s="86">
        <v>1</v>
      </c>
      <c r="AB352" s="86">
        <v>1</v>
      </c>
      <c r="AC352" s="87">
        <v>0</v>
      </c>
    </row>
    <row r="353" spans="1:29" hidden="1" x14ac:dyDescent="0.3">
      <c r="A353" s="1132" t="s">
        <v>825</v>
      </c>
      <c r="C353" s="1127" t="s">
        <v>832</v>
      </c>
      <c r="D353" s="1131" t="s">
        <v>828</v>
      </c>
      <c r="E353" s="92" t="s">
        <v>468</v>
      </c>
      <c r="F353" s="80">
        <v>0</v>
      </c>
      <c r="G353" s="80">
        <v>0</v>
      </c>
      <c r="H353" s="80">
        <v>0</v>
      </c>
      <c r="I353" s="80">
        <v>0</v>
      </c>
      <c r="J353" s="80">
        <v>0</v>
      </c>
      <c r="K353" s="80">
        <v>0</v>
      </c>
      <c r="L353" s="80">
        <v>0</v>
      </c>
      <c r="M353" s="80">
        <v>0</v>
      </c>
      <c r="N353" s="80">
        <v>0</v>
      </c>
      <c r="O353" s="80">
        <v>0.05</v>
      </c>
      <c r="P353" s="80">
        <v>0.05</v>
      </c>
      <c r="Q353" s="80">
        <v>0.35</v>
      </c>
      <c r="R353" s="80">
        <v>0.05</v>
      </c>
      <c r="S353" s="80">
        <v>0.05</v>
      </c>
      <c r="T353" s="80">
        <v>0.05</v>
      </c>
      <c r="U353" s="80">
        <v>0.05</v>
      </c>
      <c r="V353" s="80">
        <v>0.05</v>
      </c>
      <c r="W353" s="80">
        <v>0</v>
      </c>
      <c r="X353" s="80">
        <v>0</v>
      </c>
      <c r="Y353" s="80">
        <v>0</v>
      </c>
      <c r="Z353" s="80">
        <v>0</v>
      </c>
      <c r="AA353" s="80">
        <v>0</v>
      </c>
      <c r="AB353" s="80">
        <v>0</v>
      </c>
      <c r="AC353" s="85">
        <v>0</v>
      </c>
    </row>
    <row r="354" spans="1:29" hidden="1" x14ac:dyDescent="0.3">
      <c r="A354" s="1120"/>
      <c r="C354" s="1123"/>
      <c r="D354" s="1117"/>
      <c r="E354" s="89" t="s">
        <v>475</v>
      </c>
      <c r="F354" s="78">
        <v>0</v>
      </c>
      <c r="G354" s="78">
        <v>0</v>
      </c>
      <c r="H354" s="78">
        <v>0</v>
      </c>
      <c r="I354" s="78">
        <v>0</v>
      </c>
      <c r="J354" s="78">
        <v>0</v>
      </c>
      <c r="K354" s="78">
        <v>0</v>
      </c>
      <c r="L354" s="78">
        <v>0</v>
      </c>
      <c r="M354" s="78">
        <v>0</v>
      </c>
      <c r="N354" s="78">
        <v>0</v>
      </c>
      <c r="O354" s="78">
        <v>0.05</v>
      </c>
      <c r="P354" s="78">
        <v>0.05</v>
      </c>
      <c r="Q354" s="78">
        <v>0.2</v>
      </c>
      <c r="R354" s="78">
        <v>0</v>
      </c>
      <c r="S354" s="78">
        <v>0</v>
      </c>
      <c r="T354" s="78">
        <v>0</v>
      </c>
      <c r="U354" s="78">
        <v>0</v>
      </c>
      <c r="V354" s="78">
        <v>0</v>
      </c>
      <c r="W354" s="78">
        <v>0</v>
      </c>
      <c r="X354" s="78">
        <v>0</v>
      </c>
      <c r="Y354" s="78">
        <v>0.65</v>
      </c>
      <c r="Z354" s="78">
        <v>0.3</v>
      </c>
      <c r="AA354" s="78">
        <v>0</v>
      </c>
      <c r="AB354" s="78">
        <v>0</v>
      </c>
      <c r="AC354" s="83">
        <v>0</v>
      </c>
    </row>
    <row r="355" spans="1:29" ht="12" hidden="1" thickBot="1" x14ac:dyDescent="0.35">
      <c r="A355" s="1121"/>
      <c r="C355" s="1133"/>
      <c r="D355" s="1118"/>
      <c r="E355" s="90" t="s">
        <v>477</v>
      </c>
      <c r="F355" s="79">
        <v>0</v>
      </c>
      <c r="G355" s="79">
        <v>0</v>
      </c>
      <c r="H355" s="79">
        <v>0</v>
      </c>
      <c r="I355" s="79">
        <v>0</v>
      </c>
      <c r="J355" s="79">
        <v>0</v>
      </c>
      <c r="K355" s="79">
        <v>0</v>
      </c>
      <c r="L355" s="79">
        <v>0</v>
      </c>
      <c r="M355" s="79">
        <v>0</v>
      </c>
      <c r="N355" s="79">
        <v>0</v>
      </c>
      <c r="O355" s="79">
        <v>0.05</v>
      </c>
      <c r="P355" s="79">
        <v>0.05</v>
      </c>
      <c r="Q355" s="79">
        <v>0.1</v>
      </c>
      <c r="R355" s="79">
        <v>0</v>
      </c>
      <c r="S355" s="79">
        <v>0</v>
      </c>
      <c r="T355" s="79">
        <v>0</v>
      </c>
      <c r="U355" s="79">
        <v>0</v>
      </c>
      <c r="V355" s="79">
        <v>0</v>
      </c>
      <c r="W355" s="79">
        <v>0</v>
      </c>
      <c r="X355" s="79">
        <v>0</v>
      </c>
      <c r="Y355" s="79">
        <v>0.65</v>
      </c>
      <c r="Z355" s="79">
        <v>0.3</v>
      </c>
      <c r="AA355" s="79">
        <v>0</v>
      </c>
      <c r="AB355" s="79">
        <v>0</v>
      </c>
      <c r="AC355" s="84">
        <v>0</v>
      </c>
    </row>
    <row r="356" spans="1:29" hidden="1" x14ac:dyDescent="0.3">
      <c r="A356" s="1119" t="s">
        <v>825</v>
      </c>
      <c r="C356" s="1122" t="s">
        <v>833</v>
      </c>
      <c r="D356" s="1116" t="s">
        <v>828</v>
      </c>
      <c r="E356" s="88" t="s">
        <v>468</v>
      </c>
      <c r="F356" s="81">
        <v>1</v>
      </c>
      <c r="G356" s="81">
        <v>1</v>
      </c>
      <c r="H356" s="81">
        <v>1</v>
      </c>
      <c r="I356" s="81">
        <v>1</v>
      </c>
      <c r="J356" s="81">
        <v>1</v>
      </c>
      <c r="K356" s="81">
        <v>1</v>
      </c>
      <c r="L356" s="81">
        <v>1</v>
      </c>
      <c r="M356" s="81">
        <v>0.25</v>
      </c>
      <c r="N356" s="81">
        <v>0.25</v>
      </c>
      <c r="O356" s="81">
        <v>0.25</v>
      </c>
      <c r="P356" s="81">
        <v>0.25</v>
      </c>
      <c r="Q356" s="81">
        <v>0.25</v>
      </c>
      <c r="R356" s="81">
        <v>0.25</v>
      </c>
      <c r="S356" s="81">
        <v>0.25</v>
      </c>
      <c r="T356" s="81">
        <v>0.25</v>
      </c>
      <c r="U356" s="81">
        <v>0.25</v>
      </c>
      <c r="V356" s="81">
        <v>0.25</v>
      </c>
      <c r="W356" s="81">
        <v>0.25</v>
      </c>
      <c r="X356" s="81">
        <v>0.25</v>
      </c>
      <c r="Y356" s="81">
        <v>0.25</v>
      </c>
      <c r="Z356" s="81">
        <v>0.25</v>
      </c>
      <c r="AA356" s="81">
        <v>0.25</v>
      </c>
      <c r="AB356" s="81">
        <v>0.25</v>
      </c>
      <c r="AC356" s="82">
        <v>1</v>
      </c>
    </row>
    <row r="357" spans="1:29" hidden="1" x14ac:dyDescent="0.3">
      <c r="A357" s="1120"/>
      <c r="C357" s="1123"/>
      <c r="D357" s="1117"/>
      <c r="E357" s="89" t="s">
        <v>475</v>
      </c>
      <c r="F357" s="78">
        <v>1</v>
      </c>
      <c r="G357" s="78">
        <v>1</v>
      </c>
      <c r="H357" s="78">
        <v>1</v>
      </c>
      <c r="I357" s="78">
        <v>1</v>
      </c>
      <c r="J357" s="78">
        <v>1</v>
      </c>
      <c r="K357" s="78">
        <v>1</v>
      </c>
      <c r="L357" s="78">
        <v>1</v>
      </c>
      <c r="M357" s="78">
        <v>0.25</v>
      </c>
      <c r="N357" s="78">
        <v>0.25</v>
      </c>
      <c r="O357" s="78">
        <v>0.25</v>
      </c>
      <c r="P357" s="78">
        <v>0.25</v>
      </c>
      <c r="Q357" s="78">
        <v>0.25</v>
      </c>
      <c r="R357" s="78">
        <v>0.25</v>
      </c>
      <c r="S357" s="78">
        <v>0.25</v>
      </c>
      <c r="T357" s="78">
        <v>0.25</v>
      </c>
      <c r="U357" s="78">
        <v>0.25</v>
      </c>
      <c r="V357" s="78">
        <v>0.25</v>
      </c>
      <c r="W357" s="78">
        <v>0.25</v>
      </c>
      <c r="X357" s="78">
        <v>0.25</v>
      </c>
      <c r="Y357" s="78">
        <v>0.25</v>
      </c>
      <c r="Z357" s="78">
        <v>0.25</v>
      </c>
      <c r="AA357" s="78">
        <v>0.25</v>
      </c>
      <c r="AB357" s="78">
        <v>0.25</v>
      </c>
      <c r="AC357" s="83">
        <v>1</v>
      </c>
    </row>
    <row r="358" spans="1:29" ht="12" hidden="1" thickBot="1" x14ac:dyDescent="0.35">
      <c r="A358" s="1126"/>
      <c r="C358" s="1124"/>
      <c r="D358" s="1125"/>
      <c r="E358" s="91" t="s">
        <v>477</v>
      </c>
      <c r="F358" s="86">
        <v>1</v>
      </c>
      <c r="G358" s="86">
        <v>1</v>
      </c>
      <c r="H358" s="86">
        <v>1</v>
      </c>
      <c r="I358" s="86">
        <v>1</v>
      </c>
      <c r="J358" s="86">
        <v>1</v>
      </c>
      <c r="K358" s="86">
        <v>1</v>
      </c>
      <c r="L358" s="86">
        <v>1</v>
      </c>
      <c r="M358" s="86">
        <v>0.25</v>
      </c>
      <c r="N358" s="86">
        <v>0.25</v>
      </c>
      <c r="O358" s="86">
        <v>0.25</v>
      </c>
      <c r="P358" s="86">
        <v>0.25</v>
      </c>
      <c r="Q358" s="86">
        <v>0.25</v>
      </c>
      <c r="R358" s="86">
        <v>0.25</v>
      </c>
      <c r="S358" s="86">
        <v>0.25</v>
      </c>
      <c r="T358" s="86">
        <v>0.25</v>
      </c>
      <c r="U358" s="86">
        <v>0.25</v>
      </c>
      <c r="V358" s="86">
        <v>0.25</v>
      </c>
      <c r="W358" s="86">
        <v>0.25</v>
      </c>
      <c r="X358" s="86">
        <v>0.25</v>
      </c>
      <c r="Y358" s="86">
        <v>0.25</v>
      </c>
      <c r="Z358" s="86">
        <v>0.25</v>
      </c>
      <c r="AA358" s="86">
        <v>0.25</v>
      </c>
      <c r="AB358" s="86">
        <v>0.25</v>
      </c>
      <c r="AC358" s="87">
        <v>1</v>
      </c>
    </row>
    <row r="359" spans="1:29" hidden="1" x14ac:dyDescent="0.3">
      <c r="A359" s="1132" t="s">
        <v>825</v>
      </c>
      <c r="C359" s="1127" t="s">
        <v>834</v>
      </c>
      <c r="D359" s="1131" t="s">
        <v>828</v>
      </c>
      <c r="E359" s="92" t="s">
        <v>468</v>
      </c>
      <c r="F359" s="80">
        <v>0</v>
      </c>
      <c r="G359" s="80">
        <v>0</v>
      </c>
      <c r="H359" s="80">
        <v>0</v>
      </c>
      <c r="I359" s="80">
        <v>0</v>
      </c>
      <c r="J359" s="80">
        <v>0</v>
      </c>
      <c r="K359" s="80">
        <v>0</v>
      </c>
      <c r="L359" s="80">
        <v>0</v>
      </c>
      <c r="M359" s="80">
        <v>0</v>
      </c>
      <c r="N359" s="80">
        <v>0.3</v>
      </c>
      <c r="O359" s="80">
        <v>0.3</v>
      </c>
      <c r="P359" s="80">
        <v>0.2</v>
      </c>
      <c r="Q359" s="80">
        <v>0.9</v>
      </c>
      <c r="R359" s="80">
        <v>0.9</v>
      </c>
      <c r="S359" s="80">
        <v>0.9</v>
      </c>
      <c r="T359" s="80">
        <v>0.2</v>
      </c>
      <c r="U359" s="80">
        <v>0.2</v>
      </c>
      <c r="V359" s="80">
        <v>0.2</v>
      </c>
      <c r="W359" s="80">
        <v>0.5</v>
      </c>
      <c r="X359" s="80">
        <v>0.5</v>
      </c>
      <c r="Y359" s="80">
        <v>0.1</v>
      </c>
      <c r="Z359" s="80">
        <v>0.1</v>
      </c>
      <c r="AA359" s="80">
        <v>0.1</v>
      </c>
      <c r="AB359" s="80">
        <v>0</v>
      </c>
      <c r="AC359" s="85">
        <v>0</v>
      </c>
    </row>
    <row r="360" spans="1:29" hidden="1" x14ac:dyDescent="0.3">
      <c r="A360" s="1120"/>
      <c r="C360" s="1123"/>
      <c r="D360" s="1117"/>
      <c r="E360" s="89" t="s">
        <v>475</v>
      </c>
      <c r="F360" s="78">
        <v>0</v>
      </c>
      <c r="G360" s="78">
        <v>0</v>
      </c>
      <c r="H360" s="78">
        <v>0</v>
      </c>
      <c r="I360" s="78">
        <v>0</v>
      </c>
      <c r="J360" s="78">
        <v>0</v>
      </c>
      <c r="K360" s="78">
        <v>0</v>
      </c>
      <c r="L360" s="78">
        <v>0</v>
      </c>
      <c r="M360" s="78">
        <v>0</v>
      </c>
      <c r="N360" s="78">
        <v>0.3</v>
      </c>
      <c r="O360" s="78">
        <v>0.3</v>
      </c>
      <c r="P360" s="78">
        <v>0.2</v>
      </c>
      <c r="Q360" s="78">
        <v>0.7</v>
      </c>
      <c r="R360" s="78">
        <v>0.7</v>
      </c>
      <c r="S360" s="78">
        <v>0.7</v>
      </c>
      <c r="T360" s="78">
        <v>0.2</v>
      </c>
      <c r="U360" s="78">
        <v>0.2</v>
      </c>
      <c r="V360" s="78">
        <v>0.2</v>
      </c>
      <c r="W360" s="78">
        <v>0.4</v>
      </c>
      <c r="X360" s="78">
        <v>0.4</v>
      </c>
      <c r="Y360" s="78">
        <v>0.1</v>
      </c>
      <c r="Z360" s="78">
        <v>0.1</v>
      </c>
      <c r="AA360" s="78">
        <v>0.1</v>
      </c>
      <c r="AB360" s="78">
        <v>0</v>
      </c>
      <c r="AC360" s="83">
        <v>0</v>
      </c>
    </row>
    <row r="361" spans="1:29" ht="12" hidden="1" thickBot="1" x14ac:dyDescent="0.35">
      <c r="A361" s="1126"/>
      <c r="C361" s="1124"/>
      <c r="D361" s="1125"/>
      <c r="E361" s="91" t="s">
        <v>477</v>
      </c>
      <c r="F361" s="86">
        <v>0</v>
      </c>
      <c r="G361" s="86">
        <v>0</v>
      </c>
      <c r="H361" s="86">
        <v>0</v>
      </c>
      <c r="I361" s="86">
        <v>0</v>
      </c>
      <c r="J361" s="86">
        <v>0</v>
      </c>
      <c r="K361" s="86">
        <v>0</v>
      </c>
      <c r="L361" s="86">
        <v>0</v>
      </c>
      <c r="M361" s="86">
        <v>0</v>
      </c>
      <c r="N361" s="86">
        <v>0.2</v>
      </c>
      <c r="O361" s="86">
        <v>0.2</v>
      </c>
      <c r="P361" s="86">
        <v>0.1</v>
      </c>
      <c r="Q361" s="86">
        <v>0.1</v>
      </c>
      <c r="R361" s="86">
        <v>0.3</v>
      </c>
      <c r="S361" s="86">
        <v>0.8</v>
      </c>
      <c r="T361" s="86">
        <v>0.2</v>
      </c>
      <c r="U361" s="86">
        <v>0.2</v>
      </c>
      <c r="V361" s="86">
        <v>0.2</v>
      </c>
      <c r="W361" s="86">
        <v>0.5</v>
      </c>
      <c r="X361" s="86">
        <v>0.5</v>
      </c>
      <c r="Y361" s="86">
        <v>0.1</v>
      </c>
      <c r="Z361" s="86">
        <v>0.1</v>
      </c>
      <c r="AA361" s="86">
        <v>0.1</v>
      </c>
      <c r="AB361" s="86">
        <v>0</v>
      </c>
      <c r="AC361" s="87">
        <v>0</v>
      </c>
    </row>
    <row r="362" spans="1:29" hidden="1" x14ac:dyDescent="0.3"/>
    <row r="363" spans="1:29" ht="13.2" hidden="1" x14ac:dyDescent="0.3">
      <c r="A363" s="1111" t="s">
        <v>756</v>
      </c>
      <c r="C363" s="1111" t="s">
        <v>757</v>
      </c>
      <c r="D363" s="1111" t="s">
        <v>260</v>
      </c>
      <c r="E363" s="1111" t="s">
        <v>758</v>
      </c>
      <c r="F363" s="1130" t="s">
        <v>759</v>
      </c>
      <c r="G363" s="1130"/>
      <c r="H363" s="1130"/>
      <c r="I363" s="1130"/>
      <c r="J363" s="1130"/>
      <c r="K363" s="1130"/>
      <c r="L363" s="1130"/>
      <c r="M363" s="1130"/>
      <c r="N363" s="1130"/>
      <c r="O363" s="1130"/>
      <c r="P363" s="1130"/>
      <c r="Q363" s="1130"/>
      <c r="R363" s="1130"/>
      <c r="S363" s="1130"/>
      <c r="T363" s="1130"/>
      <c r="U363" s="1130"/>
      <c r="V363" s="1130"/>
      <c r="W363" s="1130"/>
      <c r="X363" s="1130"/>
      <c r="Y363" s="1130"/>
      <c r="Z363" s="1130"/>
      <c r="AA363" s="1130"/>
      <c r="AB363" s="1130"/>
      <c r="AC363" s="1130"/>
    </row>
    <row r="364" spans="1:29" ht="13.8" hidden="1" thickBot="1" x14ac:dyDescent="0.35">
      <c r="A364" s="1112"/>
      <c r="C364" s="1112"/>
      <c r="D364" s="1112"/>
      <c r="E364" s="1112"/>
      <c r="F364" s="868">
        <v>1</v>
      </c>
      <c r="G364" s="868">
        <v>2</v>
      </c>
      <c r="H364" s="868">
        <v>3</v>
      </c>
      <c r="I364" s="868">
        <v>4</v>
      </c>
      <c r="J364" s="868">
        <v>5</v>
      </c>
      <c r="K364" s="868">
        <v>6</v>
      </c>
      <c r="L364" s="868">
        <v>7</v>
      </c>
      <c r="M364" s="868">
        <v>8</v>
      </c>
      <c r="N364" s="868">
        <v>9</v>
      </c>
      <c r="O364" s="868">
        <v>10</v>
      </c>
      <c r="P364" s="868">
        <v>11</v>
      </c>
      <c r="Q364" s="868">
        <v>12</v>
      </c>
      <c r="R364" s="868">
        <v>13</v>
      </c>
      <c r="S364" s="868">
        <v>14</v>
      </c>
      <c r="T364" s="868">
        <v>15</v>
      </c>
      <c r="U364" s="868">
        <v>16</v>
      </c>
      <c r="V364" s="868">
        <v>17</v>
      </c>
      <c r="W364" s="868">
        <v>18</v>
      </c>
      <c r="X364" s="868">
        <v>19</v>
      </c>
      <c r="Y364" s="868">
        <v>20</v>
      </c>
      <c r="Z364" s="868">
        <v>21</v>
      </c>
      <c r="AA364" s="868">
        <v>22</v>
      </c>
      <c r="AB364" s="868">
        <v>23</v>
      </c>
      <c r="AC364" s="868">
        <v>24</v>
      </c>
    </row>
    <row r="365" spans="1:29" hidden="1" x14ac:dyDescent="0.3">
      <c r="A365" s="1119" t="s">
        <v>825</v>
      </c>
      <c r="C365" s="1113" t="s">
        <v>656</v>
      </c>
      <c r="D365" s="1116" t="s">
        <v>826</v>
      </c>
      <c r="E365" s="88" t="s">
        <v>468</v>
      </c>
      <c r="F365" s="81">
        <v>0.12</v>
      </c>
      <c r="G365" s="81">
        <v>0.12</v>
      </c>
      <c r="H365" s="81">
        <v>0.12</v>
      </c>
      <c r="I365" s="81">
        <v>0.12</v>
      </c>
      <c r="J365" s="81">
        <v>0.12</v>
      </c>
      <c r="K365" s="81">
        <v>0.2</v>
      </c>
      <c r="L365" s="81">
        <v>0.4</v>
      </c>
      <c r="M365" s="81">
        <v>0.5</v>
      </c>
      <c r="N365" s="81">
        <v>0.5</v>
      </c>
      <c r="O365" s="81">
        <v>0.35</v>
      </c>
      <c r="P365" s="81">
        <v>0.15</v>
      </c>
      <c r="Q365" s="81">
        <v>0.15</v>
      </c>
      <c r="R365" s="81">
        <v>0.15</v>
      </c>
      <c r="S365" s="81">
        <v>0.15</v>
      </c>
      <c r="T365" s="81">
        <v>0.15</v>
      </c>
      <c r="U365" s="81">
        <v>0.15</v>
      </c>
      <c r="V365" s="81">
        <v>0.35</v>
      </c>
      <c r="W365" s="81">
        <v>0.5</v>
      </c>
      <c r="X365" s="81">
        <v>0.5</v>
      </c>
      <c r="Y365" s="81">
        <v>0.4</v>
      </c>
      <c r="Z365" s="81">
        <v>0.4</v>
      </c>
      <c r="AA365" s="81">
        <v>0.3</v>
      </c>
      <c r="AB365" s="81">
        <v>0.2</v>
      </c>
      <c r="AC365" s="82">
        <v>0.12</v>
      </c>
    </row>
    <row r="366" spans="1:29" hidden="1" x14ac:dyDescent="0.3">
      <c r="A366" s="1120"/>
      <c r="C366" s="1114"/>
      <c r="D366" s="1117"/>
      <c r="E366" s="89" t="s">
        <v>475</v>
      </c>
      <c r="F366" s="78">
        <v>0.12</v>
      </c>
      <c r="G366" s="78">
        <v>0.12</v>
      </c>
      <c r="H366" s="78">
        <v>0.12</v>
      </c>
      <c r="I366" s="78">
        <v>0.12</v>
      </c>
      <c r="J366" s="78">
        <v>0.12</v>
      </c>
      <c r="K366" s="78">
        <v>0.2</v>
      </c>
      <c r="L366" s="78">
        <v>0.4</v>
      </c>
      <c r="M366" s="78">
        <v>0.5</v>
      </c>
      <c r="N366" s="78">
        <v>0.5</v>
      </c>
      <c r="O366" s="78">
        <v>0.35</v>
      </c>
      <c r="P366" s="78">
        <v>0.15</v>
      </c>
      <c r="Q366" s="78">
        <v>0.15</v>
      </c>
      <c r="R366" s="78">
        <v>0.15</v>
      </c>
      <c r="S366" s="78">
        <v>0.15</v>
      </c>
      <c r="T366" s="78">
        <v>0.15</v>
      </c>
      <c r="U366" s="78">
        <v>0.15</v>
      </c>
      <c r="V366" s="78">
        <v>0.35</v>
      </c>
      <c r="W366" s="78">
        <v>0.5</v>
      </c>
      <c r="X366" s="78">
        <v>0.5</v>
      </c>
      <c r="Y366" s="78">
        <v>0.4</v>
      </c>
      <c r="Z366" s="78">
        <v>0.4</v>
      </c>
      <c r="AA366" s="78">
        <v>0.3</v>
      </c>
      <c r="AB366" s="78">
        <v>0.2</v>
      </c>
      <c r="AC366" s="83">
        <v>0.12</v>
      </c>
    </row>
    <row r="367" spans="1:29" ht="12" hidden="1" thickBot="1" x14ac:dyDescent="0.35">
      <c r="A367" s="1121"/>
      <c r="C367" s="1115"/>
      <c r="D367" s="1118"/>
      <c r="E367" s="90" t="s">
        <v>477</v>
      </c>
      <c r="F367" s="79">
        <v>0.12</v>
      </c>
      <c r="G367" s="79">
        <v>0.12</v>
      </c>
      <c r="H367" s="79">
        <v>0.12</v>
      </c>
      <c r="I367" s="79">
        <v>0.12</v>
      </c>
      <c r="J367" s="79">
        <v>0.12</v>
      </c>
      <c r="K367" s="79">
        <v>0.2</v>
      </c>
      <c r="L367" s="79">
        <v>0.4</v>
      </c>
      <c r="M367" s="79">
        <v>0.5</v>
      </c>
      <c r="N367" s="79">
        <v>0.5</v>
      </c>
      <c r="O367" s="79">
        <v>0.35</v>
      </c>
      <c r="P367" s="79">
        <v>0.15</v>
      </c>
      <c r="Q367" s="79">
        <v>0.15</v>
      </c>
      <c r="R367" s="79">
        <v>0.15</v>
      </c>
      <c r="S367" s="79">
        <v>0.15</v>
      </c>
      <c r="T367" s="79">
        <v>0.15</v>
      </c>
      <c r="U367" s="79">
        <v>0.15</v>
      </c>
      <c r="V367" s="79">
        <v>0.35</v>
      </c>
      <c r="W367" s="79">
        <v>0.5</v>
      </c>
      <c r="X367" s="79">
        <v>0.5</v>
      </c>
      <c r="Y367" s="79">
        <v>0.4</v>
      </c>
      <c r="Z367" s="79">
        <v>0.4</v>
      </c>
      <c r="AA367" s="79">
        <v>0.3</v>
      </c>
      <c r="AB367" s="79">
        <v>0.2</v>
      </c>
      <c r="AC367" s="84">
        <v>0.12</v>
      </c>
    </row>
    <row r="368" spans="1:29" hidden="1" x14ac:dyDescent="0.3">
      <c r="A368" s="1108" t="s">
        <v>367</v>
      </c>
      <c r="C368" s="1102" t="s">
        <v>835</v>
      </c>
      <c r="D368" s="1105" t="s">
        <v>828</v>
      </c>
      <c r="E368" s="93" t="s">
        <v>468</v>
      </c>
      <c r="F368" s="68">
        <v>0.9</v>
      </c>
      <c r="G368" s="68">
        <v>0.9</v>
      </c>
      <c r="H368" s="68">
        <v>0.9</v>
      </c>
      <c r="I368" s="68">
        <v>0.9</v>
      </c>
      <c r="J368" s="68">
        <v>0.9</v>
      </c>
      <c r="K368" s="68">
        <v>0.9</v>
      </c>
      <c r="L368" s="68">
        <v>0.7</v>
      </c>
      <c r="M368" s="68">
        <v>0.4</v>
      </c>
      <c r="N368" s="68">
        <v>0.4</v>
      </c>
      <c r="O368" s="68">
        <v>0.2</v>
      </c>
      <c r="P368" s="68">
        <v>0.2</v>
      </c>
      <c r="Q368" s="68">
        <v>0.2</v>
      </c>
      <c r="R368" s="68">
        <v>0.2</v>
      </c>
      <c r="S368" s="68">
        <v>0.2</v>
      </c>
      <c r="T368" s="68">
        <v>0.2</v>
      </c>
      <c r="U368" s="68">
        <v>0.3</v>
      </c>
      <c r="V368" s="68">
        <v>0.5</v>
      </c>
      <c r="W368" s="68">
        <v>0.5</v>
      </c>
      <c r="X368" s="68">
        <v>0.5</v>
      </c>
      <c r="Y368" s="68">
        <v>0.7</v>
      </c>
      <c r="Z368" s="68">
        <v>0.7</v>
      </c>
      <c r="AA368" s="68">
        <v>0.8</v>
      </c>
      <c r="AB368" s="68">
        <v>0.9</v>
      </c>
      <c r="AC368" s="71">
        <v>0.9</v>
      </c>
    </row>
    <row r="369" spans="1:39" hidden="1" x14ac:dyDescent="0.3">
      <c r="A369" s="1109"/>
      <c r="C369" s="1128"/>
      <c r="D369" s="1106"/>
      <c r="E369" s="94" t="s">
        <v>475</v>
      </c>
      <c r="F369" s="69">
        <v>0.9</v>
      </c>
      <c r="G369" s="69">
        <v>0.9</v>
      </c>
      <c r="H369" s="69">
        <v>0.9</v>
      </c>
      <c r="I369" s="69">
        <v>0.9</v>
      </c>
      <c r="J369" s="69">
        <v>0.9</v>
      </c>
      <c r="K369" s="69">
        <v>0.9</v>
      </c>
      <c r="L369" s="69">
        <v>0.7</v>
      </c>
      <c r="M369" s="69">
        <v>0.4</v>
      </c>
      <c r="N369" s="69">
        <v>0.4</v>
      </c>
      <c r="O369" s="69">
        <v>0.2</v>
      </c>
      <c r="P369" s="69">
        <v>0.2</v>
      </c>
      <c r="Q369" s="69">
        <v>0.2</v>
      </c>
      <c r="R369" s="69">
        <v>0.2</v>
      </c>
      <c r="S369" s="69">
        <v>0.2</v>
      </c>
      <c r="T369" s="69">
        <v>0.2</v>
      </c>
      <c r="U369" s="69">
        <v>0.3</v>
      </c>
      <c r="V369" s="69">
        <v>0.5</v>
      </c>
      <c r="W369" s="69">
        <v>0.5</v>
      </c>
      <c r="X369" s="69">
        <v>0.5</v>
      </c>
      <c r="Y369" s="69">
        <v>0.7</v>
      </c>
      <c r="Z369" s="69">
        <v>0.7</v>
      </c>
      <c r="AA369" s="69">
        <v>0.8</v>
      </c>
      <c r="AB369" s="69">
        <v>0.9</v>
      </c>
      <c r="AC369" s="72">
        <v>0.9</v>
      </c>
    </row>
    <row r="370" spans="1:39" ht="12" hidden="1" thickBot="1" x14ac:dyDescent="0.35">
      <c r="A370" s="1110"/>
      <c r="C370" s="1129"/>
      <c r="D370" s="1107"/>
      <c r="E370" s="95" t="s">
        <v>477</v>
      </c>
      <c r="F370" s="70">
        <v>0.9</v>
      </c>
      <c r="G370" s="70">
        <v>0.9</v>
      </c>
      <c r="H370" s="70">
        <v>0.9</v>
      </c>
      <c r="I370" s="70">
        <v>0.9</v>
      </c>
      <c r="J370" s="70">
        <v>0.9</v>
      </c>
      <c r="K370" s="70">
        <v>0.9</v>
      </c>
      <c r="L370" s="70">
        <v>0.7</v>
      </c>
      <c r="M370" s="70">
        <v>0.4</v>
      </c>
      <c r="N370" s="70">
        <v>0.4</v>
      </c>
      <c r="O370" s="70">
        <v>0.2</v>
      </c>
      <c r="P370" s="70">
        <v>0.2</v>
      </c>
      <c r="Q370" s="70">
        <v>0.2</v>
      </c>
      <c r="R370" s="70">
        <v>0.2</v>
      </c>
      <c r="S370" s="70">
        <v>0.2</v>
      </c>
      <c r="T370" s="70">
        <v>0.2</v>
      </c>
      <c r="U370" s="70">
        <v>0.3</v>
      </c>
      <c r="V370" s="70">
        <v>0.5</v>
      </c>
      <c r="W370" s="70">
        <v>0.5</v>
      </c>
      <c r="X370" s="70">
        <v>0.5</v>
      </c>
      <c r="Y370" s="70">
        <v>0.7</v>
      </c>
      <c r="Z370" s="70">
        <v>0.7</v>
      </c>
      <c r="AA370" s="70">
        <v>0.8</v>
      </c>
      <c r="AB370" s="70">
        <v>0.9</v>
      </c>
      <c r="AC370" s="73">
        <v>0.9</v>
      </c>
    </row>
    <row r="371" spans="1:39" hidden="1" x14ac:dyDescent="0.3">
      <c r="A371" s="1108" t="s">
        <v>367</v>
      </c>
      <c r="C371" s="1102" t="s">
        <v>836</v>
      </c>
      <c r="D371" s="1105" t="s">
        <v>828</v>
      </c>
      <c r="E371" s="93" t="s">
        <v>468</v>
      </c>
      <c r="F371" s="68">
        <v>0.1</v>
      </c>
      <c r="G371" s="68">
        <v>0.1</v>
      </c>
      <c r="H371" s="68">
        <v>0.1</v>
      </c>
      <c r="I371" s="68">
        <v>0.1</v>
      </c>
      <c r="J371" s="68">
        <v>0.1</v>
      </c>
      <c r="K371" s="68">
        <v>0.3</v>
      </c>
      <c r="L371" s="68">
        <v>0.45</v>
      </c>
      <c r="M371" s="68">
        <v>0.45</v>
      </c>
      <c r="N371" s="68">
        <v>0.45</v>
      </c>
      <c r="O371" s="68">
        <v>0.45</v>
      </c>
      <c r="P371" s="68">
        <v>0.3</v>
      </c>
      <c r="Q371" s="68">
        <v>0.3</v>
      </c>
      <c r="R371" s="68">
        <v>0.3</v>
      </c>
      <c r="S371" s="68">
        <v>0.3</v>
      </c>
      <c r="T371" s="68">
        <v>0.3</v>
      </c>
      <c r="U371" s="68">
        <v>0.3</v>
      </c>
      <c r="V371" s="68">
        <v>0.3</v>
      </c>
      <c r="W371" s="68">
        <v>0.3</v>
      </c>
      <c r="X371" s="68">
        <v>0.6</v>
      </c>
      <c r="Y371" s="68">
        <v>0.8</v>
      </c>
      <c r="Z371" s="68">
        <v>0.9</v>
      </c>
      <c r="AA371" s="68">
        <v>0.8</v>
      </c>
      <c r="AB371" s="68">
        <v>0.6</v>
      </c>
      <c r="AC371" s="71">
        <v>0.3</v>
      </c>
    </row>
    <row r="372" spans="1:39" hidden="1" x14ac:dyDescent="0.3">
      <c r="A372" s="1109"/>
      <c r="C372" s="1103"/>
      <c r="D372" s="1106"/>
      <c r="E372" s="94" t="s">
        <v>475</v>
      </c>
      <c r="F372" s="69">
        <v>0.1</v>
      </c>
      <c r="G372" s="69">
        <v>0.1</v>
      </c>
      <c r="H372" s="69">
        <v>0.1</v>
      </c>
      <c r="I372" s="69">
        <v>0.1</v>
      </c>
      <c r="J372" s="69">
        <v>0.1</v>
      </c>
      <c r="K372" s="69">
        <v>0.3</v>
      </c>
      <c r="L372" s="69">
        <v>0.45</v>
      </c>
      <c r="M372" s="69">
        <v>0.45</v>
      </c>
      <c r="N372" s="69">
        <v>0.45</v>
      </c>
      <c r="O372" s="69">
        <v>0.45</v>
      </c>
      <c r="P372" s="69">
        <v>0.3</v>
      </c>
      <c r="Q372" s="69">
        <v>0.3</v>
      </c>
      <c r="R372" s="69">
        <v>0.3</v>
      </c>
      <c r="S372" s="69">
        <v>0.3</v>
      </c>
      <c r="T372" s="69">
        <v>0.3</v>
      </c>
      <c r="U372" s="69">
        <v>0.3</v>
      </c>
      <c r="V372" s="69">
        <v>0.3</v>
      </c>
      <c r="W372" s="69">
        <v>0.3</v>
      </c>
      <c r="X372" s="69">
        <v>0.6</v>
      </c>
      <c r="Y372" s="69">
        <v>0.8</v>
      </c>
      <c r="Z372" s="69">
        <v>0.9</v>
      </c>
      <c r="AA372" s="69">
        <v>0.8</v>
      </c>
      <c r="AB372" s="69">
        <v>0.6</v>
      </c>
      <c r="AC372" s="72">
        <v>0.3</v>
      </c>
    </row>
    <row r="373" spans="1:39" ht="12" hidden="1" thickBot="1" x14ac:dyDescent="0.35">
      <c r="A373" s="1110"/>
      <c r="C373" s="1104"/>
      <c r="D373" s="1107"/>
      <c r="E373" s="95" t="s">
        <v>477</v>
      </c>
      <c r="F373" s="70">
        <v>0.1</v>
      </c>
      <c r="G373" s="70">
        <v>0.1</v>
      </c>
      <c r="H373" s="70">
        <v>0.1</v>
      </c>
      <c r="I373" s="70">
        <v>0.1</v>
      </c>
      <c r="J373" s="70">
        <v>0.1</v>
      </c>
      <c r="K373" s="70">
        <v>0.3</v>
      </c>
      <c r="L373" s="70">
        <v>0.45</v>
      </c>
      <c r="M373" s="70">
        <v>0.45</v>
      </c>
      <c r="N373" s="70">
        <v>0.45</v>
      </c>
      <c r="O373" s="70">
        <v>0.45</v>
      </c>
      <c r="P373" s="70">
        <v>0.3</v>
      </c>
      <c r="Q373" s="70">
        <v>0.3</v>
      </c>
      <c r="R373" s="70">
        <v>0.3</v>
      </c>
      <c r="S373" s="70">
        <v>0.3</v>
      </c>
      <c r="T373" s="70">
        <v>0.3</v>
      </c>
      <c r="U373" s="70">
        <v>0.3</v>
      </c>
      <c r="V373" s="70">
        <v>0.3</v>
      </c>
      <c r="W373" s="70">
        <v>0.3</v>
      </c>
      <c r="X373" s="70">
        <v>0.6</v>
      </c>
      <c r="Y373" s="70">
        <v>0.8</v>
      </c>
      <c r="Z373" s="70">
        <v>0.9</v>
      </c>
      <c r="AA373" s="70">
        <v>0.8</v>
      </c>
      <c r="AB373" s="70">
        <v>0.6</v>
      </c>
      <c r="AC373" s="73">
        <v>0.3</v>
      </c>
    </row>
    <row r="374" spans="1:39" hidden="1" x14ac:dyDescent="0.3"/>
    <row r="375" spans="1:39" hidden="1" x14ac:dyDescent="0.3"/>
    <row r="376" spans="1:39" hidden="1" x14ac:dyDescent="0.3"/>
    <row r="377" spans="1:39" hidden="1" x14ac:dyDescent="0.3"/>
    <row r="378" spans="1:39" hidden="1" x14ac:dyDescent="0.3"/>
    <row r="379" spans="1:39" ht="12" hidden="1" thickBot="1" x14ac:dyDescent="0.35"/>
    <row r="380" spans="1:39" ht="25.2" hidden="1" customHeight="1" x14ac:dyDescent="0.3">
      <c r="A380" s="1180" t="s">
        <v>154</v>
      </c>
      <c r="B380" s="1146" t="s">
        <v>837</v>
      </c>
      <c r="C380" s="1149" t="s">
        <v>761</v>
      </c>
      <c r="D380" s="1176" t="s">
        <v>838</v>
      </c>
      <c r="E380" s="513" t="s">
        <v>468</v>
      </c>
      <c r="F380" s="514">
        <f>Data!$Q$85*F303+Data!$Q$86*F303+Data!$Q$87*F288+Data!$Q$88*F318</f>
        <v>0.27</v>
      </c>
      <c r="G380" s="514">
        <f>Data!$Q$85*G303+Data!$Q$86*G303+Data!$Q$87*G288+Data!$Q$88*G318</f>
        <v>0.27</v>
      </c>
      <c r="H380" s="514">
        <f>Data!$Q$85*H303+Data!$Q$86*H303+Data!$Q$87*H288+Data!$Q$88*H318</f>
        <v>0.27</v>
      </c>
      <c r="I380" s="514">
        <f>Data!$Q$85*I303+Data!$Q$86*I303+Data!$Q$87*I288+Data!$Q$88*I318</f>
        <v>0.27</v>
      </c>
      <c r="J380" s="514">
        <f>Data!$Q$85*J303+Data!$Q$86*J303+Data!$Q$87*J288+Data!$Q$88*J318</f>
        <v>0.27</v>
      </c>
      <c r="K380" s="514">
        <f>Data!$Q$85*K303+Data!$Q$86*K303+Data!$Q$87*K288+Data!$Q$88*K318</f>
        <v>0.27</v>
      </c>
      <c r="L380" s="514">
        <f>Data!$Q$85*L303+Data!$Q$86*L303+Data!$Q$87*L288+Data!$Q$88*L318</f>
        <v>0.26500000000000001</v>
      </c>
      <c r="M380" s="514">
        <f>Data!$Q$85*M303+Data!$Q$86*M303+Data!$Q$87*M288+Data!$Q$88*M318</f>
        <v>0.22999999999999998</v>
      </c>
      <c r="N380" s="514">
        <f>Data!$Q$85*N303+Data!$Q$86*N303+Data!$Q$87*N288+Data!$Q$88*N318</f>
        <v>0.67249999999999999</v>
      </c>
      <c r="O380" s="514">
        <f>Data!$Q$85*O303+Data!$Q$86*O303+Data!$Q$87*O288+Data!$Q$88*O318</f>
        <v>0.61250000000000004</v>
      </c>
      <c r="P380" s="514">
        <f>Data!$Q$85*P303+Data!$Q$86*P303+Data!$Q$87*P288+Data!$Q$88*P318</f>
        <v>0.61250000000000004</v>
      </c>
      <c r="Q380" s="514">
        <f>Data!$Q$85*Q303+Data!$Q$86*Q303+Data!$Q$87*Q288+Data!$Q$88*Q318</f>
        <v>0.70250000000000001</v>
      </c>
      <c r="R380" s="514">
        <f>Data!$Q$85*R303+Data!$Q$86*R303+Data!$Q$87*R288+Data!$Q$88*R318</f>
        <v>0.45500000000000002</v>
      </c>
      <c r="S380" s="514">
        <f>Data!$Q$85*S303+Data!$Q$86*S303+Data!$Q$87*S288+Data!$Q$88*S318</f>
        <v>0.70250000000000001</v>
      </c>
      <c r="T380" s="514">
        <f>Data!$Q$85*T303+Data!$Q$86*T303+Data!$Q$87*T288+Data!$Q$88*T318</f>
        <v>0.70250000000000001</v>
      </c>
      <c r="U380" s="514">
        <f>Data!$Q$85*U303+Data!$Q$86*U303+Data!$Q$87*U288+Data!$Q$88*U318</f>
        <v>0.73249999999999993</v>
      </c>
      <c r="V380" s="514">
        <f>Data!$Q$85*V303+Data!$Q$86*V303+Data!$Q$87*V288+Data!$Q$88*V318</f>
        <v>0.79249999999999998</v>
      </c>
      <c r="W380" s="514">
        <f>Data!$Q$85*W303+Data!$Q$86*W303+Data!$Q$87*W288+Data!$Q$88*W318</f>
        <v>0.43499999999999994</v>
      </c>
      <c r="X380" s="514">
        <f>Data!$Q$85*X303+Data!$Q$86*X303+Data!$Q$87*X288+Data!$Q$88*X318</f>
        <v>0.23499999999999999</v>
      </c>
      <c r="Y380" s="514">
        <f>Data!$Q$85*Y303+Data!$Q$86*Y303+Data!$Q$87*Y288+Data!$Q$88*Y318</f>
        <v>0.29500000000000004</v>
      </c>
      <c r="Z380" s="514">
        <f>Data!$Q$85*Z303+Data!$Q$86*Z303+Data!$Q$87*Z288+Data!$Q$88*Z318</f>
        <v>0.29500000000000004</v>
      </c>
      <c r="AA380" s="514">
        <f>Data!$Q$85*AA303+Data!$Q$86*AA303+Data!$Q$87*AA288+Data!$Q$88*AA318</f>
        <v>0.32499999999999996</v>
      </c>
      <c r="AB380" s="514">
        <f>Data!$Q$85*AB303+Data!$Q$86*AB303+Data!$Q$87*AB288+Data!$Q$88*AB318</f>
        <v>0.31250000000000006</v>
      </c>
      <c r="AC380" s="515">
        <f>Data!$Q$85*AC303+Data!$Q$86*AC303+Data!$Q$87*AC288+Data!$Q$88*AC318</f>
        <v>0.29750000000000004</v>
      </c>
      <c r="AD380" s="39"/>
      <c r="AE380" s="39"/>
      <c r="AF380" s="39"/>
      <c r="AG380" s="39"/>
      <c r="AH380" s="39"/>
      <c r="AI380" s="39"/>
      <c r="AJ380" s="39"/>
      <c r="AK380" s="39"/>
    </row>
    <row r="381" spans="1:39" ht="25.2" hidden="1" customHeight="1" x14ac:dyDescent="0.3">
      <c r="A381" s="1181"/>
      <c r="B381" s="1075"/>
      <c r="C381" s="1150"/>
      <c r="D381" s="1063"/>
      <c r="E381" s="516" t="s">
        <v>475</v>
      </c>
      <c r="F381" s="511">
        <f>Data!$Q$85*F304+Data!$Q$86*F304+Data!$Q$87*F289+Data!$Q$88*F319</f>
        <v>0.27</v>
      </c>
      <c r="G381" s="511">
        <f>Data!$Q$85*G304+Data!$Q$86*G304+Data!$Q$87*G289+Data!$Q$88*G319</f>
        <v>0.27</v>
      </c>
      <c r="H381" s="511">
        <f>Data!$Q$85*H304+Data!$Q$86*H304+Data!$Q$87*H289+Data!$Q$88*H319</f>
        <v>0.27</v>
      </c>
      <c r="I381" s="511">
        <f>Data!$Q$85*I304+Data!$Q$86*I304+Data!$Q$87*I289+Data!$Q$88*I319</f>
        <v>0.27</v>
      </c>
      <c r="J381" s="511">
        <f>Data!$Q$85*J304+Data!$Q$86*J304+Data!$Q$87*J289+Data!$Q$88*J319</f>
        <v>0.27</v>
      </c>
      <c r="K381" s="511">
        <f>Data!$Q$85*K304+Data!$Q$86*K304+Data!$Q$87*K289+Data!$Q$88*K319</f>
        <v>0.27</v>
      </c>
      <c r="L381" s="511">
        <f>Data!$Q$85*L304+Data!$Q$86*L304+Data!$Q$87*L289+Data!$Q$88*L319</f>
        <v>0.23749999999999999</v>
      </c>
      <c r="M381" s="511">
        <f>Data!$Q$85*M304+Data!$Q$86*M304+Data!$Q$87*M289+Data!$Q$88*M319</f>
        <v>0.17749999999999999</v>
      </c>
      <c r="N381" s="511">
        <f>Data!$Q$85*N304+Data!$Q$86*N304+Data!$Q$87*N289+Data!$Q$88*N319</f>
        <v>0.20749999999999999</v>
      </c>
      <c r="O381" s="511">
        <f>Data!$Q$85*O304+Data!$Q$86*O304+Data!$Q$87*O289+Data!$Q$88*O319</f>
        <v>0.14749999999999999</v>
      </c>
      <c r="P381" s="511">
        <f>Data!$Q$85*P304+Data!$Q$86*P304+Data!$Q$87*P289+Data!$Q$88*P319</f>
        <v>0.14749999999999999</v>
      </c>
      <c r="Q381" s="511">
        <f>Data!$Q$85*Q304+Data!$Q$86*Q304+Data!$Q$87*Q289+Data!$Q$88*Q319</f>
        <v>0.20749999999999999</v>
      </c>
      <c r="R381" s="511">
        <f>Data!$Q$85*R304+Data!$Q$86*R304+Data!$Q$87*R289+Data!$Q$88*R319</f>
        <v>0.20749999999999999</v>
      </c>
      <c r="S381" s="511">
        <f>Data!$Q$85*S304+Data!$Q$86*S304+Data!$Q$87*S289+Data!$Q$88*S319</f>
        <v>0.20749999999999999</v>
      </c>
      <c r="T381" s="511">
        <f>Data!$Q$85*T304+Data!$Q$86*T304+Data!$Q$87*T289+Data!$Q$88*T319</f>
        <v>0.20749999999999999</v>
      </c>
      <c r="U381" s="511">
        <f>Data!$Q$85*U304+Data!$Q$86*U304+Data!$Q$87*U289+Data!$Q$88*U319</f>
        <v>0.20749999999999999</v>
      </c>
      <c r="V381" s="511">
        <f>Data!$Q$85*V304+Data!$Q$86*V304+Data!$Q$87*V289+Data!$Q$88*V319</f>
        <v>0.20749999999999999</v>
      </c>
      <c r="W381" s="511">
        <f>Data!$Q$85*W304+Data!$Q$86*W304+Data!$Q$87*W289+Data!$Q$88*W319</f>
        <v>0.26749999999999996</v>
      </c>
      <c r="X381" s="511">
        <f>Data!$Q$85*X304+Data!$Q$86*X304+Data!$Q$87*X289+Data!$Q$88*X319</f>
        <v>0.27</v>
      </c>
      <c r="Y381" s="511">
        <f>Data!$Q$85*Y304+Data!$Q$86*Y304+Data!$Q$87*Y289+Data!$Q$88*Y319</f>
        <v>0.27</v>
      </c>
      <c r="Z381" s="511">
        <f>Data!$Q$85*Z304+Data!$Q$86*Z304+Data!$Q$87*Z289+Data!$Q$88*Z319</f>
        <v>0.27</v>
      </c>
      <c r="AA381" s="511">
        <f>Data!$Q$85*AA304+Data!$Q$86*AA304+Data!$Q$87*AA289+Data!$Q$88*AA319</f>
        <v>0.32999999999999996</v>
      </c>
      <c r="AB381" s="511">
        <f>Data!$Q$85*AB304+Data!$Q$86*AB304+Data!$Q$87*AB289+Data!$Q$88*AB319</f>
        <v>0.22499999999999998</v>
      </c>
      <c r="AC381" s="517">
        <f>Data!$Q$85*AC304+Data!$Q$86*AC304+Data!$Q$87*AC289+Data!$Q$88*AC319</f>
        <v>0.21</v>
      </c>
      <c r="AD381" s="39"/>
      <c r="AE381" s="39"/>
      <c r="AF381" s="39"/>
      <c r="AG381" s="39"/>
      <c r="AH381" s="39"/>
      <c r="AI381" s="39"/>
      <c r="AJ381" s="39"/>
      <c r="AK381" s="39"/>
    </row>
    <row r="382" spans="1:39" ht="25.2" hidden="1" customHeight="1" thickBot="1" x14ac:dyDescent="0.35">
      <c r="A382" s="1182"/>
      <c r="B382" s="1086"/>
      <c r="C382" s="1151"/>
      <c r="D382" s="1137"/>
      <c r="E382" s="527" t="s">
        <v>477</v>
      </c>
      <c r="F382" s="521">
        <f>Data!$Q$85*F305+Data!$Q$86*F305+Data!$Q$87*F290+Data!$Q$88*F320</f>
        <v>0.21</v>
      </c>
      <c r="G382" s="521">
        <f>Data!$Q$85*G305+Data!$Q$86*G305+Data!$Q$87*G290+Data!$Q$88*G320</f>
        <v>0.21</v>
      </c>
      <c r="H382" s="521">
        <f>Data!$Q$85*H305+Data!$Q$86*H305+Data!$Q$87*H290+Data!$Q$88*H320</f>
        <v>0.21</v>
      </c>
      <c r="I382" s="521">
        <f>Data!$Q$85*I305+Data!$Q$86*I305+Data!$Q$87*I290+Data!$Q$88*I320</f>
        <v>0.21</v>
      </c>
      <c r="J382" s="521">
        <f>Data!$Q$85*J305+Data!$Q$86*J305+Data!$Q$87*J290+Data!$Q$88*J320</f>
        <v>0.21</v>
      </c>
      <c r="K382" s="521">
        <f>Data!$Q$85*K305+Data!$Q$86*K305+Data!$Q$87*K290+Data!$Q$88*K320</f>
        <v>0.21</v>
      </c>
      <c r="L382" s="521">
        <f>Data!$Q$85*L305+Data!$Q$86*L305+Data!$Q$87*L290+Data!$Q$88*L320</f>
        <v>0.23749999999999999</v>
      </c>
      <c r="M382" s="521">
        <f>Data!$Q$85*M305+Data!$Q$86*M305+Data!$Q$87*M290+Data!$Q$88*M320</f>
        <v>0.23749999999999999</v>
      </c>
      <c r="N382" s="521">
        <f>Data!$Q$85*N305+Data!$Q$86*N305+Data!$Q$87*N290+Data!$Q$88*N320</f>
        <v>0.1925</v>
      </c>
      <c r="O382" s="521">
        <f>Data!$Q$85*O305+Data!$Q$86*O305+Data!$Q$87*O290+Data!$Q$88*O320</f>
        <v>0.1925</v>
      </c>
      <c r="P382" s="521">
        <f>Data!$Q$85*P305+Data!$Q$86*P305+Data!$Q$87*P290+Data!$Q$88*P320</f>
        <v>0.1925</v>
      </c>
      <c r="Q382" s="521">
        <f>Data!$Q$85*Q305+Data!$Q$86*Q305+Data!$Q$87*Q290+Data!$Q$88*Q320</f>
        <v>0.13250000000000001</v>
      </c>
      <c r="R382" s="521">
        <f>Data!$Q$85*R305+Data!$Q$86*R305+Data!$Q$87*R290+Data!$Q$88*R320</f>
        <v>0.13250000000000001</v>
      </c>
      <c r="S382" s="521">
        <f>Data!$Q$85*S305+Data!$Q$86*S305+Data!$Q$87*S290+Data!$Q$88*S320</f>
        <v>0.1925</v>
      </c>
      <c r="T382" s="521">
        <f>Data!$Q$85*T305+Data!$Q$86*T305+Data!$Q$87*T290+Data!$Q$88*T320</f>
        <v>0.1925</v>
      </c>
      <c r="U382" s="521">
        <f>Data!$Q$85*U305+Data!$Q$86*U305+Data!$Q$87*U290+Data!$Q$88*U320</f>
        <v>0.1925</v>
      </c>
      <c r="V382" s="521">
        <f>Data!$Q$85*V305+Data!$Q$86*V305+Data!$Q$87*V290+Data!$Q$88*V320</f>
        <v>0.22249999999999998</v>
      </c>
      <c r="W382" s="521">
        <f>Data!$Q$85*W305+Data!$Q$86*W305+Data!$Q$87*W290+Data!$Q$88*W320</f>
        <v>0.2525</v>
      </c>
      <c r="X382" s="521">
        <f>Data!$Q$85*X305+Data!$Q$86*X305+Data!$Q$87*X290+Data!$Q$88*X320</f>
        <v>0.22499999999999998</v>
      </c>
      <c r="Y382" s="521">
        <f>Data!$Q$85*Y305+Data!$Q$86*Y305+Data!$Q$87*Y290+Data!$Q$88*Y320</f>
        <v>0.28499999999999998</v>
      </c>
      <c r="Z382" s="521">
        <f>Data!$Q$85*Z305+Data!$Q$86*Z305+Data!$Q$87*Z290+Data!$Q$88*Z320</f>
        <v>0.28499999999999998</v>
      </c>
      <c r="AA382" s="521">
        <f>Data!$Q$85*AA305+Data!$Q$86*AA305+Data!$Q$87*AA290+Data!$Q$88*AA320</f>
        <v>0.34499999999999997</v>
      </c>
      <c r="AB382" s="521">
        <f>Data!$Q$85*AB305+Data!$Q$86*AB305+Data!$Q$87*AB290+Data!$Q$88*AB320</f>
        <v>0.27</v>
      </c>
      <c r="AC382" s="528">
        <f>Data!$Q$85*AC305+Data!$Q$86*AC305+Data!$Q$87*AC290+Data!$Q$88*AC320</f>
        <v>0.24</v>
      </c>
      <c r="AD382" s="39"/>
      <c r="AE382" s="39"/>
      <c r="AF382" s="39"/>
      <c r="AG382" s="39"/>
      <c r="AH382" s="39"/>
      <c r="AI382" s="39"/>
      <c r="AJ382" s="39"/>
      <c r="AK382" s="39"/>
    </row>
    <row r="383" spans="1:39" ht="38.700000000000003" hidden="1" customHeight="1" x14ac:dyDescent="0.3">
      <c r="A383" s="1180" t="s">
        <v>154</v>
      </c>
      <c r="B383" s="1085" t="s">
        <v>837</v>
      </c>
      <c r="C383" s="1155" t="s">
        <v>763</v>
      </c>
      <c r="D383" s="1147" t="s">
        <v>838</v>
      </c>
      <c r="E383" s="513" t="s">
        <v>468</v>
      </c>
      <c r="F383" s="514">
        <f>Data!$Q$85*F306+Data!$Q$86*F306+Data!$Q$87*F291+Data!$Q$88*F321</f>
        <v>9.5000000000000001E-2</v>
      </c>
      <c r="G383" s="514">
        <f>Data!$Q$85*G306+Data!$Q$86*G306+Data!$Q$87*G291+Data!$Q$88*G321</f>
        <v>7.9999999999999988E-2</v>
      </c>
      <c r="H383" s="514">
        <f>Data!$Q$85*H306+Data!$Q$86*H306+Data!$Q$87*H291+Data!$Q$88*H321</f>
        <v>6.5000000000000002E-2</v>
      </c>
      <c r="I383" s="514">
        <f>Data!$Q$85*I306+Data!$Q$86*I306+Data!$Q$87*I291+Data!$Q$88*I321</f>
        <v>6.5000000000000002E-2</v>
      </c>
      <c r="J383" s="514">
        <f>Data!$Q$85*J306+Data!$Q$86*J306+Data!$Q$87*J291+Data!$Q$88*J321</f>
        <v>6.5000000000000002E-2</v>
      </c>
      <c r="K383" s="514">
        <f>Data!$Q$85*K306+Data!$Q$86*K306+Data!$Q$87*K291+Data!$Q$88*K321</f>
        <v>0.1225</v>
      </c>
      <c r="L383" s="514">
        <f>Data!$Q$85*L306+Data!$Q$86*L306+Data!$Q$87*L291+Data!$Q$88*L321</f>
        <v>0.22749999999999998</v>
      </c>
      <c r="M383" s="514">
        <f>Data!$Q$85*M306+Data!$Q$86*M306+Data!$Q$87*M291+Data!$Q$88*M321</f>
        <v>0.36749999999999994</v>
      </c>
      <c r="N383" s="514">
        <f>Data!$Q$85*N306+Data!$Q$86*N306+Data!$Q$87*N291+Data!$Q$88*N321</f>
        <v>0.53</v>
      </c>
      <c r="O383" s="514">
        <f>Data!$Q$85*O306+Data!$Q$86*O306+Data!$Q$87*O291+Data!$Q$88*O321</f>
        <v>0.57499999999999996</v>
      </c>
      <c r="P383" s="514">
        <f>Data!$Q$85*P306+Data!$Q$86*P306+Data!$Q$87*P291+Data!$Q$88*P321</f>
        <v>0.53</v>
      </c>
      <c r="Q383" s="514">
        <f>Data!$Q$85*Q306+Data!$Q$86*Q306+Data!$Q$87*Q291+Data!$Q$88*Q321</f>
        <v>0.53</v>
      </c>
      <c r="R383" s="514">
        <f>Data!$Q$85*R306+Data!$Q$86*R306+Data!$Q$87*R291+Data!$Q$88*R321</f>
        <v>0.53</v>
      </c>
      <c r="S383" s="514">
        <f>Data!$Q$85*S306+Data!$Q$86*S306+Data!$Q$87*S291+Data!$Q$88*S321</f>
        <v>0.53</v>
      </c>
      <c r="T383" s="514">
        <f>Data!$Q$85*T306+Data!$Q$86*T306+Data!$Q$87*T291+Data!$Q$88*T321</f>
        <v>0.53</v>
      </c>
      <c r="U383" s="514">
        <f>Data!$Q$85*U306+Data!$Q$86*U306+Data!$Q$87*U291+Data!$Q$88*U321</f>
        <v>0.53</v>
      </c>
      <c r="V383" s="514">
        <f>Data!$Q$85*V306+Data!$Q$86*V306+Data!$Q$87*V291+Data!$Q$88*V321</f>
        <v>0.53</v>
      </c>
      <c r="W383" s="514">
        <f>Data!$Q$85*W306+Data!$Q$86*W306+Data!$Q$87*W291+Data!$Q$88*W321</f>
        <v>0.36499999999999999</v>
      </c>
      <c r="X383" s="514">
        <f>Data!$Q$85*X306+Data!$Q$86*X306+Data!$Q$87*X291+Data!$Q$88*X321</f>
        <v>0.4425</v>
      </c>
      <c r="Y383" s="514">
        <f>Data!$Q$85*Y306+Data!$Q$86*Y306+Data!$Q$87*Y291+Data!$Q$88*Y321</f>
        <v>0.50249999999999995</v>
      </c>
      <c r="Z383" s="514">
        <f>Data!$Q$85*Z306+Data!$Q$86*Z306+Data!$Q$87*Z291+Data!$Q$88*Z321</f>
        <v>0.47750000000000004</v>
      </c>
      <c r="AA383" s="514">
        <f>Data!$Q$85*AA306+Data!$Q$86*AA306+Data!$Q$87*AA291+Data!$Q$88*AA321</f>
        <v>0.44750000000000001</v>
      </c>
      <c r="AB383" s="514">
        <f>Data!$Q$85*AB306+Data!$Q$86*AB306+Data!$Q$87*AB291+Data!$Q$88*AB321</f>
        <v>0.27249999999999996</v>
      </c>
      <c r="AC383" s="515">
        <f>Data!$Q$85*AC306+Data!$Q$86*AC306+Data!$Q$87*AC291+Data!$Q$88*AC321</f>
        <v>0.125</v>
      </c>
      <c r="AD383" s="39"/>
      <c r="AE383" s="39"/>
      <c r="AF383" s="39"/>
      <c r="AG383" s="39"/>
      <c r="AH383" s="39"/>
      <c r="AI383" s="39"/>
      <c r="AJ383" s="39"/>
      <c r="AK383" s="39"/>
      <c r="AM383" s="47"/>
    </row>
    <row r="384" spans="1:39" ht="38.700000000000003" hidden="1" customHeight="1" x14ac:dyDescent="0.3">
      <c r="A384" s="1181"/>
      <c r="B384" s="1075"/>
      <c r="C384" s="1150"/>
      <c r="D384" s="1066"/>
      <c r="E384" s="516" t="s">
        <v>475</v>
      </c>
      <c r="F384" s="511">
        <f>Data!$Q$85*F307+Data!$Q$86*F307+Data!$Q$87*F292+Data!$Q$88*F322</f>
        <v>9.5000000000000001E-2</v>
      </c>
      <c r="G384" s="511">
        <f>Data!$Q$85*G307+Data!$Q$86*G307+Data!$Q$87*G292+Data!$Q$88*G322</f>
        <v>9.5000000000000001E-2</v>
      </c>
      <c r="H384" s="511">
        <f>Data!$Q$85*H307+Data!$Q$86*H307+Data!$Q$87*H292+Data!$Q$88*H322</f>
        <v>6.5000000000000002E-2</v>
      </c>
      <c r="I384" s="511">
        <f>Data!$Q$85*I307+Data!$Q$86*I307+Data!$Q$87*I292+Data!$Q$88*I322</f>
        <v>6.5000000000000002E-2</v>
      </c>
      <c r="J384" s="511">
        <f>Data!$Q$85*J307+Data!$Q$86*J307+Data!$Q$87*J292+Data!$Q$88*J322</f>
        <v>6.5000000000000002E-2</v>
      </c>
      <c r="K384" s="511">
        <f>Data!$Q$85*K307+Data!$Q$86*K307+Data!$Q$87*K292+Data!$Q$88*K322</f>
        <v>6.5000000000000002E-2</v>
      </c>
      <c r="L384" s="511">
        <f>Data!$Q$85*L307+Data!$Q$86*L307+Data!$Q$87*L292+Data!$Q$88*L322</f>
        <v>0.1525</v>
      </c>
      <c r="M384" s="511">
        <f>Data!$Q$85*M307+Data!$Q$86*M307+Data!$Q$87*M292+Data!$Q$88*M322</f>
        <v>0.19</v>
      </c>
      <c r="N384" s="511">
        <f>Data!$Q$85*N307+Data!$Q$86*N307+Data!$Q$87*N292+Data!$Q$88*N322</f>
        <v>0.32999999999999996</v>
      </c>
      <c r="O384" s="511">
        <f>Data!$Q$85*O307+Data!$Q$86*O307+Data!$Q$87*O292+Data!$Q$88*O322</f>
        <v>0.34499999999999997</v>
      </c>
      <c r="P384" s="511">
        <f>Data!$Q$85*P307+Data!$Q$86*P307+Data!$Q$87*P292+Data!$Q$88*P322</f>
        <v>0.315</v>
      </c>
      <c r="Q384" s="511">
        <f>Data!$Q$85*Q307+Data!$Q$86*Q307+Data!$Q$87*Q292+Data!$Q$88*Q322</f>
        <v>0.3</v>
      </c>
      <c r="R384" s="511">
        <f>Data!$Q$85*R307+Data!$Q$86*R307+Data!$Q$87*R292+Data!$Q$88*R322</f>
        <v>0.21749999999999997</v>
      </c>
      <c r="S384" s="511">
        <f>Data!$Q$85*S307+Data!$Q$86*S307+Data!$Q$87*S292+Data!$Q$88*S322</f>
        <v>0.21749999999999997</v>
      </c>
      <c r="T384" s="511">
        <f>Data!$Q$85*T307+Data!$Q$86*T307+Data!$Q$87*T292+Data!$Q$88*T322</f>
        <v>0.21749999999999997</v>
      </c>
      <c r="U384" s="511">
        <f>Data!$Q$85*U307+Data!$Q$86*U307+Data!$Q$87*U292+Data!$Q$88*U322</f>
        <v>0.21749999999999997</v>
      </c>
      <c r="V384" s="511">
        <f>Data!$Q$85*V307+Data!$Q$86*V307+Data!$Q$87*V292+Data!$Q$88*V322</f>
        <v>0.21749999999999997</v>
      </c>
      <c r="W384" s="511">
        <f>Data!$Q$85*W307+Data!$Q$86*W307+Data!$Q$87*W292+Data!$Q$88*W322</f>
        <v>0.16249999999999998</v>
      </c>
      <c r="X384" s="511">
        <f>Data!$Q$85*X307+Data!$Q$86*X307+Data!$Q$87*X292+Data!$Q$88*X322</f>
        <v>0.26749999999999996</v>
      </c>
      <c r="Y384" s="511">
        <f>Data!$Q$85*Y307+Data!$Q$86*Y307+Data!$Q$87*Y292+Data!$Q$88*Y322</f>
        <v>0.29749999999999999</v>
      </c>
      <c r="Z384" s="511">
        <f>Data!$Q$85*Z307+Data!$Q$86*Z307+Data!$Q$87*Z292+Data!$Q$88*Z322</f>
        <v>0.29749999999999999</v>
      </c>
      <c r="AA384" s="511">
        <f>Data!$Q$85*AA307+Data!$Q$86*AA307+Data!$Q$87*AA292+Data!$Q$88*AA322</f>
        <v>0.29749999999999999</v>
      </c>
      <c r="AB384" s="511">
        <f>Data!$Q$85*AB307+Data!$Q$86*AB307+Data!$Q$87*AB292+Data!$Q$88*AB322</f>
        <v>0.26749999999999996</v>
      </c>
      <c r="AC384" s="517">
        <f>Data!$Q$85*AC307+Data!$Q$86*AC307+Data!$Q$87*AC292+Data!$Q$88*AC322</f>
        <v>0.125</v>
      </c>
      <c r="AD384" s="39"/>
      <c r="AE384" s="39"/>
      <c r="AF384" s="39"/>
      <c r="AG384" s="39"/>
      <c r="AH384" s="39"/>
      <c r="AI384" s="39"/>
      <c r="AJ384" s="39"/>
      <c r="AK384" s="39"/>
      <c r="AM384" s="47"/>
    </row>
    <row r="385" spans="1:39" ht="38.700000000000003" hidden="1" customHeight="1" thickBot="1" x14ac:dyDescent="0.35">
      <c r="A385" s="1182"/>
      <c r="B385" s="1086"/>
      <c r="C385" s="1151"/>
      <c r="D385" s="1148"/>
      <c r="E385" s="518" t="s">
        <v>477</v>
      </c>
      <c r="F385" s="519">
        <f>Data!$Q$85*F308+Data!$Q$86*F308+Data!$Q$87*F293+Data!$Q$88*F323</f>
        <v>0.125</v>
      </c>
      <c r="G385" s="519">
        <f>Data!$Q$85*G308+Data!$Q$86*G308+Data!$Q$87*G293+Data!$Q$88*G323</f>
        <v>0.125</v>
      </c>
      <c r="H385" s="519">
        <f>Data!$Q$85*H308+Data!$Q$86*H308+Data!$Q$87*H293+Data!$Q$88*H323</f>
        <v>9.5000000000000001E-2</v>
      </c>
      <c r="I385" s="519">
        <f>Data!$Q$85*I308+Data!$Q$86*I308+Data!$Q$87*I293+Data!$Q$88*I323</f>
        <v>9.5000000000000001E-2</v>
      </c>
      <c r="J385" s="519">
        <f>Data!$Q$85*J308+Data!$Q$86*J308+Data!$Q$87*J293+Data!$Q$88*J323</f>
        <v>9.5000000000000001E-2</v>
      </c>
      <c r="K385" s="519">
        <f>Data!$Q$85*K308+Data!$Q$86*K308+Data!$Q$87*K293+Data!$Q$88*K323</f>
        <v>9.5000000000000001E-2</v>
      </c>
      <c r="L385" s="519">
        <f>Data!$Q$85*L308+Data!$Q$86*L308+Data!$Q$87*L293+Data!$Q$88*L323</f>
        <v>0.125</v>
      </c>
      <c r="M385" s="519">
        <f>Data!$Q$85*M308+Data!$Q$86*M308+Data!$Q$87*M293+Data!$Q$88*M323</f>
        <v>0.1925</v>
      </c>
      <c r="N385" s="519">
        <f>Data!$Q$85*N308+Data!$Q$86*N308+Data!$Q$87*N293+Data!$Q$88*N323</f>
        <v>0.1925</v>
      </c>
      <c r="O385" s="519">
        <f>Data!$Q$85*O308+Data!$Q$86*O308+Data!$Q$87*O293+Data!$Q$88*O323</f>
        <v>0.16249999999999998</v>
      </c>
      <c r="P385" s="519">
        <f>Data!$Q$85*P308+Data!$Q$86*P308+Data!$Q$87*P293+Data!$Q$88*P323</f>
        <v>0.16249999999999998</v>
      </c>
      <c r="Q385" s="519">
        <f>Data!$Q$85*Q308+Data!$Q$86*Q308+Data!$Q$87*Q293+Data!$Q$88*Q323</f>
        <v>0.16249999999999998</v>
      </c>
      <c r="R385" s="519">
        <f>Data!$Q$85*R308+Data!$Q$86*R308+Data!$Q$87*R293+Data!$Q$88*R323</f>
        <v>0.2</v>
      </c>
      <c r="S385" s="519">
        <f>Data!$Q$85*S308+Data!$Q$86*S308+Data!$Q$87*S293+Data!$Q$88*S323</f>
        <v>0.16999999999999998</v>
      </c>
      <c r="T385" s="519">
        <f>Data!$Q$85*T308+Data!$Q$86*T308+Data!$Q$87*T293+Data!$Q$88*T323</f>
        <v>0.16999999999999998</v>
      </c>
      <c r="U385" s="519">
        <f>Data!$Q$85*U308+Data!$Q$86*U308+Data!$Q$87*U293+Data!$Q$88*U323</f>
        <v>0.16999999999999998</v>
      </c>
      <c r="V385" s="519">
        <f>Data!$Q$85*V308+Data!$Q$86*V308+Data!$Q$87*V293+Data!$Q$88*V323</f>
        <v>0.16999999999999998</v>
      </c>
      <c r="W385" s="519">
        <f>Data!$Q$85*W308+Data!$Q$86*W308+Data!$Q$87*W293+Data!$Q$88*W323</f>
        <v>0.16999999999999998</v>
      </c>
      <c r="X385" s="519">
        <f>Data!$Q$85*X308+Data!$Q$86*X308+Data!$Q$87*X293+Data!$Q$88*X323</f>
        <v>0.26</v>
      </c>
      <c r="Y385" s="519">
        <f>Data!$Q$85*Y308+Data!$Q$86*Y308+Data!$Q$87*Y293+Data!$Q$88*Y323</f>
        <v>0.32</v>
      </c>
      <c r="Z385" s="519">
        <f>Data!$Q$85*Z308+Data!$Q$86*Z308+Data!$Q$87*Z293+Data!$Q$88*Z323</f>
        <v>0.35000000000000003</v>
      </c>
      <c r="AA385" s="519">
        <f>Data!$Q$85*AA308+Data!$Q$86*AA308+Data!$Q$87*AA293+Data!$Q$88*AA323</f>
        <v>0.28999999999999998</v>
      </c>
      <c r="AB385" s="519">
        <f>Data!$Q$85*AB308+Data!$Q$86*AB308+Data!$Q$87*AB293+Data!$Q$88*AB323</f>
        <v>0.185</v>
      </c>
      <c r="AC385" s="520">
        <f>Data!$Q$85*AC308+Data!$Q$86*AC308+Data!$Q$87*AC293+Data!$Q$88*AC323</f>
        <v>0.125</v>
      </c>
      <c r="AD385" s="39"/>
      <c r="AE385" s="39"/>
      <c r="AF385" s="39"/>
      <c r="AG385" s="39"/>
      <c r="AH385" s="39"/>
      <c r="AI385" s="39"/>
      <c r="AJ385" s="39"/>
      <c r="AK385" s="39"/>
      <c r="AM385" s="47"/>
    </row>
    <row r="386" spans="1:39" ht="38.700000000000003" hidden="1" customHeight="1" x14ac:dyDescent="0.3">
      <c r="A386" s="1180" t="s">
        <v>154</v>
      </c>
      <c r="B386" s="1085" t="s">
        <v>837</v>
      </c>
      <c r="C386" s="1091" t="s">
        <v>765</v>
      </c>
      <c r="D386" s="1157" t="s">
        <v>828</v>
      </c>
      <c r="E386" s="525" t="s">
        <v>468</v>
      </c>
      <c r="F386" s="512">
        <f>Data!$Q$85*F309+Data!$Q$86*F309+Data!$Q$87*F294+Data!$Q$88*F324</f>
        <v>0.34500000000000003</v>
      </c>
      <c r="G386" s="512">
        <f>Data!$Q$85*G309+Data!$Q$86*G309+Data!$Q$87*G294+Data!$Q$88*G324</f>
        <v>0.33</v>
      </c>
      <c r="H386" s="512">
        <f>Data!$Q$85*H309+Data!$Q$86*H309+Data!$Q$87*H294+Data!$Q$88*H324</f>
        <v>0.315</v>
      </c>
      <c r="I386" s="512">
        <f>Data!$Q$85*I309+Data!$Q$86*I309+Data!$Q$87*I294+Data!$Q$88*I324</f>
        <v>0.315</v>
      </c>
      <c r="J386" s="512">
        <f>Data!$Q$85*J309+Data!$Q$86*J309+Data!$Q$87*J294+Data!$Q$88*J324</f>
        <v>0.315</v>
      </c>
      <c r="K386" s="512">
        <f>Data!$Q$85*K309+Data!$Q$86*K309+Data!$Q$87*K294+Data!$Q$88*K324</f>
        <v>0.34500000000000003</v>
      </c>
      <c r="L386" s="512">
        <f>Data!$Q$85*L309+Data!$Q$86*L309+Data!$Q$87*L294+Data!$Q$88*L324</f>
        <v>0.45749999999999996</v>
      </c>
      <c r="M386" s="512">
        <f>Data!$Q$85*M309+Data!$Q$86*M309+Data!$Q$87*M294+Data!$Q$88*M324</f>
        <v>0.64700000000000002</v>
      </c>
      <c r="N386" s="512">
        <f>Data!$Q$85*N309+Data!$Q$86*N309+Data!$Q$87*N294+Data!$Q$88*N324</f>
        <v>0.68850000000000011</v>
      </c>
      <c r="O386" s="512">
        <f>Data!$Q$85*O309+Data!$Q$86*O309+Data!$Q$87*O294+Data!$Q$88*O324</f>
        <v>0.75750000000000006</v>
      </c>
      <c r="P386" s="512">
        <f>Data!$Q$85*P309+Data!$Q$86*P309+Data!$Q$87*P294+Data!$Q$88*P324</f>
        <v>0.71249999999999991</v>
      </c>
      <c r="Q386" s="512">
        <f>Data!$Q$85*Q309+Data!$Q$86*Q309+Data!$Q$87*Q294+Data!$Q$88*Q324</f>
        <v>0.71249999999999991</v>
      </c>
      <c r="R386" s="512">
        <f>Data!$Q$85*R309+Data!$Q$86*R309+Data!$Q$87*R294+Data!$Q$88*R324</f>
        <v>0.71249999999999991</v>
      </c>
      <c r="S386" s="512">
        <f>Data!$Q$85*S309+Data!$Q$86*S309+Data!$Q$87*S294+Data!$Q$88*S324</f>
        <v>0.71249999999999991</v>
      </c>
      <c r="T386" s="512">
        <f>Data!$Q$85*T309+Data!$Q$86*T309+Data!$Q$87*T294+Data!$Q$88*T324</f>
        <v>0.71249999999999991</v>
      </c>
      <c r="U386" s="512">
        <f>Data!$Q$85*U309+Data!$Q$86*U309+Data!$Q$87*U294+Data!$Q$88*U324</f>
        <v>0.71249999999999991</v>
      </c>
      <c r="V386" s="512">
        <f>Data!$Q$85*V309+Data!$Q$86*V309+Data!$Q$87*V294+Data!$Q$88*V324</f>
        <v>0.71249999999999991</v>
      </c>
      <c r="W386" s="512">
        <f>Data!$Q$85*W309+Data!$Q$86*W309+Data!$Q$87*W294+Data!$Q$88*W324</f>
        <v>0.60249999999999992</v>
      </c>
      <c r="X386" s="512">
        <f>Data!$Q$85*X309+Data!$Q$86*X309+Data!$Q$87*X294+Data!$Q$88*X324</f>
        <v>0.59749999999999992</v>
      </c>
      <c r="Y386" s="512">
        <f>Data!$Q$85*Y309+Data!$Q$86*Y309+Data!$Q$87*Y294+Data!$Q$88*Y324</f>
        <v>0.65749999999999997</v>
      </c>
      <c r="Z386" s="512">
        <f>Data!$Q$85*Z309+Data!$Q$86*Z309+Data!$Q$87*Z294+Data!$Q$88*Z324</f>
        <v>0.6725000000000001</v>
      </c>
      <c r="AA386" s="512">
        <f>Data!$Q$85*AA309+Data!$Q$86*AA309+Data!$Q$87*AA294+Data!$Q$88*AA324</f>
        <v>0.63000000000000012</v>
      </c>
      <c r="AB386" s="512">
        <f>Data!$Q$85*AB309+Data!$Q$86*AB309+Data!$Q$87*AB294+Data!$Q$88*AB324</f>
        <v>0.495</v>
      </c>
      <c r="AC386" s="526">
        <f>Data!$Q$85*AC309+Data!$Q$86*AC309+Data!$Q$87*AC294+Data!$Q$88*AC324</f>
        <v>0.375</v>
      </c>
      <c r="AD386" s="39"/>
      <c r="AE386" s="39"/>
      <c r="AF386" s="39"/>
      <c r="AG386" s="39"/>
      <c r="AH386" s="39"/>
      <c r="AI386" s="39"/>
      <c r="AJ386" s="39"/>
      <c r="AK386" s="39"/>
      <c r="AM386" s="47"/>
    </row>
    <row r="387" spans="1:39" ht="38.700000000000003" hidden="1" customHeight="1" x14ac:dyDescent="0.3">
      <c r="A387" s="1181"/>
      <c r="B387" s="1075"/>
      <c r="C387" s="1092"/>
      <c r="D387" s="1158"/>
      <c r="E387" s="516" t="s">
        <v>475</v>
      </c>
      <c r="F387" s="511">
        <f>Data!$Q$85*F310+Data!$Q$86*F310+Data!$Q$87*F295+Data!$Q$88*F325</f>
        <v>0.33400000000000002</v>
      </c>
      <c r="G387" s="511">
        <f>Data!$Q$85*G310+Data!$Q$86*G310+Data!$Q$87*G295+Data!$Q$88*G325</f>
        <v>0.33400000000000002</v>
      </c>
      <c r="H387" s="511">
        <f>Data!$Q$85*H310+Data!$Q$86*H310+Data!$Q$87*H295+Data!$Q$88*H325</f>
        <v>0.30399999999999999</v>
      </c>
      <c r="I387" s="511">
        <f>Data!$Q$85*I310+Data!$Q$86*I310+Data!$Q$87*I295+Data!$Q$88*I325</f>
        <v>0.30399999999999999</v>
      </c>
      <c r="J387" s="511">
        <f>Data!$Q$85*J310+Data!$Q$86*J310+Data!$Q$87*J295+Data!$Q$88*J325</f>
        <v>0.30399999999999999</v>
      </c>
      <c r="K387" s="511">
        <f>Data!$Q$85*K310+Data!$Q$86*K310+Data!$Q$87*K295+Data!$Q$88*K325</f>
        <v>0.30399999999999999</v>
      </c>
      <c r="L387" s="511">
        <f>Data!$Q$85*L310+Data!$Q$86*L310+Data!$Q$87*L295+Data!$Q$88*L325</f>
        <v>0.36399999999999999</v>
      </c>
      <c r="M387" s="511">
        <f>Data!$Q$85*M310+Data!$Q$86*M310+Data!$Q$87*M295+Data!$Q$88*M325</f>
        <v>0.40149999999999997</v>
      </c>
      <c r="N387" s="511">
        <f>Data!$Q$85*N310+Data!$Q$86*N310+Data!$Q$87*N295+Data!$Q$88*N325</f>
        <v>0.43149999999999994</v>
      </c>
      <c r="O387" s="511">
        <f>Data!$Q$85*O310+Data!$Q$86*O310+Data!$Q$87*O295+Data!$Q$88*O325</f>
        <v>0.46149999999999997</v>
      </c>
      <c r="P387" s="511">
        <f>Data!$Q$85*P310+Data!$Q$86*P310+Data!$Q$87*P295+Data!$Q$88*P325</f>
        <v>0.43149999999999999</v>
      </c>
      <c r="Q387" s="511">
        <f>Data!$Q$85*Q310+Data!$Q$86*Q310+Data!$Q$87*Q295+Data!$Q$88*Q325</f>
        <v>0.41649999999999998</v>
      </c>
      <c r="R387" s="511">
        <f>Data!$Q$85*R310+Data!$Q$86*R310+Data!$Q$87*R295+Data!$Q$88*R325</f>
        <v>0.41649999999999998</v>
      </c>
      <c r="S387" s="511">
        <f>Data!$Q$85*S310+Data!$Q$86*S310+Data!$Q$87*S295+Data!$Q$88*S325</f>
        <v>0.41649999999999998</v>
      </c>
      <c r="T387" s="511">
        <f>Data!$Q$85*T310+Data!$Q$86*T310+Data!$Q$87*T295+Data!$Q$88*T325</f>
        <v>0.41649999999999998</v>
      </c>
      <c r="U387" s="511">
        <f>Data!$Q$85*U310+Data!$Q$86*U310+Data!$Q$87*U295+Data!$Q$88*U325</f>
        <v>0.41649999999999998</v>
      </c>
      <c r="V387" s="511">
        <f>Data!$Q$85*V310+Data!$Q$86*V310+Data!$Q$87*V295+Data!$Q$88*V325</f>
        <v>0.41649999999999998</v>
      </c>
      <c r="W387" s="511">
        <f>Data!$Q$85*W310+Data!$Q$86*W310+Data!$Q$87*W295+Data!$Q$88*W325</f>
        <v>0.41649999999999998</v>
      </c>
      <c r="X387" s="511">
        <f>Data!$Q$85*X310+Data!$Q$86*X310+Data!$Q$87*X295+Data!$Q$88*X325</f>
        <v>0.52149999999999996</v>
      </c>
      <c r="Y387" s="511">
        <f>Data!$Q$85*Y310+Data!$Q$86*Y310+Data!$Q$87*Y295+Data!$Q$88*Y325</f>
        <v>0.55149999999999999</v>
      </c>
      <c r="Z387" s="511">
        <f>Data!$Q$85*Z310+Data!$Q$86*Z310+Data!$Q$87*Z295+Data!$Q$88*Z325</f>
        <v>0.55149999999999999</v>
      </c>
      <c r="AA387" s="511">
        <f>Data!$Q$85*AA310+Data!$Q$86*AA310+Data!$Q$87*AA295+Data!$Q$88*AA325</f>
        <v>0.55149999999999999</v>
      </c>
      <c r="AB387" s="511">
        <f>Data!$Q$85*AB310+Data!$Q$86*AB310+Data!$Q$87*AB295+Data!$Q$88*AB325</f>
        <v>0.52149999999999996</v>
      </c>
      <c r="AC387" s="517">
        <f>Data!$Q$85*AC310+Data!$Q$86*AC310+Data!$Q$87*AC295+Data!$Q$88*AC325</f>
        <v>0.36399999999999999</v>
      </c>
      <c r="AD387" s="39"/>
      <c r="AE387" s="39"/>
      <c r="AF387" s="39"/>
      <c r="AG387" s="39"/>
      <c r="AH387" s="39"/>
      <c r="AI387" s="39"/>
      <c r="AJ387" s="39"/>
      <c r="AK387" s="39"/>
      <c r="AM387" s="47"/>
    </row>
    <row r="388" spans="1:39" ht="38.700000000000003" hidden="1" customHeight="1" thickBot="1" x14ac:dyDescent="0.35">
      <c r="A388" s="1182"/>
      <c r="B388" s="1086"/>
      <c r="C388" s="1156"/>
      <c r="D388" s="1159"/>
      <c r="E388" s="527" t="s">
        <v>477</v>
      </c>
      <c r="F388" s="521">
        <f>Data!$Q$85*F311+Data!$Q$86*F311+Data!$Q$87*F296+Data!$Q$88*F326</f>
        <v>0.36399999999999999</v>
      </c>
      <c r="G388" s="521">
        <f>Data!$Q$85*G311+Data!$Q$86*G311+Data!$Q$87*G296+Data!$Q$88*G326</f>
        <v>0.36399999999999999</v>
      </c>
      <c r="H388" s="521">
        <f>Data!$Q$85*H311+Data!$Q$86*H311+Data!$Q$87*H296+Data!$Q$88*H326</f>
        <v>0.33400000000000002</v>
      </c>
      <c r="I388" s="521">
        <f>Data!$Q$85*I311+Data!$Q$86*I311+Data!$Q$87*I296+Data!$Q$88*I326</f>
        <v>0.33400000000000002</v>
      </c>
      <c r="J388" s="521">
        <f>Data!$Q$85*J311+Data!$Q$86*J311+Data!$Q$87*J296+Data!$Q$88*J326</f>
        <v>0.33400000000000002</v>
      </c>
      <c r="K388" s="521">
        <f>Data!$Q$85*K311+Data!$Q$86*K311+Data!$Q$87*K296+Data!$Q$88*K326</f>
        <v>0.33400000000000002</v>
      </c>
      <c r="L388" s="521">
        <f>Data!$Q$85*L311+Data!$Q$86*L311+Data!$Q$87*L296+Data!$Q$88*L326</f>
        <v>0.36399999999999999</v>
      </c>
      <c r="M388" s="521">
        <f>Data!$Q$85*M311+Data!$Q$86*M311+Data!$Q$87*M296+Data!$Q$88*M326</f>
        <v>0.43149999999999994</v>
      </c>
      <c r="N388" s="521">
        <f>Data!$Q$85*N311+Data!$Q$86*N311+Data!$Q$87*N296+Data!$Q$88*N326</f>
        <v>0.43149999999999994</v>
      </c>
      <c r="O388" s="521">
        <f>Data!$Q$85*O311+Data!$Q$86*O311+Data!$Q$87*O296+Data!$Q$88*O326</f>
        <v>0.40149999999999997</v>
      </c>
      <c r="P388" s="521">
        <f>Data!$Q$85*P311+Data!$Q$86*P311+Data!$Q$87*P296+Data!$Q$88*P326</f>
        <v>0.40149999999999997</v>
      </c>
      <c r="Q388" s="521">
        <f>Data!$Q$85*Q311+Data!$Q$86*Q311+Data!$Q$87*Q296+Data!$Q$88*Q326</f>
        <v>0.40149999999999997</v>
      </c>
      <c r="R388" s="521">
        <f>Data!$Q$85*R311+Data!$Q$86*R311+Data!$Q$87*R296+Data!$Q$88*R326</f>
        <v>0.45399999999999996</v>
      </c>
      <c r="S388" s="521">
        <f>Data!$Q$85*S311+Data!$Q$86*S311+Data!$Q$87*S296+Data!$Q$88*S326</f>
        <v>0.42400000000000004</v>
      </c>
      <c r="T388" s="521">
        <f>Data!$Q$85*T311+Data!$Q$86*T311+Data!$Q$87*T296+Data!$Q$88*T326</f>
        <v>0.42400000000000004</v>
      </c>
      <c r="U388" s="521">
        <f>Data!$Q$85*U311+Data!$Q$86*U311+Data!$Q$87*U296+Data!$Q$88*U326</f>
        <v>0.42400000000000004</v>
      </c>
      <c r="V388" s="521">
        <f>Data!$Q$85*V311+Data!$Q$86*V311+Data!$Q$87*V296+Data!$Q$88*V326</f>
        <v>0.42400000000000004</v>
      </c>
      <c r="W388" s="521">
        <f>Data!$Q$85*W311+Data!$Q$86*W311+Data!$Q$87*W296+Data!$Q$88*W326</f>
        <v>0.42400000000000004</v>
      </c>
      <c r="X388" s="521">
        <f>Data!$Q$85*X311+Data!$Q$86*X311+Data!$Q$87*X296+Data!$Q$88*X326</f>
        <v>0.51400000000000001</v>
      </c>
      <c r="Y388" s="521">
        <f>Data!$Q$85*Y311+Data!$Q$86*Y311+Data!$Q$87*Y296+Data!$Q$88*Y326</f>
        <v>0.57399999999999995</v>
      </c>
      <c r="Z388" s="521">
        <f>Data!$Q$85*Z311+Data!$Q$86*Z311+Data!$Q$87*Z296+Data!$Q$88*Z326</f>
        <v>0.60399999999999998</v>
      </c>
      <c r="AA388" s="521">
        <f>Data!$Q$85*AA311+Data!$Q$86*AA311+Data!$Q$87*AA296+Data!$Q$88*AA326</f>
        <v>0.54400000000000004</v>
      </c>
      <c r="AB388" s="521">
        <f>Data!$Q$85*AB311+Data!$Q$86*AB311+Data!$Q$87*AB296+Data!$Q$88*AB326</f>
        <v>0.42399999999999999</v>
      </c>
      <c r="AC388" s="528">
        <f>Data!$Q$85*AC311+Data!$Q$86*AC311+Data!$Q$87*AC296+Data!$Q$88*AC326</f>
        <v>0.36399999999999999</v>
      </c>
      <c r="AD388" s="39"/>
      <c r="AE388" s="39"/>
      <c r="AF388" s="39"/>
      <c r="AG388" s="39"/>
      <c r="AH388" s="39"/>
      <c r="AI388" s="39"/>
      <c r="AJ388" s="39"/>
      <c r="AK388" s="39"/>
      <c r="AM388" s="47"/>
    </row>
    <row r="389" spans="1:39" ht="38.4" hidden="1" customHeight="1" x14ac:dyDescent="0.3">
      <c r="A389" s="1180" t="s">
        <v>154</v>
      </c>
      <c r="B389" s="1085" t="s">
        <v>837</v>
      </c>
      <c r="C389" s="1083" t="s">
        <v>766</v>
      </c>
      <c r="D389" s="1152" t="s">
        <v>828</v>
      </c>
      <c r="E389" s="522" t="s">
        <v>468</v>
      </c>
      <c r="F389" s="514">
        <f>Data!$Q$85*F312+Data!$Q$86*F312+Data!$Q$87*F297+Data!$Q$88*F327</f>
        <v>0.3</v>
      </c>
      <c r="G389" s="514">
        <f>Data!$Q$85*G312+Data!$Q$86*G312+Data!$Q$87*G297+Data!$Q$88*G327</f>
        <v>0.3</v>
      </c>
      <c r="H389" s="514">
        <f>Data!$Q$85*H312+Data!$Q$86*H312+Data!$Q$87*H297+Data!$Q$88*H327</f>
        <v>0.3</v>
      </c>
      <c r="I389" s="514">
        <f>Data!$Q$85*I312+Data!$Q$86*I312+Data!$Q$87*I297+Data!$Q$88*I327</f>
        <v>0.3</v>
      </c>
      <c r="J389" s="514">
        <f>Data!$Q$85*J312+Data!$Q$86*J312+Data!$Q$87*J297+Data!$Q$88*J327</f>
        <v>0.3</v>
      </c>
      <c r="K389" s="514">
        <f>Data!$Q$85*K312+Data!$Q$86*K312+Data!$Q$87*K297+Data!$Q$88*K327</f>
        <v>0.85000000000000009</v>
      </c>
      <c r="L389" s="514">
        <f>Data!$Q$85*L312+Data!$Q$86*L312+Data!$Q$87*L297+Data!$Q$88*L327</f>
        <v>0.85000000000000009</v>
      </c>
      <c r="M389" s="514">
        <f>Data!$Q$85*M312+Data!$Q$86*M312+Data!$Q$87*M297+Data!$Q$88*M327</f>
        <v>1</v>
      </c>
      <c r="N389" s="514">
        <f>Data!$Q$85*N312+Data!$Q$86*N312+Data!$Q$87*N297+Data!$Q$88*N327</f>
        <v>1</v>
      </c>
      <c r="O389" s="514">
        <f>Data!$Q$85*O312+Data!$Q$86*O312+Data!$Q$87*O297+Data!$Q$88*O327</f>
        <v>1</v>
      </c>
      <c r="P389" s="514">
        <f>Data!$Q$85*P312+Data!$Q$86*P312+Data!$Q$87*P297+Data!$Q$88*P327</f>
        <v>1</v>
      </c>
      <c r="Q389" s="514">
        <f>Data!$Q$85*Q312+Data!$Q$86*Q312+Data!$Q$87*Q297+Data!$Q$88*Q327</f>
        <v>1</v>
      </c>
      <c r="R389" s="514">
        <f>Data!$Q$85*R312+Data!$Q$86*R312+Data!$Q$87*R297+Data!$Q$88*R327</f>
        <v>1</v>
      </c>
      <c r="S389" s="514">
        <f>Data!$Q$85*S312+Data!$Q$86*S312+Data!$Q$87*S297+Data!$Q$88*S327</f>
        <v>1</v>
      </c>
      <c r="T389" s="514">
        <f>Data!$Q$85*T312+Data!$Q$86*T312+Data!$Q$87*T297+Data!$Q$88*T327</f>
        <v>1</v>
      </c>
      <c r="U389" s="514">
        <f>Data!$Q$85*U312+Data!$Q$86*U312+Data!$Q$87*U297+Data!$Q$88*U327</f>
        <v>1</v>
      </c>
      <c r="V389" s="514">
        <f>Data!$Q$85*V312+Data!$Q$86*V312+Data!$Q$87*V297+Data!$Q$88*V327</f>
        <v>1</v>
      </c>
      <c r="W389" s="514">
        <f>Data!$Q$85*W312+Data!$Q$86*W312+Data!$Q$87*W297+Data!$Q$88*W327</f>
        <v>1</v>
      </c>
      <c r="X389" s="514">
        <f>Data!$Q$85*X312+Data!$Q$86*X312+Data!$Q$87*X297+Data!$Q$88*X327</f>
        <v>1</v>
      </c>
      <c r="Y389" s="514">
        <f>Data!$Q$85*Y312+Data!$Q$86*Y312+Data!$Q$87*Y297+Data!$Q$88*Y327</f>
        <v>1</v>
      </c>
      <c r="Z389" s="514">
        <f>Data!$Q$85*Z312+Data!$Q$86*Z312+Data!$Q$87*Z297+Data!$Q$88*Z327</f>
        <v>1</v>
      </c>
      <c r="AA389" s="514">
        <f>Data!$Q$85*AA312+Data!$Q$86*AA312+Data!$Q$87*AA297+Data!$Q$88*AA327</f>
        <v>1</v>
      </c>
      <c r="AB389" s="514">
        <f>Data!$Q$85*AB312+Data!$Q$86*AB312+Data!$Q$87*AB297+Data!$Q$88*AB327</f>
        <v>1</v>
      </c>
      <c r="AC389" s="515">
        <f>Data!$Q$85*AC312+Data!$Q$86*AC312+Data!$Q$87*AC297+Data!$Q$88*AC327</f>
        <v>0.85000000000000009</v>
      </c>
      <c r="AD389" s="39"/>
      <c r="AE389" s="39"/>
      <c r="AF389" s="39"/>
      <c r="AG389" s="39"/>
      <c r="AH389" s="39"/>
      <c r="AI389" s="39"/>
      <c r="AJ389" s="39"/>
      <c r="AK389" s="39"/>
      <c r="AM389" s="47"/>
    </row>
    <row r="390" spans="1:39" ht="38.700000000000003" hidden="1" customHeight="1" x14ac:dyDescent="0.3">
      <c r="A390" s="1181"/>
      <c r="B390" s="1075"/>
      <c r="C390" s="1060"/>
      <c r="D390" s="1153"/>
      <c r="E390" s="523" t="s">
        <v>475</v>
      </c>
      <c r="F390" s="511">
        <f>Data!$Q$85*F313+Data!$Q$86*F313+Data!$Q$87*F298+Data!$Q$88*F328</f>
        <v>0.3</v>
      </c>
      <c r="G390" s="511">
        <f>Data!$Q$85*G313+Data!$Q$86*G313+Data!$Q$87*G298+Data!$Q$88*G328</f>
        <v>0.3</v>
      </c>
      <c r="H390" s="511">
        <f>Data!$Q$85*H313+Data!$Q$86*H313+Data!$Q$87*H298+Data!$Q$88*H328</f>
        <v>0.3</v>
      </c>
      <c r="I390" s="511">
        <f>Data!$Q$85*I313+Data!$Q$86*I313+Data!$Q$87*I298+Data!$Q$88*I328</f>
        <v>0.3</v>
      </c>
      <c r="J390" s="511">
        <f>Data!$Q$85*J313+Data!$Q$86*J313+Data!$Q$87*J298+Data!$Q$88*J328</f>
        <v>0.3</v>
      </c>
      <c r="K390" s="511">
        <f>Data!$Q$85*K313+Data!$Q$86*K313+Data!$Q$87*K298+Data!$Q$88*K328</f>
        <v>0.85000000000000009</v>
      </c>
      <c r="L390" s="511">
        <f>Data!$Q$85*L313+Data!$Q$86*L313+Data!$Q$87*L298+Data!$Q$88*L328</f>
        <v>0.85000000000000009</v>
      </c>
      <c r="M390" s="511">
        <f>Data!$Q$85*M313+Data!$Q$86*M313+Data!$Q$87*M298+Data!$Q$88*M328</f>
        <v>1</v>
      </c>
      <c r="N390" s="511">
        <f>Data!$Q$85*N313+Data!$Q$86*N313+Data!$Q$87*N298+Data!$Q$88*N328</f>
        <v>1</v>
      </c>
      <c r="O390" s="511">
        <f>Data!$Q$85*O313+Data!$Q$86*O313+Data!$Q$87*O298+Data!$Q$88*O328</f>
        <v>1</v>
      </c>
      <c r="P390" s="511">
        <f>Data!$Q$85*P313+Data!$Q$86*P313+Data!$Q$87*P298+Data!$Q$88*P328</f>
        <v>1</v>
      </c>
      <c r="Q390" s="511">
        <f>Data!$Q$85*Q313+Data!$Q$86*Q313+Data!$Q$87*Q298+Data!$Q$88*Q328</f>
        <v>1</v>
      </c>
      <c r="R390" s="511">
        <f>Data!$Q$85*R313+Data!$Q$86*R313+Data!$Q$87*R298+Data!$Q$88*R328</f>
        <v>1</v>
      </c>
      <c r="S390" s="511">
        <f>Data!$Q$85*S313+Data!$Q$86*S313+Data!$Q$87*S298+Data!$Q$88*S328</f>
        <v>1</v>
      </c>
      <c r="T390" s="511">
        <f>Data!$Q$85*T313+Data!$Q$86*T313+Data!$Q$87*T298+Data!$Q$88*T328</f>
        <v>1</v>
      </c>
      <c r="U390" s="511">
        <f>Data!$Q$85*U313+Data!$Q$86*U313+Data!$Q$87*U298+Data!$Q$88*U328</f>
        <v>1</v>
      </c>
      <c r="V390" s="511">
        <f>Data!$Q$85*V313+Data!$Q$86*V313+Data!$Q$87*V298+Data!$Q$88*V328</f>
        <v>1</v>
      </c>
      <c r="W390" s="511">
        <f>Data!$Q$85*W313+Data!$Q$86*W313+Data!$Q$87*W298+Data!$Q$88*W328</f>
        <v>1</v>
      </c>
      <c r="X390" s="511">
        <f>Data!$Q$85*X313+Data!$Q$86*X313+Data!$Q$87*X298+Data!$Q$88*X328</f>
        <v>1</v>
      </c>
      <c r="Y390" s="511">
        <f>Data!$Q$85*Y313+Data!$Q$86*Y313+Data!$Q$87*Y298+Data!$Q$88*Y328</f>
        <v>0.44999999999999996</v>
      </c>
      <c r="Z390" s="511">
        <f>Data!$Q$85*Z313+Data!$Q$86*Z313+Data!$Q$87*Z298+Data!$Q$88*Z328</f>
        <v>0.44999999999999996</v>
      </c>
      <c r="AA390" s="511">
        <f>Data!$Q$85*AA313+Data!$Q$86*AA313+Data!$Q$87*AA298+Data!$Q$88*AA328</f>
        <v>0.44999999999999996</v>
      </c>
      <c r="AB390" s="511">
        <f>Data!$Q$85*AB313+Data!$Q$86*AB313+Data!$Q$87*AB298+Data!$Q$88*AB328</f>
        <v>0.44999999999999996</v>
      </c>
      <c r="AC390" s="517">
        <f>Data!$Q$85*AC313+Data!$Q$86*AC313+Data!$Q$87*AC298+Data!$Q$88*AC328</f>
        <v>0.3</v>
      </c>
      <c r="AD390" s="39"/>
      <c r="AE390" s="39"/>
      <c r="AF390" s="39"/>
      <c r="AG390" s="39"/>
      <c r="AH390" s="39"/>
      <c r="AI390" s="39"/>
      <c r="AJ390" s="39"/>
      <c r="AK390" s="39"/>
      <c r="AM390" s="47"/>
    </row>
    <row r="391" spans="1:39" ht="38.4" hidden="1" customHeight="1" thickBot="1" x14ac:dyDescent="0.35">
      <c r="A391" s="1182"/>
      <c r="B391" s="1086"/>
      <c r="C391" s="1084"/>
      <c r="D391" s="1154"/>
      <c r="E391" s="524" t="s">
        <v>477</v>
      </c>
      <c r="F391" s="519">
        <f>Data!$Q$85*F314+Data!$Q$86*F314+Data!$Q$87*F299+Data!$Q$88*F329</f>
        <v>0.3</v>
      </c>
      <c r="G391" s="519">
        <f>Data!$Q$85*G314+Data!$Q$86*G314+Data!$Q$87*G299+Data!$Q$88*G329</f>
        <v>0.3</v>
      </c>
      <c r="H391" s="519">
        <f>Data!$Q$85*H314+Data!$Q$86*H314+Data!$Q$87*H299+Data!$Q$88*H329</f>
        <v>0.3</v>
      </c>
      <c r="I391" s="519">
        <f>Data!$Q$85*I314+Data!$Q$86*I314+Data!$Q$87*I299+Data!$Q$88*I329</f>
        <v>0.3</v>
      </c>
      <c r="J391" s="519">
        <f>Data!$Q$85*J314+Data!$Q$86*J314+Data!$Q$87*J299+Data!$Q$88*J329</f>
        <v>0.3</v>
      </c>
      <c r="K391" s="519">
        <f>Data!$Q$85*K314+Data!$Q$86*K314+Data!$Q$87*K299+Data!$Q$88*K329</f>
        <v>0.3</v>
      </c>
      <c r="L391" s="519">
        <f>Data!$Q$85*L314+Data!$Q$86*L314+Data!$Q$87*L299+Data!$Q$88*L329</f>
        <v>0.3</v>
      </c>
      <c r="M391" s="519">
        <f>Data!$Q$85*M314+Data!$Q$86*M314+Data!$Q$87*M299+Data!$Q$88*M329</f>
        <v>0.44999999999999996</v>
      </c>
      <c r="N391" s="519">
        <f>Data!$Q$85*N314+Data!$Q$86*N314+Data!$Q$87*N299+Data!$Q$88*N329</f>
        <v>0.44999999999999996</v>
      </c>
      <c r="O391" s="519">
        <f>Data!$Q$85*O314+Data!$Q$86*O314+Data!$Q$87*O299+Data!$Q$88*O329</f>
        <v>0.44999999999999996</v>
      </c>
      <c r="P391" s="519">
        <f>Data!$Q$85*P314+Data!$Q$86*P314+Data!$Q$87*P299+Data!$Q$88*P329</f>
        <v>0.44999999999999996</v>
      </c>
      <c r="Q391" s="519">
        <f>Data!$Q$85*Q314+Data!$Q$86*Q314+Data!$Q$87*Q299+Data!$Q$88*Q329</f>
        <v>0.44999999999999996</v>
      </c>
      <c r="R391" s="519">
        <f>Data!$Q$85*R314+Data!$Q$86*R314+Data!$Q$87*R299+Data!$Q$88*R329</f>
        <v>0.44999999999999996</v>
      </c>
      <c r="S391" s="519">
        <f>Data!$Q$85*S314+Data!$Q$86*S314+Data!$Q$87*S299+Data!$Q$88*S329</f>
        <v>0.44999999999999996</v>
      </c>
      <c r="T391" s="519">
        <f>Data!$Q$85*T314+Data!$Q$86*T314+Data!$Q$87*T299+Data!$Q$88*T329</f>
        <v>0.44999999999999996</v>
      </c>
      <c r="U391" s="519">
        <f>Data!$Q$85*U314+Data!$Q$86*U314+Data!$Q$87*U299+Data!$Q$88*U329</f>
        <v>0.44999999999999996</v>
      </c>
      <c r="V391" s="519">
        <f>Data!$Q$85*V314+Data!$Q$86*V314+Data!$Q$87*V299+Data!$Q$88*V329</f>
        <v>0.44999999999999996</v>
      </c>
      <c r="W391" s="519">
        <f>Data!$Q$85*W314+Data!$Q$86*W314+Data!$Q$87*W299+Data!$Q$88*W329</f>
        <v>0.44999999999999996</v>
      </c>
      <c r="X391" s="519">
        <f>Data!$Q$85*X314+Data!$Q$86*X314+Data!$Q$87*X299+Data!$Q$88*X329</f>
        <v>0.44999999999999996</v>
      </c>
      <c r="Y391" s="519">
        <f>Data!$Q$85*Y314+Data!$Q$86*Y314+Data!$Q$87*Y299+Data!$Q$88*Y329</f>
        <v>0.44999999999999996</v>
      </c>
      <c r="Z391" s="519">
        <f>Data!$Q$85*Z314+Data!$Q$86*Z314+Data!$Q$87*Z299+Data!$Q$88*Z329</f>
        <v>0.44999999999999996</v>
      </c>
      <c r="AA391" s="519">
        <f>Data!$Q$85*AA314+Data!$Q$86*AA314+Data!$Q$87*AA299+Data!$Q$88*AA329</f>
        <v>0.44999999999999996</v>
      </c>
      <c r="AB391" s="519">
        <f>Data!$Q$85*AB314+Data!$Q$86*AB314+Data!$Q$87*AB299+Data!$Q$88*AB329</f>
        <v>0.44999999999999996</v>
      </c>
      <c r="AC391" s="520">
        <f>Data!$Q$85*AC314+Data!$Q$86*AC314+Data!$Q$87*AC299+Data!$Q$88*AC329</f>
        <v>0.3</v>
      </c>
      <c r="AD391" s="39"/>
      <c r="AE391" s="39"/>
      <c r="AF391" s="39"/>
      <c r="AG391" s="39"/>
      <c r="AH391" s="39"/>
      <c r="AI391" s="39"/>
      <c r="AJ391" s="39"/>
      <c r="AK391" s="39"/>
      <c r="AM391" s="47"/>
    </row>
    <row r="392" spans="1:39" ht="38.700000000000003" hidden="1" customHeight="1" x14ac:dyDescent="0.3">
      <c r="A392" s="1180" t="s">
        <v>154</v>
      </c>
      <c r="B392" s="1085" t="s">
        <v>837</v>
      </c>
      <c r="C392" s="1083" t="s">
        <v>768</v>
      </c>
      <c r="D392" s="1147" t="s">
        <v>828</v>
      </c>
      <c r="E392" s="525" t="s">
        <v>468</v>
      </c>
      <c r="F392" s="512">
        <f>Data!$Q$85*F315+Data!$Q$86*F315+Data!$Q$87*F300+Data!$Q$88*F330</f>
        <v>0.37204999999999999</v>
      </c>
      <c r="G392" s="512">
        <f>Data!$Q$85*G315+Data!$Q$86*G315+Data!$Q$87*G300+Data!$Q$88*G330</f>
        <v>0.34125</v>
      </c>
      <c r="H392" s="512">
        <f>Data!$Q$85*H315+Data!$Q$86*H315+Data!$Q$87*H300+Data!$Q$88*H330</f>
        <v>0.34620000000000001</v>
      </c>
      <c r="I392" s="512">
        <f>Data!$Q$85*I315+Data!$Q$86*I315+Data!$Q$87*I300+Data!$Q$88*I330</f>
        <v>0.35664999999999997</v>
      </c>
      <c r="J392" s="512">
        <f>Data!$Q$85*J315+Data!$Q$86*J315+Data!$Q$87*J300+Data!$Q$88*J330</f>
        <v>0.40284999999999999</v>
      </c>
      <c r="K392" s="512">
        <f>Data!$Q$85*K315+Data!$Q$86*K315+Data!$Q$87*K300+Data!$Q$88*K330</f>
        <v>0.45104999999999995</v>
      </c>
      <c r="L392" s="512">
        <f>Data!$Q$85*L315+Data!$Q$86*L315+Data!$Q$87*L300+Data!$Q$88*L330</f>
        <v>0.68259999999999987</v>
      </c>
      <c r="M392" s="512">
        <f>Data!$Q$85*M315+Data!$Q$86*M315+Data!$Q$87*M300+Data!$Q$88*M330</f>
        <v>0.77500000000000002</v>
      </c>
      <c r="N392" s="512">
        <f>Data!$Q$85*N315+Data!$Q$86*N315+Data!$Q$87*N300+Data!$Q$88*N330</f>
        <v>0.57759999999999989</v>
      </c>
      <c r="O392" s="512">
        <f>Data!$Q$85*O315+Data!$Q$86*O315+Data!$Q$87*O300+Data!$Q$88*O330</f>
        <v>0.46684999999999999</v>
      </c>
      <c r="P392" s="512">
        <f>Data!$Q$85*P315+Data!$Q$86*P315+Data!$Q$87*P300+Data!$Q$88*P330</f>
        <v>0.39479999999999998</v>
      </c>
      <c r="Q392" s="512">
        <f>Data!$Q$85*Q315+Data!$Q$86*Q315+Data!$Q$87*Q300+Data!$Q$88*Q330</f>
        <v>0.36774999999999997</v>
      </c>
      <c r="R392" s="512">
        <f>Data!$Q$85*R315+Data!$Q$86*R315+Data!$Q$87*R300+Data!$Q$88*R330</f>
        <v>0.31230000000000002</v>
      </c>
      <c r="S392" s="512">
        <f>Data!$Q$85*S315+Data!$Q$86*S315+Data!$Q$87*S300+Data!$Q$88*S330</f>
        <v>0.2969</v>
      </c>
      <c r="T392" s="512">
        <f>Data!$Q$85*T315+Data!$Q$86*T315+Data!$Q$87*T300+Data!$Q$88*T330</f>
        <v>0.29194999999999999</v>
      </c>
      <c r="U392" s="512">
        <f>Data!$Q$85*U315+Data!$Q$86*U315+Data!$Q$87*U300+Data!$Q$88*U330</f>
        <v>0.26114999999999999</v>
      </c>
      <c r="V392" s="512">
        <f>Data!$Q$85*V315+Data!$Q$86*V315+Data!$Q$87*V300+Data!$Q$88*V330</f>
        <v>0.34365000000000001</v>
      </c>
      <c r="W392" s="512">
        <f>Data!$Q$85*W315+Data!$Q$86*W315+Data!$Q$87*W300+Data!$Q$88*W330</f>
        <v>0.47194999999999998</v>
      </c>
      <c r="X392" s="512">
        <f>Data!$Q$85*X315+Data!$Q$86*X315+Data!$Q$87*X300+Data!$Q$88*X330</f>
        <v>0.49229999999999996</v>
      </c>
      <c r="Y392" s="512">
        <f>Data!$Q$85*Y315+Data!$Q$86*Y315+Data!$Q$87*Y300+Data!$Q$88*Y330</f>
        <v>0.46644999999999998</v>
      </c>
      <c r="Z392" s="512">
        <f>Data!$Q$85*Z315+Data!$Q$86*Z315+Data!$Q$87*Z300+Data!$Q$88*Z330</f>
        <v>0.44114999999999999</v>
      </c>
      <c r="AA392" s="512">
        <f>Data!$Q$85*AA315+Data!$Q$86*AA315+Data!$Q$87*AA300+Data!$Q$88*AA330</f>
        <v>0.50019999999999998</v>
      </c>
      <c r="AB392" s="512">
        <f>Data!$Q$85*AB315+Data!$Q$86*AB315+Data!$Q$87*AB300+Data!$Q$88*AB330</f>
        <v>0.48480000000000001</v>
      </c>
      <c r="AC392" s="526">
        <f>Data!$Q$85*AC315+Data!$Q$86*AC315+Data!$Q$87*AC300+Data!$Q$88*AC330</f>
        <v>0.4133</v>
      </c>
      <c r="AD392" s="39"/>
      <c r="AE392" s="39"/>
      <c r="AF392" s="39"/>
      <c r="AG392" s="39"/>
      <c r="AH392" s="39"/>
      <c r="AI392" s="39"/>
      <c r="AJ392" s="39"/>
      <c r="AK392" s="39"/>
      <c r="AM392" s="47"/>
    </row>
    <row r="393" spans="1:39" ht="38.700000000000003" hidden="1" customHeight="1" x14ac:dyDescent="0.3">
      <c r="A393" s="1181"/>
      <c r="B393" s="1075"/>
      <c r="C393" s="1060"/>
      <c r="D393" s="1066"/>
      <c r="E393" s="516" t="s">
        <v>475</v>
      </c>
      <c r="F393" s="511">
        <f>Data!$Q$85*F316+Data!$Q$86*F316+Data!$Q$87*F301+Data!$Q$88*F331</f>
        <v>0.38934999999999997</v>
      </c>
      <c r="G393" s="511">
        <f>Data!$Q$85*G316+Data!$Q$86*G316+Data!$Q$87*G301+Data!$Q$88*G331</f>
        <v>0.33600000000000002</v>
      </c>
      <c r="H393" s="511">
        <f>Data!$Q$85*H316+Data!$Q$86*H316+Data!$Q$87*H301+Data!$Q$88*H331</f>
        <v>0.32940000000000003</v>
      </c>
      <c r="I393" s="511">
        <f>Data!$Q$85*I316+Data!$Q$86*I316+Data!$Q$87*I301+Data!$Q$88*I331</f>
        <v>0.32280000000000003</v>
      </c>
      <c r="J393" s="511">
        <f>Data!$Q$85*J316+Data!$Q$86*J316+Data!$Q$87*J301+Data!$Q$88*J331</f>
        <v>0.36955000000000005</v>
      </c>
      <c r="K393" s="511">
        <f>Data!$Q$85*K316+Data!$Q$86*K316+Data!$Q$87*K301+Data!$Q$88*K331</f>
        <v>0.34735000000000005</v>
      </c>
      <c r="L393" s="511">
        <f>Data!$Q$85*L316+Data!$Q$86*L316+Data!$Q$87*L301+Data!$Q$88*L331</f>
        <v>0.36714999999999998</v>
      </c>
      <c r="M393" s="511">
        <f>Data!$Q$85*M316+Data!$Q$86*M316+Data!$Q$87*M301+Data!$Q$88*M331</f>
        <v>0.50629999999999997</v>
      </c>
      <c r="N393" s="511">
        <f>Data!$Q$85*N316+Data!$Q$86*N316+Data!$Q$87*N301+Data!$Q$88*N331</f>
        <v>0.60039999999999993</v>
      </c>
      <c r="O393" s="511">
        <f>Data!$Q$85*O316+Data!$Q$86*O316+Data!$Q$87*O301+Data!$Q$88*O331</f>
        <v>0.64749999999999996</v>
      </c>
      <c r="P393" s="511">
        <f>Data!$Q$85*P316+Data!$Q$86*P316+Data!$Q$87*P301+Data!$Q$88*P331</f>
        <v>0.58809999999999996</v>
      </c>
      <c r="Q393" s="511">
        <f>Data!$Q$85*Q316+Data!$Q$86*Q316+Data!$Q$87*Q301+Data!$Q$88*Q331</f>
        <v>0.52424999999999999</v>
      </c>
      <c r="R393" s="511">
        <f>Data!$Q$85*R316+Data!$Q$86*R316+Data!$Q$87*R301+Data!$Q$88*R331</f>
        <v>0.42769999999999997</v>
      </c>
      <c r="S393" s="511">
        <f>Data!$Q$85*S316+Data!$Q$86*S316+Data!$Q$87*S301+Data!$Q$88*S331</f>
        <v>0.37490000000000001</v>
      </c>
      <c r="T393" s="511">
        <f>Data!$Q$85*T316+Data!$Q$86*T316+Data!$Q$87*T301+Data!$Q$88*T331</f>
        <v>0.34849999999999992</v>
      </c>
      <c r="U393" s="511">
        <f>Data!$Q$85*U316+Data!$Q$86*U316+Data!$Q$87*U301+Data!$Q$88*U331</f>
        <v>0.34849999999999992</v>
      </c>
      <c r="V393" s="511">
        <f>Data!$Q$85*V316+Data!$Q$86*V316+Data!$Q$87*V301+Data!$Q$88*V331</f>
        <v>0.43484999999999996</v>
      </c>
      <c r="W393" s="511">
        <f>Data!$Q$85*W316+Data!$Q$86*W316+Data!$Q$87*W301+Data!$Q$88*W331</f>
        <v>0.59444999999999992</v>
      </c>
      <c r="X393" s="511">
        <f>Data!$Q$85*X316+Data!$Q$86*X316+Data!$Q$87*X301+Data!$Q$88*X331</f>
        <v>0.58124999999999993</v>
      </c>
      <c r="Y393" s="511">
        <f>Data!$Q$85*Y316+Data!$Q$86*Y316+Data!$Q$87*Y301+Data!$Q$88*Y331</f>
        <v>0.65234999999999999</v>
      </c>
      <c r="Z393" s="511">
        <f>Data!$Q$85*Z316+Data!$Q$86*Z316+Data!$Q$87*Z301+Data!$Q$88*Z331</f>
        <v>0.56630000000000003</v>
      </c>
      <c r="AA393" s="511">
        <f>Data!$Q$85*AA316+Data!$Q$86*AA316+Data!$Q$87*AA301+Data!$Q$88*AA331</f>
        <v>0.5615</v>
      </c>
      <c r="AB393" s="511">
        <f>Data!$Q$85*AB316+Data!$Q$86*AB316+Data!$Q$87*AB301+Data!$Q$88*AB331</f>
        <v>0.53510000000000002</v>
      </c>
      <c r="AC393" s="517">
        <f>Data!$Q$85*AC316+Data!$Q$86*AC316+Data!$Q$87*AC301+Data!$Q$88*AC331</f>
        <v>0.45535000000000003</v>
      </c>
      <c r="AD393" s="39"/>
      <c r="AE393" s="39"/>
      <c r="AF393" s="39"/>
      <c r="AG393" s="39"/>
      <c r="AH393" s="39"/>
      <c r="AI393" s="39"/>
      <c r="AJ393" s="39"/>
      <c r="AK393" s="39"/>
      <c r="AM393" s="47"/>
    </row>
    <row r="394" spans="1:39" ht="38.700000000000003" hidden="1" customHeight="1" thickBot="1" x14ac:dyDescent="0.35">
      <c r="A394" s="1182"/>
      <c r="B394" s="1086"/>
      <c r="C394" s="1084"/>
      <c r="D394" s="1148"/>
      <c r="E394" s="518" t="s">
        <v>477</v>
      </c>
      <c r="F394" s="519">
        <f>Data!$Q$85*F317+Data!$Q$86*F317+Data!$Q$87*F302+Data!$Q$88*F332</f>
        <v>0.38934999999999997</v>
      </c>
      <c r="G394" s="519">
        <f>Data!$Q$85*G317+Data!$Q$86*G317+Data!$Q$87*G302+Data!$Q$88*G332</f>
        <v>0.33600000000000002</v>
      </c>
      <c r="H394" s="519">
        <f>Data!$Q$85*H317+Data!$Q$86*H317+Data!$Q$87*H302+Data!$Q$88*H332</f>
        <v>0.32940000000000003</v>
      </c>
      <c r="I394" s="519">
        <f>Data!$Q$85*I317+Data!$Q$86*I317+Data!$Q$87*I302+Data!$Q$88*I332</f>
        <v>0.32280000000000003</v>
      </c>
      <c r="J394" s="519">
        <f>Data!$Q$85*J317+Data!$Q$86*J317+Data!$Q$87*J302+Data!$Q$88*J332</f>
        <v>0.36955000000000005</v>
      </c>
      <c r="K394" s="519">
        <f>Data!$Q$85*K317+Data!$Q$86*K317+Data!$Q$87*K302+Data!$Q$88*K332</f>
        <v>0.34735000000000005</v>
      </c>
      <c r="L394" s="519">
        <f>Data!$Q$85*L317+Data!$Q$86*L317+Data!$Q$87*L302+Data!$Q$88*L332</f>
        <v>0.36714999999999998</v>
      </c>
      <c r="M394" s="519">
        <f>Data!$Q$85*M317+Data!$Q$86*M317+Data!$Q$87*M302+Data!$Q$88*M332</f>
        <v>0.50629999999999997</v>
      </c>
      <c r="N394" s="519">
        <f>Data!$Q$85*N317+Data!$Q$86*N317+Data!$Q$87*N302+Data!$Q$88*N332</f>
        <v>0.60039999999999993</v>
      </c>
      <c r="O394" s="519">
        <f>Data!$Q$85*O317+Data!$Q$86*O317+Data!$Q$87*O302+Data!$Q$88*O332</f>
        <v>0.64749999999999996</v>
      </c>
      <c r="P394" s="519">
        <f>Data!$Q$85*P317+Data!$Q$86*P317+Data!$Q$87*P302+Data!$Q$88*P332</f>
        <v>0.58809999999999996</v>
      </c>
      <c r="Q394" s="519">
        <f>Data!$Q$85*Q317+Data!$Q$86*Q317+Data!$Q$87*Q302+Data!$Q$88*Q332</f>
        <v>0.50924999999999998</v>
      </c>
      <c r="R394" s="519">
        <f>Data!$Q$85*R317+Data!$Q$86*R317+Data!$Q$87*R302+Data!$Q$88*R332</f>
        <v>0.42769999999999997</v>
      </c>
      <c r="S394" s="519">
        <f>Data!$Q$85*S317+Data!$Q$86*S317+Data!$Q$87*S302+Data!$Q$88*S332</f>
        <v>0.37490000000000001</v>
      </c>
      <c r="T394" s="519">
        <f>Data!$Q$85*T317+Data!$Q$86*T317+Data!$Q$87*T302+Data!$Q$88*T332</f>
        <v>0.34849999999999992</v>
      </c>
      <c r="U394" s="519">
        <f>Data!$Q$85*U317+Data!$Q$86*U317+Data!$Q$87*U302+Data!$Q$88*U332</f>
        <v>0.34849999999999992</v>
      </c>
      <c r="V394" s="519">
        <f>Data!$Q$85*V317+Data!$Q$86*V317+Data!$Q$87*V302+Data!$Q$88*V332</f>
        <v>0.43484999999999996</v>
      </c>
      <c r="W394" s="519">
        <f>Data!$Q$85*W317+Data!$Q$86*W317+Data!$Q$87*W302+Data!$Q$88*W332</f>
        <v>0.59444999999999992</v>
      </c>
      <c r="X394" s="519">
        <f>Data!$Q$85*X317+Data!$Q$86*X317+Data!$Q$87*X302+Data!$Q$88*X332</f>
        <v>0.58124999999999993</v>
      </c>
      <c r="Y394" s="519">
        <f>Data!$Q$85*Y317+Data!$Q$86*Y317+Data!$Q$87*Y302+Data!$Q$88*Y332</f>
        <v>0.65234999999999999</v>
      </c>
      <c r="Z394" s="519">
        <f>Data!$Q$85*Z317+Data!$Q$86*Z317+Data!$Q$87*Z302+Data!$Q$88*Z332</f>
        <v>0.56630000000000003</v>
      </c>
      <c r="AA394" s="519">
        <f>Data!$Q$85*AA317+Data!$Q$86*AA317+Data!$Q$87*AA302+Data!$Q$88*AA332</f>
        <v>0.5615</v>
      </c>
      <c r="AB394" s="519">
        <f>Data!$Q$85*AB317+Data!$Q$86*AB317+Data!$Q$87*AB302+Data!$Q$88*AB332</f>
        <v>0.53510000000000002</v>
      </c>
      <c r="AC394" s="520">
        <f>Data!$Q$85*AC317+Data!$Q$86*AC317+Data!$Q$87*AC302+Data!$Q$88*AC332</f>
        <v>0.45535000000000003</v>
      </c>
      <c r="AD394" s="39"/>
      <c r="AE394" s="39"/>
      <c r="AF394" s="39"/>
      <c r="AG394" s="39"/>
      <c r="AH394" s="39"/>
      <c r="AI394" s="39"/>
      <c r="AJ394" s="39"/>
      <c r="AK394" s="39"/>
      <c r="AM394" s="47"/>
    </row>
    <row r="395" spans="1:39" ht="36" hidden="1" customHeight="1" thickBot="1" x14ac:dyDescent="0.35">
      <c r="A395" s="1180" t="s">
        <v>154</v>
      </c>
      <c r="B395" s="1085" t="s">
        <v>837</v>
      </c>
      <c r="C395" s="1085" t="s">
        <v>770</v>
      </c>
      <c r="D395" s="1136" t="s">
        <v>839</v>
      </c>
      <c r="E395" s="510" t="s">
        <v>468</v>
      </c>
      <c r="F395" s="519">
        <f>Data!$Q$85*F318+Data!$Q$86*F318+Data!$Q$87*F303+Data!$Q$88*F333</f>
        <v>0</v>
      </c>
      <c r="G395" s="860">
        <f>IF((G389=1),Thermostat!$B$3,Thermostat!$B$4)</f>
        <v>60</v>
      </c>
      <c r="H395" s="860">
        <f>IF((H389=1),Thermostat!$B$3,Thermostat!$B$4)</f>
        <v>60</v>
      </c>
      <c r="I395" s="860">
        <f>IF((I389=1),Thermostat!$B$3,Thermostat!$B$4)</f>
        <v>60</v>
      </c>
      <c r="J395" s="860">
        <f>IF((J389=1),Thermostat!$B$3,Thermostat!$B$4)</f>
        <v>60</v>
      </c>
      <c r="K395" s="860">
        <f>IF((K389=1),Thermostat!$B$3,Thermostat!$B$4)</f>
        <v>60</v>
      </c>
      <c r="L395" s="860">
        <f>IF((L389=1),Thermostat!$B$3,Thermostat!$B$4)</f>
        <v>60</v>
      </c>
      <c r="M395" s="860">
        <f>IF((M389=1),Thermostat!$B$3,Thermostat!$B$4)</f>
        <v>70</v>
      </c>
      <c r="N395" s="860">
        <f>IF((N389=1),Thermostat!$B$3,Thermostat!$B$4)</f>
        <v>70</v>
      </c>
      <c r="O395" s="860">
        <f>IF((O389=1),Thermostat!$B$3,Thermostat!$B$4)</f>
        <v>70</v>
      </c>
      <c r="P395" s="860">
        <f>IF((P389=1),Thermostat!$B$3,Thermostat!$B$4)</f>
        <v>70</v>
      </c>
      <c r="Q395" s="860">
        <f>IF((Q389=1),Thermostat!$B$3,Thermostat!$B$4)</f>
        <v>70</v>
      </c>
      <c r="R395" s="860">
        <f>IF((R389=1),Thermostat!$B$3,Thermostat!$B$4)</f>
        <v>70</v>
      </c>
      <c r="S395" s="860">
        <f>IF((S389=1),Thermostat!$B$3,Thermostat!$B$4)</f>
        <v>70</v>
      </c>
      <c r="T395" s="860">
        <f>IF((T389=1),Thermostat!$B$3,Thermostat!$B$4)</f>
        <v>70</v>
      </c>
      <c r="U395" s="860">
        <f>IF((U389=1),Thermostat!$B$3,Thermostat!$B$4)</f>
        <v>70</v>
      </c>
      <c r="V395" s="860">
        <f>IF((V389=1),Thermostat!$B$3,Thermostat!$B$4)</f>
        <v>70</v>
      </c>
      <c r="W395" s="860">
        <f>IF((W389=1),Thermostat!$B$3,Thermostat!$B$4)</f>
        <v>70</v>
      </c>
      <c r="X395" s="860">
        <f>IF((X389=1),Thermostat!$B$3,Thermostat!$B$4)</f>
        <v>70</v>
      </c>
      <c r="Y395" s="860">
        <f>IF((Y389=1),Thermostat!$B$3,Thermostat!$B$4)</f>
        <v>70</v>
      </c>
      <c r="Z395" s="860">
        <f>IF((Z389=1),Thermostat!$B$3,Thermostat!$B$4)</f>
        <v>70</v>
      </c>
      <c r="AA395" s="860">
        <f>IF((AA389=1),Thermostat!$B$3,Thermostat!$B$4)</f>
        <v>70</v>
      </c>
      <c r="AB395" s="860">
        <f>IF((AB389=1),Thermostat!$B$3,Thermostat!$B$4)</f>
        <v>70</v>
      </c>
      <c r="AC395" s="381">
        <f>IF((AC389=1),Thermostat!$B$3,Thermostat!$B$4)</f>
        <v>60</v>
      </c>
      <c r="AD395" s="40"/>
      <c r="AE395" s="39"/>
      <c r="AF395" s="39"/>
      <c r="AG395" s="39"/>
      <c r="AH395" s="39"/>
      <c r="AI395" s="39"/>
      <c r="AJ395" s="39"/>
      <c r="AK395" s="39"/>
      <c r="AM395" s="47"/>
    </row>
    <row r="396" spans="1:39" ht="36" hidden="1" customHeight="1" x14ac:dyDescent="0.3">
      <c r="A396" s="1181"/>
      <c r="B396" s="1075"/>
      <c r="C396" s="1075"/>
      <c r="D396" s="1063"/>
      <c r="E396" s="378" t="s">
        <v>475</v>
      </c>
      <c r="F396" s="860">
        <f>IF((F390=1),Thermostat!$B$3,Thermostat!$B$4)</f>
        <v>60</v>
      </c>
      <c r="G396" s="860">
        <f>IF((G390=1),Thermostat!$B$3,Thermostat!$B$4)</f>
        <v>60</v>
      </c>
      <c r="H396" s="860">
        <f>IF((H390=1),Thermostat!$B$3,Thermostat!$B$4)</f>
        <v>60</v>
      </c>
      <c r="I396" s="860">
        <f>IF((I390=1),Thermostat!$B$3,Thermostat!$B$4)</f>
        <v>60</v>
      </c>
      <c r="J396" s="860">
        <f>IF((J390=1),Thermostat!$B$3,Thermostat!$B$4)</f>
        <v>60</v>
      </c>
      <c r="K396" s="860">
        <f>IF((K390=1),Thermostat!$B$3,Thermostat!$B$4)</f>
        <v>60</v>
      </c>
      <c r="L396" s="860">
        <f>IF((L390=1),Thermostat!$B$3,Thermostat!$B$4)</f>
        <v>60</v>
      </c>
      <c r="M396" s="860">
        <f>IF((M390=1),Thermostat!$B$3,Thermostat!$B$4)</f>
        <v>70</v>
      </c>
      <c r="N396" s="860">
        <f>IF((N390=1),Thermostat!$B$3,Thermostat!$B$4)</f>
        <v>70</v>
      </c>
      <c r="O396" s="860">
        <f>IF((O390=1),Thermostat!$B$3,Thermostat!$B$4)</f>
        <v>70</v>
      </c>
      <c r="P396" s="860">
        <f>IF((P390=1),Thermostat!$B$3,Thermostat!$B$4)</f>
        <v>70</v>
      </c>
      <c r="Q396" s="860">
        <f>IF((Q390=1),Thermostat!$B$3,Thermostat!$B$4)</f>
        <v>70</v>
      </c>
      <c r="R396" s="860">
        <f>IF((R390=1),Thermostat!$B$3,Thermostat!$B$4)</f>
        <v>70</v>
      </c>
      <c r="S396" s="860">
        <f>IF((S390=1),Thermostat!$B$3,Thermostat!$B$4)</f>
        <v>70</v>
      </c>
      <c r="T396" s="860">
        <f>IF((T390=1),Thermostat!$B$3,Thermostat!$B$4)</f>
        <v>70</v>
      </c>
      <c r="U396" s="860">
        <f>IF((U390=1),Thermostat!$B$3,Thermostat!$B$4)</f>
        <v>70</v>
      </c>
      <c r="V396" s="860">
        <f>IF((V390=1),Thermostat!$B$3,Thermostat!$B$4)</f>
        <v>70</v>
      </c>
      <c r="W396" s="860">
        <f>IF((W390=1),Thermostat!$B$3,Thermostat!$B$4)</f>
        <v>70</v>
      </c>
      <c r="X396" s="860">
        <f>IF((X390=1),Thermostat!$B$3,Thermostat!$B$4)</f>
        <v>70</v>
      </c>
      <c r="Y396" s="860">
        <f>IF((Y390=1),Thermostat!$B$3,Thermostat!$B$4)</f>
        <v>60</v>
      </c>
      <c r="Z396" s="860">
        <f>IF((Z390=1),Thermostat!$B$3,Thermostat!$B$4)</f>
        <v>60</v>
      </c>
      <c r="AA396" s="860">
        <f>IF((AA390=1),Thermostat!$B$3,Thermostat!$B$4)</f>
        <v>60</v>
      </c>
      <c r="AB396" s="860">
        <f>IF((AB390=1),Thermostat!$B$3,Thermostat!$B$4)</f>
        <v>60</v>
      </c>
      <c r="AC396" s="381">
        <f>IF((AC390=1),Thermostat!$B$3,Thermostat!$B$4)</f>
        <v>60</v>
      </c>
      <c r="AD396" s="40"/>
      <c r="AE396" s="39"/>
      <c r="AF396" s="39"/>
      <c r="AG396" s="39"/>
      <c r="AH396" s="39"/>
      <c r="AI396" s="39"/>
      <c r="AJ396" s="39"/>
      <c r="AK396" s="39"/>
      <c r="AM396" s="47"/>
    </row>
    <row r="397" spans="1:39" ht="36" hidden="1" customHeight="1" thickBot="1" x14ac:dyDescent="0.35">
      <c r="A397" s="1182"/>
      <c r="B397" s="1086"/>
      <c r="C397" s="1086"/>
      <c r="D397" s="1137"/>
      <c r="E397" s="379" t="s">
        <v>477</v>
      </c>
      <c r="F397" s="859">
        <f>IF((F391=1),Thermostat!$B$3,Thermostat!$B$4)</f>
        <v>60</v>
      </c>
      <c r="G397" s="859">
        <f>IF((G391=1),Thermostat!$B$3,Thermostat!$B$4)</f>
        <v>60</v>
      </c>
      <c r="H397" s="859">
        <f>IF((H391=1),Thermostat!$B$3,Thermostat!$B$4)</f>
        <v>60</v>
      </c>
      <c r="I397" s="859">
        <f>IF((I391=1),Thermostat!$B$3,Thermostat!$B$4)</f>
        <v>60</v>
      </c>
      <c r="J397" s="859">
        <f>IF((J391=1),Thermostat!$B$3,Thermostat!$B$4)</f>
        <v>60</v>
      </c>
      <c r="K397" s="859">
        <f>IF((K391=1),Thermostat!$B$3,Thermostat!$B$4)</f>
        <v>60</v>
      </c>
      <c r="L397" s="859">
        <f>IF((L391=1),Thermostat!$B$3,Thermostat!$B$4)</f>
        <v>60</v>
      </c>
      <c r="M397" s="859">
        <f>IF((M391=1),Thermostat!$B$3,Thermostat!$B$4)</f>
        <v>60</v>
      </c>
      <c r="N397" s="859">
        <f>IF((N391=1),Thermostat!$B$3,Thermostat!$B$4)</f>
        <v>60</v>
      </c>
      <c r="O397" s="859">
        <f>IF((O391=1),Thermostat!$B$3,Thermostat!$B$4)</f>
        <v>60</v>
      </c>
      <c r="P397" s="859">
        <f>IF((P391=1),Thermostat!$B$3,Thermostat!$B$4)</f>
        <v>60</v>
      </c>
      <c r="Q397" s="859">
        <f>IF((Q391=1),Thermostat!$B$3,Thermostat!$B$4)</f>
        <v>60</v>
      </c>
      <c r="R397" s="859">
        <f>IF((R391=1),Thermostat!$B$3,Thermostat!$B$4)</f>
        <v>60</v>
      </c>
      <c r="S397" s="859">
        <f>IF((S391=1),Thermostat!$B$3,Thermostat!$B$4)</f>
        <v>60</v>
      </c>
      <c r="T397" s="859">
        <f>IF((T391=1),Thermostat!$B$3,Thermostat!$B$4)</f>
        <v>60</v>
      </c>
      <c r="U397" s="859">
        <f>IF((U391=1),Thermostat!$B$3,Thermostat!$B$4)</f>
        <v>60</v>
      </c>
      <c r="V397" s="859">
        <f>IF((V391=1),Thermostat!$B$3,Thermostat!$B$4)</f>
        <v>60</v>
      </c>
      <c r="W397" s="859">
        <f>IF((W391=1),Thermostat!$B$3,Thermostat!$B$4)</f>
        <v>60</v>
      </c>
      <c r="X397" s="859">
        <f>IF((X391=1),Thermostat!$B$3,Thermostat!$B$4)</f>
        <v>60</v>
      </c>
      <c r="Y397" s="859">
        <f>IF((Y391=1),Thermostat!$B$3,Thermostat!$B$4)</f>
        <v>60</v>
      </c>
      <c r="Z397" s="859">
        <f>IF((Z391=1),Thermostat!$B$3,Thermostat!$B$4)</f>
        <v>60</v>
      </c>
      <c r="AA397" s="859">
        <f>IF((AA391=1),Thermostat!$B$3,Thermostat!$B$4)</f>
        <v>60</v>
      </c>
      <c r="AB397" s="859">
        <f>IF((AB391=1),Thermostat!$B$3,Thermostat!$B$4)</f>
        <v>60</v>
      </c>
      <c r="AC397" s="382">
        <f>IF((AC391=1),Thermostat!$B$3,Thermostat!$B$4)</f>
        <v>60</v>
      </c>
      <c r="AD397" s="40"/>
      <c r="AE397" s="39"/>
      <c r="AF397" s="39"/>
      <c r="AG397" s="39"/>
      <c r="AH397" s="39"/>
      <c r="AI397" s="39"/>
      <c r="AJ397" s="39"/>
      <c r="AK397" s="39"/>
      <c r="AM397" s="47"/>
    </row>
    <row r="398" spans="1:39" ht="36" hidden="1" customHeight="1" x14ac:dyDescent="0.3">
      <c r="A398" s="1180" t="s">
        <v>154</v>
      </c>
      <c r="B398" s="1085" t="s">
        <v>837</v>
      </c>
      <c r="C398" s="1085" t="s">
        <v>771</v>
      </c>
      <c r="D398" s="1136" t="s">
        <v>839</v>
      </c>
      <c r="E398" s="377" t="s">
        <v>468</v>
      </c>
      <c r="F398" s="857">
        <f>IF((F389=1),Thermostat!$B$5,Thermostat!$B$6)</f>
        <v>85</v>
      </c>
      <c r="G398" s="857">
        <f>IF((G389=1),Thermostat!$B$5,Thermostat!$B$6)</f>
        <v>85</v>
      </c>
      <c r="H398" s="857">
        <f>IF((H389=1),Thermostat!$B$5,Thermostat!$B$6)</f>
        <v>85</v>
      </c>
      <c r="I398" s="857">
        <f>IF((I389=1),Thermostat!$B$5,Thermostat!$B$6)</f>
        <v>85</v>
      </c>
      <c r="J398" s="857">
        <f>IF((J389=1),Thermostat!$B$5,Thermostat!$B$6)</f>
        <v>85</v>
      </c>
      <c r="K398" s="857">
        <f>IF((K389=1),Thermostat!$B$5,Thermostat!$B$6)</f>
        <v>85</v>
      </c>
      <c r="L398" s="857">
        <f>IF((L389=1),Thermostat!$B$5,Thermostat!$B$6)</f>
        <v>85</v>
      </c>
      <c r="M398" s="857">
        <f>IF((M389=1),Thermostat!$B$5,Thermostat!$B$6)</f>
        <v>75</v>
      </c>
      <c r="N398" s="857">
        <f>IF((N389=1),Thermostat!$B$5,Thermostat!$B$6)</f>
        <v>75</v>
      </c>
      <c r="O398" s="857">
        <f>IF((O389=1),Thermostat!$B$5,Thermostat!$B$6)</f>
        <v>75</v>
      </c>
      <c r="P398" s="857">
        <f>IF((P389=1),Thermostat!$B$5,Thermostat!$B$6)</f>
        <v>75</v>
      </c>
      <c r="Q398" s="857">
        <f>IF((Q389=1),Thermostat!$B$5,Thermostat!$B$6)</f>
        <v>75</v>
      </c>
      <c r="R398" s="857">
        <f>IF((R389=1),Thermostat!$B$5,Thermostat!$B$6)</f>
        <v>75</v>
      </c>
      <c r="S398" s="857">
        <f>IF((S389=1),Thermostat!$B$5,Thermostat!$B$6)</f>
        <v>75</v>
      </c>
      <c r="T398" s="857">
        <f>IF((T389=1),Thermostat!$B$5,Thermostat!$B$6)</f>
        <v>75</v>
      </c>
      <c r="U398" s="857">
        <f>IF((U389=1),Thermostat!$B$5,Thermostat!$B$6)</f>
        <v>75</v>
      </c>
      <c r="V398" s="857">
        <f>IF((V389=1),Thermostat!$B$5,Thermostat!$B$6)</f>
        <v>75</v>
      </c>
      <c r="W398" s="857">
        <f>IF((W389=1),Thermostat!$B$5,Thermostat!$B$6)</f>
        <v>75</v>
      </c>
      <c r="X398" s="857">
        <f>IF((X389=1),Thermostat!$B$5,Thermostat!$B$6)</f>
        <v>75</v>
      </c>
      <c r="Y398" s="857">
        <f>IF((Y389=1),Thermostat!$B$5,Thermostat!$B$6)</f>
        <v>75</v>
      </c>
      <c r="Z398" s="857">
        <f>IF((Z389=1),Thermostat!$B$5,Thermostat!$B$6)</f>
        <v>75</v>
      </c>
      <c r="AA398" s="857">
        <f>IF((AA389=1),Thermostat!$B$5,Thermostat!$B$6)</f>
        <v>75</v>
      </c>
      <c r="AB398" s="857">
        <f>IF((AB389=1),Thermostat!$B$5,Thermostat!$B$6)</f>
        <v>75</v>
      </c>
      <c r="AC398" s="380">
        <f>IF((AC389=1),Thermostat!$B$5,Thermostat!$B$6)</f>
        <v>85</v>
      </c>
      <c r="AD398" s="40"/>
      <c r="AE398" s="39"/>
      <c r="AF398" s="39"/>
      <c r="AG398" s="39"/>
      <c r="AH398" s="39"/>
      <c r="AI398" s="39"/>
      <c r="AJ398" s="39"/>
      <c r="AK398" s="39"/>
      <c r="AM398" s="47"/>
    </row>
    <row r="399" spans="1:39" ht="36" hidden="1" customHeight="1" x14ac:dyDescent="0.3">
      <c r="A399" s="1181"/>
      <c r="B399" s="1075"/>
      <c r="C399" s="1075"/>
      <c r="D399" s="1063"/>
      <c r="E399" s="378" t="s">
        <v>475</v>
      </c>
      <c r="F399" s="860">
        <f>IF((F390=1),Thermostat!$B$5,Thermostat!$B$6)</f>
        <v>85</v>
      </c>
      <c r="G399" s="860">
        <f>IF((G390=1),Thermostat!$B$5,Thermostat!$B$6)</f>
        <v>85</v>
      </c>
      <c r="H399" s="860">
        <f>IF((H390=1),Thermostat!$B$5,Thermostat!$B$6)</f>
        <v>85</v>
      </c>
      <c r="I399" s="860">
        <f>IF((I390=1),Thermostat!$B$5,Thermostat!$B$6)</f>
        <v>85</v>
      </c>
      <c r="J399" s="860">
        <f>IF((J390=1),Thermostat!$B$5,Thermostat!$B$6)</f>
        <v>85</v>
      </c>
      <c r="K399" s="860">
        <f>IF((K390=1),Thermostat!$B$5,Thermostat!$B$6)</f>
        <v>85</v>
      </c>
      <c r="L399" s="860">
        <f>IF((L390=1),Thermostat!$B$5,Thermostat!$B$6)</f>
        <v>85</v>
      </c>
      <c r="M399" s="860">
        <f>IF((M390=1),Thermostat!$B$5,Thermostat!$B$6)</f>
        <v>75</v>
      </c>
      <c r="N399" s="860">
        <f>IF((N390=1),Thermostat!$B$5,Thermostat!$B$6)</f>
        <v>75</v>
      </c>
      <c r="O399" s="860">
        <f>IF((O390=1),Thermostat!$B$5,Thermostat!$B$6)</f>
        <v>75</v>
      </c>
      <c r="P399" s="860">
        <f>IF((P390=1),Thermostat!$B$5,Thermostat!$B$6)</f>
        <v>75</v>
      </c>
      <c r="Q399" s="860">
        <f>IF((Q390=1),Thermostat!$B$5,Thermostat!$B$6)</f>
        <v>75</v>
      </c>
      <c r="R399" s="860">
        <f>IF((R390=1),Thermostat!$B$5,Thermostat!$B$6)</f>
        <v>75</v>
      </c>
      <c r="S399" s="860">
        <f>IF((S390=1),Thermostat!$B$5,Thermostat!$B$6)</f>
        <v>75</v>
      </c>
      <c r="T399" s="860">
        <f>IF((T390=1),Thermostat!$B$5,Thermostat!$B$6)</f>
        <v>75</v>
      </c>
      <c r="U399" s="860">
        <f>IF((U390=1),Thermostat!$B$5,Thermostat!$B$6)</f>
        <v>75</v>
      </c>
      <c r="V399" s="860">
        <f>IF((V390=1),Thermostat!$B$5,Thermostat!$B$6)</f>
        <v>75</v>
      </c>
      <c r="W399" s="860">
        <f>IF((W390=1),Thermostat!$B$5,Thermostat!$B$6)</f>
        <v>75</v>
      </c>
      <c r="X399" s="860">
        <f>IF((X390=1),Thermostat!$B$5,Thermostat!$B$6)</f>
        <v>75</v>
      </c>
      <c r="Y399" s="860">
        <f>IF((Y390=1),Thermostat!$B$5,Thermostat!$B$6)</f>
        <v>85</v>
      </c>
      <c r="Z399" s="860">
        <f>IF((Z390=1),Thermostat!$B$5,Thermostat!$B$6)</f>
        <v>85</v>
      </c>
      <c r="AA399" s="860">
        <f>IF((AA390=1),Thermostat!$B$5,Thermostat!$B$6)</f>
        <v>85</v>
      </c>
      <c r="AB399" s="860">
        <f>IF((AB390=1),Thermostat!$B$5,Thermostat!$B$6)</f>
        <v>85</v>
      </c>
      <c r="AC399" s="381">
        <f>IF((AC390=1),Thermostat!$B$5,Thermostat!$B$6)</f>
        <v>85</v>
      </c>
      <c r="AD399" s="40"/>
      <c r="AE399" s="39"/>
      <c r="AF399" s="39"/>
      <c r="AG399" s="39"/>
      <c r="AH399" s="39"/>
      <c r="AI399" s="39"/>
      <c r="AJ399" s="39"/>
      <c r="AK399" s="39"/>
      <c r="AM399" s="47"/>
    </row>
    <row r="400" spans="1:39" ht="36" hidden="1" customHeight="1" thickBot="1" x14ac:dyDescent="0.35">
      <c r="A400" s="1182"/>
      <c r="B400" s="1086"/>
      <c r="C400" s="1086"/>
      <c r="D400" s="1137"/>
      <c r="E400" s="379" t="s">
        <v>477</v>
      </c>
      <c r="F400" s="859">
        <f>IF((F391=1),Thermostat!$B$5,Thermostat!$B$6)</f>
        <v>85</v>
      </c>
      <c r="G400" s="859">
        <f>IF((G391=1),Thermostat!$B$5,Thermostat!$B$6)</f>
        <v>85</v>
      </c>
      <c r="H400" s="859">
        <f>IF((H391=1),Thermostat!$B$5,Thermostat!$B$6)</f>
        <v>85</v>
      </c>
      <c r="I400" s="859">
        <f>IF((I391=1),Thermostat!$B$5,Thermostat!$B$6)</f>
        <v>85</v>
      </c>
      <c r="J400" s="859">
        <f>IF((J391=1),Thermostat!$B$5,Thermostat!$B$6)</f>
        <v>85</v>
      </c>
      <c r="K400" s="859">
        <f>IF((K391=1),Thermostat!$B$5,Thermostat!$B$6)</f>
        <v>85</v>
      </c>
      <c r="L400" s="859">
        <f>IF((L391=1),Thermostat!$B$5,Thermostat!$B$6)</f>
        <v>85</v>
      </c>
      <c r="M400" s="859">
        <f>IF((M391=1),Thermostat!$B$5,Thermostat!$B$6)</f>
        <v>85</v>
      </c>
      <c r="N400" s="859">
        <f>IF((N391=1),Thermostat!$B$5,Thermostat!$B$6)</f>
        <v>85</v>
      </c>
      <c r="O400" s="859">
        <f>IF((O391=1),Thermostat!$B$5,Thermostat!$B$6)</f>
        <v>85</v>
      </c>
      <c r="P400" s="859">
        <f>IF((P391=1),Thermostat!$B$5,Thermostat!$B$6)</f>
        <v>85</v>
      </c>
      <c r="Q400" s="859">
        <f>IF((Q391=1),Thermostat!$B$5,Thermostat!$B$6)</f>
        <v>85</v>
      </c>
      <c r="R400" s="859">
        <f>IF((R391=1),Thermostat!$B$5,Thermostat!$B$6)</f>
        <v>85</v>
      </c>
      <c r="S400" s="859">
        <f>IF((S391=1),Thermostat!$B$5,Thermostat!$B$6)</f>
        <v>85</v>
      </c>
      <c r="T400" s="859">
        <f>IF((T391=1),Thermostat!$B$5,Thermostat!$B$6)</f>
        <v>85</v>
      </c>
      <c r="U400" s="859">
        <f>IF((U391=1),Thermostat!$B$5,Thermostat!$B$6)</f>
        <v>85</v>
      </c>
      <c r="V400" s="859">
        <f>IF((V391=1),Thermostat!$B$5,Thermostat!$B$6)</f>
        <v>85</v>
      </c>
      <c r="W400" s="859">
        <f>IF((W391=1),Thermostat!$B$5,Thermostat!$B$6)</f>
        <v>85</v>
      </c>
      <c r="X400" s="859">
        <f>IF((X391=1),Thermostat!$B$5,Thermostat!$B$6)</f>
        <v>85</v>
      </c>
      <c r="Y400" s="859">
        <f>IF((Y391=1),Thermostat!$B$5,Thermostat!$B$6)</f>
        <v>85</v>
      </c>
      <c r="Z400" s="859">
        <f>IF((Z391=1),Thermostat!$B$5,Thermostat!$B$6)</f>
        <v>85</v>
      </c>
      <c r="AA400" s="859">
        <f>IF((AA391=1),Thermostat!$B$5,Thermostat!$B$6)</f>
        <v>85</v>
      </c>
      <c r="AB400" s="859">
        <f>IF((AB391=1),Thermostat!$B$5,Thermostat!$B$6)</f>
        <v>85</v>
      </c>
      <c r="AC400" s="382">
        <f>IF((AC391=1),Thermostat!$B$5,Thermostat!$B$6)</f>
        <v>85</v>
      </c>
      <c r="AD400" s="40"/>
      <c r="AE400" s="39"/>
      <c r="AF400" s="39"/>
      <c r="AG400" s="39"/>
      <c r="AH400" s="39"/>
      <c r="AI400" s="39"/>
      <c r="AJ400" s="39"/>
      <c r="AK400" s="39"/>
      <c r="AM400" s="47"/>
    </row>
    <row r="401" hidden="1" x14ac:dyDescent="0.3"/>
    <row r="402" hidden="1" x14ac:dyDescent="0.3"/>
  </sheetData>
  <mergeCells count="499">
    <mergeCell ref="A268:A270"/>
    <mergeCell ref="B268:B270"/>
    <mergeCell ref="C268:C270"/>
    <mergeCell ref="D268:D270"/>
    <mergeCell ref="A271:A273"/>
    <mergeCell ref="B271:B273"/>
    <mergeCell ref="C271:C273"/>
    <mergeCell ref="D271:D273"/>
    <mergeCell ref="A259:A261"/>
    <mergeCell ref="B259:B261"/>
    <mergeCell ref="C259:C261"/>
    <mergeCell ref="D259:D261"/>
    <mergeCell ref="A262:A264"/>
    <mergeCell ref="B262:B264"/>
    <mergeCell ref="C262:C264"/>
    <mergeCell ref="D262:D264"/>
    <mergeCell ref="A265:A267"/>
    <mergeCell ref="B265:B267"/>
    <mergeCell ref="C265:C267"/>
    <mergeCell ref="D265:D267"/>
    <mergeCell ref="C250:C252"/>
    <mergeCell ref="D250:D252"/>
    <mergeCell ref="A253:A255"/>
    <mergeCell ref="B253:B255"/>
    <mergeCell ref="C253:C255"/>
    <mergeCell ref="D253:D255"/>
    <mergeCell ref="A256:A258"/>
    <mergeCell ref="B256:B258"/>
    <mergeCell ref="C256:C258"/>
    <mergeCell ref="D256:D258"/>
    <mergeCell ref="A66:A68"/>
    <mergeCell ref="B66:B68"/>
    <mergeCell ref="C66:C68"/>
    <mergeCell ref="D66:D68"/>
    <mergeCell ref="A330:A332"/>
    <mergeCell ref="B330:B332"/>
    <mergeCell ref="C330:C332"/>
    <mergeCell ref="D330:D332"/>
    <mergeCell ref="A318:A320"/>
    <mergeCell ref="B318:B320"/>
    <mergeCell ref="C318:C320"/>
    <mergeCell ref="D318:D320"/>
    <mergeCell ref="A321:A323"/>
    <mergeCell ref="B321:B323"/>
    <mergeCell ref="C321:C323"/>
    <mergeCell ref="D321:D323"/>
    <mergeCell ref="D324:D326"/>
    <mergeCell ref="C324:C326"/>
    <mergeCell ref="B324:B326"/>
    <mergeCell ref="A324:A326"/>
    <mergeCell ref="A327:A329"/>
    <mergeCell ref="B327:B329"/>
    <mergeCell ref="C327:C329"/>
    <mergeCell ref="D327:D329"/>
    <mergeCell ref="A312:A314"/>
    <mergeCell ref="B312:B314"/>
    <mergeCell ref="C312:C314"/>
    <mergeCell ref="D312:D314"/>
    <mergeCell ref="A315:A317"/>
    <mergeCell ref="B315:B317"/>
    <mergeCell ref="C315:C317"/>
    <mergeCell ref="D315:D317"/>
    <mergeCell ref="D306:D308"/>
    <mergeCell ref="C306:C308"/>
    <mergeCell ref="B306:B308"/>
    <mergeCell ref="A306:A308"/>
    <mergeCell ref="A303:A305"/>
    <mergeCell ref="B303:B305"/>
    <mergeCell ref="C303:C305"/>
    <mergeCell ref="D303:D305"/>
    <mergeCell ref="A309:A311"/>
    <mergeCell ref="B309:B311"/>
    <mergeCell ref="C309:C311"/>
    <mergeCell ref="D309:D311"/>
    <mergeCell ref="A300:A302"/>
    <mergeCell ref="B300:B302"/>
    <mergeCell ref="C300:C302"/>
    <mergeCell ref="D300:D302"/>
    <mergeCell ref="D234:D236"/>
    <mergeCell ref="A237:A239"/>
    <mergeCell ref="B237:B239"/>
    <mergeCell ref="C237:C239"/>
    <mergeCell ref="D237:D239"/>
    <mergeCell ref="A297:A299"/>
    <mergeCell ref="B297:B299"/>
    <mergeCell ref="C297:C299"/>
    <mergeCell ref="D297:D299"/>
    <mergeCell ref="A291:A293"/>
    <mergeCell ref="B291:B293"/>
    <mergeCell ref="C291:C293"/>
    <mergeCell ref="D291:D293"/>
    <mergeCell ref="A294:A296"/>
    <mergeCell ref="B294:B296"/>
    <mergeCell ref="C294:C296"/>
    <mergeCell ref="D294:D296"/>
    <mergeCell ref="A246:AC246"/>
    <mergeCell ref="A247:A249"/>
    <mergeCell ref="B247:B249"/>
    <mergeCell ref="C247:C249"/>
    <mergeCell ref="D247:D249"/>
    <mergeCell ref="A250:A252"/>
    <mergeCell ref="B250:B252"/>
    <mergeCell ref="B197:B199"/>
    <mergeCell ref="C197:C199"/>
    <mergeCell ref="D197:D199"/>
    <mergeCell ref="C215:C217"/>
    <mergeCell ref="D215:D217"/>
    <mergeCell ref="A288:A290"/>
    <mergeCell ref="B288:B290"/>
    <mergeCell ref="C288:C290"/>
    <mergeCell ref="D288:D290"/>
    <mergeCell ref="A284:A286"/>
    <mergeCell ref="B284:B286"/>
    <mergeCell ref="C284:C286"/>
    <mergeCell ref="D284:D286"/>
    <mergeCell ref="A240:A242"/>
    <mergeCell ref="B240:B242"/>
    <mergeCell ref="C240:C242"/>
    <mergeCell ref="D240:D242"/>
    <mergeCell ref="A243:A245"/>
    <mergeCell ref="B243:B245"/>
    <mergeCell ref="C243:C245"/>
    <mergeCell ref="D243:D245"/>
    <mergeCell ref="A234:A236"/>
    <mergeCell ref="B234:B236"/>
    <mergeCell ref="C234:C236"/>
    <mergeCell ref="A231:A233"/>
    <mergeCell ref="B231:B233"/>
    <mergeCell ref="C231:C233"/>
    <mergeCell ref="D231:D233"/>
    <mergeCell ref="D225:D227"/>
    <mergeCell ref="C203:C205"/>
    <mergeCell ref="A212:A214"/>
    <mergeCell ref="B212:B214"/>
    <mergeCell ref="C212:C214"/>
    <mergeCell ref="C219:C221"/>
    <mergeCell ref="D219:D221"/>
    <mergeCell ref="D203:D205"/>
    <mergeCell ref="A206:A208"/>
    <mergeCell ref="B206:B208"/>
    <mergeCell ref="C206:C208"/>
    <mergeCell ref="D206:D208"/>
    <mergeCell ref="A209:A211"/>
    <mergeCell ref="B209:B211"/>
    <mergeCell ref="C209:C211"/>
    <mergeCell ref="D209:D211"/>
    <mergeCell ref="D212:D214"/>
    <mergeCell ref="A215:A217"/>
    <mergeCell ref="B215:B217"/>
    <mergeCell ref="A187:A189"/>
    <mergeCell ref="B187:B189"/>
    <mergeCell ref="C187:C189"/>
    <mergeCell ref="D187:D189"/>
    <mergeCell ref="A190:A192"/>
    <mergeCell ref="B190:B192"/>
    <mergeCell ref="C190:C192"/>
    <mergeCell ref="D190:D192"/>
    <mergeCell ref="A228:A230"/>
    <mergeCell ref="B228:B230"/>
    <mergeCell ref="C228:C230"/>
    <mergeCell ref="D228:D230"/>
    <mergeCell ref="A222:A224"/>
    <mergeCell ref="B222:B224"/>
    <mergeCell ref="C222:C224"/>
    <mergeCell ref="D222:D224"/>
    <mergeCell ref="A225:A227"/>
    <mergeCell ref="B225:B227"/>
    <mergeCell ref="C225:C227"/>
    <mergeCell ref="A200:A202"/>
    <mergeCell ref="B200:B202"/>
    <mergeCell ref="C200:C202"/>
    <mergeCell ref="D200:D202"/>
    <mergeCell ref="A203:A205"/>
    <mergeCell ref="A178:A180"/>
    <mergeCell ref="B178:B180"/>
    <mergeCell ref="C178:C180"/>
    <mergeCell ref="D178:D180"/>
    <mergeCell ref="A181:A183"/>
    <mergeCell ref="B181:B183"/>
    <mergeCell ref="C181:C183"/>
    <mergeCell ref="D181:D183"/>
    <mergeCell ref="A184:A186"/>
    <mergeCell ref="B184:B186"/>
    <mergeCell ref="C184:C186"/>
    <mergeCell ref="D184:D186"/>
    <mergeCell ref="A169:A171"/>
    <mergeCell ref="B169:B171"/>
    <mergeCell ref="C169:C171"/>
    <mergeCell ref="D169:D171"/>
    <mergeCell ref="A172:A174"/>
    <mergeCell ref="B172:B174"/>
    <mergeCell ref="C172:C174"/>
    <mergeCell ref="D172:D174"/>
    <mergeCell ref="A175:A177"/>
    <mergeCell ref="B175:B177"/>
    <mergeCell ref="C175:C177"/>
    <mergeCell ref="D175:D177"/>
    <mergeCell ref="A160:A162"/>
    <mergeCell ref="B160:B162"/>
    <mergeCell ref="C160:C162"/>
    <mergeCell ref="D160:D162"/>
    <mergeCell ref="A163:A165"/>
    <mergeCell ref="B163:B165"/>
    <mergeCell ref="C163:C165"/>
    <mergeCell ref="D163:D165"/>
    <mergeCell ref="A166:A168"/>
    <mergeCell ref="B166:B168"/>
    <mergeCell ref="C166:C168"/>
    <mergeCell ref="D166:D168"/>
    <mergeCell ref="A147:A149"/>
    <mergeCell ref="A153:A155"/>
    <mergeCell ref="A157:A159"/>
    <mergeCell ref="B157:B159"/>
    <mergeCell ref="C157:C159"/>
    <mergeCell ref="D157:D159"/>
    <mergeCell ref="A150:A152"/>
    <mergeCell ref="B150:B152"/>
    <mergeCell ref="C150:C152"/>
    <mergeCell ref="D150:D152"/>
    <mergeCell ref="B147:B149"/>
    <mergeCell ref="C147:C149"/>
    <mergeCell ref="A132:A134"/>
    <mergeCell ref="A135:A137"/>
    <mergeCell ref="A138:A140"/>
    <mergeCell ref="A141:A143"/>
    <mergeCell ref="A144:A146"/>
    <mergeCell ref="C132:C134"/>
    <mergeCell ref="B135:B137"/>
    <mergeCell ref="C135:C137"/>
    <mergeCell ref="B138:B140"/>
    <mergeCell ref="C138:C140"/>
    <mergeCell ref="B141:B143"/>
    <mergeCell ref="C141:C143"/>
    <mergeCell ref="B144:B146"/>
    <mergeCell ref="C144:C146"/>
    <mergeCell ref="A119:A121"/>
    <mergeCell ref="B119:B121"/>
    <mergeCell ref="A107:A109"/>
    <mergeCell ref="B107:B109"/>
    <mergeCell ref="C107:C109"/>
    <mergeCell ref="A110:A112"/>
    <mergeCell ref="B110:B112"/>
    <mergeCell ref="C110:C112"/>
    <mergeCell ref="A113:A115"/>
    <mergeCell ref="B113:B115"/>
    <mergeCell ref="C113:C115"/>
    <mergeCell ref="A1:AC1"/>
    <mergeCell ref="A88:A90"/>
    <mergeCell ref="A69:A71"/>
    <mergeCell ref="A72:A74"/>
    <mergeCell ref="A75:A77"/>
    <mergeCell ref="A78:A80"/>
    <mergeCell ref="B69:B71"/>
    <mergeCell ref="B72:B74"/>
    <mergeCell ref="B75:B77"/>
    <mergeCell ref="B78:B80"/>
    <mergeCell ref="A57:A59"/>
    <mergeCell ref="A60:A62"/>
    <mergeCell ref="A63:A65"/>
    <mergeCell ref="A82:A84"/>
    <mergeCell ref="A85:A87"/>
    <mergeCell ref="A81:AC81"/>
    <mergeCell ref="A53:A55"/>
    <mergeCell ref="B82:B84"/>
    <mergeCell ref="C50:C52"/>
    <mergeCell ref="D85:D87"/>
    <mergeCell ref="B47:B49"/>
    <mergeCell ref="B50:B52"/>
    <mergeCell ref="B53:B55"/>
    <mergeCell ref="B57:B59"/>
    <mergeCell ref="A398:A400"/>
    <mergeCell ref="A219:A221"/>
    <mergeCell ref="A131:AC131"/>
    <mergeCell ref="B153:B155"/>
    <mergeCell ref="C153:C155"/>
    <mergeCell ref="D153:D155"/>
    <mergeCell ref="A156:AC156"/>
    <mergeCell ref="B2:B3"/>
    <mergeCell ref="A47:A49"/>
    <mergeCell ref="A50:A52"/>
    <mergeCell ref="B398:B400"/>
    <mergeCell ref="B219:B221"/>
    <mergeCell ref="B29:B31"/>
    <mergeCell ref="B32:B34"/>
    <mergeCell ref="B35:B37"/>
    <mergeCell ref="A218:AC218"/>
    <mergeCell ref="B132:B134"/>
    <mergeCell ref="B380:B382"/>
    <mergeCell ref="B383:B385"/>
    <mergeCell ref="B386:B388"/>
    <mergeCell ref="B389:B391"/>
    <mergeCell ref="B392:B394"/>
    <mergeCell ref="B395:B397"/>
    <mergeCell ref="B91:B93"/>
    <mergeCell ref="A94:A96"/>
    <mergeCell ref="B85:B87"/>
    <mergeCell ref="A2:A3"/>
    <mergeCell ref="A380:A382"/>
    <mergeCell ref="A383:A385"/>
    <mergeCell ref="A386:A388"/>
    <mergeCell ref="A389:A391"/>
    <mergeCell ref="A392:A394"/>
    <mergeCell ref="A395:A397"/>
    <mergeCell ref="B94:B96"/>
    <mergeCell ref="A97:A99"/>
    <mergeCell ref="A100:A102"/>
    <mergeCell ref="A103:A105"/>
    <mergeCell ref="A106:AC106"/>
    <mergeCell ref="D125:D127"/>
    <mergeCell ref="D128:D130"/>
    <mergeCell ref="D107:D109"/>
    <mergeCell ref="D110:D112"/>
    <mergeCell ref="D113:D115"/>
    <mergeCell ref="C116:C118"/>
    <mergeCell ref="C119:C121"/>
    <mergeCell ref="D116:D118"/>
    <mergeCell ref="D119:D121"/>
    <mergeCell ref="A116:A118"/>
    <mergeCell ref="B60:B62"/>
    <mergeCell ref="B63:B65"/>
    <mergeCell ref="A56:AC56"/>
    <mergeCell ref="A91:A93"/>
    <mergeCell ref="B97:B99"/>
    <mergeCell ref="B100:B102"/>
    <mergeCell ref="B103:B105"/>
    <mergeCell ref="B88:B90"/>
    <mergeCell ref="D380:D382"/>
    <mergeCell ref="B116:B118"/>
    <mergeCell ref="B203:B205"/>
    <mergeCell ref="B122:B124"/>
    <mergeCell ref="C122:C124"/>
    <mergeCell ref="C365:C367"/>
    <mergeCell ref="A365:A367"/>
    <mergeCell ref="D368:D370"/>
    <mergeCell ref="A368:A370"/>
    <mergeCell ref="C363:C364"/>
    <mergeCell ref="D363:D364"/>
    <mergeCell ref="A363:A364"/>
    <mergeCell ref="C359:C361"/>
    <mergeCell ref="D359:D361"/>
    <mergeCell ref="A359:A361"/>
    <mergeCell ref="D350:D352"/>
    <mergeCell ref="C383:C385"/>
    <mergeCell ref="D383:D385"/>
    <mergeCell ref="C386:C388"/>
    <mergeCell ref="D386:D388"/>
    <mergeCell ref="D100:D102"/>
    <mergeCell ref="D103:D105"/>
    <mergeCell ref="D88:D90"/>
    <mergeCell ref="D91:D93"/>
    <mergeCell ref="D94:D96"/>
    <mergeCell ref="D97:D99"/>
    <mergeCell ref="D122:D124"/>
    <mergeCell ref="A193:AC193"/>
    <mergeCell ref="A194:A196"/>
    <mergeCell ref="B194:B196"/>
    <mergeCell ref="C194:C196"/>
    <mergeCell ref="D194:D196"/>
    <mergeCell ref="A197:A199"/>
    <mergeCell ref="A125:A127"/>
    <mergeCell ref="B125:B127"/>
    <mergeCell ref="C125:C127"/>
    <mergeCell ref="A128:A130"/>
    <mergeCell ref="B128:B130"/>
    <mergeCell ref="C128:C130"/>
    <mergeCell ref="A122:A124"/>
    <mergeCell ref="C392:C394"/>
    <mergeCell ref="D392:D394"/>
    <mergeCell ref="C69:C71"/>
    <mergeCell ref="C75:C77"/>
    <mergeCell ref="D75:D77"/>
    <mergeCell ref="C398:C400"/>
    <mergeCell ref="D398:D400"/>
    <mergeCell ref="C29:C31"/>
    <mergeCell ref="C32:C34"/>
    <mergeCell ref="C380:C382"/>
    <mergeCell ref="C78:C80"/>
    <mergeCell ref="C103:C105"/>
    <mergeCell ref="C82:C84"/>
    <mergeCell ref="C94:C96"/>
    <mergeCell ref="C97:C99"/>
    <mergeCell ref="C91:C93"/>
    <mergeCell ref="C85:C87"/>
    <mergeCell ref="C88:C90"/>
    <mergeCell ref="C100:C102"/>
    <mergeCell ref="C389:C391"/>
    <mergeCell ref="D389:D391"/>
    <mergeCell ref="C395:C397"/>
    <mergeCell ref="D395:D397"/>
    <mergeCell ref="D50:D52"/>
    <mergeCell ref="C2:C3"/>
    <mergeCell ref="D47:D49"/>
    <mergeCell ref="D32:D34"/>
    <mergeCell ref="F2:AC2"/>
    <mergeCell ref="E2:E3"/>
    <mergeCell ref="D2:D3"/>
    <mergeCell ref="D29:D31"/>
    <mergeCell ref="C47:C49"/>
    <mergeCell ref="D82:D84"/>
    <mergeCell ref="A28:AC28"/>
    <mergeCell ref="A29:A31"/>
    <mergeCell ref="A32:A34"/>
    <mergeCell ref="A35:A37"/>
    <mergeCell ref="A38:A40"/>
    <mergeCell ref="A41:A43"/>
    <mergeCell ref="A44:A46"/>
    <mergeCell ref="B38:B40"/>
    <mergeCell ref="B41:B43"/>
    <mergeCell ref="B44:B46"/>
    <mergeCell ref="C53:C55"/>
    <mergeCell ref="D53:D55"/>
    <mergeCell ref="D78:D80"/>
    <mergeCell ref="D35:D37"/>
    <mergeCell ref="C38:C40"/>
    <mergeCell ref="D38:D40"/>
    <mergeCell ref="C41:C43"/>
    <mergeCell ref="D41:D43"/>
    <mergeCell ref="D69:D71"/>
    <mergeCell ref="C57:C59"/>
    <mergeCell ref="D57:D59"/>
    <mergeCell ref="C35:C37"/>
    <mergeCell ref="D72:D74"/>
    <mergeCell ref="C60:C62"/>
    <mergeCell ref="D60:D62"/>
    <mergeCell ref="C44:C46"/>
    <mergeCell ref="D44:D46"/>
    <mergeCell ref="C63:C65"/>
    <mergeCell ref="C72:C74"/>
    <mergeCell ref="D63:D65"/>
    <mergeCell ref="C356:C358"/>
    <mergeCell ref="D356:D358"/>
    <mergeCell ref="F363:AC363"/>
    <mergeCell ref="F336:AC336"/>
    <mergeCell ref="E363:E364"/>
    <mergeCell ref="D353:D355"/>
    <mergeCell ref="A353:A355"/>
    <mergeCell ref="E336:E337"/>
    <mergeCell ref="C353:C355"/>
    <mergeCell ref="A350:A352"/>
    <mergeCell ref="A356:A358"/>
    <mergeCell ref="C338:C340"/>
    <mergeCell ref="D338:D340"/>
    <mergeCell ref="A338:A340"/>
    <mergeCell ref="D132:D134"/>
    <mergeCell ref="D135:D137"/>
    <mergeCell ref="D138:D140"/>
    <mergeCell ref="D141:D143"/>
    <mergeCell ref="D144:D146"/>
    <mergeCell ref="D147:D149"/>
    <mergeCell ref="C371:C373"/>
    <mergeCell ref="D371:D373"/>
    <mergeCell ref="A371:A373"/>
    <mergeCell ref="C336:C337"/>
    <mergeCell ref="D336:D337"/>
    <mergeCell ref="A336:A337"/>
    <mergeCell ref="C341:C343"/>
    <mergeCell ref="D341:D343"/>
    <mergeCell ref="A341:A343"/>
    <mergeCell ref="C344:C346"/>
    <mergeCell ref="D344:D346"/>
    <mergeCell ref="A344:A346"/>
    <mergeCell ref="C347:C349"/>
    <mergeCell ref="D347:D349"/>
    <mergeCell ref="A347:A349"/>
    <mergeCell ref="C350:C352"/>
    <mergeCell ref="D365:D367"/>
    <mergeCell ref="C368:C370"/>
    <mergeCell ref="A4:A6"/>
    <mergeCell ref="B4:B6"/>
    <mergeCell ref="C4:C6"/>
    <mergeCell ref="D4:D6"/>
    <mergeCell ref="A7:A9"/>
    <mergeCell ref="B7:B9"/>
    <mergeCell ref="C7:C9"/>
    <mergeCell ref="D7:D9"/>
    <mergeCell ref="A10:A12"/>
    <mergeCell ref="B10:B12"/>
    <mergeCell ref="C10:C12"/>
    <mergeCell ref="D10:D12"/>
    <mergeCell ref="A22:A24"/>
    <mergeCell ref="B22:B24"/>
    <mergeCell ref="C22:C24"/>
    <mergeCell ref="D22:D24"/>
    <mergeCell ref="A25:A27"/>
    <mergeCell ref="B25:B27"/>
    <mergeCell ref="C25:C27"/>
    <mergeCell ref="D25:D27"/>
    <mergeCell ref="A13:A15"/>
    <mergeCell ref="B13:B15"/>
    <mergeCell ref="C13:C15"/>
    <mergeCell ref="D13:D15"/>
    <mergeCell ref="A16:A18"/>
    <mergeCell ref="B16:B18"/>
    <mergeCell ref="C16:C18"/>
    <mergeCell ref="D16:D18"/>
    <mergeCell ref="A19:A21"/>
    <mergeCell ref="B19:B21"/>
    <mergeCell ref="C19:C21"/>
    <mergeCell ref="D19:D2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D48C-EFB6-440B-BE4F-FD4465FADBA0}">
  <sheetPr codeName="Sheet20"/>
  <dimension ref="A1:X40"/>
  <sheetViews>
    <sheetView zoomScale="80" zoomScaleNormal="80" workbookViewId="0">
      <selection sqref="A1:M1"/>
    </sheetView>
  </sheetViews>
  <sheetFormatPr defaultColWidth="8.6640625" defaultRowHeight="13.2" x14ac:dyDescent="0.25"/>
  <cols>
    <col min="1" max="1" width="14.33203125" style="9" customWidth="1"/>
    <col min="2" max="2" width="9.6640625" style="9" customWidth="1"/>
    <col min="3" max="3" width="19.6640625" style="9" customWidth="1"/>
    <col min="4" max="4" width="15.33203125" style="9" customWidth="1"/>
    <col min="5" max="5" width="18.5546875" style="9" customWidth="1"/>
    <col min="6" max="6" width="19.33203125" style="9" customWidth="1"/>
    <col min="7" max="7" width="16.33203125" style="9" customWidth="1"/>
    <col min="8" max="8" width="17.109375" style="9" customWidth="1"/>
    <col min="9" max="9" width="11.33203125" style="9" customWidth="1"/>
    <col min="10" max="11" width="24.109375" style="9" customWidth="1"/>
    <col min="12" max="12" width="24.109375" style="9" hidden="1" customWidth="1"/>
    <col min="13" max="13" width="17.33203125" style="9" bestFit="1" customWidth="1"/>
    <col min="14" max="14" width="9.6640625" style="9" customWidth="1"/>
    <col min="15" max="15" width="17.6640625" style="9" customWidth="1"/>
    <col min="16" max="16" width="12.6640625" style="9" customWidth="1"/>
    <col min="17" max="17" width="14.44140625" style="9" customWidth="1"/>
    <col min="18" max="18" width="15.44140625" style="9" customWidth="1"/>
    <col min="19" max="19" width="19.33203125" style="9" customWidth="1"/>
    <col min="20" max="21" width="18.33203125" style="9" customWidth="1"/>
    <col min="22" max="22" width="23.6640625" style="9" customWidth="1"/>
    <col min="23" max="25" width="13.6640625" style="9" customWidth="1"/>
    <col min="26" max="26" width="10.6640625" style="9" customWidth="1"/>
    <col min="27" max="28" width="8.6640625" style="9"/>
    <col min="29" max="29" width="13.6640625" style="9" customWidth="1"/>
    <col min="30" max="32" width="8.6640625" style="9"/>
    <col min="33" max="33" width="12.44140625" style="9" customWidth="1"/>
    <col min="34" max="16384" width="8.6640625" style="9"/>
  </cols>
  <sheetData>
    <row r="1" spans="1:24" ht="24.75" customHeight="1" x14ac:dyDescent="0.25">
      <c r="A1" s="1258" t="s">
        <v>840</v>
      </c>
      <c r="B1" s="1258"/>
      <c r="C1" s="1258"/>
      <c r="D1" s="1258"/>
      <c r="E1" s="1258"/>
      <c r="F1" s="1258"/>
      <c r="G1" s="1258"/>
      <c r="H1" s="1258"/>
      <c r="I1" s="1258"/>
      <c r="J1" s="1258"/>
      <c r="K1" s="1258"/>
      <c r="L1" s="1258"/>
      <c r="M1" s="1258"/>
      <c r="O1" s="890" t="s">
        <v>841</v>
      </c>
      <c r="P1" s="890"/>
      <c r="Q1" s="890"/>
      <c r="R1" s="890"/>
      <c r="S1" s="890"/>
      <c r="T1" s="890"/>
      <c r="U1" s="890"/>
      <c r="V1" s="890"/>
      <c r="W1" s="890"/>
      <c r="X1" s="560"/>
    </row>
    <row r="2" spans="1:24" ht="44.4" customHeight="1" x14ac:dyDescent="0.25">
      <c r="A2" s="869" t="s">
        <v>10</v>
      </c>
      <c r="B2" s="869" t="s">
        <v>842</v>
      </c>
      <c r="C2" s="869" t="s">
        <v>843</v>
      </c>
      <c r="D2" s="869" t="s">
        <v>844</v>
      </c>
      <c r="E2" s="869" t="s">
        <v>845</v>
      </c>
      <c r="F2" s="869" t="s">
        <v>846</v>
      </c>
      <c r="G2" s="869" t="s">
        <v>847</v>
      </c>
      <c r="H2" s="869" t="s">
        <v>848</v>
      </c>
      <c r="I2" s="558" t="s">
        <v>849</v>
      </c>
      <c r="J2" s="558" t="s">
        <v>850</v>
      </c>
      <c r="K2" s="558" t="s">
        <v>851</v>
      </c>
      <c r="L2" s="558" t="s">
        <v>852</v>
      </c>
      <c r="M2" s="558" t="s">
        <v>852</v>
      </c>
      <c r="N2" s="301"/>
      <c r="O2" s="874" t="s">
        <v>10</v>
      </c>
      <c r="P2" s="869" t="s">
        <v>842</v>
      </c>
      <c r="Q2" s="869" t="s">
        <v>853</v>
      </c>
      <c r="R2" s="869" t="s">
        <v>854</v>
      </c>
      <c r="S2" s="869" t="s">
        <v>855</v>
      </c>
      <c r="T2" s="559" t="s">
        <v>856</v>
      </c>
      <c r="U2" s="559" t="s">
        <v>850</v>
      </c>
      <c r="V2" s="559" t="s">
        <v>851</v>
      </c>
      <c r="W2" s="559" t="s">
        <v>857</v>
      </c>
      <c r="X2" s="109"/>
    </row>
    <row r="3" spans="1:24" ht="16.2" customHeight="1" x14ac:dyDescent="0.25">
      <c r="A3" s="1257" t="s">
        <v>858</v>
      </c>
      <c r="B3" s="870">
        <v>1</v>
      </c>
      <c r="C3" s="808"/>
      <c r="D3" s="808"/>
      <c r="E3" s="808"/>
      <c r="F3" s="870"/>
      <c r="G3" s="870"/>
      <c r="H3" s="870"/>
      <c r="I3" s="870">
        <v>88.8</v>
      </c>
      <c r="J3" s="808">
        <f>(I3*1.25)</f>
        <v>111</v>
      </c>
      <c r="K3" s="808">
        <f>(I3*0.75)</f>
        <v>66.599999999999994</v>
      </c>
      <c r="L3" s="808">
        <f>J3-K3</f>
        <v>44.400000000000006</v>
      </c>
      <c r="M3" s="808">
        <f>J3-K3</f>
        <v>44.400000000000006</v>
      </c>
      <c r="N3" s="109"/>
      <c r="O3" s="1259" t="s">
        <v>859</v>
      </c>
      <c r="P3" s="561">
        <v>1</v>
      </c>
      <c r="Q3" s="809">
        <v>9588</v>
      </c>
      <c r="R3" s="870">
        <v>10.1</v>
      </c>
      <c r="S3" s="870">
        <v>6.4</v>
      </c>
      <c r="T3" s="870">
        <v>56.2</v>
      </c>
      <c r="U3" s="870">
        <v>70.3</v>
      </c>
      <c r="V3" s="870">
        <v>42.2</v>
      </c>
      <c r="W3" s="810">
        <v>28.1</v>
      </c>
      <c r="X3" s="619"/>
    </row>
    <row r="4" spans="1:24" ht="19.2" customHeight="1" x14ac:dyDescent="0.25">
      <c r="A4" s="1257"/>
      <c r="B4" s="870">
        <v>2</v>
      </c>
      <c r="C4" s="808"/>
      <c r="D4" s="808"/>
      <c r="E4" s="808"/>
      <c r="F4" s="870"/>
      <c r="G4" s="870"/>
      <c r="H4" s="870"/>
      <c r="I4" s="870">
        <v>84.2</v>
      </c>
      <c r="J4" s="808">
        <f t="shared" ref="J4:J18" si="0">(I4*1.25)</f>
        <v>105.25</v>
      </c>
      <c r="K4" s="808">
        <f t="shared" ref="K4:K18" si="1">(I4*0.75)</f>
        <v>63.150000000000006</v>
      </c>
      <c r="L4" s="808">
        <f t="shared" ref="L4:L18" si="2">J4-K4</f>
        <v>42.099999999999994</v>
      </c>
      <c r="M4" s="808">
        <f t="shared" ref="M4:M18" si="3">J4-K4</f>
        <v>42.099999999999994</v>
      </c>
      <c r="O4" s="1260"/>
      <c r="P4" s="561">
        <v>2</v>
      </c>
      <c r="Q4" s="809">
        <v>42372</v>
      </c>
      <c r="R4" s="870">
        <v>9.1</v>
      </c>
      <c r="S4" s="870">
        <v>5.4</v>
      </c>
      <c r="T4" s="870">
        <v>49.6</v>
      </c>
      <c r="U4" s="870">
        <v>62</v>
      </c>
      <c r="V4" s="870">
        <v>37.200000000000003</v>
      </c>
      <c r="W4" s="810">
        <v>24.8</v>
      </c>
      <c r="X4" s="619"/>
    </row>
    <row r="5" spans="1:24" ht="19.2" customHeight="1" x14ac:dyDescent="0.25">
      <c r="A5" s="1257"/>
      <c r="B5" s="870">
        <v>3</v>
      </c>
      <c r="C5" s="808"/>
      <c r="D5" s="808"/>
      <c r="E5" s="808"/>
      <c r="F5" s="870"/>
      <c r="G5" s="870"/>
      <c r="H5" s="870"/>
      <c r="I5" s="870">
        <v>82.2</v>
      </c>
      <c r="J5" s="808">
        <f t="shared" si="0"/>
        <v>102.75</v>
      </c>
      <c r="K5" s="808">
        <f t="shared" si="1"/>
        <v>61.650000000000006</v>
      </c>
      <c r="L5" s="808">
        <f t="shared" si="2"/>
        <v>41.099999999999994</v>
      </c>
      <c r="M5" s="808">
        <f t="shared" si="3"/>
        <v>41.099999999999994</v>
      </c>
      <c r="O5" s="1260"/>
      <c r="P5" s="561">
        <v>3</v>
      </c>
      <c r="Q5" s="809">
        <v>61013</v>
      </c>
      <c r="R5" s="870">
        <v>8.1</v>
      </c>
      <c r="S5" s="870">
        <v>8.4</v>
      </c>
      <c r="T5" s="870">
        <v>56</v>
      </c>
      <c r="U5" s="870">
        <v>70</v>
      </c>
      <c r="V5" s="870">
        <v>42</v>
      </c>
      <c r="W5" s="810">
        <v>28</v>
      </c>
      <c r="X5" s="619"/>
    </row>
    <row r="6" spans="1:24" ht="19.2" customHeight="1" x14ac:dyDescent="0.25">
      <c r="A6" s="1257"/>
      <c r="B6" s="870">
        <v>4</v>
      </c>
      <c r="C6" s="808"/>
      <c r="D6" s="808"/>
      <c r="E6" s="808"/>
      <c r="F6" s="870"/>
      <c r="G6" s="870"/>
      <c r="H6" s="870"/>
      <c r="I6" s="870">
        <v>86.2</v>
      </c>
      <c r="J6" s="808">
        <f t="shared" si="0"/>
        <v>107.75</v>
      </c>
      <c r="K6" s="808">
        <f t="shared" si="1"/>
        <v>64.650000000000006</v>
      </c>
      <c r="L6" s="808">
        <f t="shared" si="2"/>
        <v>43.099999999999994</v>
      </c>
      <c r="M6" s="808">
        <f t="shared" si="3"/>
        <v>43.099999999999994</v>
      </c>
      <c r="O6" s="1260"/>
      <c r="P6" s="561">
        <v>4</v>
      </c>
      <c r="Q6" s="809">
        <v>28798</v>
      </c>
      <c r="R6" s="870">
        <v>7.9</v>
      </c>
      <c r="S6" s="870">
        <v>7.8</v>
      </c>
      <c r="T6" s="870">
        <v>53.8</v>
      </c>
      <c r="U6" s="870">
        <v>67.3</v>
      </c>
      <c r="V6" s="870">
        <v>40.4</v>
      </c>
      <c r="W6" s="810">
        <v>26.9</v>
      </c>
      <c r="X6" s="619"/>
    </row>
    <row r="7" spans="1:24" ht="19.2" customHeight="1" x14ac:dyDescent="0.25">
      <c r="A7" s="1257"/>
      <c r="B7" s="870">
        <v>5</v>
      </c>
      <c r="C7" s="808"/>
      <c r="D7" s="808"/>
      <c r="E7" s="808"/>
      <c r="F7" s="870"/>
      <c r="G7" s="870"/>
      <c r="H7" s="870"/>
      <c r="I7" s="870">
        <v>81.3</v>
      </c>
      <c r="J7" s="808">
        <f t="shared" si="0"/>
        <v>101.625</v>
      </c>
      <c r="K7" s="808">
        <f t="shared" si="1"/>
        <v>60.974999999999994</v>
      </c>
      <c r="L7" s="808">
        <f t="shared" si="2"/>
        <v>40.650000000000006</v>
      </c>
      <c r="M7" s="808">
        <f t="shared" si="3"/>
        <v>40.650000000000006</v>
      </c>
      <c r="O7" s="1260"/>
      <c r="P7" s="561">
        <v>5</v>
      </c>
      <c r="Q7" s="809">
        <v>9409</v>
      </c>
      <c r="R7" s="870">
        <v>7.9</v>
      </c>
      <c r="S7" s="870">
        <v>11.9</v>
      </c>
      <c r="T7" s="870">
        <v>67.599999999999994</v>
      </c>
      <c r="U7" s="870">
        <v>84.4</v>
      </c>
      <c r="V7" s="870">
        <v>50.7</v>
      </c>
      <c r="W7" s="810">
        <v>33.799999999999997</v>
      </c>
      <c r="X7" s="619"/>
    </row>
    <row r="8" spans="1:24" ht="19.2" customHeight="1" x14ac:dyDescent="0.25">
      <c r="A8" s="1257"/>
      <c r="B8" s="870">
        <v>6</v>
      </c>
      <c r="C8" s="808"/>
      <c r="D8" s="808"/>
      <c r="E8" s="808"/>
      <c r="F8" s="870"/>
      <c r="G8" s="870"/>
      <c r="H8" s="870"/>
      <c r="I8" s="870">
        <v>80.599999999999994</v>
      </c>
      <c r="J8" s="808">
        <f t="shared" si="0"/>
        <v>100.75</v>
      </c>
      <c r="K8" s="808">
        <f t="shared" si="1"/>
        <v>60.449999999999996</v>
      </c>
      <c r="L8" s="808">
        <f t="shared" si="2"/>
        <v>40.300000000000004</v>
      </c>
      <c r="M8" s="808">
        <f t="shared" si="3"/>
        <v>40.300000000000004</v>
      </c>
      <c r="O8" s="1260"/>
      <c r="P8" s="561">
        <v>6</v>
      </c>
      <c r="Q8" s="809">
        <v>34023</v>
      </c>
      <c r="R8" s="870">
        <v>9</v>
      </c>
      <c r="S8" s="870">
        <v>10.6</v>
      </c>
      <c r="T8" s="870">
        <v>67</v>
      </c>
      <c r="U8" s="870">
        <v>83.7</v>
      </c>
      <c r="V8" s="870">
        <v>50.2</v>
      </c>
      <c r="W8" s="810">
        <v>33.5</v>
      </c>
      <c r="X8" s="619"/>
    </row>
    <row r="9" spans="1:24" ht="19.2" customHeight="1" x14ac:dyDescent="0.25">
      <c r="A9" s="1257"/>
      <c r="B9" s="870">
        <v>7</v>
      </c>
      <c r="C9" s="808"/>
      <c r="D9" s="808"/>
      <c r="E9" s="808"/>
      <c r="F9" s="870"/>
      <c r="G9" s="870"/>
      <c r="H9" s="870"/>
      <c r="I9" s="870">
        <v>80.8</v>
      </c>
      <c r="J9" s="808">
        <f t="shared" si="0"/>
        <v>101</v>
      </c>
      <c r="K9" s="808">
        <f t="shared" si="1"/>
        <v>60.599999999999994</v>
      </c>
      <c r="L9" s="808">
        <f t="shared" si="2"/>
        <v>40.400000000000006</v>
      </c>
      <c r="M9" s="808">
        <f t="shared" si="3"/>
        <v>40.400000000000006</v>
      </c>
      <c r="O9" s="1260"/>
      <c r="P9" s="561">
        <v>7</v>
      </c>
      <c r="Q9" s="809">
        <v>37336</v>
      </c>
      <c r="R9" s="870">
        <v>11.7</v>
      </c>
      <c r="S9" s="870">
        <v>9</v>
      </c>
      <c r="T9" s="870">
        <v>70.5</v>
      </c>
      <c r="U9" s="870">
        <v>88.2</v>
      </c>
      <c r="V9" s="870">
        <v>52.9</v>
      </c>
      <c r="W9" s="810">
        <v>35.299999999999997</v>
      </c>
      <c r="X9" s="619"/>
    </row>
    <row r="10" spans="1:24" ht="19.2" customHeight="1" x14ac:dyDescent="0.25">
      <c r="A10" s="1257"/>
      <c r="B10" s="870">
        <v>8</v>
      </c>
      <c r="C10" s="808"/>
      <c r="D10" s="808"/>
      <c r="E10" s="808"/>
      <c r="F10" s="870"/>
      <c r="G10" s="870"/>
      <c r="H10" s="870"/>
      <c r="I10" s="870">
        <v>83.4</v>
      </c>
      <c r="J10" s="808">
        <f t="shared" si="0"/>
        <v>104.25</v>
      </c>
      <c r="K10" s="808">
        <f t="shared" si="1"/>
        <v>62.550000000000004</v>
      </c>
      <c r="L10" s="808">
        <f t="shared" si="2"/>
        <v>41.699999999999996</v>
      </c>
      <c r="M10" s="808">
        <f t="shared" si="3"/>
        <v>41.699999999999996</v>
      </c>
      <c r="O10" s="1260"/>
      <c r="P10" s="561">
        <v>8</v>
      </c>
      <c r="Q10" s="809">
        <v>50599</v>
      </c>
      <c r="R10" s="870">
        <v>8.9</v>
      </c>
      <c r="S10" s="870">
        <v>10.4</v>
      </c>
      <c r="T10" s="870">
        <v>65.8</v>
      </c>
      <c r="U10" s="870">
        <v>82.3</v>
      </c>
      <c r="V10" s="870">
        <v>49.4</v>
      </c>
      <c r="W10" s="810">
        <v>32.9</v>
      </c>
      <c r="X10" s="619"/>
    </row>
    <row r="11" spans="1:24" ht="19.2" customHeight="1" x14ac:dyDescent="0.25">
      <c r="A11" s="1257"/>
      <c r="B11" s="870">
        <v>9</v>
      </c>
      <c r="C11" s="808"/>
      <c r="D11" s="808"/>
      <c r="E11" s="808"/>
      <c r="F11" s="870"/>
      <c r="G11" s="870"/>
      <c r="H11" s="870"/>
      <c r="I11" s="870">
        <v>83.8</v>
      </c>
      <c r="J11" s="808">
        <f t="shared" si="0"/>
        <v>104.75</v>
      </c>
      <c r="K11" s="808">
        <f t="shared" si="1"/>
        <v>62.849999999999994</v>
      </c>
      <c r="L11" s="808">
        <f t="shared" si="2"/>
        <v>41.900000000000006</v>
      </c>
      <c r="M11" s="808">
        <f t="shared" si="3"/>
        <v>41.900000000000006</v>
      </c>
      <c r="O11" s="1260"/>
      <c r="P11" s="561">
        <v>9</v>
      </c>
      <c r="Q11" s="809">
        <v>56761</v>
      </c>
      <c r="R11" s="870">
        <v>8.9</v>
      </c>
      <c r="S11" s="870">
        <v>10</v>
      </c>
      <c r="T11" s="870">
        <v>64.599999999999994</v>
      </c>
      <c r="U11" s="870">
        <v>80.7</v>
      </c>
      <c r="V11" s="870">
        <v>48.4</v>
      </c>
      <c r="W11" s="810">
        <v>32.299999999999997</v>
      </c>
      <c r="X11" s="619"/>
    </row>
    <row r="12" spans="1:24" ht="19.2" customHeight="1" x14ac:dyDescent="0.25">
      <c r="A12" s="1257"/>
      <c r="B12" s="870">
        <v>10</v>
      </c>
      <c r="C12" s="808"/>
      <c r="D12" s="808"/>
      <c r="E12" s="808"/>
      <c r="F12" s="870"/>
      <c r="G12" s="870"/>
      <c r="H12" s="870"/>
      <c r="I12" s="870">
        <v>85.5</v>
      </c>
      <c r="J12" s="808">
        <f t="shared" si="0"/>
        <v>106.875</v>
      </c>
      <c r="K12" s="808">
        <f t="shared" si="1"/>
        <v>64.125</v>
      </c>
      <c r="L12" s="808">
        <f t="shared" si="2"/>
        <v>42.75</v>
      </c>
      <c r="M12" s="808">
        <f t="shared" si="3"/>
        <v>42.75</v>
      </c>
      <c r="O12" s="1260"/>
      <c r="P12" s="561">
        <v>10</v>
      </c>
      <c r="Q12" s="809">
        <v>48383</v>
      </c>
      <c r="R12" s="870">
        <v>10.6</v>
      </c>
      <c r="S12" s="870">
        <v>13.1</v>
      </c>
      <c r="T12" s="870">
        <v>80.7</v>
      </c>
      <c r="U12" s="870">
        <v>100.9</v>
      </c>
      <c r="V12" s="870">
        <v>60.5</v>
      </c>
      <c r="W12" s="810">
        <v>40.4</v>
      </c>
      <c r="X12" s="619"/>
    </row>
    <row r="13" spans="1:24" ht="19.2" customHeight="1" x14ac:dyDescent="0.25">
      <c r="A13" s="1257"/>
      <c r="B13" s="870">
        <v>11</v>
      </c>
      <c r="C13" s="808"/>
      <c r="D13" s="808"/>
      <c r="E13" s="808"/>
      <c r="F13" s="870"/>
      <c r="G13" s="870"/>
      <c r="H13" s="870"/>
      <c r="I13" s="870">
        <v>89.7</v>
      </c>
      <c r="J13" s="808">
        <f t="shared" si="0"/>
        <v>112.125</v>
      </c>
      <c r="K13" s="808">
        <f t="shared" si="1"/>
        <v>67.275000000000006</v>
      </c>
      <c r="L13" s="808">
        <f t="shared" si="2"/>
        <v>44.849999999999994</v>
      </c>
      <c r="M13" s="808">
        <f t="shared" si="3"/>
        <v>44.849999999999994</v>
      </c>
      <c r="O13" s="1260"/>
      <c r="P13" s="561">
        <v>11</v>
      </c>
      <c r="Q13" s="809">
        <v>13807</v>
      </c>
      <c r="R13" s="870">
        <v>13.4</v>
      </c>
      <c r="S13" s="870">
        <v>12.1</v>
      </c>
      <c r="T13" s="870">
        <v>86.9</v>
      </c>
      <c r="U13" s="870">
        <v>108.7</v>
      </c>
      <c r="V13" s="870">
        <v>65.2</v>
      </c>
      <c r="W13" s="810">
        <v>43.5</v>
      </c>
      <c r="X13" s="619"/>
    </row>
    <row r="14" spans="1:24" ht="19.2" customHeight="1" x14ac:dyDescent="0.25">
      <c r="A14" s="1257"/>
      <c r="B14" s="870">
        <v>12</v>
      </c>
      <c r="C14" s="808"/>
      <c r="D14" s="808"/>
      <c r="E14" s="808"/>
      <c r="F14" s="870"/>
      <c r="G14" s="870"/>
      <c r="H14" s="870"/>
      <c r="I14" s="870">
        <v>86.9</v>
      </c>
      <c r="J14" s="808">
        <f t="shared" si="0"/>
        <v>108.625</v>
      </c>
      <c r="K14" s="808">
        <f t="shared" si="1"/>
        <v>65.175000000000011</v>
      </c>
      <c r="L14" s="808">
        <f t="shared" si="2"/>
        <v>43.449999999999989</v>
      </c>
      <c r="M14" s="808">
        <f t="shared" si="3"/>
        <v>43.449999999999989</v>
      </c>
      <c r="O14" s="1260"/>
      <c r="P14" s="561">
        <v>12</v>
      </c>
      <c r="Q14" s="809">
        <v>54244</v>
      </c>
      <c r="R14" s="870">
        <v>11.8</v>
      </c>
      <c r="S14" s="870">
        <v>11.5</v>
      </c>
      <c r="T14" s="870">
        <v>79.5</v>
      </c>
      <c r="U14" s="870">
        <v>99.3</v>
      </c>
      <c r="V14" s="870">
        <v>59.6</v>
      </c>
      <c r="W14" s="810">
        <v>39.700000000000003</v>
      </c>
      <c r="X14" s="619"/>
    </row>
    <row r="15" spans="1:24" ht="19.2" customHeight="1" x14ac:dyDescent="0.25">
      <c r="A15" s="1257"/>
      <c r="B15" s="870">
        <v>13</v>
      </c>
      <c r="C15" s="808"/>
      <c r="D15" s="808"/>
      <c r="E15" s="808"/>
      <c r="F15" s="870"/>
      <c r="G15" s="870"/>
      <c r="H15" s="870"/>
      <c r="I15" s="870">
        <v>90.1</v>
      </c>
      <c r="J15" s="808">
        <f t="shared" si="0"/>
        <v>112.625</v>
      </c>
      <c r="K15" s="808">
        <f t="shared" si="1"/>
        <v>67.574999999999989</v>
      </c>
      <c r="L15" s="808">
        <f t="shared" si="2"/>
        <v>45.050000000000011</v>
      </c>
      <c r="M15" s="808">
        <f t="shared" si="3"/>
        <v>45.050000000000011</v>
      </c>
      <c r="O15" s="1260"/>
      <c r="P15" s="561">
        <v>13</v>
      </c>
      <c r="Q15" s="809">
        <v>16296</v>
      </c>
      <c r="R15" s="870">
        <v>11.8</v>
      </c>
      <c r="S15" s="870">
        <v>9</v>
      </c>
      <c r="T15" s="870">
        <v>71</v>
      </c>
      <c r="U15" s="870">
        <v>88.8</v>
      </c>
      <c r="V15" s="870">
        <v>53.3</v>
      </c>
      <c r="W15" s="810">
        <v>35.5</v>
      </c>
      <c r="X15" s="619"/>
    </row>
    <row r="16" spans="1:24" ht="19.2" customHeight="1" x14ac:dyDescent="0.25">
      <c r="A16" s="1257"/>
      <c r="B16" s="870">
        <v>14</v>
      </c>
      <c r="C16" s="808"/>
      <c r="D16" s="808"/>
      <c r="E16" s="808"/>
      <c r="F16" s="870"/>
      <c r="G16" s="870"/>
      <c r="H16" s="870"/>
      <c r="I16" s="870">
        <v>90.5</v>
      </c>
      <c r="J16" s="808">
        <f t="shared" si="0"/>
        <v>113.125</v>
      </c>
      <c r="K16" s="808">
        <f t="shared" si="1"/>
        <v>67.875</v>
      </c>
      <c r="L16" s="808">
        <f t="shared" si="2"/>
        <v>45.25</v>
      </c>
      <c r="M16" s="808">
        <f t="shared" si="3"/>
        <v>45.25</v>
      </c>
      <c r="O16" s="1260"/>
      <c r="P16" s="561">
        <v>14</v>
      </c>
      <c r="Q16" s="809">
        <v>9753</v>
      </c>
      <c r="R16" s="870">
        <v>10.4</v>
      </c>
      <c r="S16" s="870">
        <v>13</v>
      </c>
      <c r="T16" s="870">
        <v>79.8</v>
      </c>
      <c r="U16" s="870">
        <v>99.7</v>
      </c>
      <c r="V16" s="870">
        <v>59.8</v>
      </c>
      <c r="W16" s="810">
        <v>39.9</v>
      </c>
      <c r="X16" s="619"/>
    </row>
    <row r="17" spans="1:24" ht="19.2" customHeight="1" x14ac:dyDescent="0.25">
      <c r="A17" s="1257"/>
      <c r="B17" s="870">
        <v>15</v>
      </c>
      <c r="C17" s="808"/>
      <c r="D17" s="808"/>
      <c r="E17" s="808"/>
      <c r="F17" s="870"/>
      <c r="G17" s="870"/>
      <c r="H17" s="870"/>
      <c r="I17" s="870">
        <v>95.3</v>
      </c>
      <c r="J17" s="808">
        <f t="shared" si="0"/>
        <v>119.125</v>
      </c>
      <c r="K17" s="808">
        <f t="shared" si="1"/>
        <v>71.474999999999994</v>
      </c>
      <c r="L17" s="808">
        <f t="shared" si="2"/>
        <v>47.650000000000006</v>
      </c>
      <c r="M17" s="808">
        <f t="shared" si="3"/>
        <v>47.650000000000006</v>
      </c>
      <c r="O17" s="1260"/>
      <c r="P17" s="561">
        <v>15</v>
      </c>
      <c r="Q17" s="809">
        <v>24241</v>
      </c>
      <c r="R17" s="870">
        <v>8.5</v>
      </c>
      <c r="S17" s="870">
        <v>14.2</v>
      </c>
      <c r="T17" s="870">
        <v>77.5</v>
      </c>
      <c r="U17" s="870">
        <v>96.9</v>
      </c>
      <c r="V17" s="870">
        <v>58.1</v>
      </c>
      <c r="W17" s="810">
        <v>38.799999999999997</v>
      </c>
      <c r="X17" s="619"/>
    </row>
    <row r="18" spans="1:24" ht="19.2" customHeight="1" x14ac:dyDescent="0.25">
      <c r="A18" s="1257"/>
      <c r="B18" s="870">
        <v>16</v>
      </c>
      <c r="C18" s="808"/>
      <c r="D18" s="808"/>
      <c r="E18" s="808"/>
      <c r="F18" s="870"/>
      <c r="G18" s="870"/>
      <c r="H18" s="870"/>
      <c r="I18" s="870">
        <v>91.5</v>
      </c>
      <c r="J18" s="808">
        <f t="shared" si="0"/>
        <v>114.375</v>
      </c>
      <c r="K18" s="808">
        <f t="shared" si="1"/>
        <v>68.625</v>
      </c>
      <c r="L18" s="808">
        <f t="shared" si="2"/>
        <v>45.75</v>
      </c>
      <c r="M18" s="808">
        <f t="shared" si="3"/>
        <v>45.75</v>
      </c>
      <c r="N18" s="11"/>
      <c r="O18" s="1261"/>
      <c r="P18" s="561">
        <v>16</v>
      </c>
      <c r="Q18" s="809">
        <v>33483</v>
      </c>
      <c r="R18" s="870">
        <v>12.3</v>
      </c>
      <c r="S18" s="870">
        <v>13.6</v>
      </c>
      <c r="T18" s="870">
        <v>88.4</v>
      </c>
      <c r="U18" s="870">
        <v>110.5</v>
      </c>
      <c r="V18" s="870">
        <v>66.3</v>
      </c>
      <c r="W18" s="810">
        <v>44.2</v>
      </c>
      <c r="X18" s="619"/>
    </row>
    <row r="19" spans="1:24" ht="19.2" customHeight="1" x14ac:dyDescent="0.25">
      <c r="A19" s="12"/>
      <c r="B19" s="56"/>
      <c r="J19" s="557"/>
      <c r="K19" s="557"/>
    </row>
    <row r="21" spans="1:24" x14ac:dyDescent="0.25">
      <c r="Q21" s="9" t="s">
        <v>860</v>
      </c>
    </row>
    <row r="22" spans="1:24" x14ac:dyDescent="0.25">
      <c r="Q22" s="9" t="s">
        <v>861</v>
      </c>
    </row>
    <row r="23" spans="1:24" x14ac:dyDescent="0.25">
      <c r="Q23" s="9" t="s">
        <v>862</v>
      </c>
    </row>
    <row r="25" spans="1:24" x14ac:dyDescent="0.25">
      <c r="B25" s="56"/>
    </row>
    <row r="26" spans="1:24" s="23" customFormat="1" hidden="1" x14ac:dyDescent="0.25">
      <c r="A26" s="10"/>
      <c r="B26" s="56"/>
      <c r="C26" s="10"/>
      <c r="D26" s="10"/>
      <c r="E26" s="10"/>
      <c r="F26" s="10"/>
      <c r="G26" s="10"/>
      <c r="H26" s="10"/>
      <c r="I26" s="10"/>
      <c r="J26" s="10"/>
      <c r="K26" s="10"/>
      <c r="L26" s="10"/>
      <c r="M26" s="10"/>
      <c r="N26" s="10"/>
      <c r="O26" s="10"/>
      <c r="Q26" s="23" t="s">
        <v>452</v>
      </c>
      <c r="U26" s="24"/>
      <c r="V26" s="25"/>
      <c r="W26" s="26"/>
      <c r="X26" s="26"/>
    </row>
    <row r="27" spans="1:24" x14ac:dyDescent="0.25">
      <c r="B27" s="56"/>
    </row>
    <row r="28" spans="1:24" x14ac:dyDescent="0.25">
      <c r="B28" s="56"/>
      <c r="Q28" s="209"/>
      <c r="R28" s="209"/>
      <c r="S28" s="209"/>
      <c r="T28" s="209"/>
      <c r="U28" s="209"/>
      <c r="V28" s="209"/>
    </row>
    <row r="29" spans="1:24" x14ac:dyDescent="0.25">
      <c r="B29" s="56"/>
    </row>
    <row r="30" spans="1:24" x14ac:dyDescent="0.25">
      <c r="B30" s="56"/>
    </row>
    <row r="31" spans="1:24" x14ac:dyDescent="0.25">
      <c r="B31" s="56"/>
    </row>
    <row r="32" spans="1:24" x14ac:dyDescent="0.25">
      <c r="B32" s="56"/>
    </row>
    <row r="33" spans="2:2" x14ac:dyDescent="0.25">
      <c r="B33" s="56"/>
    </row>
    <row r="34" spans="2:2" x14ac:dyDescent="0.25">
      <c r="B34" s="56"/>
    </row>
    <row r="35" spans="2:2" x14ac:dyDescent="0.25">
      <c r="B35" s="56"/>
    </row>
    <row r="36" spans="2:2" x14ac:dyDescent="0.25">
      <c r="B36" s="56"/>
    </row>
    <row r="37" spans="2:2" x14ac:dyDescent="0.25">
      <c r="B37" s="56"/>
    </row>
    <row r="38" spans="2:2" x14ac:dyDescent="0.25">
      <c r="B38" s="56"/>
    </row>
    <row r="39" spans="2:2" x14ac:dyDescent="0.25">
      <c r="B39" s="56"/>
    </row>
    <row r="40" spans="2:2" x14ac:dyDescent="0.25">
      <c r="B40" s="56"/>
    </row>
  </sheetData>
  <mergeCells count="4">
    <mergeCell ref="A3:A18"/>
    <mergeCell ref="O1:W1"/>
    <mergeCell ref="A1:M1"/>
    <mergeCell ref="O3:O18"/>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C2528-244E-42F6-AB8E-307C68E3EB6B}">
  <sheetPr codeName="Sheet21"/>
  <dimension ref="A1:AB46"/>
  <sheetViews>
    <sheetView zoomScaleNormal="100" workbookViewId="0">
      <selection sqref="A1:G1"/>
    </sheetView>
  </sheetViews>
  <sheetFormatPr defaultColWidth="8.6640625" defaultRowHeight="13.2" x14ac:dyDescent="0.25"/>
  <cols>
    <col min="1" max="2" width="12" style="9" customWidth="1"/>
    <col min="3" max="6" width="13.6640625" style="9" customWidth="1"/>
    <col min="7" max="7" width="13.33203125" style="9" customWidth="1"/>
    <col min="8" max="8" width="12.6640625" style="9" bestFit="1" customWidth="1"/>
    <col min="9" max="9" width="8.6640625" style="9"/>
    <col min="10" max="10" width="12" style="9" customWidth="1"/>
    <col min="11" max="11" width="14.109375" style="9" customWidth="1"/>
    <col min="12" max="12" width="10.33203125" style="9" customWidth="1"/>
    <col min="13" max="27" width="5.6640625" style="9" customWidth="1"/>
    <col min="28" max="16384" width="8.6640625" style="9"/>
  </cols>
  <sheetData>
    <row r="1" spans="1:28" ht="28.95" customHeight="1" x14ac:dyDescent="0.25">
      <c r="A1" s="922" t="s">
        <v>863</v>
      </c>
      <c r="B1" s="922"/>
      <c r="C1" s="922"/>
      <c r="D1" s="922"/>
      <c r="E1" s="922"/>
      <c r="F1" s="922"/>
      <c r="G1" s="922"/>
      <c r="J1" s="937" t="s">
        <v>863</v>
      </c>
      <c r="K1" s="937"/>
      <c r="L1" s="937"/>
      <c r="M1" s="937"/>
      <c r="N1" s="937"/>
      <c r="O1" s="937"/>
      <c r="P1" s="937"/>
      <c r="Q1" s="937"/>
      <c r="R1" s="937"/>
      <c r="S1" s="937"/>
      <c r="T1" s="937"/>
      <c r="U1" s="937"/>
      <c r="V1" s="937"/>
      <c r="W1" s="937"/>
      <c r="X1" s="937"/>
      <c r="Y1" s="937"/>
      <c r="Z1" s="937"/>
      <c r="AA1" s="937"/>
    </row>
    <row r="2" spans="1:28" ht="21" customHeight="1" x14ac:dyDescent="0.25">
      <c r="A2" s="1266" t="s">
        <v>10</v>
      </c>
      <c r="B2" s="1266" t="s">
        <v>842</v>
      </c>
      <c r="C2" s="1266" t="s">
        <v>864</v>
      </c>
      <c r="D2" s="1266"/>
      <c r="E2" s="1266"/>
      <c r="F2" s="1266"/>
      <c r="G2" s="1266"/>
      <c r="J2" s="1267" t="s">
        <v>10</v>
      </c>
      <c r="K2" s="1267" t="s">
        <v>864</v>
      </c>
      <c r="L2" s="1267" t="s">
        <v>842</v>
      </c>
      <c r="M2" s="1267"/>
      <c r="N2" s="1267"/>
      <c r="O2" s="1267"/>
      <c r="P2" s="1267"/>
      <c r="Q2" s="1267"/>
      <c r="R2" s="1267"/>
      <c r="S2" s="1267"/>
      <c r="T2" s="1267"/>
      <c r="U2" s="1267"/>
      <c r="V2" s="1267"/>
      <c r="W2" s="1267"/>
      <c r="X2" s="1267"/>
      <c r="Y2" s="1267"/>
      <c r="Z2" s="1267"/>
      <c r="AA2" s="1267"/>
    </row>
    <row r="3" spans="1:28" ht="21" customHeight="1" x14ac:dyDescent="0.25">
      <c r="A3" s="1266"/>
      <c r="B3" s="1266"/>
      <c r="C3" s="873" t="s">
        <v>865</v>
      </c>
      <c r="D3" s="873" t="s">
        <v>295</v>
      </c>
      <c r="E3" s="873" t="s">
        <v>298</v>
      </c>
      <c r="F3" s="873" t="s">
        <v>300</v>
      </c>
      <c r="G3" s="873"/>
      <c r="J3" s="1267"/>
      <c r="K3" s="1267"/>
      <c r="L3" s="874">
        <v>1</v>
      </c>
      <c r="M3" s="874">
        <v>2</v>
      </c>
      <c r="N3" s="874">
        <v>3</v>
      </c>
      <c r="O3" s="874">
        <v>4</v>
      </c>
      <c r="P3" s="874">
        <v>5</v>
      </c>
      <c r="Q3" s="874">
        <v>6</v>
      </c>
      <c r="R3" s="874">
        <v>7</v>
      </c>
      <c r="S3" s="874">
        <v>8</v>
      </c>
      <c r="T3" s="874">
        <v>9</v>
      </c>
      <c r="U3" s="874">
        <v>10</v>
      </c>
      <c r="V3" s="874">
        <v>11</v>
      </c>
      <c r="W3" s="874">
        <v>12</v>
      </c>
      <c r="X3" s="874">
        <v>13</v>
      </c>
      <c r="Y3" s="874">
        <v>14</v>
      </c>
      <c r="Z3" s="874">
        <v>15</v>
      </c>
      <c r="AA3" s="874">
        <v>16</v>
      </c>
    </row>
    <row r="4" spans="1:28" ht="16.95" customHeight="1" x14ac:dyDescent="0.25">
      <c r="A4" s="1265" t="s">
        <v>866</v>
      </c>
      <c r="B4" s="226">
        <v>1</v>
      </c>
      <c r="C4" s="880"/>
      <c r="D4" s="880"/>
      <c r="E4" s="880"/>
      <c r="F4" s="880"/>
      <c r="G4" s="210"/>
      <c r="H4" s="58">
        <f t="shared" ref="H4:H19" si="0">SUM(C4:G4)</f>
        <v>0</v>
      </c>
      <c r="J4" s="1262" t="s">
        <v>866</v>
      </c>
      <c r="K4" s="35" t="s">
        <v>865</v>
      </c>
      <c r="L4" s="35"/>
      <c r="M4" s="35"/>
      <c r="N4" s="35"/>
      <c r="O4" s="35"/>
      <c r="P4" s="35"/>
      <c r="Q4" s="35"/>
      <c r="R4" s="35"/>
      <c r="S4" s="35"/>
      <c r="T4" s="35"/>
      <c r="U4" s="35"/>
      <c r="V4" s="35"/>
      <c r="W4" s="35"/>
      <c r="X4" s="35"/>
      <c r="Y4" s="35"/>
      <c r="Z4" s="35"/>
      <c r="AA4" s="35"/>
      <c r="AB4" s="58">
        <f>SUM(L4:AA4)</f>
        <v>0</v>
      </c>
    </row>
    <row r="5" spans="1:28" ht="16.95" customHeight="1" x14ac:dyDescent="0.25">
      <c r="A5" s="1265"/>
      <c r="B5" s="226">
        <v>2</v>
      </c>
      <c r="C5" s="880"/>
      <c r="D5" s="880"/>
      <c r="E5" s="880"/>
      <c r="F5" s="880"/>
      <c r="G5" s="210"/>
      <c r="H5" s="58">
        <f t="shared" si="0"/>
        <v>0</v>
      </c>
      <c r="J5" s="1263"/>
      <c r="K5" s="35" t="s">
        <v>295</v>
      </c>
      <c r="L5" s="35"/>
      <c r="M5" s="35"/>
      <c r="N5" s="35"/>
      <c r="O5" s="35"/>
      <c r="P5" s="35"/>
      <c r="Q5" s="35"/>
      <c r="R5" s="35"/>
      <c r="S5" s="35"/>
      <c r="T5" s="35"/>
      <c r="U5" s="35"/>
      <c r="V5" s="35"/>
      <c r="W5" s="35"/>
      <c r="X5" s="35"/>
      <c r="Y5" s="35"/>
      <c r="Z5" s="35"/>
      <c r="AA5" s="35"/>
      <c r="AB5" s="58">
        <f>SUM(L5:AA5)</f>
        <v>0</v>
      </c>
    </row>
    <row r="6" spans="1:28" ht="16.95" customHeight="1" x14ac:dyDescent="0.25">
      <c r="A6" s="1265"/>
      <c r="B6" s="226">
        <v>3</v>
      </c>
      <c r="C6" s="880"/>
      <c r="D6" s="880"/>
      <c r="E6" s="880"/>
      <c r="F6" s="880"/>
      <c r="G6" s="210"/>
      <c r="H6" s="58">
        <f t="shared" si="0"/>
        <v>0</v>
      </c>
      <c r="J6" s="1263"/>
      <c r="K6" s="35" t="s">
        <v>298</v>
      </c>
      <c r="L6" s="35"/>
      <c r="M6" s="35"/>
      <c r="N6" s="35"/>
      <c r="O6" s="35"/>
      <c r="P6" s="35"/>
      <c r="Q6" s="35"/>
      <c r="R6" s="35"/>
      <c r="S6" s="35"/>
      <c r="T6" s="35"/>
      <c r="U6" s="35"/>
      <c r="V6" s="35"/>
      <c r="W6" s="35"/>
      <c r="X6" s="35"/>
      <c r="Y6" s="35"/>
      <c r="Z6" s="35"/>
      <c r="AA6" s="35"/>
      <c r="AB6" s="58">
        <f>SUM(L6:AA6)</f>
        <v>0</v>
      </c>
    </row>
    <row r="7" spans="1:28" ht="16.95" customHeight="1" x14ac:dyDescent="0.25">
      <c r="A7" s="1265"/>
      <c r="B7" s="226">
        <v>4</v>
      </c>
      <c r="C7" s="880"/>
      <c r="D7" s="880"/>
      <c r="E7" s="880"/>
      <c r="F7" s="880"/>
      <c r="G7" s="210"/>
      <c r="H7" s="58">
        <f t="shared" si="0"/>
        <v>0</v>
      </c>
      <c r="I7" s="9">
        <f>I3*Weights!C4</f>
        <v>0</v>
      </c>
      <c r="J7" s="1263"/>
      <c r="K7" s="35" t="s">
        <v>300</v>
      </c>
      <c r="L7" s="35"/>
      <c r="M7" s="35"/>
      <c r="N7" s="35"/>
      <c r="O7" s="35"/>
      <c r="P7" s="35"/>
      <c r="Q7" s="35"/>
      <c r="R7" s="35"/>
      <c r="S7" s="35"/>
      <c r="T7" s="35"/>
      <c r="U7" s="35"/>
      <c r="V7" s="35"/>
      <c r="W7" s="35"/>
      <c r="X7" s="35"/>
      <c r="Y7" s="35"/>
      <c r="Z7" s="35"/>
      <c r="AA7" s="35"/>
      <c r="AB7" s="58">
        <f>SUM(L7:AA7)</f>
        <v>0</v>
      </c>
    </row>
    <row r="8" spans="1:28" ht="16.95" customHeight="1" x14ac:dyDescent="0.25">
      <c r="A8" s="1265"/>
      <c r="B8" s="226">
        <v>5</v>
      </c>
      <c r="C8" s="880"/>
      <c r="D8" s="880"/>
      <c r="E8" s="880"/>
      <c r="F8" s="880"/>
      <c r="G8" s="210"/>
      <c r="H8" s="58">
        <f t="shared" si="0"/>
        <v>0</v>
      </c>
      <c r="J8" s="1263"/>
      <c r="K8" s="35" t="s">
        <v>867</v>
      </c>
      <c r="L8" s="35"/>
      <c r="M8" s="35"/>
      <c r="N8" s="35"/>
      <c r="O8" s="35"/>
      <c r="P8" s="35"/>
      <c r="Q8" s="35"/>
      <c r="R8" s="35"/>
      <c r="S8" s="35"/>
      <c r="T8" s="35"/>
      <c r="U8" s="35"/>
      <c r="V8" s="35"/>
      <c r="W8" s="35"/>
      <c r="X8" s="35"/>
      <c r="Y8" s="35"/>
      <c r="Z8" s="35"/>
      <c r="AA8" s="35"/>
      <c r="AB8" s="58">
        <f>SUM(L8:AA8)</f>
        <v>0</v>
      </c>
    </row>
    <row r="9" spans="1:28" ht="16.95" customHeight="1" x14ac:dyDescent="0.25">
      <c r="A9" s="1265"/>
      <c r="B9" s="226">
        <v>6</v>
      </c>
      <c r="C9" s="880"/>
      <c r="D9" s="880"/>
      <c r="E9" s="880"/>
      <c r="F9" s="880"/>
      <c r="G9" s="210"/>
      <c r="H9" s="58">
        <f t="shared" si="0"/>
        <v>0</v>
      </c>
      <c r="J9" s="1264"/>
      <c r="K9" s="35" t="s">
        <v>544</v>
      </c>
      <c r="L9" s="35"/>
      <c r="M9" s="35"/>
      <c r="N9" s="35"/>
      <c r="O9" s="35"/>
      <c r="P9" s="35"/>
      <c r="Q9" s="35"/>
      <c r="R9" s="35"/>
      <c r="S9" s="35"/>
      <c r="T9" s="35"/>
      <c r="U9" s="35"/>
      <c r="V9" s="35"/>
      <c r="W9" s="35"/>
      <c r="X9" s="35"/>
      <c r="Y9" s="35"/>
      <c r="Z9" s="35"/>
      <c r="AA9" s="35"/>
      <c r="AB9" s="30"/>
    </row>
    <row r="10" spans="1:28" ht="16.95" customHeight="1" x14ac:dyDescent="0.25">
      <c r="A10" s="1265"/>
      <c r="B10" s="226">
        <v>7</v>
      </c>
      <c r="C10" s="880"/>
      <c r="D10" s="880"/>
      <c r="E10" s="880"/>
      <c r="F10" s="880"/>
      <c r="G10" s="210"/>
      <c r="H10" s="58">
        <f t="shared" si="0"/>
        <v>0</v>
      </c>
      <c r="J10" s="12"/>
      <c r="K10" s="56"/>
      <c r="L10" s="28"/>
      <c r="M10" s="28"/>
      <c r="N10" s="28"/>
      <c r="O10" s="28"/>
      <c r="P10" s="57"/>
    </row>
    <row r="11" spans="1:28" ht="16.95" customHeight="1" x14ac:dyDescent="0.25">
      <c r="A11" s="1265"/>
      <c r="B11" s="226">
        <v>8</v>
      </c>
      <c r="C11" s="880"/>
      <c r="D11" s="880"/>
      <c r="E11" s="880"/>
      <c r="F11" s="880"/>
      <c r="G11" s="210"/>
      <c r="H11" s="58">
        <f t="shared" si="0"/>
        <v>0</v>
      </c>
      <c r="J11" s="12"/>
      <c r="K11" s="56"/>
      <c r="L11" s="28"/>
      <c r="M11" s="28"/>
      <c r="N11" s="28"/>
      <c r="O11" s="28"/>
      <c r="P11" s="57"/>
    </row>
    <row r="12" spans="1:28" ht="16.95" customHeight="1" x14ac:dyDescent="0.25">
      <c r="A12" s="1265"/>
      <c r="B12" s="226">
        <v>9</v>
      </c>
      <c r="C12" s="880"/>
      <c r="D12" s="880"/>
      <c r="E12" s="880"/>
      <c r="F12" s="880"/>
      <c r="G12" s="210"/>
      <c r="H12" s="58">
        <f t="shared" si="0"/>
        <v>0</v>
      </c>
      <c r="J12" s="12"/>
      <c r="K12" s="56"/>
      <c r="L12" s="28"/>
      <c r="M12" s="28"/>
      <c r="N12" s="28"/>
      <c r="O12" s="28"/>
      <c r="P12" s="57"/>
    </row>
    <row r="13" spans="1:28" ht="16.95" customHeight="1" x14ac:dyDescent="0.25">
      <c r="A13" s="1265"/>
      <c r="B13" s="226">
        <v>10</v>
      </c>
      <c r="C13" s="880"/>
      <c r="D13" s="880"/>
      <c r="E13" s="880"/>
      <c r="F13" s="880"/>
      <c r="G13" s="210"/>
      <c r="H13" s="58">
        <f t="shared" si="0"/>
        <v>0</v>
      </c>
      <c r="J13" s="12"/>
      <c r="K13" s="56"/>
      <c r="L13" s="28"/>
      <c r="M13" s="28"/>
      <c r="N13" s="28"/>
      <c r="O13" s="28"/>
      <c r="P13" s="57"/>
    </row>
    <row r="14" spans="1:28" ht="16.95" customHeight="1" x14ac:dyDescent="0.25">
      <c r="A14" s="1265"/>
      <c r="B14" s="226">
        <v>11</v>
      </c>
      <c r="C14" s="880"/>
      <c r="D14" s="880"/>
      <c r="E14" s="880"/>
      <c r="F14" s="880"/>
      <c r="G14" s="210"/>
      <c r="H14" s="58">
        <f t="shared" si="0"/>
        <v>0</v>
      </c>
      <c r="J14" s="12"/>
      <c r="K14" s="56"/>
      <c r="L14" s="28"/>
      <c r="M14" s="28"/>
      <c r="N14" s="28"/>
      <c r="O14" s="28"/>
      <c r="P14" s="57"/>
    </row>
    <row r="15" spans="1:28" ht="16.95" customHeight="1" x14ac:dyDescent="0.25">
      <c r="A15" s="1265"/>
      <c r="B15" s="226">
        <v>12</v>
      </c>
      <c r="C15" s="880"/>
      <c r="D15" s="880"/>
      <c r="E15" s="880"/>
      <c r="F15" s="880"/>
      <c r="G15" s="210"/>
      <c r="H15" s="58">
        <f t="shared" si="0"/>
        <v>0</v>
      </c>
      <c r="J15" s="12"/>
      <c r="K15" s="56"/>
      <c r="L15" s="28"/>
      <c r="M15" s="28"/>
      <c r="N15" s="28"/>
      <c r="O15" s="28"/>
      <c r="P15" s="57"/>
    </row>
    <row r="16" spans="1:28" ht="16.95" customHeight="1" x14ac:dyDescent="0.25">
      <c r="A16" s="1265"/>
      <c r="B16" s="226">
        <v>13</v>
      </c>
      <c r="C16" s="880"/>
      <c r="D16" s="880"/>
      <c r="E16" s="880"/>
      <c r="F16" s="880"/>
      <c r="G16" s="210"/>
      <c r="H16" s="58">
        <f t="shared" si="0"/>
        <v>0</v>
      </c>
      <c r="J16" s="12"/>
      <c r="K16" s="56"/>
      <c r="L16" s="28"/>
      <c r="M16" s="28"/>
      <c r="N16" s="28"/>
      <c r="O16" s="28"/>
      <c r="P16" s="57"/>
    </row>
    <row r="17" spans="1:16" ht="16.95" customHeight="1" x14ac:dyDescent="0.25">
      <c r="A17" s="1265"/>
      <c r="B17" s="226">
        <v>14</v>
      </c>
      <c r="C17" s="880"/>
      <c r="D17" s="880"/>
      <c r="E17" s="880"/>
      <c r="F17" s="880"/>
      <c r="G17" s="210"/>
      <c r="H17" s="58">
        <f t="shared" si="0"/>
        <v>0</v>
      </c>
      <c r="J17" s="12"/>
      <c r="K17" s="56"/>
      <c r="L17" s="28"/>
      <c r="M17" s="28"/>
      <c r="N17" s="28"/>
      <c r="O17" s="28"/>
      <c r="P17" s="57"/>
    </row>
    <row r="18" spans="1:16" ht="16.95" customHeight="1" x14ac:dyDescent="0.25">
      <c r="A18" s="1265"/>
      <c r="B18" s="226">
        <v>15</v>
      </c>
      <c r="C18" s="880"/>
      <c r="D18" s="880"/>
      <c r="E18" s="880"/>
      <c r="F18" s="880"/>
      <c r="G18" s="210"/>
      <c r="H18" s="58">
        <f t="shared" si="0"/>
        <v>0</v>
      </c>
      <c r="J18" s="12"/>
      <c r="K18" s="56"/>
      <c r="L18" s="28"/>
      <c r="M18" s="28"/>
      <c r="N18" s="28"/>
      <c r="O18" s="28"/>
      <c r="P18" s="57"/>
    </row>
    <row r="19" spans="1:16" ht="16.95" customHeight="1" x14ac:dyDescent="0.25">
      <c r="A19" s="1265"/>
      <c r="B19" s="226">
        <v>16</v>
      </c>
      <c r="C19" s="210"/>
      <c r="D19" s="210"/>
      <c r="E19" s="210"/>
      <c r="F19" s="210"/>
      <c r="G19" s="210"/>
      <c r="H19" s="58">
        <f t="shared" si="0"/>
        <v>0</v>
      </c>
      <c r="J19" s="12"/>
      <c r="K19" s="56"/>
      <c r="L19" s="28"/>
      <c r="M19" s="28"/>
      <c r="N19" s="28"/>
      <c r="O19" s="28"/>
      <c r="P19" s="57"/>
    </row>
    <row r="20" spans="1:16" x14ac:dyDescent="0.25">
      <c r="A20" s="1265"/>
      <c r="B20" s="210" t="s">
        <v>868</v>
      </c>
      <c r="C20" s="210"/>
      <c r="D20" s="210"/>
      <c r="E20" s="210"/>
      <c r="F20" s="210"/>
      <c r="G20" s="210"/>
    </row>
    <row r="22" spans="1:16" x14ac:dyDescent="0.25">
      <c r="A22" s="9" t="s">
        <v>869</v>
      </c>
    </row>
    <row r="23" spans="1:16" x14ac:dyDescent="0.25">
      <c r="A23" s="9" t="s">
        <v>861</v>
      </c>
    </row>
    <row r="24" spans="1:16" x14ac:dyDescent="0.25">
      <c r="A24" s="9" t="s">
        <v>862</v>
      </c>
    </row>
    <row r="28" spans="1:16" x14ac:dyDescent="0.25">
      <c r="C28" s="29"/>
      <c r="D28" s="29"/>
      <c r="E28" s="29"/>
      <c r="F28" s="29"/>
      <c r="I28" s="28"/>
      <c r="J28" s="28"/>
      <c r="K28" s="28"/>
      <c r="L28" s="28"/>
      <c r="M28" s="57"/>
    </row>
    <row r="29" spans="1:16" x14ac:dyDescent="0.25">
      <c r="A29" s="811"/>
      <c r="B29" s="811"/>
      <c r="C29" s="29"/>
      <c r="D29" s="29"/>
      <c r="E29" s="29"/>
      <c r="F29" s="29"/>
      <c r="G29" s="829"/>
      <c r="H29" s="841"/>
      <c r="I29" s="28"/>
      <c r="J29" s="28"/>
      <c r="K29" s="28"/>
      <c r="L29" s="28"/>
      <c r="M29" s="57"/>
    </row>
    <row r="30" spans="1:16" x14ac:dyDescent="0.25">
      <c r="A30" s="812"/>
      <c r="B30" s="827"/>
      <c r="C30" s="29"/>
      <c r="D30" s="29"/>
      <c r="E30" s="29"/>
      <c r="F30" s="29"/>
      <c r="G30" s="562"/>
      <c r="H30" s="562"/>
      <c r="I30" s="28"/>
      <c r="J30" s="28"/>
      <c r="K30" s="28"/>
      <c r="L30" s="28"/>
      <c r="M30" s="57"/>
    </row>
    <row r="31" spans="1:16" x14ac:dyDescent="0.25">
      <c r="A31" s="812"/>
      <c r="B31" s="827"/>
      <c r="C31" s="29"/>
      <c r="D31" s="29"/>
      <c r="E31" s="29"/>
      <c r="F31" s="29"/>
      <c r="G31" s="562"/>
      <c r="H31" s="562"/>
      <c r="I31" s="28"/>
      <c r="J31" s="28"/>
      <c r="K31" s="28"/>
      <c r="L31" s="28"/>
      <c r="M31" s="57"/>
    </row>
    <row r="32" spans="1:16" x14ac:dyDescent="0.25">
      <c r="A32" s="812"/>
      <c r="B32" s="827"/>
      <c r="C32" s="29"/>
      <c r="D32" s="29"/>
      <c r="E32" s="29"/>
      <c r="F32" s="29"/>
      <c r="G32" s="562"/>
      <c r="H32" s="562"/>
      <c r="I32" s="28"/>
      <c r="J32" s="28"/>
      <c r="K32" s="28"/>
      <c r="L32" s="28"/>
      <c r="M32" s="57"/>
    </row>
    <row r="33" spans="1:13" x14ac:dyDescent="0.25">
      <c r="A33" s="812"/>
      <c r="B33" s="827"/>
      <c r="C33" s="29"/>
      <c r="D33" s="29"/>
      <c r="E33" s="29"/>
      <c r="F33" s="29"/>
      <c r="G33" s="562"/>
      <c r="H33" s="562"/>
      <c r="I33" s="28"/>
      <c r="J33" s="28"/>
      <c r="K33" s="28"/>
      <c r="L33" s="28"/>
      <c r="M33" s="57"/>
    </row>
    <row r="34" spans="1:13" x14ac:dyDescent="0.25">
      <c r="A34" s="812"/>
      <c r="B34" s="827"/>
      <c r="C34" s="29"/>
      <c r="D34" s="29"/>
      <c r="E34" s="29"/>
      <c r="F34" s="29"/>
      <c r="G34" s="562"/>
      <c r="H34" s="562"/>
      <c r="I34" s="28"/>
      <c r="J34" s="28"/>
      <c r="K34" s="28"/>
      <c r="L34" s="28"/>
      <c r="M34" s="57"/>
    </row>
    <row r="35" spans="1:13" x14ac:dyDescent="0.25">
      <c r="A35" s="812"/>
      <c r="B35" s="827"/>
      <c r="C35" s="29"/>
      <c r="D35" s="29"/>
      <c r="E35" s="29"/>
      <c r="F35" s="29"/>
      <c r="G35" s="562"/>
      <c r="H35" s="562"/>
      <c r="I35" s="28"/>
      <c r="J35" s="28"/>
      <c r="K35" s="28"/>
      <c r="L35" s="28"/>
      <c r="M35" s="57"/>
    </row>
    <row r="36" spans="1:13" x14ac:dyDescent="0.25">
      <c r="A36" s="812"/>
      <c r="B36" s="827"/>
      <c r="C36" s="29"/>
      <c r="D36" s="29"/>
      <c r="E36" s="29"/>
      <c r="F36" s="29"/>
      <c r="G36" s="562"/>
      <c r="H36" s="562"/>
      <c r="I36" s="28"/>
      <c r="J36" s="28"/>
      <c r="K36" s="28"/>
      <c r="L36" s="28"/>
      <c r="M36" s="57"/>
    </row>
    <row r="37" spans="1:13" x14ac:dyDescent="0.25">
      <c r="A37" s="812"/>
      <c r="B37" s="827"/>
      <c r="C37" s="29"/>
      <c r="D37" s="29"/>
      <c r="E37" s="29"/>
      <c r="F37" s="29"/>
      <c r="G37" s="562"/>
      <c r="H37" s="562"/>
      <c r="I37" s="28"/>
      <c r="J37" s="28"/>
      <c r="K37" s="28"/>
      <c r="L37" s="28"/>
      <c r="M37" s="57"/>
    </row>
    <row r="38" spans="1:13" x14ac:dyDescent="0.25">
      <c r="A38" s="812"/>
      <c r="B38" s="827"/>
      <c r="C38" s="29"/>
      <c r="D38" s="29"/>
      <c r="E38" s="29"/>
      <c r="F38" s="29"/>
      <c r="G38" s="562"/>
      <c r="H38" s="562"/>
      <c r="I38" s="28"/>
      <c r="J38" s="28"/>
      <c r="K38" s="28"/>
      <c r="L38" s="28"/>
      <c r="M38" s="57"/>
    </row>
    <row r="39" spans="1:13" x14ac:dyDescent="0.25">
      <c r="A39" s="812"/>
      <c r="B39" s="827"/>
      <c r="C39" s="29"/>
      <c r="D39" s="29"/>
      <c r="E39" s="29"/>
      <c r="F39" s="29"/>
      <c r="G39" s="562"/>
      <c r="H39" s="562"/>
      <c r="I39" s="28"/>
      <c r="J39" s="28"/>
      <c r="K39" s="28"/>
      <c r="L39" s="28"/>
      <c r="M39" s="57"/>
    </row>
    <row r="40" spans="1:13" x14ac:dyDescent="0.25">
      <c r="A40" s="812"/>
      <c r="B40" s="827"/>
      <c r="C40" s="29"/>
      <c r="D40" s="29"/>
      <c r="E40" s="29"/>
      <c r="F40" s="29"/>
      <c r="G40" s="562"/>
      <c r="H40" s="562"/>
      <c r="I40" s="28"/>
      <c r="J40" s="28"/>
      <c r="K40" s="28"/>
      <c r="L40" s="28"/>
      <c r="M40" s="57"/>
    </row>
    <row r="41" spans="1:13" x14ac:dyDescent="0.25">
      <c r="A41" s="812"/>
      <c r="B41" s="827"/>
      <c r="C41" s="29"/>
      <c r="D41" s="29"/>
      <c r="E41" s="29"/>
      <c r="F41" s="29"/>
      <c r="G41" s="562"/>
      <c r="H41" s="562"/>
      <c r="I41" s="28"/>
      <c r="J41" s="28"/>
      <c r="K41" s="28"/>
      <c r="L41" s="28"/>
      <c r="M41" s="57"/>
    </row>
    <row r="42" spans="1:13" x14ac:dyDescent="0.25">
      <c r="A42" s="812"/>
      <c r="B42" s="827"/>
      <c r="C42" s="29"/>
      <c r="D42" s="29"/>
      <c r="E42" s="29"/>
      <c r="F42" s="29"/>
      <c r="G42" s="562"/>
      <c r="H42" s="562"/>
      <c r="I42" s="57"/>
      <c r="J42" s="57"/>
      <c r="K42" s="57"/>
      <c r="L42" s="57"/>
      <c r="M42" s="57"/>
    </row>
    <row r="43" spans="1:13" x14ac:dyDescent="0.25">
      <c r="A43" s="812"/>
      <c r="B43" s="827"/>
      <c r="C43" s="29"/>
      <c r="D43" s="29"/>
      <c r="E43" s="29"/>
      <c r="F43" s="29"/>
      <c r="G43" s="562"/>
      <c r="H43" s="562"/>
      <c r="I43" s="57"/>
      <c r="J43" s="57"/>
      <c r="K43" s="57"/>
      <c r="L43" s="57"/>
      <c r="M43" s="57"/>
    </row>
    <row r="44" spans="1:13" x14ac:dyDescent="0.25">
      <c r="A44" s="812"/>
      <c r="B44" s="827"/>
      <c r="C44" s="169"/>
      <c r="D44" s="562"/>
      <c r="E44" s="562"/>
      <c r="F44" s="562"/>
      <c r="G44" s="562"/>
      <c r="H44" s="562"/>
      <c r="I44" s="562"/>
    </row>
    <row r="45" spans="1:13" x14ac:dyDescent="0.25">
      <c r="A45" s="812"/>
      <c r="B45" s="827"/>
      <c r="C45" s="169"/>
      <c r="D45" s="562"/>
      <c r="E45" s="562"/>
      <c r="F45" s="562"/>
      <c r="G45" s="562"/>
      <c r="H45" s="562"/>
      <c r="I45" s="562"/>
    </row>
    <row r="46" spans="1:13" x14ac:dyDescent="0.25">
      <c r="A46" s="812"/>
      <c r="B46" s="827"/>
      <c r="C46" s="169"/>
      <c r="D46" s="67"/>
      <c r="E46" s="67"/>
      <c r="F46" s="67"/>
      <c r="G46" s="67"/>
      <c r="H46" s="67"/>
      <c r="I46" s="67"/>
    </row>
  </sheetData>
  <mergeCells count="10">
    <mergeCell ref="J4:J9"/>
    <mergeCell ref="A4:A20"/>
    <mergeCell ref="J1:AA1"/>
    <mergeCell ref="C2:G2"/>
    <mergeCell ref="L2:AA2"/>
    <mergeCell ref="K2:K3"/>
    <mergeCell ref="J2:J3"/>
    <mergeCell ref="A1:G1"/>
    <mergeCell ref="B2:B3"/>
    <mergeCell ref="A2:A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638C3-9269-4523-B14B-D8D22DE74C86}">
  <sheetPr codeName="Sheet14"/>
  <dimension ref="A1:J4"/>
  <sheetViews>
    <sheetView workbookViewId="0"/>
  </sheetViews>
  <sheetFormatPr defaultRowHeight="14.4" x14ac:dyDescent="0.3"/>
  <sheetData>
    <row r="1" spans="1:10" ht="21" customHeight="1" x14ac:dyDescent="0.3">
      <c r="A1" s="922" t="str">
        <f>"PV - "&amp;Prototype!A2</f>
        <v>PV - HotelLarge</v>
      </c>
      <c r="B1" s="922"/>
      <c r="C1" s="922"/>
      <c r="D1" s="922"/>
      <c r="E1" s="922"/>
      <c r="F1" s="922"/>
      <c r="G1" s="922"/>
      <c r="H1" s="922"/>
      <c r="I1" s="922"/>
      <c r="J1" s="922"/>
    </row>
    <row r="2" spans="1:10" x14ac:dyDescent="0.3">
      <c r="A2" s="7" t="s">
        <v>870</v>
      </c>
      <c r="B2" s="7"/>
      <c r="C2" s="7"/>
      <c r="D2" s="7"/>
      <c r="E2" s="7"/>
      <c r="F2" s="7"/>
      <c r="G2" s="7"/>
      <c r="H2" s="7"/>
      <c r="I2" s="7"/>
      <c r="J2" s="7"/>
    </row>
    <row r="3" spans="1:10" x14ac:dyDescent="0.3">
      <c r="A3" s="7"/>
      <c r="B3" s="7"/>
      <c r="C3" s="7"/>
      <c r="D3" s="7"/>
      <c r="E3" s="7"/>
      <c r="F3" s="7"/>
      <c r="G3" s="7"/>
      <c r="H3" s="7"/>
      <c r="I3" s="7"/>
      <c r="J3" s="7"/>
    </row>
    <row r="4" spans="1:10" x14ac:dyDescent="0.3">
      <c r="A4" s="7"/>
      <c r="B4" s="7"/>
      <c r="C4" s="7"/>
      <c r="D4" s="7"/>
      <c r="E4" s="7"/>
      <c r="F4" s="7"/>
      <c r="G4" s="7"/>
      <c r="H4" s="7"/>
      <c r="I4" s="7"/>
      <c r="J4" s="7"/>
    </row>
  </sheetData>
  <mergeCells count="1">
    <mergeCell ref="A1:J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B9E4-8E7A-41B8-B067-A47E2307C7E6}">
  <sheetPr codeName="Sheet22"/>
  <dimension ref="A1:H11"/>
  <sheetViews>
    <sheetView zoomScaleNormal="70" workbookViewId="0">
      <selection sqref="A1:H1"/>
    </sheetView>
  </sheetViews>
  <sheetFormatPr defaultColWidth="8.6640625" defaultRowHeight="13.2" x14ac:dyDescent="0.25"/>
  <cols>
    <col min="1" max="1" width="21" style="9" customWidth="1"/>
    <col min="2" max="2" width="14.33203125" style="9" customWidth="1"/>
    <col min="3" max="3" width="14.5546875" style="9" customWidth="1"/>
    <col min="4" max="8" width="8.6640625" style="9"/>
    <col min="9" max="9" width="13.6640625" style="9" customWidth="1"/>
    <col min="10" max="10" width="14.44140625" style="9" customWidth="1"/>
    <col min="11" max="16384" width="8.6640625" style="9"/>
  </cols>
  <sheetData>
    <row r="1" spans="1:8" ht="15.6" x14ac:dyDescent="0.25">
      <c r="A1" s="922" t="str">
        <f>"EV Charger - "&amp;Prototype!A2</f>
        <v>EV Charger - HotelLarge</v>
      </c>
      <c r="B1" s="922"/>
      <c r="C1" s="922"/>
      <c r="D1" s="922"/>
      <c r="E1" s="922"/>
      <c r="F1" s="922"/>
      <c r="G1" s="922"/>
      <c r="H1" s="922"/>
    </row>
    <row r="2" spans="1:8" x14ac:dyDescent="0.25">
      <c r="A2" s="9" t="s">
        <v>870</v>
      </c>
      <c r="B2" s="41"/>
      <c r="C2" s="42"/>
      <c r="D2" s="43"/>
      <c r="E2" s="43"/>
    </row>
    <row r="3" spans="1:8" x14ac:dyDescent="0.25">
      <c r="A3" s="829"/>
      <c r="B3" s="827"/>
      <c r="C3" s="169"/>
      <c r="D3" s="44"/>
      <c r="E3" s="44"/>
    </row>
    <row r="11" spans="1:8" s="23" customFormat="1" hidden="1" x14ac:dyDescent="0.25">
      <c r="A11" s="23" t="s">
        <v>452</v>
      </c>
      <c r="E11" s="24"/>
      <c r="F11" s="25"/>
      <c r="G11" s="26"/>
    </row>
  </sheetData>
  <mergeCells count="1">
    <mergeCell ref="A1:H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AE37-0C9D-4A39-A34E-33135BC35028}">
  <sheetPr codeName="Sheet16"/>
  <dimension ref="A1:BB144"/>
  <sheetViews>
    <sheetView workbookViewId="0">
      <pane xSplit="1" ySplit="1" topLeftCell="AZ19" activePane="bottomRight" state="frozen"/>
      <selection pane="topRight" activeCell="B1" sqref="B1"/>
      <selection pane="bottomLeft" activeCell="A3" sqref="A3"/>
      <selection pane="bottomRight" activeCell="AZ19" sqref="AZ19"/>
    </sheetView>
  </sheetViews>
  <sheetFormatPr defaultRowHeight="14.4" x14ac:dyDescent="0.3"/>
  <cols>
    <col min="1" max="1" width="58.6640625" customWidth="1"/>
    <col min="2" max="2" width="43.6640625" customWidth="1"/>
    <col min="3" max="5" width="13.6640625" customWidth="1"/>
    <col min="6" max="8" width="15.44140625" customWidth="1"/>
    <col min="9" max="9" width="11" customWidth="1"/>
    <col min="10" max="10" width="11.109375" customWidth="1"/>
    <col min="11" max="11" width="10.6640625" customWidth="1"/>
    <col min="12" max="12" width="32.109375" customWidth="1"/>
    <col min="15" max="15" width="27.109375" customWidth="1"/>
    <col min="16" max="16" width="30.88671875" customWidth="1"/>
    <col min="18" max="18" width="20.33203125" customWidth="1"/>
    <col min="19" max="19" width="17.33203125" customWidth="1"/>
    <col min="20" max="20" width="16.44140625" customWidth="1"/>
    <col min="21" max="21" width="16.109375" customWidth="1"/>
    <col min="22" max="22" width="20.5546875" customWidth="1"/>
    <col min="23" max="23" width="11.6640625" customWidth="1"/>
    <col min="24" max="24" width="9.33203125" bestFit="1" customWidth="1"/>
    <col min="25" max="25" width="9.44140625" bestFit="1" customWidth="1"/>
    <col min="26" max="26" width="15.88671875" customWidth="1"/>
    <col min="27" max="27" width="12.6640625" customWidth="1"/>
    <col min="33" max="33" width="18.6640625" customWidth="1"/>
    <col min="45" max="45" width="30.33203125" customWidth="1"/>
    <col min="46" max="46" width="38.88671875" customWidth="1"/>
    <col min="47" max="47" width="18.6640625" customWidth="1"/>
    <col min="48" max="48" width="15.44140625" customWidth="1"/>
    <col min="52" max="52" width="41.33203125" customWidth="1"/>
    <col min="53" max="53" width="34.109375" customWidth="1"/>
    <col min="54" max="54" width="41.5546875" customWidth="1"/>
  </cols>
  <sheetData>
    <row r="1" spans="1:54" ht="52.8" x14ac:dyDescent="0.3">
      <c r="A1" s="448" t="s">
        <v>871</v>
      </c>
      <c r="B1" s="448" t="s">
        <v>872</v>
      </c>
      <c r="C1" s="448" t="s">
        <v>493</v>
      </c>
      <c r="D1" s="448" t="s">
        <v>494</v>
      </c>
      <c r="E1" s="448" t="s">
        <v>495</v>
      </c>
      <c r="F1" s="448" t="s">
        <v>647</v>
      </c>
      <c r="G1" s="448" t="s">
        <v>650</v>
      </c>
      <c r="H1" s="448" t="s">
        <v>649</v>
      </c>
      <c r="I1" s="448" t="s">
        <v>873</v>
      </c>
      <c r="J1" s="448" t="s">
        <v>874</v>
      </c>
      <c r="K1" s="448" t="s">
        <v>875</v>
      </c>
      <c r="L1" s="448" t="s">
        <v>540</v>
      </c>
      <c r="AG1" t="s">
        <v>876</v>
      </c>
      <c r="AS1" s="1269" t="s">
        <v>877</v>
      </c>
      <c r="AT1" s="1269"/>
      <c r="AU1" s="1269"/>
      <c r="AV1" s="1269"/>
      <c r="AW1" s="1269"/>
      <c r="AX1" s="1269"/>
      <c r="AY1" s="1269"/>
      <c r="AZ1" s="1269"/>
      <c r="BA1" s="1269"/>
      <c r="BB1" s="1269"/>
    </row>
    <row r="2" spans="1:54" ht="18" x14ac:dyDescent="0.35">
      <c r="A2" s="828" t="s">
        <v>878</v>
      </c>
      <c r="B2" s="828"/>
      <c r="AS2" s="1276">
        <v>2025</v>
      </c>
      <c r="AT2" s="1277"/>
      <c r="AU2" s="1277"/>
      <c r="AV2" s="1277"/>
      <c r="AW2" s="1277"/>
      <c r="AX2" s="1278"/>
      <c r="AZ2" s="1273">
        <v>2013</v>
      </c>
      <c r="BA2" s="1274"/>
      <c r="BB2" s="555">
        <v>2008</v>
      </c>
    </row>
    <row r="3" spans="1:54" ht="15.6" x14ac:dyDescent="0.3">
      <c r="A3" s="828" t="s">
        <v>879</v>
      </c>
      <c r="B3" s="828"/>
      <c r="AS3" s="1275" t="s">
        <v>880</v>
      </c>
      <c r="AT3" s="1275"/>
      <c r="AU3" s="1275"/>
      <c r="AV3" s="1275"/>
      <c r="AW3" s="1275"/>
      <c r="AX3" s="1275"/>
      <c r="AZ3" s="1268" t="s">
        <v>881</v>
      </c>
      <c r="BA3" s="1268"/>
      <c r="BB3" s="554" t="s">
        <v>882</v>
      </c>
    </row>
    <row r="4" spans="1:54" ht="57.6" x14ac:dyDescent="0.3">
      <c r="A4" t="s">
        <v>883</v>
      </c>
      <c r="AS4" s="553" t="s">
        <v>78</v>
      </c>
      <c r="AT4" s="553" t="s">
        <v>884</v>
      </c>
      <c r="AU4" s="553" t="s">
        <v>885</v>
      </c>
      <c r="AV4" s="553" t="s">
        <v>886</v>
      </c>
      <c r="AW4" s="553" t="s">
        <v>887</v>
      </c>
      <c r="AX4" s="875" t="s">
        <v>60</v>
      </c>
      <c r="AZ4" s="553" t="s">
        <v>888</v>
      </c>
      <c r="BA4" s="553" t="s">
        <v>889</v>
      </c>
      <c r="BB4" s="553" t="s">
        <v>889</v>
      </c>
    </row>
    <row r="5" spans="1:54" x14ac:dyDescent="0.3">
      <c r="A5" t="s">
        <v>890</v>
      </c>
      <c r="AS5" s="2" t="s">
        <v>891</v>
      </c>
      <c r="AT5" s="136" t="s">
        <v>892</v>
      </c>
      <c r="AU5" s="136">
        <v>14</v>
      </c>
      <c r="AV5" s="136">
        <v>0.15</v>
      </c>
      <c r="AW5" s="136">
        <v>2</v>
      </c>
      <c r="AX5" s="136" t="s">
        <v>893</v>
      </c>
      <c r="AZ5" s="136" t="s">
        <v>894</v>
      </c>
      <c r="BA5" s="136">
        <v>1.5</v>
      </c>
      <c r="BB5" s="136">
        <v>1.5</v>
      </c>
    </row>
    <row r="6" spans="1:54" x14ac:dyDescent="0.3">
      <c r="A6" t="s">
        <v>895</v>
      </c>
      <c r="AS6" s="2" t="s">
        <v>891</v>
      </c>
      <c r="AT6" s="136" t="s">
        <v>896</v>
      </c>
      <c r="AU6" s="136">
        <v>5</v>
      </c>
      <c r="AV6" s="136">
        <v>0.15</v>
      </c>
      <c r="AW6" s="136">
        <v>3</v>
      </c>
      <c r="AX6" s="136" t="s">
        <v>893</v>
      </c>
      <c r="AZ6" s="136" t="s">
        <v>897</v>
      </c>
      <c r="BA6" s="136">
        <v>0.4</v>
      </c>
      <c r="BB6" s="136">
        <v>0.4</v>
      </c>
    </row>
    <row r="7" spans="1:54" x14ac:dyDescent="0.3">
      <c r="A7" t="s">
        <v>898</v>
      </c>
      <c r="AS7" s="2" t="s">
        <v>891</v>
      </c>
      <c r="AT7" s="136" t="s">
        <v>899</v>
      </c>
      <c r="AU7" s="136">
        <v>25</v>
      </c>
      <c r="AV7" s="136">
        <v>0.15</v>
      </c>
      <c r="AW7" s="136">
        <v>1</v>
      </c>
      <c r="AX7" s="136" t="s">
        <v>893</v>
      </c>
      <c r="AZ7" s="136" t="s">
        <v>900</v>
      </c>
      <c r="BA7" s="136">
        <v>0.2</v>
      </c>
      <c r="BB7" s="136">
        <v>0.2</v>
      </c>
    </row>
    <row r="8" spans="1:54" x14ac:dyDescent="0.3">
      <c r="A8" t="s">
        <v>901</v>
      </c>
      <c r="AS8" s="2" t="s">
        <v>891</v>
      </c>
      <c r="AT8" s="136" t="s">
        <v>902</v>
      </c>
      <c r="AU8" s="136">
        <v>25</v>
      </c>
      <c r="AV8" s="136">
        <v>0.15</v>
      </c>
      <c r="AW8" s="136">
        <v>1</v>
      </c>
      <c r="AX8" s="136" t="s">
        <v>893</v>
      </c>
      <c r="AZ8" s="136" t="s">
        <v>903</v>
      </c>
      <c r="BA8" s="136">
        <v>0.4</v>
      </c>
      <c r="BB8" s="136">
        <v>0.4</v>
      </c>
    </row>
    <row r="9" spans="1:54" x14ac:dyDescent="0.3">
      <c r="A9" t="s">
        <v>904</v>
      </c>
      <c r="AS9" s="2" t="s">
        <v>891</v>
      </c>
      <c r="AT9" s="136" t="s">
        <v>905</v>
      </c>
      <c r="AU9" s="136">
        <v>25</v>
      </c>
      <c r="AV9" s="136">
        <v>0.15</v>
      </c>
      <c r="AW9" s="136">
        <v>1</v>
      </c>
      <c r="AX9" s="136" t="s">
        <v>906</v>
      </c>
      <c r="AZ9" s="136" t="s">
        <v>907</v>
      </c>
      <c r="BA9" s="136">
        <v>0.3</v>
      </c>
      <c r="BB9" s="136">
        <v>0.3</v>
      </c>
    </row>
    <row r="10" spans="1:54" x14ac:dyDescent="0.3">
      <c r="A10" t="s">
        <v>908</v>
      </c>
      <c r="AS10" s="2" t="s">
        <v>891</v>
      </c>
      <c r="AT10" s="136" t="s">
        <v>909</v>
      </c>
      <c r="AU10" s="136">
        <v>71</v>
      </c>
      <c r="AV10" s="136">
        <v>0.15</v>
      </c>
      <c r="AW10" s="136">
        <v>1</v>
      </c>
      <c r="AX10" s="136" t="s">
        <v>906</v>
      </c>
      <c r="AZ10" s="136" t="s">
        <v>910</v>
      </c>
      <c r="BA10" s="136">
        <v>0.45</v>
      </c>
      <c r="BB10" s="136">
        <v>0.45</v>
      </c>
    </row>
    <row r="11" spans="1:54" x14ac:dyDescent="0.3">
      <c r="A11" t="s">
        <v>911</v>
      </c>
      <c r="AS11" s="2" t="s">
        <v>891</v>
      </c>
      <c r="AT11" s="136" t="s">
        <v>912</v>
      </c>
      <c r="AU11" s="136">
        <v>25</v>
      </c>
      <c r="AV11" s="136">
        <v>0.15</v>
      </c>
      <c r="AW11" s="136">
        <v>2</v>
      </c>
      <c r="AX11" s="136" t="s">
        <v>893</v>
      </c>
      <c r="AZ11" s="136" t="s">
        <v>913</v>
      </c>
      <c r="BA11" s="136" t="s">
        <v>914</v>
      </c>
      <c r="BB11" s="136" t="s">
        <v>915</v>
      </c>
    </row>
    <row r="12" spans="1:54" x14ac:dyDescent="0.3">
      <c r="A12" t="s">
        <v>916</v>
      </c>
      <c r="AS12" s="2" t="s">
        <v>891</v>
      </c>
      <c r="AT12" s="136" t="s">
        <v>917</v>
      </c>
      <c r="AU12" s="136">
        <v>25</v>
      </c>
      <c r="AV12" s="136">
        <v>0.15</v>
      </c>
      <c r="AW12" s="136">
        <v>2</v>
      </c>
      <c r="AX12" s="136" t="s">
        <v>893</v>
      </c>
      <c r="AZ12" s="136" t="s">
        <v>918</v>
      </c>
      <c r="BA12" s="136" t="s">
        <v>919</v>
      </c>
      <c r="BB12" s="136" t="s">
        <v>919</v>
      </c>
    </row>
    <row r="13" spans="1:54" x14ac:dyDescent="0.3">
      <c r="A13" t="s">
        <v>920</v>
      </c>
      <c r="AS13" s="2" t="s">
        <v>891</v>
      </c>
      <c r="AT13" s="136" t="s">
        <v>921</v>
      </c>
      <c r="AU13" s="136">
        <v>25</v>
      </c>
      <c r="AV13" s="136">
        <v>0.15</v>
      </c>
      <c r="AW13" s="136">
        <v>2</v>
      </c>
      <c r="AX13" s="136" t="s">
        <v>893</v>
      </c>
      <c r="AZ13" s="136" t="s">
        <v>922</v>
      </c>
      <c r="BA13" s="136">
        <v>0.15</v>
      </c>
      <c r="BB13" s="136">
        <v>0.15</v>
      </c>
    </row>
    <row r="14" spans="1:54" x14ac:dyDescent="0.3">
      <c r="A14" t="s">
        <v>923</v>
      </c>
      <c r="AS14" s="2" t="s">
        <v>891</v>
      </c>
      <c r="AT14" s="136" t="s">
        <v>924</v>
      </c>
      <c r="AU14" s="136">
        <v>10</v>
      </c>
      <c r="AV14" s="136">
        <v>0.15</v>
      </c>
      <c r="AW14" s="136">
        <v>2</v>
      </c>
      <c r="AX14" s="136" t="s">
        <v>893</v>
      </c>
      <c r="AZ14" s="136" t="s">
        <v>925</v>
      </c>
      <c r="BA14" s="136">
        <v>0.2</v>
      </c>
      <c r="BB14" s="136">
        <v>0.2</v>
      </c>
    </row>
    <row r="15" spans="1:54" x14ac:dyDescent="0.3">
      <c r="A15" t="s">
        <v>926</v>
      </c>
      <c r="AS15" s="2" t="s">
        <v>891</v>
      </c>
      <c r="AT15" s="136" t="s">
        <v>927</v>
      </c>
      <c r="AU15" s="136">
        <v>25</v>
      </c>
      <c r="AV15" s="136">
        <v>0.15</v>
      </c>
      <c r="AW15" s="136">
        <v>1</v>
      </c>
      <c r="AX15" s="136" t="s">
        <v>893</v>
      </c>
      <c r="AZ15" s="136" t="s">
        <v>928</v>
      </c>
      <c r="BA15" s="136">
        <v>0.15</v>
      </c>
      <c r="BB15" s="136">
        <v>0.15</v>
      </c>
    </row>
    <row r="16" spans="1:54" x14ac:dyDescent="0.3">
      <c r="A16" t="s">
        <v>929</v>
      </c>
      <c r="AS16" s="2" t="s">
        <v>891</v>
      </c>
      <c r="AT16" s="136" t="s">
        <v>930</v>
      </c>
      <c r="AU16" s="136">
        <v>25</v>
      </c>
      <c r="AV16" s="136">
        <v>0.15</v>
      </c>
      <c r="AW16" s="136">
        <v>1</v>
      </c>
      <c r="AX16" s="136" t="s">
        <v>931</v>
      </c>
    </row>
    <row r="17" spans="1:54" x14ac:dyDescent="0.3">
      <c r="A17" t="s">
        <v>202</v>
      </c>
      <c r="AS17" s="2" t="s">
        <v>891</v>
      </c>
      <c r="AT17" s="136" t="s">
        <v>932</v>
      </c>
      <c r="AU17" s="136">
        <v>33</v>
      </c>
      <c r="AV17" s="136">
        <v>0.15</v>
      </c>
      <c r="AW17" s="136">
        <v>1</v>
      </c>
      <c r="AX17" s="136" t="s">
        <v>906</v>
      </c>
    </row>
    <row r="18" spans="1:54" x14ac:dyDescent="0.3">
      <c r="A18" t="s">
        <v>933</v>
      </c>
      <c r="AS18" s="2" t="s">
        <v>891</v>
      </c>
      <c r="AT18" s="136" t="s">
        <v>934</v>
      </c>
      <c r="AU18" s="136">
        <v>33</v>
      </c>
      <c r="AV18" s="136">
        <v>0.15</v>
      </c>
      <c r="AW18" s="136">
        <v>1</v>
      </c>
      <c r="AX18" s="136" t="s">
        <v>906</v>
      </c>
      <c r="BA18" s="4"/>
      <c r="BB18" s="4"/>
    </row>
    <row r="19" spans="1:54" x14ac:dyDescent="0.3">
      <c r="A19" t="s">
        <v>242</v>
      </c>
      <c r="AS19" s="2" t="s">
        <v>935</v>
      </c>
      <c r="AT19" s="136" t="s">
        <v>936</v>
      </c>
      <c r="AU19" s="136">
        <v>33</v>
      </c>
      <c r="AV19" s="136">
        <v>0.15</v>
      </c>
      <c r="AW19" s="136">
        <v>2</v>
      </c>
      <c r="AX19" s="136" t="s">
        <v>893</v>
      </c>
    </row>
    <row r="20" spans="1:54" x14ac:dyDescent="0.3">
      <c r="A20" t="s">
        <v>250</v>
      </c>
      <c r="AS20" s="2" t="s">
        <v>935</v>
      </c>
      <c r="AT20" s="136" t="s">
        <v>937</v>
      </c>
      <c r="AU20" s="136">
        <v>33</v>
      </c>
      <c r="AV20" s="136">
        <v>0.15</v>
      </c>
      <c r="AW20" s="136">
        <v>2</v>
      </c>
      <c r="AX20" s="136" t="s">
        <v>893</v>
      </c>
    </row>
    <row r="21" spans="1:54" x14ac:dyDescent="0.3">
      <c r="A21" t="s">
        <v>226</v>
      </c>
      <c r="AS21" s="2" t="s">
        <v>935</v>
      </c>
      <c r="AT21" s="136" t="s">
        <v>938</v>
      </c>
      <c r="AU21" s="136">
        <v>33</v>
      </c>
      <c r="AV21" s="136">
        <v>0.2</v>
      </c>
      <c r="AW21" s="136">
        <v>2</v>
      </c>
      <c r="AX21" s="136" t="s">
        <v>893</v>
      </c>
    </row>
    <row r="22" spans="1:54" x14ac:dyDescent="0.3">
      <c r="A22" t="s">
        <v>939</v>
      </c>
      <c r="AS22" s="2" t="s">
        <v>935</v>
      </c>
      <c r="AT22" s="136" t="s">
        <v>940</v>
      </c>
      <c r="AU22" s="136">
        <v>3</v>
      </c>
      <c r="AV22" s="136">
        <v>0.15</v>
      </c>
      <c r="AW22" s="136">
        <v>2</v>
      </c>
      <c r="AX22" s="136" t="s">
        <v>893</v>
      </c>
    </row>
    <row r="23" spans="1:54" x14ac:dyDescent="0.3">
      <c r="A23" t="s">
        <v>206</v>
      </c>
      <c r="AS23" s="2" t="s">
        <v>941</v>
      </c>
      <c r="AT23" s="136" t="s">
        <v>942</v>
      </c>
      <c r="AU23" s="136">
        <v>33</v>
      </c>
      <c r="AV23" s="136">
        <v>0.15</v>
      </c>
      <c r="AW23" s="136">
        <v>1</v>
      </c>
      <c r="AX23" s="136" t="s">
        <v>906</v>
      </c>
    </row>
    <row r="24" spans="1:54" x14ac:dyDescent="0.3">
      <c r="A24" t="s">
        <v>943</v>
      </c>
      <c r="AS24" s="2" t="s">
        <v>941</v>
      </c>
      <c r="AT24" s="136" t="s">
        <v>944</v>
      </c>
      <c r="AU24" s="136">
        <v>33</v>
      </c>
      <c r="AV24" s="136">
        <v>0.15</v>
      </c>
      <c r="AW24" s="136">
        <v>1</v>
      </c>
      <c r="AX24" s="136" t="s">
        <v>906</v>
      </c>
    </row>
    <row r="25" spans="1:54" x14ac:dyDescent="0.3">
      <c r="A25" t="s">
        <v>945</v>
      </c>
      <c r="AS25" s="2" t="s">
        <v>941</v>
      </c>
      <c r="AT25" s="136" t="s">
        <v>946</v>
      </c>
      <c r="AU25" s="136">
        <v>33</v>
      </c>
      <c r="AV25" s="136">
        <v>0.15</v>
      </c>
      <c r="AW25" s="136">
        <v>1</v>
      </c>
      <c r="AX25" s="136" t="s">
        <v>906</v>
      </c>
    </row>
    <row r="26" spans="1:54" x14ac:dyDescent="0.3">
      <c r="A26" t="s">
        <v>947</v>
      </c>
      <c r="AS26" s="2" t="s">
        <v>941</v>
      </c>
      <c r="AT26" s="136" t="s">
        <v>462</v>
      </c>
      <c r="AU26" s="136">
        <v>5</v>
      </c>
      <c r="AV26" s="136">
        <v>0.15</v>
      </c>
      <c r="AW26" s="136">
        <v>1</v>
      </c>
      <c r="AX26" s="136" t="s">
        <v>906</v>
      </c>
    </row>
    <row r="27" spans="1:54" x14ac:dyDescent="0.3">
      <c r="A27" t="s">
        <v>948</v>
      </c>
      <c r="AS27" s="2" t="s">
        <v>941</v>
      </c>
      <c r="AT27" s="136" t="s">
        <v>949</v>
      </c>
      <c r="AU27" s="136">
        <v>2</v>
      </c>
      <c r="AV27" s="136">
        <v>0.15</v>
      </c>
      <c r="AW27" s="136">
        <v>2</v>
      </c>
      <c r="AX27" s="136" t="s">
        <v>950</v>
      </c>
    </row>
    <row r="28" spans="1:54" x14ac:dyDescent="0.3">
      <c r="A28" t="s">
        <v>951</v>
      </c>
      <c r="AS28" s="136" t="s">
        <v>952</v>
      </c>
      <c r="AT28" s="136" t="s">
        <v>953</v>
      </c>
      <c r="AU28" s="136">
        <v>3</v>
      </c>
      <c r="AV28" s="136">
        <v>0.15</v>
      </c>
      <c r="AW28" s="136">
        <v>1</v>
      </c>
      <c r="AX28" s="136" t="s">
        <v>906</v>
      </c>
    </row>
    <row r="29" spans="1:54" x14ac:dyDescent="0.3">
      <c r="A29" t="s">
        <v>954</v>
      </c>
      <c r="AS29" s="136" t="s">
        <v>952</v>
      </c>
      <c r="AT29" s="136" t="s">
        <v>955</v>
      </c>
      <c r="AU29" s="136">
        <v>5</v>
      </c>
      <c r="AV29" s="136">
        <v>0.15</v>
      </c>
      <c r="AW29" s="136">
        <v>1</v>
      </c>
      <c r="AX29" s="136" t="s">
        <v>906</v>
      </c>
    </row>
    <row r="30" spans="1:54" x14ac:dyDescent="0.3">
      <c r="A30" t="s">
        <v>956</v>
      </c>
      <c r="AS30" s="136" t="s">
        <v>952</v>
      </c>
      <c r="AT30" s="136" t="s">
        <v>957</v>
      </c>
      <c r="AU30" s="136">
        <v>5</v>
      </c>
      <c r="AV30" s="136">
        <v>0.15</v>
      </c>
      <c r="AW30" s="136">
        <v>2</v>
      </c>
      <c r="AX30" s="136" t="s">
        <v>893</v>
      </c>
    </row>
    <row r="31" spans="1:54" x14ac:dyDescent="0.3">
      <c r="A31" t="s">
        <v>958</v>
      </c>
      <c r="AS31" s="136" t="s">
        <v>952</v>
      </c>
      <c r="AT31" s="136" t="s">
        <v>959</v>
      </c>
      <c r="AU31" s="136">
        <v>5</v>
      </c>
      <c r="AV31" s="136">
        <v>0.15</v>
      </c>
      <c r="AW31" s="136">
        <v>1</v>
      </c>
      <c r="AX31" s="136" t="s">
        <v>893</v>
      </c>
    </row>
    <row r="32" spans="1:54" x14ac:dyDescent="0.3">
      <c r="A32" t="s">
        <v>960</v>
      </c>
      <c r="AS32" s="136" t="s">
        <v>952</v>
      </c>
      <c r="AT32" s="136" t="s">
        <v>961</v>
      </c>
      <c r="AU32" s="136">
        <v>33</v>
      </c>
      <c r="AV32" s="136">
        <v>0.15</v>
      </c>
      <c r="AW32" s="136">
        <v>1</v>
      </c>
      <c r="AX32" s="136" t="s">
        <v>906</v>
      </c>
    </row>
    <row r="33" spans="1:50" x14ac:dyDescent="0.3">
      <c r="A33" t="s">
        <v>962</v>
      </c>
      <c r="AS33" s="136" t="s">
        <v>952</v>
      </c>
      <c r="AT33" s="136" t="s">
        <v>963</v>
      </c>
      <c r="AU33" s="136">
        <v>33</v>
      </c>
      <c r="AV33" s="136">
        <v>0.15</v>
      </c>
      <c r="AW33" s="136">
        <v>1</v>
      </c>
      <c r="AX33" s="136" t="s">
        <v>906</v>
      </c>
    </row>
    <row r="34" spans="1:50" x14ac:dyDescent="0.3">
      <c r="A34" t="s">
        <v>964</v>
      </c>
      <c r="AS34" s="136" t="s">
        <v>965</v>
      </c>
      <c r="AT34" s="136" t="s">
        <v>966</v>
      </c>
      <c r="AU34" s="136">
        <v>5</v>
      </c>
      <c r="AV34" s="136">
        <v>0.15</v>
      </c>
      <c r="AW34" s="136">
        <v>2</v>
      </c>
      <c r="AX34" s="136" t="s">
        <v>906</v>
      </c>
    </row>
    <row r="35" spans="1:50" x14ac:dyDescent="0.3">
      <c r="A35" t="s">
        <v>247</v>
      </c>
      <c r="AS35" s="136" t="s">
        <v>965</v>
      </c>
      <c r="AT35" s="136" t="s">
        <v>967</v>
      </c>
      <c r="AU35" s="136">
        <v>5</v>
      </c>
      <c r="AV35" s="136">
        <v>0.15</v>
      </c>
      <c r="AW35" s="136">
        <v>1</v>
      </c>
      <c r="AX35" s="136" t="s">
        <v>906</v>
      </c>
    </row>
    <row r="36" spans="1:50" x14ac:dyDescent="0.3">
      <c r="A36" t="s">
        <v>223</v>
      </c>
      <c r="AS36" s="136" t="s">
        <v>965</v>
      </c>
      <c r="AT36" s="136" t="s">
        <v>968</v>
      </c>
      <c r="AU36" s="136">
        <v>5</v>
      </c>
      <c r="AV36" s="136">
        <v>0.15</v>
      </c>
      <c r="AW36" s="136">
        <v>1</v>
      </c>
      <c r="AX36" s="136" t="s">
        <v>906</v>
      </c>
    </row>
    <row r="37" spans="1:50" x14ac:dyDescent="0.3">
      <c r="A37" t="s">
        <v>969</v>
      </c>
      <c r="AS37" s="136" t="s">
        <v>965</v>
      </c>
      <c r="AT37" s="136" t="s">
        <v>970</v>
      </c>
      <c r="AU37" s="136">
        <v>0</v>
      </c>
      <c r="AV37" s="136">
        <v>0</v>
      </c>
      <c r="AW37" s="136">
        <v>2</v>
      </c>
      <c r="AX37" s="136" t="s">
        <v>669</v>
      </c>
    </row>
    <row r="38" spans="1:50" x14ac:dyDescent="0.3">
      <c r="A38" t="s">
        <v>971</v>
      </c>
      <c r="AS38" s="136" t="s">
        <v>965</v>
      </c>
      <c r="AT38" s="136" t="s">
        <v>972</v>
      </c>
      <c r="AU38" s="136">
        <v>33</v>
      </c>
      <c r="AV38" s="136">
        <v>0.15</v>
      </c>
      <c r="AW38" s="136">
        <v>1</v>
      </c>
      <c r="AX38" s="136" t="s">
        <v>893</v>
      </c>
    </row>
    <row r="39" spans="1:50" x14ac:dyDescent="0.3">
      <c r="A39" t="s">
        <v>209</v>
      </c>
      <c r="AS39" s="136" t="s">
        <v>965</v>
      </c>
      <c r="AT39" s="136" t="s">
        <v>973</v>
      </c>
      <c r="AU39" s="136">
        <v>33</v>
      </c>
      <c r="AV39" s="136">
        <v>0.15</v>
      </c>
      <c r="AW39" s="136">
        <v>1</v>
      </c>
      <c r="AX39" s="136" t="s">
        <v>906</v>
      </c>
    </row>
    <row r="40" spans="1:50" x14ac:dyDescent="0.3">
      <c r="A40" t="s">
        <v>974</v>
      </c>
      <c r="AS40" s="136" t="s">
        <v>965</v>
      </c>
      <c r="AT40" s="136" t="s">
        <v>975</v>
      </c>
      <c r="AU40" s="136">
        <v>2</v>
      </c>
      <c r="AV40" s="136">
        <v>0.15</v>
      </c>
      <c r="AW40" s="136">
        <v>1</v>
      </c>
      <c r="AX40" s="136" t="s">
        <v>893</v>
      </c>
    </row>
    <row r="41" spans="1:50" x14ac:dyDescent="0.3">
      <c r="A41" t="s">
        <v>976</v>
      </c>
      <c r="AS41" s="136" t="s">
        <v>965</v>
      </c>
      <c r="AT41" s="136" t="s">
        <v>977</v>
      </c>
      <c r="AU41" s="136">
        <v>5</v>
      </c>
      <c r="AV41" s="136">
        <v>0.15</v>
      </c>
      <c r="AW41" s="136">
        <v>1</v>
      </c>
      <c r="AX41" s="136" t="s">
        <v>906</v>
      </c>
    </row>
    <row r="42" spans="1:50" x14ac:dyDescent="0.3">
      <c r="A42" t="s">
        <v>228</v>
      </c>
      <c r="AS42" s="136" t="s">
        <v>965</v>
      </c>
      <c r="AT42" s="136" t="s">
        <v>978</v>
      </c>
      <c r="AU42" s="136">
        <v>5</v>
      </c>
      <c r="AV42" s="136">
        <v>0.15</v>
      </c>
      <c r="AW42" s="136">
        <v>1</v>
      </c>
      <c r="AX42" s="136" t="s">
        <v>906</v>
      </c>
    </row>
    <row r="43" spans="1:50" x14ac:dyDescent="0.3">
      <c r="A43" t="s">
        <v>979</v>
      </c>
      <c r="AS43" s="136" t="s">
        <v>965</v>
      </c>
      <c r="AT43" s="136" t="s">
        <v>980</v>
      </c>
      <c r="AU43" s="136">
        <v>33</v>
      </c>
      <c r="AV43" s="136">
        <v>0.15</v>
      </c>
      <c r="AW43" s="136">
        <v>1</v>
      </c>
      <c r="AX43" s="136" t="s">
        <v>906</v>
      </c>
    </row>
    <row r="44" spans="1:50" x14ac:dyDescent="0.3">
      <c r="A44" t="s">
        <v>981</v>
      </c>
      <c r="AS44" s="136" t="s">
        <v>982</v>
      </c>
      <c r="AT44" s="136" t="s">
        <v>966</v>
      </c>
      <c r="AU44" s="136">
        <v>5</v>
      </c>
      <c r="AV44" s="136">
        <v>0.15</v>
      </c>
      <c r="AW44" s="136">
        <v>2</v>
      </c>
      <c r="AX44" s="136" t="s">
        <v>906</v>
      </c>
    </row>
    <row r="45" spans="1:50" x14ac:dyDescent="0.3">
      <c r="A45" t="s">
        <v>983</v>
      </c>
      <c r="AS45" s="136" t="s">
        <v>982</v>
      </c>
      <c r="AT45" s="136" t="s">
        <v>967</v>
      </c>
      <c r="AU45" s="136">
        <v>5</v>
      </c>
      <c r="AV45" s="136">
        <v>0.15</v>
      </c>
      <c r="AW45" s="136">
        <v>1</v>
      </c>
      <c r="AX45" s="136" t="s">
        <v>906</v>
      </c>
    </row>
    <row r="46" spans="1:50" x14ac:dyDescent="0.3">
      <c r="A46" t="s">
        <v>984</v>
      </c>
      <c r="AS46" s="136" t="s">
        <v>982</v>
      </c>
      <c r="AT46" s="136" t="s">
        <v>968</v>
      </c>
      <c r="AU46" s="136">
        <v>5</v>
      </c>
      <c r="AV46" s="136">
        <v>0.15</v>
      </c>
      <c r="AW46" s="136">
        <v>1</v>
      </c>
      <c r="AX46" s="136" t="s">
        <v>906</v>
      </c>
    </row>
    <row r="47" spans="1:50" x14ac:dyDescent="0.3">
      <c r="A47" t="s">
        <v>985</v>
      </c>
      <c r="AS47" s="136" t="s">
        <v>982</v>
      </c>
      <c r="AT47" s="136" t="s">
        <v>970</v>
      </c>
      <c r="AU47" s="136">
        <v>0</v>
      </c>
      <c r="AV47" s="136">
        <v>0</v>
      </c>
      <c r="AW47" s="136">
        <v>2</v>
      </c>
      <c r="AX47" s="136" t="s">
        <v>669</v>
      </c>
    </row>
    <row r="48" spans="1:50" ht="28.8" x14ac:dyDescent="0.3">
      <c r="A48" t="s">
        <v>986</v>
      </c>
      <c r="AS48" s="2" t="s">
        <v>987</v>
      </c>
      <c r="AT48" s="136" t="s">
        <v>988</v>
      </c>
      <c r="AU48" s="136">
        <v>5</v>
      </c>
      <c r="AV48" s="136">
        <v>0.15</v>
      </c>
      <c r="AW48" s="136">
        <v>3</v>
      </c>
      <c r="AX48" s="136" t="s">
        <v>915</v>
      </c>
    </row>
    <row r="49" spans="1:50" x14ac:dyDescent="0.3">
      <c r="A49" t="s">
        <v>989</v>
      </c>
      <c r="AS49" s="2" t="s">
        <v>987</v>
      </c>
      <c r="AT49" s="136" t="s">
        <v>990</v>
      </c>
      <c r="AU49" s="136">
        <v>5</v>
      </c>
      <c r="AV49" s="136">
        <v>0.15</v>
      </c>
      <c r="AW49" s="136">
        <v>2</v>
      </c>
      <c r="AX49" s="136" t="s">
        <v>915</v>
      </c>
    </row>
    <row r="50" spans="1:50" x14ac:dyDescent="0.3">
      <c r="A50" t="s">
        <v>204</v>
      </c>
      <c r="AS50" s="2" t="s">
        <v>987</v>
      </c>
      <c r="AT50" s="136" t="s">
        <v>991</v>
      </c>
      <c r="AU50" s="136">
        <v>5</v>
      </c>
      <c r="AV50" s="136">
        <v>0.15</v>
      </c>
      <c r="AW50" s="136">
        <v>1</v>
      </c>
      <c r="AX50" s="136" t="s">
        <v>915</v>
      </c>
    </row>
    <row r="51" spans="1:50" x14ac:dyDescent="0.3">
      <c r="A51" t="s">
        <v>992</v>
      </c>
      <c r="AS51" s="2" t="s">
        <v>987</v>
      </c>
      <c r="AT51" s="136" t="s">
        <v>993</v>
      </c>
      <c r="AU51" s="136">
        <v>2</v>
      </c>
      <c r="AV51" s="136">
        <v>0.15</v>
      </c>
      <c r="AW51" s="136">
        <v>2</v>
      </c>
      <c r="AX51" s="136" t="s">
        <v>950</v>
      </c>
    </row>
    <row r="52" spans="1:50" x14ac:dyDescent="0.3">
      <c r="A52" t="s">
        <v>994</v>
      </c>
      <c r="AS52" s="2" t="s">
        <v>987</v>
      </c>
      <c r="AT52" s="136" t="s">
        <v>995</v>
      </c>
      <c r="AU52" s="136">
        <v>2</v>
      </c>
      <c r="AV52" s="136">
        <v>0.15</v>
      </c>
      <c r="AW52" s="136">
        <v>2</v>
      </c>
      <c r="AX52" s="136" t="s">
        <v>915</v>
      </c>
    </row>
    <row r="53" spans="1:50" x14ac:dyDescent="0.3">
      <c r="A53" t="s">
        <v>996</v>
      </c>
      <c r="AS53" s="2" t="s">
        <v>987</v>
      </c>
      <c r="AT53" s="136" t="s">
        <v>997</v>
      </c>
      <c r="AU53" s="136">
        <v>5</v>
      </c>
      <c r="AV53" s="136">
        <v>0.15</v>
      </c>
      <c r="AW53" s="136">
        <v>1</v>
      </c>
      <c r="AX53" s="136" t="s">
        <v>915</v>
      </c>
    </row>
    <row r="54" spans="1:50" x14ac:dyDescent="0.3">
      <c r="A54" t="s">
        <v>998</v>
      </c>
      <c r="AS54" s="2" t="s">
        <v>987</v>
      </c>
      <c r="AT54" s="136" t="s">
        <v>999</v>
      </c>
      <c r="AU54" s="136">
        <v>33</v>
      </c>
      <c r="AV54" s="136">
        <v>0.15</v>
      </c>
      <c r="AW54" s="136">
        <v>1</v>
      </c>
      <c r="AX54" s="136" t="s">
        <v>906</v>
      </c>
    </row>
    <row r="55" spans="1:50" x14ac:dyDescent="0.3">
      <c r="A55" t="s">
        <v>1000</v>
      </c>
      <c r="AS55" s="2" t="s">
        <v>987</v>
      </c>
      <c r="AT55" s="136" t="s">
        <v>1001</v>
      </c>
      <c r="AU55" s="136">
        <v>1</v>
      </c>
      <c r="AV55" s="136">
        <v>0.15</v>
      </c>
      <c r="AW55" s="136">
        <v>2</v>
      </c>
      <c r="AX55" s="136" t="s">
        <v>950</v>
      </c>
    </row>
    <row r="56" spans="1:50" x14ac:dyDescent="0.3">
      <c r="A56" t="s">
        <v>218</v>
      </c>
      <c r="AS56" s="2" t="s">
        <v>987</v>
      </c>
      <c r="AT56" s="136" t="s">
        <v>928</v>
      </c>
      <c r="AU56" s="136">
        <v>5</v>
      </c>
      <c r="AV56" s="136">
        <v>0.15</v>
      </c>
      <c r="AW56" s="136">
        <v>2</v>
      </c>
      <c r="AX56" s="136" t="s">
        <v>915</v>
      </c>
    </row>
    <row r="57" spans="1:50" x14ac:dyDescent="0.3">
      <c r="A57" t="s">
        <v>1002</v>
      </c>
      <c r="AS57" s="2" t="s">
        <v>156</v>
      </c>
      <c r="AT57" s="136" t="s">
        <v>1003</v>
      </c>
      <c r="AU57" s="136">
        <v>17</v>
      </c>
      <c r="AV57" s="136">
        <v>0.2</v>
      </c>
      <c r="AW57" s="136">
        <v>2</v>
      </c>
      <c r="AX57" s="136" t="s">
        <v>915</v>
      </c>
    </row>
    <row r="58" spans="1:50" x14ac:dyDescent="0.3">
      <c r="A58" t="s">
        <v>1004</v>
      </c>
      <c r="AS58" s="2" t="s">
        <v>156</v>
      </c>
      <c r="AT58" s="136" t="s">
        <v>1005</v>
      </c>
      <c r="AU58" s="136">
        <v>17</v>
      </c>
      <c r="AV58" s="136">
        <v>0.15</v>
      </c>
      <c r="AW58" s="136">
        <v>1</v>
      </c>
      <c r="AX58" s="136" t="s">
        <v>906</v>
      </c>
    </row>
    <row r="59" spans="1:50" x14ac:dyDescent="0.3">
      <c r="A59" t="s">
        <v>1006</v>
      </c>
      <c r="AS59" s="2" t="s">
        <v>156</v>
      </c>
      <c r="AT59" s="136" t="s">
        <v>1007</v>
      </c>
      <c r="AU59" s="136">
        <v>17</v>
      </c>
      <c r="AV59" s="136">
        <v>0.4</v>
      </c>
      <c r="AW59" s="136">
        <v>2</v>
      </c>
      <c r="AX59" s="136" t="s">
        <v>915</v>
      </c>
    </row>
    <row r="60" spans="1:50" x14ac:dyDescent="0.3">
      <c r="A60" t="s">
        <v>1008</v>
      </c>
      <c r="AS60" s="2" t="s">
        <v>156</v>
      </c>
      <c r="AT60" s="136" t="s">
        <v>1009</v>
      </c>
      <c r="AU60" s="136">
        <v>17</v>
      </c>
      <c r="AV60" s="136">
        <v>0.4</v>
      </c>
      <c r="AW60" s="136">
        <v>2</v>
      </c>
      <c r="AX60" s="136" t="s">
        <v>915</v>
      </c>
    </row>
    <row r="61" spans="1:50" x14ac:dyDescent="0.3">
      <c r="A61" t="s">
        <v>1010</v>
      </c>
      <c r="AS61" s="2" t="s">
        <v>156</v>
      </c>
      <c r="AT61" s="136" t="s">
        <v>1011</v>
      </c>
      <c r="AU61" s="136">
        <v>17</v>
      </c>
      <c r="AV61" s="136">
        <v>0.2</v>
      </c>
      <c r="AW61" s="136">
        <v>2</v>
      </c>
      <c r="AX61" s="136" t="s">
        <v>915</v>
      </c>
    </row>
    <row r="62" spans="1:50" x14ac:dyDescent="0.3">
      <c r="A62" t="s">
        <v>1012</v>
      </c>
      <c r="AS62" s="2" t="s">
        <v>156</v>
      </c>
      <c r="AT62" s="136" t="s">
        <v>1013</v>
      </c>
      <c r="AU62" s="136">
        <v>17</v>
      </c>
      <c r="AV62" s="136">
        <v>0.2</v>
      </c>
      <c r="AW62" s="136">
        <v>1</v>
      </c>
      <c r="AX62" s="136" t="s">
        <v>906</v>
      </c>
    </row>
    <row r="63" spans="1:50" x14ac:dyDescent="0.3">
      <c r="A63" t="s">
        <v>1014</v>
      </c>
      <c r="AS63" s="2" t="s">
        <v>156</v>
      </c>
      <c r="AT63" s="136" t="s">
        <v>1015</v>
      </c>
      <c r="AU63" s="136">
        <v>17</v>
      </c>
      <c r="AV63" s="136">
        <v>0.3</v>
      </c>
      <c r="AW63" s="136">
        <v>2</v>
      </c>
      <c r="AX63" s="136" t="s">
        <v>915</v>
      </c>
    </row>
    <row r="64" spans="1:50" x14ac:dyDescent="0.3">
      <c r="A64" t="s">
        <v>216</v>
      </c>
      <c r="AS64" s="2" t="s">
        <v>1016</v>
      </c>
      <c r="AT64" s="136" t="s">
        <v>1017</v>
      </c>
      <c r="AU64" s="136">
        <v>71</v>
      </c>
      <c r="AV64" s="136">
        <v>0.15</v>
      </c>
      <c r="AW64" s="136">
        <v>1</v>
      </c>
      <c r="AX64" s="136" t="s">
        <v>906</v>
      </c>
    </row>
    <row r="65" spans="1:50" x14ac:dyDescent="0.3">
      <c r="A65" t="s">
        <v>1018</v>
      </c>
      <c r="AS65" s="2" t="s">
        <v>1016</v>
      </c>
      <c r="AT65" s="136" t="s">
        <v>1019</v>
      </c>
      <c r="AU65" s="136">
        <v>71</v>
      </c>
      <c r="AV65" s="136">
        <v>0.15</v>
      </c>
      <c r="AW65" s="136">
        <v>1</v>
      </c>
      <c r="AX65" s="136" t="s">
        <v>906</v>
      </c>
    </row>
    <row r="66" spans="1:50" x14ac:dyDescent="0.3">
      <c r="A66" t="s">
        <v>1020</v>
      </c>
      <c r="AS66" s="2" t="s">
        <v>1016</v>
      </c>
      <c r="AT66" s="136" t="s">
        <v>1021</v>
      </c>
      <c r="AU66" s="136">
        <v>13</v>
      </c>
      <c r="AV66" s="136">
        <v>0.15</v>
      </c>
      <c r="AW66" s="136">
        <v>1</v>
      </c>
      <c r="AX66" s="136" t="s">
        <v>906</v>
      </c>
    </row>
    <row r="67" spans="1:50" x14ac:dyDescent="0.3">
      <c r="A67" t="s">
        <v>1022</v>
      </c>
      <c r="AS67" s="2" t="s">
        <v>1016</v>
      </c>
      <c r="AT67" s="136" t="s">
        <v>1023</v>
      </c>
      <c r="AU67" s="136">
        <v>13</v>
      </c>
      <c r="AV67" s="136">
        <v>0.15</v>
      </c>
      <c r="AW67" s="136">
        <v>1</v>
      </c>
      <c r="AX67" s="136" t="s">
        <v>906</v>
      </c>
    </row>
    <row r="68" spans="1:50" x14ac:dyDescent="0.3">
      <c r="A68" t="s">
        <v>1024</v>
      </c>
      <c r="AS68" s="2" t="s">
        <v>1016</v>
      </c>
      <c r="AT68" s="136" t="s">
        <v>1025</v>
      </c>
      <c r="AU68" s="136">
        <v>10</v>
      </c>
      <c r="AV68" s="136">
        <v>0.15</v>
      </c>
      <c r="AW68" s="136">
        <v>1</v>
      </c>
      <c r="AX68" s="136" t="s">
        <v>915</v>
      </c>
    </row>
    <row r="69" spans="1:50" x14ac:dyDescent="0.3">
      <c r="A69" t="s">
        <v>1026</v>
      </c>
      <c r="AS69" s="2" t="s">
        <v>1016</v>
      </c>
      <c r="AT69" s="136" t="s">
        <v>1027</v>
      </c>
      <c r="AU69" s="136">
        <v>33</v>
      </c>
      <c r="AV69" s="136">
        <v>0.15</v>
      </c>
      <c r="AW69" s="136">
        <v>1</v>
      </c>
      <c r="AX69" s="136" t="s">
        <v>906</v>
      </c>
    </row>
    <row r="70" spans="1:50" x14ac:dyDescent="0.3">
      <c r="A70" t="s">
        <v>1028</v>
      </c>
      <c r="AS70" s="2" t="s">
        <v>1016</v>
      </c>
      <c r="AT70" s="136" t="s">
        <v>1029</v>
      </c>
      <c r="AU70" s="136">
        <v>17</v>
      </c>
      <c r="AV70" s="136">
        <v>0.15</v>
      </c>
      <c r="AW70" s="136">
        <v>1</v>
      </c>
      <c r="AX70" s="136" t="s">
        <v>915</v>
      </c>
    </row>
    <row r="71" spans="1:50" x14ac:dyDescent="0.3">
      <c r="A71" t="s">
        <v>1030</v>
      </c>
      <c r="AS71" s="2" t="s">
        <v>1016</v>
      </c>
      <c r="AT71" s="136" t="s">
        <v>1031</v>
      </c>
      <c r="AU71" s="136">
        <v>17</v>
      </c>
      <c r="AV71" s="136">
        <v>0.15</v>
      </c>
      <c r="AW71" s="136">
        <v>1</v>
      </c>
      <c r="AX71" s="136" t="s">
        <v>906</v>
      </c>
    </row>
    <row r="72" spans="1:50" x14ac:dyDescent="0.3">
      <c r="A72" t="s">
        <v>1032</v>
      </c>
      <c r="AS72" s="2" t="s">
        <v>1016</v>
      </c>
      <c r="AT72" s="2" t="s">
        <v>1033</v>
      </c>
      <c r="AU72" s="136">
        <v>5</v>
      </c>
      <c r="AV72" s="136">
        <v>0.15</v>
      </c>
      <c r="AW72" s="136">
        <v>1</v>
      </c>
      <c r="AX72" s="136" t="s">
        <v>906</v>
      </c>
    </row>
    <row r="73" spans="1:50" x14ac:dyDescent="0.3">
      <c r="A73" t="s">
        <v>1034</v>
      </c>
    </row>
    <row r="74" spans="1:50" x14ac:dyDescent="0.3">
      <c r="A74" t="s">
        <v>1035</v>
      </c>
      <c r="AS74" t="s">
        <v>1036</v>
      </c>
    </row>
    <row r="75" spans="1:50" x14ac:dyDescent="0.3">
      <c r="A75" t="s">
        <v>232</v>
      </c>
      <c r="AS75" t="s">
        <v>1037</v>
      </c>
    </row>
    <row r="76" spans="1:50" x14ac:dyDescent="0.3">
      <c r="A76" t="s">
        <v>1038</v>
      </c>
      <c r="AS76" t="s">
        <v>1039</v>
      </c>
    </row>
    <row r="77" spans="1:50" x14ac:dyDescent="0.3">
      <c r="A77" t="s">
        <v>1040</v>
      </c>
      <c r="AS77" t="s">
        <v>1041</v>
      </c>
    </row>
    <row r="78" spans="1:50" x14ac:dyDescent="0.3">
      <c r="A78" t="s">
        <v>1042</v>
      </c>
      <c r="AS78" t="s">
        <v>1043</v>
      </c>
    </row>
    <row r="79" spans="1:50" x14ac:dyDescent="0.3">
      <c r="A79" t="s">
        <v>656</v>
      </c>
      <c r="AS79" t="s">
        <v>1044</v>
      </c>
    </row>
    <row r="80" spans="1:50" x14ac:dyDescent="0.3">
      <c r="A80" t="s">
        <v>1045</v>
      </c>
      <c r="AS80" t="s">
        <v>1046</v>
      </c>
    </row>
    <row r="81" spans="1:49" x14ac:dyDescent="0.3">
      <c r="A81" t="s">
        <v>1047</v>
      </c>
      <c r="AS81" t="s">
        <v>1048</v>
      </c>
    </row>
    <row r="82" spans="1:49" x14ac:dyDescent="0.3">
      <c r="A82" t="s">
        <v>1049</v>
      </c>
      <c r="AS82" t="s">
        <v>1050</v>
      </c>
    </row>
    <row r="83" spans="1:49" x14ac:dyDescent="0.3">
      <c r="A83" s="1" t="s">
        <v>1051</v>
      </c>
      <c r="B83" s="1"/>
      <c r="O83" s="447" t="str">
        <f>A84</f>
        <v>Basement of Large Hotel</v>
      </c>
      <c r="AS83" t="s">
        <v>1052</v>
      </c>
    </row>
    <row r="84" spans="1:49" ht="66" x14ac:dyDescent="0.3">
      <c r="A84" s="1" t="s">
        <v>1053</v>
      </c>
      <c r="B84" s="1"/>
      <c r="C84" s="452">
        <f t="shared" ref="C84:D84" si="0">SUMPRODUCT($Q$85:$Q$88,W85:W88)</f>
        <v>13.45</v>
      </c>
      <c r="D84" s="453">
        <f t="shared" si="0"/>
        <v>307.51615657454977</v>
      </c>
      <c r="E84" s="453">
        <f>SUMPRODUCT($Q$85:$Q$88,Y85:Y88)</f>
        <v>49</v>
      </c>
      <c r="F84" s="6">
        <f>SUMPRODUCT($Q$85:$Q$88,Z85:Z88)</f>
        <v>1.2349999999999999</v>
      </c>
      <c r="G84" s="6">
        <f>SUMPRODUCT($Q$85:$Q$88,AA85:AA88)</f>
        <v>0</v>
      </c>
      <c r="H84" s="6">
        <f>SUMPRODUCT($Q$85:$Q$88,AB85:AB88)</f>
        <v>0</v>
      </c>
      <c r="I84" s="6">
        <f>SUMPRODUCT($Q$85:$Q$88,AC85:AC88)</f>
        <v>0.72750000000000004</v>
      </c>
      <c r="J84" s="6">
        <f t="shared" ref="J84" si="1">SUMPRODUCT($Q$85:$Q$88,AD85:AD88)</f>
        <v>0.77249999999999996</v>
      </c>
      <c r="K84" s="6">
        <f t="shared" ref="K84" si="2">SUMPRODUCT($Q$85:$Q$88,AE85:AE88)</f>
        <v>1.0050000000000001</v>
      </c>
      <c r="L84" s="6">
        <f>SUMPRODUCT($Q$85:$Q$88,AF85:AF88)</f>
        <v>0.27239999999999998</v>
      </c>
      <c r="M84" s="6"/>
      <c r="O84" s="436" t="s">
        <v>1054</v>
      </c>
      <c r="P84" s="436" t="s">
        <v>597</v>
      </c>
      <c r="Q84" s="436" t="s">
        <v>1055</v>
      </c>
      <c r="R84" s="448" t="s">
        <v>1056</v>
      </c>
      <c r="S84" s="436" t="s">
        <v>489</v>
      </c>
      <c r="T84" s="448" t="s">
        <v>1057</v>
      </c>
      <c r="U84" s="448" t="s">
        <v>1058</v>
      </c>
      <c r="V84" s="448" t="s">
        <v>492</v>
      </c>
      <c r="W84" s="448" t="s">
        <v>493</v>
      </c>
      <c r="X84" s="448" t="s">
        <v>494</v>
      </c>
      <c r="Y84" s="448" t="s">
        <v>495</v>
      </c>
      <c r="Z84" s="448" t="s">
        <v>647</v>
      </c>
      <c r="AA84" s="448" t="s">
        <v>650</v>
      </c>
      <c r="AB84" s="448" t="s">
        <v>649</v>
      </c>
      <c r="AC84" s="448" t="s">
        <v>1059</v>
      </c>
      <c r="AD84" s="448" t="s">
        <v>1060</v>
      </c>
      <c r="AE84" s="448" t="s">
        <v>1061</v>
      </c>
      <c r="AF84" s="448" t="s">
        <v>1062</v>
      </c>
      <c r="AG84" s="538" t="s">
        <v>1063</v>
      </c>
      <c r="AS84" t="s">
        <v>1064</v>
      </c>
    </row>
    <row r="85" spans="1:49" x14ac:dyDescent="0.3">
      <c r="A85" t="s">
        <v>212</v>
      </c>
      <c r="O85" s="437" t="s">
        <v>1065</v>
      </c>
      <c r="P85" s="437" t="s">
        <v>202</v>
      </c>
      <c r="Q85" s="152">
        <v>0.35</v>
      </c>
      <c r="R85" s="846">
        <v>33</v>
      </c>
      <c r="S85" s="450">
        <f>Q85*Zones!$H$3</f>
        <v>2609.2279951779979</v>
      </c>
      <c r="T85" s="813">
        <v>15</v>
      </c>
      <c r="U85" s="814">
        <v>0.15</v>
      </c>
      <c r="V85" s="449" t="s">
        <v>497</v>
      </c>
      <c r="W85" s="5">
        <f>R85</f>
        <v>33</v>
      </c>
      <c r="X85" s="451">
        <f>U85*S85</f>
        <v>391.38419927669969</v>
      </c>
      <c r="Y85" s="449">
        <f>2*70</f>
        <v>140</v>
      </c>
      <c r="Z85" s="5">
        <v>1.5</v>
      </c>
      <c r="AA85" s="5"/>
      <c r="AB85" s="5"/>
      <c r="AC85" s="824">
        <v>0.75</v>
      </c>
      <c r="AD85" s="824">
        <v>0.85</v>
      </c>
      <c r="AE85" s="824">
        <v>1.2</v>
      </c>
      <c r="AF85" s="824">
        <v>0.18</v>
      </c>
      <c r="AG85" s="539">
        <f>Q85*SUM($S$85:$S$88)*2</f>
        <v>5218.4559903559957</v>
      </c>
      <c r="AS85" t="s">
        <v>1066</v>
      </c>
    </row>
    <row r="86" spans="1:49" x14ac:dyDescent="0.3">
      <c r="O86" s="438" t="s">
        <v>1067</v>
      </c>
      <c r="P86" s="438" t="s">
        <v>204</v>
      </c>
      <c r="Q86" s="152">
        <v>0.2</v>
      </c>
      <c r="R86" s="846">
        <v>5</v>
      </c>
      <c r="S86" s="450">
        <f>Q86*Zones!$H$3</f>
        <v>1490.9874258159989</v>
      </c>
      <c r="T86" s="813">
        <v>15</v>
      </c>
      <c r="U86" s="814">
        <v>0.15</v>
      </c>
      <c r="V86" s="5"/>
      <c r="W86" s="5">
        <f t="shared" ref="W86:W88" si="3">R86</f>
        <v>5</v>
      </c>
      <c r="X86" s="451">
        <f t="shared" ref="X86:X88" si="4">U86*S86</f>
        <v>223.64811387239982</v>
      </c>
      <c r="Y86" s="5"/>
      <c r="Z86" s="5">
        <v>1</v>
      </c>
      <c r="AA86" s="5"/>
      <c r="AB86" s="5"/>
      <c r="AC86" s="824">
        <v>0.6</v>
      </c>
      <c r="AD86" s="824">
        <v>0.65</v>
      </c>
      <c r="AE86" s="824">
        <v>0.75</v>
      </c>
      <c r="AF86" s="824">
        <v>0.18</v>
      </c>
      <c r="AG86" s="539">
        <f t="shared" ref="AG86:AG88" si="5">Q86*SUM($S$85:$S$88)*2</f>
        <v>2981.9748516319978</v>
      </c>
      <c r="AS86" t="s">
        <v>1068</v>
      </c>
    </row>
    <row r="87" spans="1:49" x14ac:dyDescent="0.3">
      <c r="O87" s="27" t="s">
        <v>1069</v>
      </c>
      <c r="P87" s="27" t="s">
        <v>1070</v>
      </c>
      <c r="Q87" s="152">
        <v>0.3</v>
      </c>
      <c r="R87" s="846">
        <v>3</v>
      </c>
      <c r="S87" s="450">
        <f>Q87*Zones!$H$3</f>
        <v>2236.4811387239984</v>
      </c>
      <c r="T87" s="813">
        <v>15</v>
      </c>
      <c r="U87" s="814">
        <v>0.15</v>
      </c>
      <c r="V87" s="870" t="s">
        <v>1071</v>
      </c>
      <c r="W87" s="5">
        <f t="shared" si="3"/>
        <v>3</v>
      </c>
      <c r="X87" s="451">
        <f t="shared" si="4"/>
        <v>335.47217080859974</v>
      </c>
      <c r="Y87" s="815"/>
      <c r="Z87" s="228">
        <v>1.5</v>
      </c>
      <c r="AA87" s="228"/>
      <c r="AB87" s="870"/>
      <c r="AC87" s="824">
        <v>0.95</v>
      </c>
      <c r="AD87" s="824">
        <v>0.95</v>
      </c>
      <c r="AE87" s="824">
        <v>1.2</v>
      </c>
      <c r="AF87" s="824">
        <v>0.57799999999999996</v>
      </c>
      <c r="AG87" s="539">
        <f t="shared" si="5"/>
        <v>4472.9622774479967</v>
      </c>
      <c r="AS87" t="s">
        <v>1072</v>
      </c>
    </row>
    <row r="88" spans="1:49" x14ac:dyDescent="0.3">
      <c r="O88" s="27" t="s">
        <v>160</v>
      </c>
      <c r="P88" s="27" t="s">
        <v>216</v>
      </c>
      <c r="Q88" s="152">
        <v>0.15</v>
      </c>
      <c r="R88" s="846">
        <v>0</v>
      </c>
      <c r="S88" s="450">
        <f>Q88*Zones!$H$3</f>
        <v>1118.2405693619992</v>
      </c>
      <c r="T88" s="816">
        <v>15</v>
      </c>
      <c r="U88" s="645">
        <v>0.15</v>
      </c>
      <c r="V88" s="5"/>
      <c r="W88" s="5">
        <f t="shared" si="3"/>
        <v>0</v>
      </c>
      <c r="X88" s="451">
        <f t="shared" si="4"/>
        <v>167.73608540429987</v>
      </c>
      <c r="Y88" s="5"/>
      <c r="Z88" s="5">
        <v>0.4</v>
      </c>
      <c r="AA88" s="5"/>
      <c r="AB88" s="5"/>
      <c r="AC88" s="824">
        <v>0.4</v>
      </c>
      <c r="AD88" s="824">
        <v>0.4</v>
      </c>
      <c r="AE88" s="824">
        <v>0.5</v>
      </c>
      <c r="AF88" s="824">
        <v>0</v>
      </c>
      <c r="AG88" s="539">
        <f t="shared" si="5"/>
        <v>2236.4811387239984</v>
      </c>
      <c r="AS88" t="s">
        <v>1073</v>
      </c>
    </row>
    <row r="89" spans="1:49" x14ac:dyDescent="0.3">
      <c r="AS89" t="s">
        <v>1074</v>
      </c>
    </row>
    <row r="91" spans="1:49" ht="15.6" x14ac:dyDescent="0.3">
      <c r="AS91" s="1270" t="s">
        <v>1075</v>
      </c>
      <c r="AT91" s="1271"/>
      <c r="AU91" s="1271"/>
      <c r="AV91" s="1271"/>
      <c r="AW91" s="1272"/>
    </row>
    <row r="92" spans="1:49" ht="28.8" x14ac:dyDescent="0.3">
      <c r="AS92" s="553" t="s">
        <v>884</v>
      </c>
      <c r="AT92" s="553" t="s">
        <v>1076</v>
      </c>
      <c r="AU92" s="553" t="s">
        <v>1077</v>
      </c>
      <c r="AV92" s="553" t="s">
        <v>887</v>
      </c>
      <c r="AW92" s="553" t="s">
        <v>60</v>
      </c>
    </row>
    <row r="93" spans="1:49" x14ac:dyDescent="0.3">
      <c r="AS93" s="158" t="s">
        <v>1078</v>
      </c>
      <c r="AT93" s="158" t="s">
        <v>915</v>
      </c>
      <c r="AU93" s="158">
        <v>0.9</v>
      </c>
      <c r="AV93" s="158">
        <v>3</v>
      </c>
      <c r="AW93" s="158" t="s">
        <v>915</v>
      </c>
    </row>
    <row r="94" spans="1:49" x14ac:dyDescent="0.3">
      <c r="AS94" s="158" t="s">
        <v>1079</v>
      </c>
      <c r="AT94" s="158" t="s">
        <v>915</v>
      </c>
      <c r="AU94" s="158">
        <v>3</v>
      </c>
      <c r="AV94" s="158">
        <v>3</v>
      </c>
      <c r="AW94" s="158" t="s">
        <v>915</v>
      </c>
    </row>
    <row r="95" spans="1:49" ht="28.8" x14ac:dyDescent="0.3">
      <c r="AS95" s="158" t="s">
        <v>1080</v>
      </c>
      <c r="AT95" s="158" t="s">
        <v>915</v>
      </c>
      <c r="AU95" s="158">
        <v>1.5</v>
      </c>
      <c r="AV95" s="158">
        <v>3</v>
      </c>
      <c r="AW95" s="158" t="s">
        <v>915</v>
      </c>
    </row>
    <row r="96" spans="1:49" x14ac:dyDescent="0.3">
      <c r="AS96" s="158" t="s">
        <v>1081</v>
      </c>
      <c r="AT96" s="158" t="s">
        <v>915</v>
      </c>
      <c r="AU96" s="158">
        <v>1.5</v>
      </c>
      <c r="AV96" s="158">
        <v>3</v>
      </c>
      <c r="AW96" s="158" t="s">
        <v>915</v>
      </c>
    </row>
    <row r="97" spans="45:49" x14ac:dyDescent="0.3">
      <c r="AS97" s="158" t="s">
        <v>1082</v>
      </c>
      <c r="AT97" s="158" t="s">
        <v>915</v>
      </c>
      <c r="AU97" s="158">
        <v>2.25</v>
      </c>
      <c r="AV97" s="158">
        <v>3</v>
      </c>
      <c r="AW97" s="158" t="s">
        <v>915</v>
      </c>
    </row>
    <row r="98" spans="45:49" x14ac:dyDescent="0.3">
      <c r="AS98" s="158" t="s">
        <v>1083</v>
      </c>
      <c r="AT98" s="158" t="s">
        <v>915</v>
      </c>
      <c r="AU98" s="158">
        <v>1.5</v>
      </c>
      <c r="AV98" s="158">
        <v>3</v>
      </c>
      <c r="AW98" s="158" t="s">
        <v>915</v>
      </c>
    </row>
    <row r="99" spans="45:49" x14ac:dyDescent="0.3">
      <c r="AS99" s="158" t="s">
        <v>1084</v>
      </c>
      <c r="AT99" s="158" t="s">
        <v>915</v>
      </c>
      <c r="AU99" s="158">
        <v>2.25</v>
      </c>
      <c r="AV99" s="158">
        <v>3</v>
      </c>
      <c r="AW99" s="158" t="s">
        <v>915</v>
      </c>
    </row>
    <row r="100" spans="45:49" x14ac:dyDescent="0.3">
      <c r="AS100" s="158" t="s">
        <v>1085</v>
      </c>
      <c r="AT100" s="158" t="s">
        <v>915</v>
      </c>
      <c r="AU100" s="158">
        <v>2.25</v>
      </c>
      <c r="AV100" s="158">
        <v>3</v>
      </c>
      <c r="AW100" s="158" t="s">
        <v>915</v>
      </c>
    </row>
    <row r="101" spans="45:49" ht="28.8" x14ac:dyDescent="0.3">
      <c r="AS101" s="158" t="s">
        <v>1086</v>
      </c>
      <c r="AT101" s="158" t="s">
        <v>915</v>
      </c>
      <c r="AU101" s="158">
        <v>2.25</v>
      </c>
      <c r="AV101" s="158">
        <v>3</v>
      </c>
      <c r="AW101" s="158" t="s">
        <v>915</v>
      </c>
    </row>
    <row r="102" spans="45:49" ht="28.8" x14ac:dyDescent="0.3">
      <c r="AS102" s="158" t="s">
        <v>1087</v>
      </c>
      <c r="AT102" s="158" t="s">
        <v>915</v>
      </c>
      <c r="AU102" s="158">
        <v>1.5</v>
      </c>
      <c r="AV102" s="158">
        <v>3</v>
      </c>
      <c r="AW102" s="158" t="s">
        <v>915</v>
      </c>
    </row>
    <row r="103" spans="45:49" x14ac:dyDescent="0.3">
      <c r="AS103" s="158" t="s">
        <v>1088</v>
      </c>
      <c r="AT103" s="158" t="s">
        <v>915</v>
      </c>
      <c r="AU103" s="158">
        <v>0.5</v>
      </c>
      <c r="AV103" s="158">
        <v>1</v>
      </c>
      <c r="AW103" s="158" t="s">
        <v>950</v>
      </c>
    </row>
    <row r="104" spans="45:49" x14ac:dyDescent="0.3">
      <c r="AS104" s="158" t="s">
        <v>1089</v>
      </c>
      <c r="AT104" s="158" t="s">
        <v>915</v>
      </c>
      <c r="AU104" s="158">
        <v>0.7</v>
      </c>
      <c r="AV104" s="158">
        <v>2</v>
      </c>
      <c r="AW104" s="158" t="s">
        <v>915</v>
      </c>
    </row>
    <row r="105" spans="45:49" x14ac:dyDescent="0.3">
      <c r="AS105" s="158" t="s">
        <v>1090</v>
      </c>
      <c r="AT105" s="158" t="s">
        <v>915</v>
      </c>
      <c r="AU105" s="158">
        <v>1.5</v>
      </c>
      <c r="AV105" s="158">
        <v>2</v>
      </c>
      <c r="AW105" s="158" t="s">
        <v>931</v>
      </c>
    </row>
    <row r="106" spans="45:49" x14ac:dyDescent="0.3">
      <c r="AS106" s="158" t="s">
        <v>897</v>
      </c>
      <c r="AT106" s="158" t="s">
        <v>915</v>
      </c>
      <c r="AU106" s="158">
        <v>0.5</v>
      </c>
      <c r="AV106" s="158">
        <v>2</v>
      </c>
      <c r="AW106" s="158" t="s">
        <v>915</v>
      </c>
    </row>
    <row r="107" spans="45:49" x14ac:dyDescent="0.3">
      <c r="AS107" s="158" t="s">
        <v>1009</v>
      </c>
      <c r="AT107" s="158" t="s">
        <v>915</v>
      </c>
      <c r="AU107" s="158">
        <v>0.6</v>
      </c>
      <c r="AV107" s="158">
        <v>2</v>
      </c>
      <c r="AW107" s="158" t="s">
        <v>915</v>
      </c>
    </row>
    <row r="108" spans="45:49" x14ac:dyDescent="0.3">
      <c r="AS108" s="158" t="s">
        <v>1091</v>
      </c>
      <c r="AT108" s="158" t="s">
        <v>915</v>
      </c>
      <c r="AU108" s="158">
        <v>1</v>
      </c>
      <c r="AV108" s="158">
        <v>2</v>
      </c>
      <c r="AW108" s="158" t="s">
        <v>915</v>
      </c>
    </row>
    <row r="109" spans="45:49" x14ac:dyDescent="0.3">
      <c r="AS109" s="158" t="s">
        <v>1092</v>
      </c>
      <c r="AT109" s="158" t="s">
        <v>915</v>
      </c>
      <c r="AU109" s="158">
        <v>0.5</v>
      </c>
      <c r="AV109" s="158">
        <v>2</v>
      </c>
      <c r="AW109" s="158" t="s">
        <v>915</v>
      </c>
    </row>
    <row r="110" spans="45:49" x14ac:dyDescent="0.3">
      <c r="AS110" s="158" t="s">
        <v>1093</v>
      </c>
      <c r="AT110" s="158" t="s">
        <v>915</v>
      </c>
      <c r="AU110" s="158">
        <v>1</v>
      </c>
      <c r="AV110" s="158">
        <v>2</v>
      </c>
      <c r="AW110" s="158" t="s">
        <v>915</v>
      </c>
    </row>
    <row r="111" spans="45:49" x14ac:dyDescent="0.3">
      <c r="AS111" s="158" t="s">
        <v>1094</v>
      </c>
      <c r="AT111" s="158" t="s">
        <v>915</v>
      </c>
      <c r="AU111" s="158">
        <v>1</v>
      </c>
      <c r="AV111" s="158">
        <v>2</v>
      </c>
      <c r="AW111" s="158" t="s">
        <v>915</v>
      </c>
    </row>
    <row r="112" spans="45:49" ht="28.8" x14ac:dyDescent="0.3">
      <c r="AS112" s="158" t="s">
        <v>1095</v>
      </c>
      <c r="AT112" s="158" t="s">
        <v>915</v>
      </c>
      <c r="AU112" s="158">
        <v>1</v>
      </c>
      <c r="AV112" s="158">
        <v>3</v>
      </c>
      <c r="AW112" s="158" t="s">
        <v>915</v>
      </c>
    </row>
    <row r="113" spans="45:49" x14ac:dyDescent="0.3">
      <c r="AS113" s="158" t="s">
        <v>1096</v>
      </c>
      <c r="AT113" s="158" t="s">
        <v>915</v>
      </c>
      <c r="AU113" s="158">
        <v>0.3</v>
      </c>
      <c r="AV113" s="158">
        <v>2</v>
      </c>
      <c r="AW113" s="158" t="s">
        <v>915</v>
      </c>
    </row>
    <row r="114" spans="45:49" x14ac:dyDescent="0.3">
      <c r="AS114" s="158" t="s">
        <v>1097</v>
      </c>
      <c r="AT114" s="158" t="s">
        <v>915</v>
      </c>
      <c r="AU114" s="158">
        <v>0.7</v>
      </c>
      <c r="AV114" s="158">
        <v>2</v>
      </c>
      <c r="AW114" s="158" t="s">
        <v>915</v>
      </c>
    </row>
    <row r="115" spans="45:49" ht="28.8" x14ac:dyDescent="0.3">
      <c r="AS115" s="158" t="s">
        <v>1098</v>
      </c>
      <c r="AT115" s="158" t="s">
        <v>915</v>
      </c>
      <c r="AU115" s="158">
        <v>0.5</v>
      </c>
      <c r="AV115" s="158">
        <v>2</v>
      </c>
      <c r="AW115" s="158" t="s">
        <v>915</v>
      </c>
    </row>
    <row r="116" spans="45:49" x14ac:dyDescent="0.3">
      <c r="AS116" s="158" t="s">
        <v>1099</v>
      </c>
      <c r="AT116" s="158" t="s">
        <v>915</v>
      </c>
      <c r="AU116" s="158">
        <v>0.25</v>
      </c>
      <c r="AV116" s="158">
        <v>2</v>
      </c>
      <c r="AW116" s="158" t="s">
        <v>915</v>
      </c>
    </row>
    <row r="117" spans="45:49" x14ac:dyDescent="0.3">
      <c r="AS117" s="158" t="s">
        <v>1100</v>
      </c>
      <c r="AT117" s="158" t="s">
        <v>915</v>
      </c>
      <c r="AU117" s="158">
        <v>2</v>
      </c>
      <c r="AV117" s="158" t="s">
        <v>1101</v>
      </c>
      <c r="AW117" s="158" t="s">
        <v>915</v>
      </c>
    </row>
    <row r="118" spans="45:49" x14ac:dyDescent="0.3">
      <c r="AS118" s="158" t="s">
        <v>1102</v>
      </c>
      <c r="AT118" s="158" t="s">
        <v>915</v>
      </c>
      <c r="AU118" s="158" t="s">
        <v>915</v>
      </c>
      <c r="AV118" s="158">
        <v>4</v>
      </c>
      <c r="AW118" s="158" t="s">
        <v>906</v>
      </c>
    </row>
    <row r="119" spans="45:49" x14ac:dyDescent="0.3">
      <c r="AS119" s="158" t="s">
        <v>1103</v>
      </c>
      <c r="AT119" s="158" t="s">
        <v>915</v>
      </c>
      <c r="AU119" s="158">
        <v>0.75</v>
      </c>
      <c r="AV119" s="158">
        <v>2</v>
      </c>
      <c r="AW119" s="158" t="s">
        <v>1104</v>
      </c>
    </row>
    <row r="120" spans="45:49" x14ac:dyDescent="0.3">
      <c r="AS120" s="158" t="s">
        <v>1011</v>
      </c>
      <c r="AT120" s="158" t="s">
        <v>915</v>
      </c>
      <c r="AU120" s="158">
        <v>0.9</v>
      </c>
      <c r="AV120" s="158">
        <v>2</v>
      </c>
      <c r="AW120" s="158" t="s">
        <v>915</v>
      </c>
    </row>
    <row r="121" spans="45:49" x14ac:dyDescent="0.3">
      <c r="AS121" s="158" t="s">
        <v>1105</v>
      </c>
      <c r="AT121" s="158" t="s">
        <v>915</v>
      </c>
      <c r="AU121" s="158" t="s">
        <v>915</v>
      </c>
      <c r="AV121" s="158">
        <v>3</v>
      </c>
      <c r="AW121" s="158" t="s">
        <v>906</v>
      </c>
    </row>
    <row r="122" spans="45:49" x14ac:dyDescent="0.3">
      <c r="AS122" s="158" t="s">
        <v>1106</v>
      </c>
      <c r="AT122" s="158" t="s">
        <v>915</v>
      </c>
      <c r="AU122" s="158">
        <v>1</v>
      </c>
      <c r="AV122" s="158">
        <v>3</v>
      </c>
      <c r="AW122" s="158" t="s">
        <v>906</v>
      </c>
    </row>
    <row r="123" spans="45:49" x14ac:dyDescent="0.3">
      <c r="AS123" s="158" t="s">
        <v>1107</v>
      </c>
      <c r="AT123" s="158" t="s">
        <v>915</v>
      </c>
      <c r="AU123" s="158">
        <v>1.5</v>
      </c>
      <c r="AV123" s="158">
        <v>4</v>
      </c>
      <c r="AW123" s="158" t="s">
        <v>906</v>
      </c>
    </row>
    <row r="124" spans="45:49" x14ac:dyDescent="0.3">
      <c r="AS124" s="158" t="s">
        <v>1108</v>
      </c>
      <c r="AT124" s="158" t="s">
        <v>915</v>
      </c>
      <c r="AU124" s="158">
        <v>2</v>
      </c>
      <c r="AV124" s="158" t="s">
        <v>669</v>
      </c>
      <c r="AW124" s="158" t="s">
        <v>915</v>
      </c>
    </row>
    <row r="125" spans="45:49" x14ac:dyDescent="0.3">
      <c r="AS125" s="158" t="s">
        <v>1109</v>
      </c>
      <c r="AT125" s="158" t="s">
        <v>915</v>
      </c>
      <c r="AU125" s="158">
        <v>2</v>
      </c>
      <c r="AV125" s="158" t="s">
        <v>1110</v>
      </c>
      <c r="AW125" s="158" t="s">
        <v>915</v>
      </c>
    </row>
    <row r="126" spans="45:49" x14ac:dyDescent="0.3">
      <c r="AS126" s="158" t="s">
        <v>1111</v>
      </c>
      <c r="AT126" s="158" t="s">
        <v>915</v>
      </c>
      <c r="AU126" s="158">
        <v>0.5</v>
      </c>
      <c r="AV126" s="158">
        <v>2</v>
      </c>
      <c r="AW126" s="158" t="s">
        <v>915</v>
      </c>
    </row>
    <row r="130" spans="45:45" x14ac:dyDescent="0.3">
      <c r="AS130" t="s">
        <v>1112</v>
      </c>
    </row>
    <row r="131" spans="45:45" x14ac:dyDescent="0.3">
      <c r="AS131" t="s">
        <v>1113</v>
      </c>
    </row>
    <row r="132" spans="45:45" x14ac:dyDescent="0.3">
      <c r="AS132" t="s">
        <v>1114</v>
      </c>
    </row>
    <row r="133" spans="45:45" x14ac:dyDescent="0.3">
      <c r="AS133" t="s">
        <v>1115</v>
      </c>
    </row>
    <row r="134" spans="45:45" x14ac:dyDescent="0.3">
      <c r="AS134" t="s">
        <v>1116</v>
      </c>
    </row>
    <row r="135" spans="45:45" x14ac:dyDescent="0.3">
      <c r="AS135" t="s">
        <v>1117</v>
      </c>
    </row>
    <row r="136" spans="45:45" x14ac:dyDescent="0.3">
      <c r="AS136" t="s">
        <v>1118</v>
      </c>
    </row>
    <row r="137" spans="45:45" x14ac:dyDescent="0.3">
      <c r="AS137" t="s">
        <v>1119</v>
      </c>
    </row>
    <row r="138" spans="45:45" x14ac:dyDescent="0.3">
      <c r="AS138" t="s">
        <v>1120</v>
      </c>
    </row>
    <row r="139" spans="45:45" x14ac:dyDescent="0.3">
      <c r="AS139" t="s">
        <v>1121</v>
      </c>
    </row>
    <row r="140" spans="45:45" x14ac:dyDescent="0.3">
      <c r="AS140" t="s">
        <v>1122</v>
      </c>
    </row>
    <row r="141" spans="45:45" x14ac:dyDescent="0.3">
      <c r="AS141" t="s">
        <v>1123</v>
      </c>
    </row>
    <row r="142" spans="45:45" x14ac:dyDescent="0.3">
      <c r="AS142" t="s">
        <v>1124</v>
      </c>
    </row>
    <row r="143" spans="45:45" x14ac:dyDescent="0.3">
      <c r="AS143" t="s">
        <v>1125</v>
      </c>
    </row>
    <row r="144" spans="45:45" x14ac:dyDescent="0.3">
      <c r="AS144" t="s">
        <v>1123</v>
      </c>
    </row>
  </sheetData>
  <mergeCells count="6">
    <mergeCell ref="AZ3:BA3"/>
    <mergeCell ref="AS1:BB1"/>
    <mergeCell ref="AS91:AW91"/>
    <mergeCell ref="AZ2:BA2"/>
    <mergeCell ref="AS3:AX3"/>
    <mergeCell ref="AS2:AX2"/>
  </mergeCells>
  <phoneticPr fontId="6"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D1D6A7EB2452B4A86A9506D4E13D4C9" ma:contentTypeVersion="3" ma:contentTypeDescription="Create a new document." ma:contentTypeScope="" ma:versionID="7cd6ed0cd056f112062446d0d1c544ce">
  <xsd:schema xmlns:xsd="http://www.w3.org/2001/XMLSchema" xmlns:xs="http://www.w3.org/2001/XMLSchema" xmlns:p="http://schemas.microsoft.com/office/2006/metadata/properties" xmlns:ns2="41613948-0554-4f13-babe-277410c056ca" targetNamespace="http://schemas.microsoft.com/office/2006/metadata/properties" ma:root="true" ma:fieldsID="60ca449bf2be89171a15d05d28af00ea" ns2:_="">
    <xsd:import namespace="41613948-0554-4f13-babe-277410c056c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613948-0554-4f13-babe-277410c056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921AF10-0BF8-441A-BDBA-64AF3E09D45F}">
  <ds:schemaRefs>
    <ds:schemaRef ds:uri="http://schemas.microsoft.com/sharepoint/v3/contenttype/forms"/>
  </ds:schemaRefs>
</ds:datastoreItem>
</file>

<file path=customXml/itemProps2.xml><?xml version="1.0" encoding="utf-8"?>
<ds:datastoreItem xmlns:ds="http://schemas.openxmlformats.org/officeDocument/2006/customXml" ds:itemID="{20816333-575B-4274-8A3E-18699B071E9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92CE2BB-2CF5-48C8-BB9A-7896CC9496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613948-0554-4f13-babe-277410c056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Notes</vt:lpstr>
      <vt:lpstr>Prototype</vt:lpstr>
      <vt:lpstr>Zones</vt:lpstr>
      <vt:lpstr>Envelope</vt:lpstr>
      <vt:lpstr>HVAC System</vt:lpstr>
      <vt:lpstr>Thermostat</vt:lpstr>
      <vt:lpstr>Ventilation</vt:lpstr>
      <vt:lpstr>Water Heater</vt:lpstr>
      <vt:lpstr>Interior Lights</vt:lpstr>
      <vt:lpstr>Ext Lighting</vt:lpstr>
      <vt:lpstr>Equipment</vt:lpstr>
      <vt:lpstr>Schedules</vt:lpstr>
      <vt:lpstr>Energy Usage</vt:lpstr>
      <vt:lpstr>Weights</vt:lpstr>
      <vt:lpstr>PV</vt:lpstr>
      <vt:lpstr>EV Charger</vt:lpstr>
      <vt:lpstr>Data</vt:lpstr>
      <vt:lpstr>Space_Function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Yousefi, Fatemeh</dc:creator>
  <cp:keywords/>
  <dc:description/>
  <cp:lastModifiedBy>Yousefi, Fatemeh (Noresco EE)</cp:lastModifiedBy>
  <cp:revision/>
  <dcterms:created xsi:type="dcterms:W3CDTF">2024-06-21T17:19:36Z</dcterms:created>
  <dcterms:modified xsi:type="dcterms:W3CDTF">2026-10-09T06:45:25Z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2024-06-21T17:19:48Z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0e6e9a60-d2ab-4ce7-9a0a-ef72169e4f66</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2024-11-12T07:01:00Z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9aa52be7-e90f-4db3-9dfa-3134fb3d14a1</vt:lpwstr>
  </property>
  <property fmtid="{D5CDD505-2E9C-101B-9397-08002B2CF9AE}" pid="15" name="MSIP_Label_aa7be39c-9e9f-446a-a199-286f73f56a3f_ContentBits">
    <vt:lpwstr>0</vt:lpwstr>
  </property>
  <property fmtid="{D5CDD505-2E9C-101B-9397-08002B2CF9AE}" pid="16" name="ContentTypeId">
    <vt:lpwstr>0x0101003D1D6A7EB2452B4A86A9506D4E13D4C9</vt:lpwstr>
  </property>
  <property fmtid="{D5CDD505-2E9C-101B-9397-08002B2CF9AE}" pid="17" name="MediaServiceImageTags">
    <vt:lpwstr/>
  </property>
  <property fmtid="{D5CDD505-2E9C-101B-9397-08002B2CF9AE}" pid="18" name="xd_ProgID">
    <vt:lpwstr/>
  </property>
  <property fmtid="{D5CDD505-2E9C-101B-9397-08002B2CF9AE}" pid="19" name="ComplianceAssetId">
    <vt:lpwstr/>
  </property>
  <property fmtid="{D5CDD505-2E9C-101B-9397-08002B2CF9AE}" pid="20" name="TemplateUrl">
    <vt:lpwstr/>
  </property>
  <property fmtid="{D5CDD505-2E9C-101B-9397-08002B2CF9AE}" pid="21" name="_ExtendedDescription">
    <vt:lpwstr/>
  </property>
  <property fmtid="{D5CDD505-2E9C-101B-9397-08002B2CF9AE}" pid="22" name="TriggerFlowInfo">
    <vt:lpwstr/>
  </property>
  <property fmtid="{D5CDD505-2E9C-101B-9397-08002B2CF9AE}" pid="23" name="xd_Signature">
    <vt:bool>false</vt:bool>
  </property>
</Properties>
</file>