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src\NOR-Codes-Stds\CalBEM-Prototypes\Specifications\Nonresidential\v2.0\"/>
    </mc:Choice>
  </mc:AlternateContent>
  <xr:revisionPtr revIDLastSave="0" documentId="13_ncr:1_{2AA106FD-D0AD-497C-B6FA-6A78E78ED79C}" xr6:coauthVersionLast="47" xr6:coauthVersionMax="47" xr10:uidLastSave="{00000000-0000-0000-0000-000000000000}"/>
  <bookViews>
    <workbookView xWindow="-108" yWindow="-108" windowWidth="23256" windowHeight="13896" tabRatio="890" activeTab="1" xr2:uid="{EAC23EE3-0CA0-4FF8-990D-9B21A59FA3E0}"/>
  </bookViews>
  <sheets>
    <sheet name="Notes" sheetId="23" r:id="rId1"/>
    <sheet name="Prototype" sheetId="2" r:id="rId2"/>
    <sheet name="Zones" sheetId="13" r:id="rId3"/>
    <sheet name="Envelope" sheetId="1" r:id="rId4"/>
    <sheet name="HVAC System" sheetId="14" r:id="rId5"/>
    <sheet name="Thermostat" sheetId="31" r:id="rId6"/>
    <sheet name="Ventilation" sheetId="18" r:id="rId7"/>
    <sheet name="Water Heater" sheetId="33" r:id="rId8"/>
    <sheet name="Interior Lights" sheetId="25" r:id="rId9"/>
    <sheet name="Ext Lighting" sheetId="9" r:id="rId10"/>
    <sheet name="Equipment" sheetId="29" r:id="rId11"/>
    <sheet name="Schedules" sheetId="28" r:id="rId12"/>
    <sheet name="Energy Usage" sheetId="20" state="hidden" r:id="rId13"/>
    <sheet name="PV" sheetId="27" state="hidden" r:id="rId14"/>
    <sheet name="EV Charger" sheetId="22" state="hidden" r:id="rId15"/>
    <sheet name="Data" sheetId="32" state="hidden" r:id="rId16"/>
    <sheet name="Weights" sheetId="21" state="hidden" r:id="rId17"/>
  </sheets>
  <definedNames>
    <definedName name="_xlnm._FilterDatabase" localSheetId="15" hidden="1">Data!$D$1:$G$1</definedName>
    <definedName name="_xlnm._FilterDatabase" localSheetId="3" hidden="1">Envelope!$A$2:$Y$22</definedName>
    <definedName name="_xlnm._FilterDatabase" localSheetId="10" hidden="1">Equipment!#REF!</definedName>
    <definedName name="_xlnm._FilterDatabase" localSheetId="2" hidden="1">Zones!$B$2:$O$57</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21" l="1"/>
  <c r="H5" i="21"/>
  <c r="H6" i="21"/>
  <c r="H7" i="21"/>
  <c r="H8" i="21"/>
  <c r="H9" i="21"/>
  <c r="H10" i="21"/>
  <c r="H11" i="21"/>
  <c r="H12" i="21"/>
  <c r="H13" i="21"/>
  <c r="H14" i="21"/>
  <c r="H15" i="21"/>
  <c r="H16" i="21"/>
  <c r="H17" i="21"/>
  <c r="H18" i="21"/>
  <c r="H4" i="21"/>
  <c r="C4" i="25" l="1"/>
  <c r="I49" i="18" l="1"/>
  <c r="I31" i="18"/>
  <c r="I13" i="18"/>
  <c r="D29" i="14"/>
  <c r="G3" i="33" l="1"/>
  <c r="F3" i="33"/>
  <c r="E3" i="33"/>
  <c r="M8" i="13" l="1"/>
  <c r="F11" i="25"/>
  <c r="C11" i="25"/>
  <c r="G63" i="28" l="1"/>
  <c r="H63" i="28"/>
  <c r="I63" i="28"/>
  <c r="J63" i="28"/>
  <c r="K63" i="28"/>
  <c r="L63" i="28"/>
  <c r="M63" i="28"/>
  <c r="N63" i="28"/>
  <c r="O63" i="28"/>
  <c r="P63" i="28"/>
  <c r="Q63" i="28"/>
  <c r="R63" i="28"/>
  <c r="S63" i="28"/>
  <c r="T63" i="28"/>
  <c r="U63" i="28"/>
  <c r="V63" i="28"/>
  <c r="W63" i="28"/>
  <c r="X63" i="28"/>
  <c r="Y63" i="28"/>
  <c r="Z63" i="28"/>
  <c r="AA63" i="28"/>
  <c r="AB63" i="28"/>
  <c r="AC63" i="28"/>
  <c r="G64" i="28"/>
  <c r="H64" i="28"/>
  <c r="I64" i="28"/>
  <c r="J64" i="28"/>
  <c r="K64" i="28"/>
  <c r="L64" i="28"/>
  <c r="M64" i="28"/>
  <c r="N64" i="28"/>
  <c r="O64" i="28"/>
  <c r="P64" i="28"/>
  <c r="Q64" i="28"/>
  <c r="R64" i="28"/>
  <c r="S64" i="28"/>
  <c r="T64" i="28"/>
  <c r="U64" i="28"/>
  <c r="V64" i="28"/>
  <c r="W64" i="28"/>
  <c r="X64" i="28"/>
  <c r="Y64" i="28"/>
  <c r="Z64" i="28"/>
  <c r="AA64" i="28"/>
  <c r="AB64" i="28"/>
  <c r="AC64" i="28"/>
  <c r="G65" i="28"/>
  <c r="H65" i="28"/>
  <c r="I65" i="28"/>
  <c r="J65" i="28"/>
  <c r="K65" i="28"/>
  <c r="L65" i="28"/>
  <c r="M65" i="28"/>
  <c r="N65" i="28"/>
  <c r="O65" i="28"/>
  <c r="P65" i="28"/>
  <c r="Q65" i="28"/>
  <c r="R65" i="28"/>
  <c r="S65" i="28"/>
  <c r="T65" i="28"/>
  <c r="U65" i="28"/>
  <c r="V65" i="28"/>
  <c r="W65" i="28"/>
  <c r="X65" i="28"/>
  <c r="Y65" i="28"/>
  <c r="Z65" i="28"/>
  <c r="AA65" i="28"/>
  <c r="AB65" i="28"/>
  <c r="AC65" i="28"/>
  <c r="F64" i="28"/>
  <c r="F65" i="28"/>
  <c r="F63" i="28"/>
  <c r="AC68" i="28"/>
  <c r="G66" i="28"/>
  <c r="H66" i="28"/>
  <c r="I66" i="28"/>
  <c r="J66" i="28"/>
  <c r="K66" i="28"/>
  <c r="L66" i="28"/>
  <c r="M66" i="28"/>
  <c r="N66" i="28"/>
  <c r="O66" i="28"/>
  <c r="P66" i="28"/>
  <c r="Q66" i="28"/>
  <c r="R66" i="28"/>
  <c r="S66" i="28"/>
  <c r="T66" i="28"/>
  <c r="U66" i="28"/>
  <c r="V66" i="28"/>
  <c r="W66" i="28"/>
  <c r="X66" i="28"/>
  <c r="Y66" i="28"/>
  <c r="Z66" i="28"/>
  <c r="AA66" i="28"/>
  <c r="AB66" i="28"/>
  <c r="AC66" i="28"/>
  <c r="G67" i="28"/>
  <c r="H67" i="28"/>
  <c r="I67" i="28"/>
  <c r="J67" i="28"/>
  <c r="K67" i="28"/>
  <c r="L67" i="28"/>
  <c r="M67" i="28"/>
  <c r="N67" i="28"/>
  <c r="O67" i="28"/>
  <c r="P67" i="28"/>
  <c r="Q67" i="28"/>
  <c r="R67" i="28"/>
  <c r="S67" i="28"/>
  <c r="T67" i="28"/>
  <c r="U67" i="28"/>
  <c r="V67" i="28"/>
  <c r="W67" i="28"/>
  <c r="X67" i="28"/>
  <c r="Y67" i="28"/>
  <c r="Z67" i="28"/>
  <c r="AA67" i="28"/>
  <c r="AB67" i="28"/>
  <c r="AC67" i="28"/>
  <c r="G68" i="28"/>
  <c r="H68" i="28"/>
  <c r="I68" i="28"/>
  <c r="J68" i="28"/>
  <c r="K68" i="28"/>
  <c r="L68" i="28"/>
  <c r="M68" i="28"/>
  <c r="N68" i="28"/>
  <c r="O68" i="28"/>
  <c r="P68" i="28"/>
  <c r="Q68" i="28"/>
  <c r="R68" i="28"/>
  <c r="S68" i="28"/>
  <c r="T68" i="28"/>
  <c r="U68" i="28"/>
  <c r="V68" i="28"/>
  <c r="W68" i="28"/>
  <c r="X68" i="28"/>
  <c r="Y68" i="28"/>
  <c r="Z68" i="28"/>
  <c r="AA68" i="28"/>
  <c r="AB68" i="28"/>
  <c r="F67" i="28"/>
  <c r="F68" i="28"/>
  <c r="F66" i="28"/>
  <c r="G44" i="28"/>
  <c r="H44" i="28"/>
  <c r="I44" i="28"/>
  <c r="J44" i="28"/>
  <c r="K44" i="28"/>
  <c r="L44" i="28"/>
  <c r="M44" i="28"/>
  <c r="N44" i="28"/>
  <c r="O44" i="28"/>
  <c r="P44" i="28"/>
  <c r="Q44" i="28"/>
  <c r="R44" i="28"/>
  <c r="S44" i="28"/>
  <c r="T44" i="28"/>
  <c r="U44" i="28"/>
  <c r="V44" i="28"/>
  <c r="W44" i="28"/>
  <c r="X44" i="28"/>
  <c r="Y44" i="28"/>
  <c r="Z44" i="28"/>
  <c r="AA44" i="28"/>
  <c r="AB44" i="28"/>
  <c r="AC44" i="28"/>
  <c r="G45" i="28"/>
  <c r="H45" i="28"/>
  <c r="I45" i="28"/>
  <c r="J45" i="28"/>
  <c r="K45" i="28"/>
  <c r="L45" i="28"/>
  <c r="M45" i="28"/>
  <c r="N45" i="28"/>
  <c r="O45" i="28"/>
  <c r="P45" i="28"/>
  <c r="Q45" i="28"/>
  <c r="R45" i="28"/>
  <c r="S45" i="28"/>
  <c r="T45" i="28"/>
  <c r="U45" i="28"/>
  <c r="V45" i="28"/>
  <c r="W45" i="28"/>
  <c r="X45" i="28"/>
  <c r="Y45" i="28"/>
  <c r="Z45" i="28"/>
  <c r="AA45" i="28"/>
  <c r="AB45" i="28"/>
  <c r="AC45" i="28"/>
  <c r="G46" i="28"/>
  <c r="H46" i="28"/>
  <c r="I46" i="28"/>
  <c r="J46" i="28"/>
  <c r="K46" i="28"/>
  <c r="L46" i="28"/>
  <c r="M46" i="28"/>
  <c r="N46" i="28"/>
  <c r="O46" i="28"/>
  <c r="P46" i="28"/>
  <c r="Q46" i="28"/>
  <c r="R46" i="28"/>
  <c r="S46" i="28"/>
  <c r="T46" i="28"/>
  <c r="U46" i="28"/>
  <c r="V46" i="28"/>
  <c r="W46" i="28"/>
  <c r="X46" i="28"/>
  <c r="Y46" i="28"/>
  <c r="Z46" i="28"/>
  <c r="AA46" i="28"/>
  <c r="AB46" i="28"/>
  <c r="AC46" i="28"/>
  <c r="F45" i="28"/>
  <c r="F46" i="28"/>
  <c r="F44" i="28"/>
  <c r="M27" i="13"/>
  <c r="A51" i="28"/>
  <c r="H29" i="13"/>
  <c r="E4" i="33" l="1"/>
  <c r="G4" i="33"/>
  <c r="F4" i="33"/>
  <c r="J97" i="33"/>
  <c r="B135" i="33" l="1"/>
  <c r="G63" i="33"/>
  <c r="H63" i="33" s="1"/>
  <c r="G58" i="33"/>
  <c r="H58" i="33" s="1"/>
  <c r="G56" i="33"/>
  <c r="H56" i="33" s="1"/>
  <c r="G55" i="33"/>
  <c r="H55" i="33" s="1"/>
  <c r="G54" i="33"/>
  <c r="H54" i="33" s="1"/>
  <c r="G53" i="33"/>
  <c r="H53" i="33" s="1"/>
  <c r="A52" i="33"/>
  <c r="G45" i="33"/>
  <c r="H45" i="33" s="1"/>
  <c r="G40" i="33"/>
  <c r="H40" i="33" s="1"/>
  <c r="G38" i="33"/>
  <c r="H38" i="33" s="1"/>
  <c r="G37" i="33"/>
  <c r="H37" i="33" s="1"/>
  <c r="G36" i="33"/>
  <c r="H36" i="33" s="1"/>
  <c r="G35" i="33"/>
  <c r="H35" i="33" s="1"/>
  <c r="A34" i="33"/>
  <c r="G27" i="33"/>
  <c r="H27" i="33" s="1"/>
  <c r="C27" i="33"/>
  <c r="A27" i="33"/>
  <c r="C26" i="33"/>
  <c r="A26" i="33"/>
  <c r="C25" i="33"/>
  <c r="A25" i="33"/>
  <c r="C24" i="33"/>
  <c r="A24" i="33"/>
  <c r="C23" i="33"/>
  <c r="A23" i="33"/>
  <c r="G22" i="33"/>
  <c r="H22" i="33" s="1"/>
  <c r="C22" i="33"/>
  <c r="A22" i="33"/>
  <c r="C21" i="33"/>
  <c r="A21" i="33"/>
  <c r="G20" i="33"/>
  <c r="H20" i="33" s="1"/>
  <c r="C20" i="33"/>
  <c r="A20" i="33"/>
  <c r="G19" i="33"/>
  <c r="H19" i="33" s="1"/>
  <c r="C19" i="33"/>
  <c r="A19" i="33"/>
  <c r="G18" i="33"/>
  <c r="H18" i="33" s="1"/>
  <c r="C18" i="33"/>
  <c r="A18" i="33"/>
  <c r="G17" i="33"/>
  <c r="H17" i="33" s="1"/>
  <c r="C17" i="33"/>
  <c r="A17" i="33"/>
  <c r="C16" i="33"/>
  <c r="A16" i="33"/>
  <c r="C15" i="33"/>
  <c r="A15" i="33"/>
  <c r="C14" i="33"/>
  <c r="A14" i="33"/>
  <c r="C13" i="33"/>
  <c r="A13" i="33"/>
  <c r="C12" i="33"/>
  <c r="A12" i="33"/>
  <c r="C11" i="33"/>
  <c r="A11" i="33"/>
  <c r="C10" i="33"/>
  <c r="A10" i="33"/>
  <c r="M32" i="13"/>
  <c r="M4" i="13"/>
  <c r="E11" i="33" s="1"/>
  <c r="G11" i="33" s="1"/>
  <c r="H11" i="33" s="1"/>
  <c r="M5" i="13"/>
  <c r="E12" i="33" s="1"/>
  <c r="G12" i="33" s="1"/>
  <c r="H12" i="33" s="1"/>
  <c r="M6" i="13"/>
  <c r="E13" i="33" s="1"/>
  <c r="G13" i="33" s="1"/>
  <c r="H13" i="33" s="1"/>
  <c r="M7" i="13"/>
  <c r="E14" i="33" s="1"/>
  <c r="G14" i="33" s="1"/>
  <c r="H14" i="33" s="1"/>
  <c r="E15" i="33"/>
  <c r="G15" i="33" s="1"/>
  <c r="H15" i="33" s="1"/>
  <c r="M9" i="13"/>
  <c r="E16" i="33" s="1"/>
  <c r="G16" i="33" s="1"/>
  <c r="M10" i="13"/>
  <c r="M11" i="13"/>
  <c r="M12" i="13"/>
  <c r="M13" i="13"/>
  <c r="M14" i="13"/>
  <c r="E21" i="33" s="1"/>
  <c r="G21" i="33" s="1"/>
  <c r="M15" i="13"/>
  <c r="M16" i="13"/>
  <c r="E23" i="33" s="1"/>
  <c r="G23" i="33" s="1"/>
  <c r="H23" i="33" s="1"/>
  <c r="M17" i="13"/>
  <c r="E24" i="33" s="1"/>
  <c r="G24" i="33" s="1"/>
  <c r="H24" i="33" s="1"/>
  <c r="M18" i="13"/>
  <c r="E25" i="33" s="1"/>
  <c r="G25" i="33" s="1"/>
  <c r="M19" i="13"/>
  <c r="E26" i="33" s="1"/>
  <c r="G26" i="33" s="1"/>
  <c r="H26" i="33" s="1"/>
  <c r="M20" i="13"/>
  <c r="M45" i="13"/>
  <c r="M3" i="13"/>
  <c r="E10" i="33" s="1"/>
  <c r="G10" i="33" s="1"/>
  <c r="B63" i="28"/>
  <c r="A63" i="28"/>
  <c r="A60" i="28"/>
  <c r="A66" i="28"/>
  <c r="B66" i="28"/>
  <c r="H18" i="29"/>
  <c r="I18" i="29"/>
  <c r="AD70" i="28"/>
  <c r="C46" i="29" s="1"/>
  <c r="I19" i="29"/>
  <c r="H19" i="29"/>
  <c r="B60" i="28"/>
  <c r="B57" i="28"/>
  <c r="A57" i="28"/>
  <c r="B54" i="28"/>
  <c r="A54" i="28"/>
  <c r="B32" i="13"/>
  <c r="A39" i="33" s="1"/>
  <c r="J18" i="1"/>
  <c r="J19" i="1" s="1"/>
  <c r="K18" i="1"/>
  <c r="K19" i="1" s="1"/>
  <c r="L18" i="1"/>
  <c r="L19" i="1" s="1"/>
  <c r="M18" i="1"/>
  <c r="M19" i="1" s="1"/>
  <c r="N18" i="1"/>
  <c r="N19" i="1" s="1"/>
  <c r="O18" i="1"/>
  <c r="O19" i="1" s="1"/>
  <c r="P18" i="1"/>
  <c r="P19" i="1" s="1"/>
  <c r="Q18" i="1"/>
  <c r="Q19" i="1" s="1"/>
  <c r="R18" i="1"/>
  <c r="R19" i="1" s="1"/>
  <c r="S18" i="1"/>
  <c r="S19" i="1" s="1"/>
  <c r="T18" i="1"/>
  <c r="T19" i="1" s="1"/>
  <c r="U18" i="1"/>
  <c r="U19" i="1" s="1"/>
  <c r="V18" i="1"/>
  <c r="V19" i="1" s="1"/>
  <c r="W18" i="1"/>
  <c r="W19" i="1" s="1"/>
  <c r="X18" i="1"/>
  <c r="X19" i="1" s="1"/>
  <c r="I18" i="1"/>
  <c r="K4" i="20"/>
  <c r="K5" i="20"/>
  <c r="K6" i="20"/>
  <c r="K7" i="20"/>
  <c r="K8" i="20"/>
  <c r="K9" i="20"/>
  <c r="K10" i="20"/>
  <c r="K11" i="20"/>
  <c r="K12" i="20"/>
  <c r="K13" i="20"/>
  <c r="K14" i="20"/>
  <c r="K15" i="20"/>
  <c r="K16" i="20"/>
  <c r="K17" i="20"/>
  <c r="K18" i="20"/>
  <c r="J4" i="20"/>
  <c r="L4" i="20" s="1"/>
  <c r="J5" i="20"/>
  <c r="L5" i="20" s="1"/>
  <c r="J6" i="20"/>
  <c r="L6" i="20" s="1"/>
  <c r="J7" i="20"/>
  <c r="L7" i="20" s="1"/>
  <c r="J8" i="20"/>
  <c r="L8" i="20" s="1"/>
  <c r="J9" i="20"/>
  <c r="L9" i="20" s="1"/>
  <c r="J10" i="20"/>
  <c r="L10" i="20" s="1"/>
  <c r="J11" i="20"/>
  <c r="L11" i="20" s="1"/>
  <c r="J12" i="20"/>
  <c r="L12" i="20" s="1"/>
  <c r="J13" i="20"/>
  <c r="L13" i="20" s="1"/>
  <c r="J14" i="20"/>
  <c r="L14" i="20" s="1"/>
  <c r="J15" i="20"/>
  <c r="L15" i="20" s="1"/>
  <c r="J16" i="20"/>
  <c r="L16" i="20" s="1"/>
  <c r="J17" i="20"/>
  <c r="L17" i="20" s="1"/>
  <c r="J18" i="20"/>
  <c r="L18" i="20" s="1"/>
  <c r="J3" i="20"/>
  <c r="K3" i="20"/>
  <c r="S3" i="20"/>
  <c r="S18" i="20"/>
  <c r="S17" i="20"/>
  <c r="S16" i="20"/>
  <c r="S15" i="20"/>
  <c r="S14" i="20"/>
  <c r="S13" i="20"/>
  <c r="S12" i="20"/>
  <c r="S11" i="20"/>
  <c r="S10" i="20"/>
  <c r="S9" i="20"/>
  <c r="S8" i="20"/>
  <c r="S7" i="20"/>
  <c r="S6" i="20"/>
  <c r="S5" i="20"/>
  <c r="S4" i="20"/>
  <c r="A44" i="28"/>
  <c r="B44" i="28"/>
  <c r="B41" i="28"/>
  <c r="A41" i="28"/>
  <c r="B38" i="28"/>
  <c r="A38" i="28"/>
  <c r="B35" i="28"/>
  <c r="A35" i="28"/>
  <c r="B32" i="28"/>
  <c r="A32" i="28"/>
  <c r="I19" i="1" l="1"/>
  <c r="H10" i="33"/>
  <c r="H25" i="33"/>
  <c r="H21" i="33"/>
  <c r="H16" i="33"/>
  <c r="G19" i="29"/>
  <c r="J19" i="29" s="1"/>
  <c r="G18" i="29"/>
  <c r="J18" i="29" s="1"/>
  <c r="U4" i="20"/>
  <c r="T4" i="20"/>
  <c r="V4" i="20" s="1"/>
  <c r="U5" i="20"/>
  <c r="T5" i="20"/>
  <c r="V5" i="20" s="1"/>
  <c r="U6" i="20"/>
  <c r="T6" i="20"/>
  <c r="V6" i="20" s="1"/>
  <c r="U7" i="20"/>
  <c r="T7" i="20"/>
  <c r="V7" i="20" s="1"/>
  <c r="U8" i="20"/>
  <c r="T8" i="20"/>
  <c r="U9" i="20"/>
  <c r="T9" i="20"/>
  <c r="U10" i="20"/>
  <c r="T10" i="20"/>
  <c r="U11" i="20"/>
  <c r="T11" i="20"/>
  <c r="U12" i="20"/>
  <c r="T12" i="20"/>
  <c r="U13" i="20"/>
  <c r="T13" i="20"/>
  <c r="U14" i="20"/>
  <c r="T14" i="20"/>
  <c r="U15" i="20"/>
  <c r="T15" i="20"/>
  <c r="U16" i="20"/>
  <c r="T16" i="20"/>
  <c r="U17" i="20"/>
  <c r="T17" i="20"/>
  <c r="U18" i="20"/>
  <c r="T18" i="20"/>
  <c r="U3" i="20"/>
  <c r="T3" i="20"/>
  <c r="V3" i="20" s="1"/>
  <c r="L3" i="20"/>
  <c r="V8" i="20"/>
  <c r="N56" i="13"/>
  <c r="M56" i="13" s="1"/>
  <c r="N55" i="13"/>
  <c r="M55" i="13" s="1"/>
  <c r="N54" i="13"/>
  <c r="M54" i="13" s="1"/>
  <c r="N53" i="13"/>
  <c r="M53" i="13" s="1"/>
  <c r="N52" i="13"/>
  <c r="M52" i="13" s="1"/>
  <c r="N51" i="13"/>
  <c r="M51" i="13" s="1"/>
  <c r="N50" i="13"/>
  <c r="M50" i="13" s="1"/>
  <c r="N49" i="13"/>
  <c r="M49" i="13" s="1"/>
  <c r="N48" i="13"/>
  <c r="M48" i="13" s="1"/>
  <c r="N47" i="13"/>
  <c r="M47" i="13" s="1"/>
  <c r="N46" i="13"/>
  <c r="M46" i="13" s="1"/>
  <c r="N44" i="13"/>
  <c r="M44" i="13" s="1"/>
  <c r="N43" i="13"/>
  <c r="M43" i="13" s="1"/>
  <c r="N42" i="13"/>
  <c r="M42" i="13" s="1"/>
  <c r="N41" i="13"/>
  <c r="M41" i="13" s="1"/>
  <c r="N40" i="13"/>
  <c r="M40" i="13" s="1"/>
  <c r="N39" i="13"/>
  <c r="M39" i="13" s="1"/>
  <c r="N38" i="13"/>
  <c r="M38" i="13" s="1"/>
  <c r="N37" i="13"/>
  <c r="M37" i="13" s="1"/>
  <c r="N36" i="13"/>
  <c r="M36" i="13" s="1"/>
  <c r="N35" i="13"/>
  <c r="M35" i="13" s="1"/>
  <c r="N34" i="13"/>
  <c r="M34" i="13" s="1"/>
  <c r="N33" i="13"/>
  <c r="M33" i="13" s="1"/>
  <c r="N31" i="13"/>
  <c r="M31" i="13" s="1"/>
  <c r="N30" i="13"/>
  <c r="M30" i="13" s="1"/>
  <c r="N29" i="13"/>
  <c r="M29" i="13" s="1"/>
  <c r="N28" i="13"/>
  <c r="M28" i="13" s="1"/>
  <c r="N26" i="13"/>
  <c r="M26" i="13" s="1"/>
  <c r="N25" i="13"/>
  <c r="M25" i="13" s="1"/>
  <c r="N24" i="13"/>
  <c r="M24" i="13" s="1"/>
  <c r="N23" i="13"/>
  <c r="M23" i="13" s="1"/>
  <c r="N22" i="13"/>
  <c r="M22" i="13" s="1"/>
  <c r="N21" i="13"/>
  <c r="M21" i="13" s="1"/>
  <c r="A1" i="28"/>
  <c r="A1" i="29"/>
  <c r="A1" i="9"/>
  <c r="A1" i="25"/>
  <c r="V18" i="20" l="1"/>
  <c r="V17" i="20"/>
  <c r="V16" i="20"/>
  <c r="V15" i="20"/>
  <c r="V14" i="20"/>
  <c r="V13" i="20"/>
  <c r="V12" i="20"/>
  <c r="V11" i="20"/>
  <c r="V10" i="20"/>
  <c r="V9" i="20"/>
  <c r="J57" i="13"/>
  <c r="I22" i="13" s="1"/>
  <c r="B19" i="9" l="1"/>
  <c r="C8" i="9" s="1"/>
  <c r="B18" i="9"/>
  <c r="C11" i="9" s="1"/>
  <c r="G11" i="9" s="1"/>
  <c r="G9" i="9"/>
  <c r="G7" i="9"/>
  <c r="C10" i="9" l="1"/>
  <c r="G10" i="9" s="1"/>
  <c r="G13" i="9" s="1"/>
  <c r="B3" i="9" s="1"/>
  <c r="G8" i="9"/>
  <c r="G12" i="9" s="1"/>
  <c r="A3" i="9" s="1"/>
  <c r="G14" i="9" l="1"/>
  <c r="G25" i="28" l="1"/>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F26" i="28"/>
  <c r="F27" i="28"/>
  <c r="F25" i="28"/>
  <c r="G22" i="28"/>
  <c r="H22" i="28"/>
  <c r="I22" i="28"/>
  <c r="J22" i="28"/>
  <c r="K22" i="28"/>
  <c r="L22" i="28"/>
  <c r="M22" i="28"/>
  <c r="N22" i="28"/>
  <c r="O22" i="28"/>
  <c r="P22" i="28"/>
  <c r="Q22" i="28"/>
  <c r="R22" i="28"/>
  <c r="S22" i="28"/>
  <c r="T22" i="28"/>
  <c r="U22" i="28"/>
  <c r="V22" i="28"/>
  <c r="W22" i="28"/>
  <c r="X22" i="28"/>
  <c r="Y22" i="28"/>
  <c r="Z22" i="28"/>
  <c r="AA22" i="28"/>
  <c r="AB22" i="28"/>
  <c r="AC22" i="28"/>
  <c r="G23" i="28"/>
  <c r="H23" i="28"/>
  <c r="I23" i="28"/>
  <c r="J23" i="28"/>
  <c r="K23" i="28"/>
  <c r="L23" i="28"/>
  <c r="M23" i="28"/>
  <c r="N23" i="28"/>
  <c r="O23" i="28"/>
  <c r="P23" i="28"/>
  <c r="Q23" i="28"/>
  <c r="R23" i="28"/>
  <c r="S23" i="28"/>
  <c r="T23" i="28"/>
  <c r="U23" i="28"/>
  <c r="V23" i="28"/>
  <c r="W23" i="28"/>
  <c r="X23" i="28"/>
  <c r="Y23" i="28"/>
  <c r="Z23" i="28"/>
  <c r="AA23" i="28"/>
  <c r="AB23" i="28"/>
  <c r="AC23" i="28"/>
  <c r="G24" i="28"/>
  <c r="H24" i="28"/>
  <c r="I24" i="28"/>
  <c r="J24" i="28"/>
  <c r="K24" i="28"/>
  <c r="L24" i="28"/>
  <c r="M24" i="28"/>
  <c r="N24" i="28"/>
  <c r="O24" i="28"/>
  <c r="P24" i="28"/>
  <c r="Q24" i="28"/>
  <c r="R24" i="28"/>
  <c r="S24" i="28"/>
  <c r="T24" i="28"/>
  <c r="U24" i="28"/>
  <c r="V24" i="28"/>
  <c r="W24" i="28"/>
  <c r="X24" i="28"/>
  <c r="Y24" i="28"/>
  <c r="Z24" i="28"/>
  <c r="AA24" i="28"/>
  <c r="AB24" i="28"/>
  <c r="AC24" i="28"/>
  <c r="F23" i="28"/>
  <c r="F24" i="28"/>
  <c r="F22" i="28"/>
  <c r="A19" i="28"/>
  <c r="A16" i="28"/>
  <c r="A13" i="28"/>
  <c r="A7" i="28"/>
  <c r="A22" i="28" s="1"/>
  <c r="A10" i="28" l="1"/>
  <c r="A25" i="28" s="1"/>
  <c r="J20" i="18" l="1"/>
  <c r="J38" i="18"/>
  <c r="J56" i="18"/>
  <c r="I4" i="18"/>
  <c r="I5" i="18"/>
  <c r="I6" i="18"/>
  <c r="I7" i="18"/>
  <c r="I8" i="18"/>
  <c r="I9" i="18"/>
  <c r="I10" i="18"/>
  <c r="I11" i="18"/>
  <c r="I12" i="18"/>
  <c r="I14" i="18"/>
  <c r="I15" i="18"/>
  <c r="I16" i="18"/>
  <c r="I17" i="18"/>
  <c r="I18" i="18"/>
  <c r="I19" i="18"/>
  <c r="I20" i="18"/>
  <c r="I21" i="18"/>
  <c r="I22" i="18"/>
  <c r="I23" i="18"/>
  <c r="I24" i="18"/>
  <c r="I25" i="18"/>
  <c r="I26" i="18"/>
  <c r="I27" i="18"/>
  <c r="I28" i="18"/>
  <c r="I29" i="18"/>
  <c r="I30" i="18"/>
  <c r="I32" i="18"/>
  <c r="I33" i="18"/>
  <c r="I34" i="18"/>
  <c r="I35" i="18"/>
  <c r="I36" i="18"/>
  <c r="I37" i="18"/>
  <c r="I38" i="18"/>
  <c r="I39" i="18"/>
  <c r="I40" i="18"/>
  <c r="I41" i="18"/>
  <c r="I42" i="18"/>
  <c r="I43" i="18"/>
  <c r="I44" i="18"/>
  <c r="I45" i="18"/>
  <c r="I46" i="18"/>
  <c r="I47" i="18"/>
  <c r="I48" i="18"/>
  <c r="I50" i="18"/>
  <c r="I51" i="18"/>
  <c r="I52" i="18"/>
  <c r="I53" i="18"/>
  <c r="I54" i="18"/>
  <c r="I55" i="18"/>
  <c r="I56" i="18"/>
  <c r="I3" i="18"/>
  <c r="B50" i="13"/>
  <c r="A57" i="33" s="1"/>
  <c r="B33" i="13" l="1"/>
  <c r="A40" i="33" s="1"/>
  <c r="A31" i="33"/>
  <c r="A50" i="18"/>
  <c r="A20" i="18"/>
  <c r="A4" i="18"/>
  <c r="A5" i="18"/>
  <c r="A6" i="18"/>
  <c r="A7" i="18"/>
  <c r="A8" i="18"/>
  <c r="A9" i="18"/>
  <c r="A10" i="18"/>
  <c r="A11" i="18"/>
  <c r="A12" i="18"/>
  <c r="A13" i="18"/>
  <c r="A14" i="18"/>
  <c r="A15" i="18"/>
  <c r="A16" i="18"/>
  <c r="A17" i="18"/>
  <c r="A18" i="18"/>
  <c r="A19" i="18"/>
  <c r="B4" i="18"/>
  <c r="G4" i="18" s="1"/>
  <c r="C4" i="18"/>
  <c r="H4" i="18" s="1"/>
  <c r="B5" i="18"/>
  <c r="G5" i="18" s="1"/>
  <c r="C5" i="18"/>
  <c r="H5" i="18" s="1"/>
  <c r="B6" i="18"/>
  <c r="G6" i="18" s="1"/>
  <c r="C6" i="18"/>
  <c r="H6" i="18" s="1"/>
  <c r="B7" i="18"/>
  <c r="G7" i="18" s="1"/>
  <c r="C7" i="18"/>
  <c r="H7" i="18" s="1"/>
  <c r="B8" i="18"/>
  <c r="G8" i="18" s="1"/>
  <c r="C8" i="18"/>
  <c r="H8" i="18" s="1"/>
  <c r="B9" i="18"/>
  <c r="G9" i="18" s="1"/>
  <c r="C9" i="18"/>
  <c r="H9" i="18" s="1"/>
  <c r="B10" i="18"/>
  <c r="C10" i="18"/>
  <c r="H10" i="18" s="1"/>
  <c r="J10" i="18" s="1"/>
  <c r="B11" i="18"/>
  <c r="C11" i="18"/>
  <c r="H11" i="18" s="1"/>
  <c r="J11" i="18" s="1"/>
  <c r="B12" i="18"/>
  <c r="C12" i="18"/>
  <c r="H12" i="18" s="1"/>
  <c r="J12" i="18" s="1"/>
  <c r="B13" i="18"/>
  <c r="C13" i="18"/>
  <c r="H13" i="18" s="1"/>
  <c r="J13" i="18" s="1"/>
  <c r="B14" i="18"/>
  <c r="G14" i="18" s="1"/>
  <c r="C14" i="18"/>
  <c r="H14" i="18" s="1"/>
  <c r="B15" i="18"/>
  <c r="C15" i="18"/>
  <c r="H15" i="18" s="1"/>
  <c r="J15" i="18" s="1"/>
  <c r="B16" i="18"/>
  <c r="G16" i="18" s="1"/>
  <c r="C16" i="18"/>
  <c r="H16" i="18" s="1"/>
  <c r="B17" i="18"/>
  <c r="G17" i="18" s="1"/>
  <c r="C17" i="18"/>
  <c r="H17" i="18" s="1"/>
  <c r="B18" i="18"/>
  <c r="G18" i="18" s="1"/>
  <c r="C18" i="18"/>
  <c r="H18" i="18" s="1"/>
  <c r="J18" i="18" s="1"/>
  <c r="B19" i="18"/>
  <c r="G19" i="18" s="1"/>
  <c r="C19" i="18"/>
  <c r="H19" i="18" s="1"/>
  <c r="B20" i="18"/>
  <c r="C20" i="18"/>
  <c r="C21" i="18"/>
  <c r="H21" i="18" s="1"/>
  <c r="C22" i="18"/>
  <c r="H22" i="18" s="1"/>
  <c r="C23" i="18"/>
  <c r="H23" i="18" s="1"/>
  <c r="C24" i="18"/>
  <c r="H24" i="18" s="1"/>
  <c r="C25" i="18"/>
  <c r="H25" i="18" s="1"/>
  <c r="C26" i="18"/>
  <c r="H26" i="18" s="1"/>
  <c r="C27" i="18"/>
  <c r="H27" i="18" s="1"/>
  <c r="C28" i="18"/>
  <c r="H28" i="18" s="1"/>
  <c r="J28" i="18" s="1"/>
  <c r="C29" i="18"/>
  <c r="H29" i="18" s="1"/>
  <c r="J29" i="18" s="1"/>
  <c r="C30" i="18"/>
  <c r="H30" i="18" s="1"/>
  <c r="J30" i="18" s="1"/>
  <c r="C31" i="18"/>
  <c r="H31" i="18" s="1"/>
  <c r="J31" i="18" s="1"/>
  <c r="C32" i="18"/>
  <c r="H32" i="18" s="1"/>
  <c r="C33" i="18"/>
  <c r="H33" i="18" s="1"/>
  <c r="J33" i="18" s="1"/>
  <c r="C34" i="18"/>
  <c r="H34" i="18" s="1"/>
  <c r="C35" i="18"/>
  <c r="H35" i="18" s="1"/>
  <c r="C36" i="18"/>
  <c r="H36" i="18" s="1"/>
  <c r="C37" i="18"/>
  <c r="H37" i="18" s="1"/>
  <c r="C38" i="18"/>
  <c r="C39" i="18"/>
  <c r="H39" i="18" s="1"/>
  <c r="C40" i="18"/>
  <c r="H40" i="18" s="1"/>
  <c r="C41" i="18"/>
  <c r="H41" i="18" s="1"/>
  <c r="C42" i="18"/>
  <c r="H42" i="18" s="1"/>
  <c r="C43" i="18"/>
  <c r="H43" i="18" s="1"/>
  <c r="C44" i="18"/>
  <c r="H44" i="18" s="1"/>
  <c r="C45" i="18"/>
  <c r="H45" i="18" s="1"/>
  <c r="C46" i="18"/>
  <c r="H46" i="18" s="1"/>
  <c r="J46" i="18" s="1"/>
  <c r="C47" i="18"/>
  <c r="H47" i="18" s="1"/>
  <c r="J47" i="18" s="1"/>
  <c r="C48" i="18"/>
  <c r="H48" i="18" s="1"/>
  <c r="J48" i="18" s="1"/>
  <c r="C49" i="18"/>
  <c r="H49" i="18" s="1"/>
  <c r="J49" i="18" s="1"/>
  <c r="C50" i="18"/>
  <c r="H50" i="18" s="1"/>
  <c r="C51" i="18"/>
  <c r="H51" i="18" s="1"/>
  <c r="J51" i="18" s="1"/>
  <c r="C52" i="18"/>
  <c r="H52" i="18" s="1"/>
  <c r="C53" i="18"/>
  <c r="H53" i="18" s="1"/>
  <c r="C54" i="18"/>
  <c r="H54" i="18" s="1"/>
  <c r="C55" i="18"/>
  <c r="H55" i="18" s="1"/>
  <c r="C56" i="18"/>
  <c r="B3" i="18"/>
  <c r="G3" i="18" s="1"/>
  <c r="C3" i="18"/>
  <c r="H3" i="18" s="1"/>
  <c r="A3" i="18"/>
  <c r="J8" i="18" l="1"/>
  <c r="J14" i="18"/>
  <c r="J19" i="18"/>
  <c r="J17" i="18"/>
  <c r="J6" i="18"/>
  <c r="J4" i="18"/>
  <c r="A24" i="18"/>
  <c r="J7" i="18"/>
  <c r="J3" i="18"/>
  <c r="J16" i="18"/>
  <c r="J5" i="18"/>
  <c r="A33" i="18"/>
  <c r="A27" i="18"/>
  <c r="J9" i="18"/>
  <c r="I3" i="13"/>
  <c r="I55" i="13"/>
  <c r="B40" i="13"/>
  <c r="A47" i="33" s="1"/>
  <c r="B41" i="13"/>
  <c r="A48" i="33" s="1"/>
  <c r="B42" i="13"/>
  <c r="A49" i="33" s="1"/>
  <c r="B43" i="13"/>
  <c r="A50" i="33" s="1"/>
  <c r="B44" i="13"/>
  <c r="A51" i="33" s="1"/>
  <c r="B46" i="13"/>
  <c r="A53" i="33" s="1"/>
  <c r="B47" i="13"/>
  <c r="A54" i="33" s="1"/>
  <c r="B48" i="13"/>
  <c r="A55" i="33" s="1"/>
  <c r="B49" i="13"/>
  <c r="A56" i="33" s="1"/>
  <c r="B51" i="13"/>
  <c r="A58" i="33" s="1"/>
  <c r="B52" i="13"/>
  <c r="A59" i="33" s="1"/>
  <c r="B53" i="13"/>
  <c r="A60" i="33" s="1"/>
  <c r="B54" i="13"/>
  <c r="A61" i="33" s="1"/>
  <c r="B55" i="13"/>
  <c r="A62" i="33" s="1"/>
  <c r="B56" i="13"/>
  <c r="A63" i="33" s="1"/>
  <c r="B39" i="13"/>
  <c r="A46" i="33" s="1"/>
  <c r="B22" i="13"/>
  <c r="A29" i="33" s="1"/>
  <c r="B23" i="13"/>
  <c r="A30" i="33" s="1"/>
  <c r="B25" i="13"/>
  <c r="A32" i="33" s="1"/>
  <c r="B26" i="13"/>
  <c r="A33" i="33" s="1"/>
  <c r="B28" i="13"/>
  <c r="A35" i="33" s="1"/>
  <c r="B29" i="13"/>
  <c r="A36" i="33" s="1"/>
  <c r="B30" i="13"/>
  <c r="A37" i="33" s="1"/>
  <c r="B31" i="13"/>
  <c r="A38" i="33" s="1"/>
  <c r="B34" i="13"/>
  <c r="A41" i="33" s="1"/>
  <c r="B35" i="13"/>
  <c r="A42" i="33" s="1"/>
  <c r="B36" i="13"/>
  <c r="A43" i="33" s="1"/>
  <c r="B37" i="13"/>
  <c r="A44" i="33" s="1"/>
  <c r="B38" i="13"/>
  <c r="A45" i="33" s="1"/>
  <c r="B21" i="13"/>
  <c r="A28" i="33" s="1"/>
  <c r="A47" i="18" l="1"/>
  <c r="A53" i="18"/>
  <c r="A51" i="18"/>
  <c r="A21" i="18"/>
  <c r="A38" i="18"/>
  <c r="A37" i="18"/>
  <c r="A46" i="18"/>
  <c r="A45" i="18"/>
  <c r="A44" i="18"/>
  <c r="A43" i="18"/>
  <c r="A31" i="18"/>
  <c r="A30" i="18"/>
  <c r="A26" i="18"/>
  <c r="A25" i="18"/>
  <c r="A22" i="18"/>
  <c r="A56" i="18"/>
  <c r="A49" i="18"/>
  <c r="A36" i="18"/>
  <c r="A34" i="18"/>
  <c r="A41" i="18"/>
  <c r="A40" i="18"/>
  <c r="A23" i="18"/>
  <c r="A55" i="18"/>
  <c r="A52" i="18"/>
  <c r="A48" i="18"/>
  <c r="A35" i="18"/>
  <c r="A32" i="18"/>
  <c r="A42" i="18"/>
  <c r="A29" i="18"/>
  <c r="A28" i="18"/>
  <c r="A39" i="18"/>
  <c r="A54" i="18"/>
  <c r="I4" i="13"/>
  <c r="I5" i="13"/>
  <c r="I6" i="13"/>
  <c r="I7" i="13"/>
  <c r="I8" i="13"/>
  <c r="I9" i="13"/>
  <c r="I10" i="13"/>
  <c r="I11" i="13"/>
  <c r="I12" i="13"/>
  <c r="I13" i="13"/>
  <c r="I14" i="13"/>
  <c r="I15" i="13"/>
  <c r="I16" i="13"/>
  <c r="I17" i="13"/>
  <c r="I18" i="13"/>
  <c r="I19" i="13"/>
  <c r="I21" i="13"/>
  <c r="I23" i="13"/>
  <c r="I24" i="13"/>
  <c r="I25" i="13"/>
  <c r="I26" i="13"/>
  <c r="I27" i="13"/>
  <c r="I28" i="13"/>
  <c r="I29" i="13"/>
  <c r="I30" i="13"/>
  <c r="I31" i="13"/>
  <c r="I32" i="13"/>
  <c r="I33" i="13"/>
  <c r="I34" i="13"/>
  <c r="I35" i="13"/>
  <c r="I36" i="13"/>
  <c r="I37" i="13"/>
  <c r="I39" i="13"/>
  <c r="I40" i="13"/>
  <c r="I41" i="13"/>
  <c r="I42" i="13"/>
  <c r="I43" i="13"/>
  <c r="I44" i="13"/>
  <c r="I45" i="13"/>
  <c r="I46" i="13"/>
  <c r="I47" i="13"/>
  <c r="I48" i="13"/>
  <c r="I49" i="13"/>
  <c r="I50" i="13"/>
  <c r="I51" i="13"/>
  <c r="I52" i="13"/>
  <c r="I53" i="13"/>
  <c r="I54" i="13"/>
  <c r="S21" i="13" l="1"/>
  <c r="S29" i="13"/>
  <c r="S28" i="13"/>
  <c r="S26" i="13"/>
  <c r="S30" i="13"/>
  <c r="S27" i="13"/>
  <c r="S23" i="13"/>
  <c r="S25" i="13"/>
  <c r="S24" i="13"/>
  <c r="S22" i="13"/>
  <c r="I57" i="13"/>
  <c r="J13" i="1"/>
  <c r="K13" i="1"/>
  <c r="L13" i="1"/>
  <c r="M13" i="1"/>
  <c r="N13" i="1"/>
  <c r="O13" i="1"/>
  <c r="P13" i="1"/>
  <c r="Q13" i="1"/>
  <c r="R13" i="1"/>
  <c r="S13" i="1"/>
  <c r="T13" i="1"/>
  <c r="U13" i="1"/>
  <c r="V13" i="1"/>
  <c r="W13" i="1"/>
  <c r="X13" i="1"/>
  <c r="J14" i="1"/>
  <c r="K14" i="1"/>
  <c r="L14" i="1"/>
  <c r="M14" i="1"/>
  <c r="N14" i="1"/>
  <c r="O14" i="1"/>
  <c r="P14" i="1"/>
  <c r="Q14" i="1"/>
  <c r="R14" i="1"/>
  <c r="S14" i="1"/>
  <c r="T14" i="1"/>
  <c r="U14" i="1"/>
  <c r="V14" i="1"/>
  <c r="W14" i="1"/>
  <c r="X14" i="1"/>
  <c r="I14" i="1"/>
  <c r="I13" i="1"/>
  <c r="D41" i="18"/>
  <c r="E41" i="18"/>
  <c r="D42" i="18"/>
  <c r="E42" i="18"/>
  <c r="D43" i="18"/>
  <c r="E43" i="18"/>
  <c r="D44" i="18"/>
  <c r="E44" i="18"/>
  <c r="D45" i="18"/>
  <c r="E45" i="18"/>
  <c r="D46" i="18"/>
  <c r="E46" i="18"/>
  <c r="D47" i="18"/>
  <c r="E47" i="18"/>
  <c r="D48" i="18"/>
  <c r="E48" i="18"/>
  <c r="D49" i="18"/>
  <c r="E49" i="18"/>
  <c r="D50" i="18"/>
  <c r="E50" i="18"/>
  <c r="D51" i="18"/>
  <c r="E51" i="18"/>
  <c r="D52" i="18"/>
  <c r="E52" i="18"/>
  <c r="D53" i="18"/>
  <c r="E53" i="18"/>
  <c r="D54" i="18"/>
  <c r="E54" i="18"/>
  <c r="D55" i="18"/>
  <c r="E55" i="18"/>
  <c r="D56" i="18"/>
  <c r="E56" i="18"/>
  <c r="D26" i="18"/>
  <c r="E26" i="18"/>
  <c r="D27" i="18"/>
  <c r="E27" i="18"/>
  <c r="D28" i="18"/>
  <c r="E28" i="18"/>
  <c r="D29" i="18"/>
  <c r="E29" i="18"/>
  <c r="D30" i="18"/>
  <c r="E30" i="18"/>
  <c r="D31" i="18"/>
  <c r="E31" i="18"/>
  <c r="D32" i="18"/>
  <c r="E32" i="18"/>
  <c r="D33" i="18"/>
  <c r="E33" i="18"/>
  <c r="D34" i="18"/>
  <c r="E34" i="18"/>
  <c r="D35" i="18"/>
  <c r="E35" i="18"/>
  <c r="D36" i="18"/>
  <c r="E36" i="18"/>
  <c r="D37" i="18"/>
  <c r="E37" i="18"/>
  <c r="D38" i="18"/>
  <c r="E38" i="18"/>
  <c r="S31" i="13" l="1"/>
  <c r="H129" i="29"/>
  <c r="F129" i="29"/>
  <c r="G129" i="29"/>
  <c r="K103" i="29"/>
  <c r="T103" i="29" s="1"/>
  <c r="G83" i="29"/>
  <c r="H49" i="13" l="1"/>
  <c r="L49" i="13"/>
  <c r="C56" i="33" s="1"/>
  <c r="B49" i="18"/>
  <c r="H50" i="13"/>
  <c r="L50" i="13"/>
  <c r="H47" i="13"/>
  <c r="L47" i="13"/>
  <c r="C54" i="33" s="1"/>
  <c r="B47" i="18"/>
  <c r="H48" i="13"/>
  <c r="L48" i="13"/>
  <c r="C55" i="33" s="1"/>
  <c r="B48" i="18"/>
  <c r="L29" i="13"/>
  <c r="C36" i="33" s="1"/>
  <c r="B29" i="18"/>
  <c r="H30" i="13"/>
  <c r="L30" i="13"/>
  <c r="C37" i="33" s="1"/>
  <c r="B30" i="18"/>
  <c r="L31" i="13"/>
  <c r="C38" i="33" s="1"/>
  <c r="B31" i="18"/>
  <c r="H32" i="13"/>
  <c r="L32" i="13"/>
  <c r="C57" i="33" l="1"/>
  <c r="E57" i="33"/>
  <c r="G57" i="33" s="1"/>
  <c r="H57" i="33" s="1"/>
  <c r="C39" i="33"/>
  <c r="E39" i="33"/>
  <c r="G39" i="33" s="1"/>
  <c r="H39" i="33" s="1"/>
  <c r="B50" i="18"/>
  <c r="G50" i="18" s="1"/>
  <c r="J50" i="18" s="1"/>
  <c r="B32" i="18"/>
  <c r="G32" i="18" s="1"/>
  <c r="J32" i="18" s="1"/>
  <c r="B21" i="18" l="1"/>
  <c r="G21" i="18" s="1"/>
  <c r="J21" i="18" s="1"/>
  <c r="B39" i="18"/>
  <c r="G39" i="18" s="1"/>
  <c r="J39" i="18" s="1"/>
  <c r="D40" i="18"/>
  <c r="E40" i="18"/>
  <c r="E39" i="18"/>
  <c r="D39" i="18"/>
  <c r="D22" i="18" l="1"/>
  <c r="E22" i="18"/>
  <c r="D23" i="18"/>
  <c r="E23" i="18"/>
  <c r="D24" i="18"/>
  <c r="E24" i="18"/>
  <c r="D25" i="18"/>
  <c r="E25" i="18"/>
  <c r="E21" i="18"/>
  <c r="D21" i="18"/>
  <c r="L40" i="13" l="1"/>
  <c r="L41" i="13"/>
  <c r="L42" i="13"/>
  <c r="L43" i="13"/>
  <c r="L44" i="13"/>
  <c r="L45" i="13"/>
  <c r="L46" i="13"/>
  <c r="C53" i="33" s="1"/>
  <c r="B46" i="18"/>
  <c r="L51" i="13"/>
  <c r="C58" i="33" s="1"/>
  <c r="B51" i="18"/>
  <c r="L52" i="13"/>
  <c r="L53" i="13"/>
  <c r="L54" i="13"/>
  <c r="L55" i="13"/>
  <c r="L56" i="13"/>
  <c r="C63" i="33" s="1"/>
  <c r="L39" i="13"/>
  <c r="L22" i="13"/>
  <c r="L23" i="13"/>
  <c r="L24" i="13"/>
  <c r="L25" i="13"/>
  <c r="L28" i="13"/>
  <c r="C35" i="33" s="1"/>
  <c r="B28" i="18"/>
  <c r="L33" i="13"/>
  <c r="C40" i="33" s="1"/>
  <c r="B33" i="18"/>
  <c r="L35" i="13"/>
  <c r="L36" i="13"/>
  <c r="L37" i="13"/>
  <c r="L38" i="13"/>
  <c r="C45" i="33" s="1"/>
  <c r="B38" i="18"/>
  <c r="L21" i="13"/>
  <c r="H40" i="13"/>
  <c r="H41" i="13"/>
  <c r="H42" i="13"/>
  <c r="H43" i="13"/>
  <c r="H44" i="13"/>
  <c r="H45" i="13"/>
  <c r="H46" i="13"/>
  <c r="H51" i="13"/>
  <c r="H52" i="13"/>
  <c r="H53" i="13"/>
  <c r="H54" i="13"/>
  <c r="H55" i="13"/>
  <c r="H56" i="13"/>
  <c r="H34" i="13" s="1"/>
  <c r="H39" i="13"/>
  <c r="H22" i="13"/>
  <c r="H23" i="13"/>
  <c r="H24" i="13"/>
  <c r="H26" i="13" s="1"/>
  <c r="H25" i="13"/>
  <c r="H28" i="13"/>
  <c r="H33" i="13"/>
  <c r="H35" i="13"/>
  <c r="H36" i="13"/>
  <c r="H27" i="13" s="1"/>
  <c r="H37" i="13"/>
  <c r="H38" i="13"/>
  <c r="H21" i="13"/>
  <c r="C32" i="33" l="1"/>
  <c r="E32" i="33"/>
  <c r="G32" i="33" s="1"/>
  <c r="H32" i="33" s="1"/>
  <c r="C31" i="33"/>
  <c r="E31" i="33"/>
  <c r="G31" i="33" s="1"/>
  <c r="H31" i="33" s="1"/>
  <c r="C30" i="33"/>
  <c r="E30" i="33"/>
  <c r="G30" i="33" s="1"/>
  <c r="H30" i="33" s="1"/>
  <c r="C29" i="33"/>
  <c r="E29" i="33"/>
  <c r="G29" i="33" s="1"/>
  <c r="H29" i="33" s="1"/>
  <c r="C46" i="33"/>
  <c r="E46" i="33"/>
  <c r="G46" i="33" s="1"/>
  <c r="H46" i="33" s="1"/>
  <c r="C62" i="33"/>
  <c r="E62" i="33"/>
  <c r="G62" i="33" s="1"/>
  <c r="H62" i="33" s="1"/>
  <c r="C61" i="33"/>
  <c r="E61" i="33"/>
  <c r="G61" i="33" s="1"/>
  <c r="H61" i="33" s="1"/>
  <c r="C60" i="33"/>
  <c r="E60" i="33"/>
  <c r="G60" i="33" s="1"/>
  <c r="H60" i="33" s="1"/>
  <c r="C59" i="33"/>
  <c r="E59" i="33"/>
  <c r="G59" i="33" s="1"/>
  <c r="H59" i="33" s="1"/>
  <c r="C28" i="33"/>
  <c r="E28" i="33"/>
  <c r="G28" i="33" s="1"/>
  <c r="E52" i="33"/>
  <c r="G52" i="33" s="1"/>
  <c r="H52" i="33" s="1"/>
  <c r="C52" i="33"/>
  <c r="C44" i="33"/>
  <c r="E44" i="33"/>
  <c r="G44" i="33" s="1"/>
  <c r="H44" i="33" s="1"/>
  <c r="C51" i="33"/>
  <c r="E51" i="33"/>
  <c r="G51" i="33" s="1"/>
  <c r="H51" i="33" s="1"/>
  <c r="C43" i="33"/>
  <c r="E43" i="33"/>
  <c r="G43" i="33" s="1"/>
  <c r="H43" i="33" s="1"/>
  <c r="C50" i="33"/>
  <c r="E50" i="33"/>
  <c r="G50" i="33" s="1"/>
  <c r="H50" i="33" s="1"/>
  <c r="C42" i="33"/>
  <c r="E42" i="33"/>
  <c r="G42" i="33" s="1"/>
  <c r="H42" i="33" s="1"/>
  <c r="C49" i="33"/>
  <c r="E49" i="33"/>
  <c r="G49" i="33" s="1"/>
  <c r="H49" i="33" s="1"/>
  <c r="C48" i="33"/>
  <c r="E48" i="33"/>
  <c r="G48" i="33" s="1"/>
  <c r="H48" i="33" s="1"/>
  <c r="C47" i="33"/>
  <c r="E47" i="33"/>
  <c r="G47" i="33" s="1"/>
  <c r="H47" i="33" s="1"/>
  <c r="B54" i="18"/>
  <c r="G54" i="18" s="1"/>
  <c r="J54" i="18" s="1"/>
  <c r="B35" i="18"/>
  <c r="G35" i="18" s="1"/>
  <c r="J35" i="18" s="1"/>
  <c r="B52" i="18"/>
  <c r="G52" i="18" s="1"/>
  <c r="J52" i="18" s="1"/>
  <c r="B44" i="18"/>
  <c r="G44" i="18" s="1"/>
  <c r="J44" i="18" s="1"/>
  <c r="B43" i="18"/>
  <c r="G43" i="18" s="1"/>
  <c r="J43" i="18" s="1"/>
  <c r="B22" i="18"/>
  <c r="G22" i="18" s="1"/>
  <c r="J22" i="18" s="1"/>
  <c r="B42" i="18"/>
  <c r="G42" i="18" s="1"/>
  <c r="J42" i="18" s="1"/>
  <c r="B53" i="18"/>
  <c r="G53" i="18" s="1"/>
  <c r="J53" i="18" s="1"/>
  <c r="B45" i="18"/>
  <c r="G45" i="18" s="1"/>
  <c r="J45" i="18" s="1"/>
  <c r="B24" i="18"/>
  <c r="G24" i="18" s="1"/>
  <c r="J24" i="18" s="1"/>
  <c r="L26" i="13"/>
  <c r="B23" i="18"/>
  <c r="G23" i="18" s="1"/>
  <c r="J23" i="18" s="1"/>
  <c r="B56" i="18"/>
  <c r="B41" i="18"/>
  <c r="G41" i="18" s="1"/>
  <c r="J41" i="18" s="1"/>
  <c r="B55" i="18"/>
  <c r="G55" i="18" s="1"/>
  <c r="J55" i="18" s="1"/>
  <c r="B40" i="18"/>
  <c r="G40" i="18" s="1"/>
  <c r="J40" i="18" s="1"/>
  <c r="B36" i="18"/>
  <c r="G36" i="18" s="1"/>
  <c r="J36" i="18" s="1"/>
  <c r="L27" i="13"/>
  <c r="B25" i="18"/>
  <c r="G25" i="18" s="1"/>
  <c r="J25" i="18" s="1"/>
  <c r="L34" i="13"/>
  <c r="B37" i="18"/>
  <c r="G37" i="18" s="1"/>
  <c r="J37" i="18" s="1"/>
  <c r="A106" i="29"/>
  <c r="A107" i="29" s="1"/>
  <c r="A108" i="29" s="1"/>
  <c r="A109" i="29" s="1"/>
  <c r="A110" i="29" s="1"/>
  <c r="A111" i="29" s="1"/>
  <c r="A112" i="29" s="1"/>
  <c r="A113" i="29" s="1"/>
  <c r="A114" i="29" s="1"/>
  <c r="A115" i="29" s="1"/>
  <c r="A116" i="29" s="1"/>
  <c r="A117" i="29" s="1"/>
  <c r="A118" i="29" s="1"/>
  <c r="A119" i="29" s="1"/>
  <c r="A120" i="29" s="1"/>
  <c r="A121" i="29" s="1"/>
  <c r="A122" i="29" s="1"/>
  <c r="A123" i="29" s="1"/>
  <c r="A124" i="29" s="1"/>
  <c r="A125" i="29" s="1"/>
  <c r="A126" i="29" s="1"/>
  <c r="A127" i="29" s="1"/>
  <c r="A128" i="29" s="1"/>
  <c r="C129" i="29"/>
  <c r="D129" i="29"/>
  <c r="E129" i="29"/>
  <c r="H28" i="33" l="1"/>
  <c r="C41" i="33"/>
  <c r="E41" i="33"/>
  <c r="G41" i="33" s="1"/>
  <c r="H41" i="33" s="1"/>
  <c r="E34" i="33"/>
  <c r="G34" i="33" s="1"/>
  <c r="H34" i="33" s="1"/>
  <c r="C34" i="33"/>
  <c r="C33" i="33"/>
  <c r="E33" i="33"/>
  <c r="G33" i="33" s="1"/>
  <c r="B26" i="18"/>
  <c r="G26" i="18" s="1"/>
  <c r="J26" i="18" s="1"/>
  <c r="B34" i="18"/>
  <c r="G34" i="18" s="1"/>
  <c r="J34" i="18" s="1"/>
  <c r="B27" i="18"/>
  <c r="G27" i="18" s="1"/>
  <c r="J27" i="18" s="1"/>
  <c r="C3" i="9"/>
  <c r="H33" i="33" l="1"/>
  <c r="G64" i="33"/>
  <c r="G65" i="33"/>
  <c r="K20" i="13"/>
  <c r="G75" i="33" l="1"/>
  <c r="G76" i="33"/>
  <c r="G77" i="33"/>
  <c r="G78" i="33"/>
  <c r="G79" i="33"/>
  <c r="G80" i="33"/>
  <c r="G81" i="33"/>
  <c r="G82" i="33"/>
  <c r="G83" i="33"/>
  <c r="G84" i="33"/>
  <c r="G85" i="33"/>
  <c r="G86" i="33"/>
  <c r="G87" i="33"/>
  <c r="G88" i="33"/>
  <c r="G89" i="33"/>
  <c r="G90" i="33"/>
  <c r="D76" i="33"/>
  <c r="D77" i="33"/>
  <c r="D78" i="33"/>
  <c r="D79" i="33"/>
  <c r="D80" i="33"/>
  <c r="D81" i="33"/>
  <c r="D82" i="33"/>
  <c r="D83" i="33"/>
  <c r="D84" i="33"/>
  <c r="D85" i="33"/>
  <c r="D86" i="33"/>
  <c r="D87" i="33"/>
  <c r="D88" i="33"/>
  <c r="D89" i="33"/>
  <c r="D90" i="33"/>
  <c r="D75" i="33"/>
  <c r="K56" i="13"/>
  <c r="F98" i="28" l="1"/>
  <c r="K5" i="13" l="1"/>
  <c r="K6" i="13" l="1"/>
  <c r="K42" i="13" l="1"/>
  <c r="X4" i="1"/>
  <c r="W4" i="1"/>
  <c r="V4" i="1"/>
  <c r="U4" i="1"/>
  <c r="T4" i="1"/>
  <c r="S4" i="1"/>
  <c r="R4" i="1"/>
  <c r="Q4" i="1"/>
  <c r="P4" i="1"/>
  <c r="O4" i="1"/>
  <c r="N4" i="1"/>
  <c r="M4" i="1"/>
  <c r="K4" i="1"/>
  <c r="L4" i="1"/>
  <c r="J4" i="1"/>
  <c r="I4" i="1"/>
  <c r="H44" i="25"/>
  <c r="H43" i="25"/>
  <c r="L42" i="25"/>
  <c r="G91" i="25"/>
  <c r="F91" i="25"/>
  <c r="C91" i="25"/>
  <c r="D91" i="25"/>
  <c r="B91" i="25"/>
  <c r="A68" i="25"/>
  <c r="A69" i="25" s="1"/>
  <c r="A70" i="25" s="1"/>
  <c r="A71" i="25" s="1"/>
  <c r="A72" i="25" s="1"/>
  <c r="A73" i="25" s="1"/>
  <c r="A74" i="25" s="1"/>
  <c r="A75" i="25" s="1"/>
  <c r="A76" i="25" s="1"/>
  <c r="A77" i="25" s="1"/>
  <c r="A78" i="25" s="1"/>
  <c r="A79" i="25" s="1"/>
  <c r="A80" i="25" s="1"/>
  <c r="A81" i="25" s="1"/>
  <c r="A82" i="25" s="1"/>
  <c r="A83" i="25" s="1"/>
  <c r="A84" i="25" s="1"/>
  <c r="A85" i="25" s="1"/>
  <c r="A86" i="25" s="1"/>
  <c r="A87" i="25" s="1"/>
  <c r="A88" i="25" s="1"/>
  <c r="A89" i="25" s="1"/>
  <c r="A90" i="25" s="1"/>
  <c r="K16" i="13" l="1"/>
  <c r="F43" i="25"/>
  <c r="G43" i="25" s="1"/>
  <c r="F44" i="25"/>
  <c r="G44" i="25" s="1"/>
  <c r="K34" i="13" l="1"/>
  <c r="K18" i="13"/>
  <c r="K54" i="13" s="1"/>
  <c r="K7" i="13"/>
  <c r="K25" i="13" l="1"/>
  <c r="K17" i="13"/>
  <c r="K8" i="13"/>
  <c r="K19" i="13" l="1"/>
  <c r="K37" i="13" s="1"/>
  <c r="K53" i="13"/>
  <c r="K4" i="13" l="1"/>
  <c r="K40" i="13" l="1"/>
  <c r="K3" i="13" l="1"/>
  <c r="K39" i="13" l="1"/>
  <c r="K21" i="13"/>
  <c r="K9" i="13" l="1"/>
  <c r="K10" i="13" l="1"/>
  <c r="K46" i="13" s="1"/>
  <c r="K28" i="13" l="1"/>
  <c r="K44" i="13" s="1"/>
  <c r="K11" i="13"/>
  <c r="K29" i="13" l="1"/>
  <c r="K45" i="13" s="1"/>
  <c r="K47" i="13"/>
  <c r="K38" i="13" s="1"/>
  <c r="K23" i="13" s="1"/>
  <c r="K12" i="13" l="1"/>
  <c r="K24" i="13" s="1"/>
  <c r="K26" i="13" s="1"/>
  <c r="K15" i="13"/>
  <c r="K43" i="13" s="1"/>
  <c r="K48" i="13" l="1"/>
  <c r="K30" i="13"/>
  <c r="K51" i="13"/>
  <c r="K33" i="13"/>
  <c r="K55" i="13" l="1"/>
  <c r="K22" i="13"/>
  <c r="K13" i="13"/>
  <c r="K36" i="13" s="1"/>
  <c r="K27" i="13" s="1"/>
  <c r="K31" i="13" l="1"/>
  <c r="K35" i="13" s="1"/>
  <c r="K49" i="13"/>
  <c r="K41" i="13" s="1"/>
  <c r="K14" i="13"/>
  <c r="K32" i="13" l="1"/>
  <c r="K50" i="13"/>
  <c r="K52" i="13" s="1"/>
  <c r="K57" i="13" l="1"/>
  <c r="E81" i="33" l="1"/>
  <c r="F81" i="33" s="1"/>
  <c r="H81" i="33" s="1"/>
  <c r="J81" i="33" s="1"/>
  <c r="E75" i="33"/>
  <c r="F75" i="33" s="1"/>
  <c r="H75" i="33" s="1"/>
  <c r="J75" i="33" s="1"/>
  <c r="E90" i="33"/>
  <c r="F90" i="33" s="1"/>
  <c r="H90" i="33" s="1"/>
  <c r="J90" i="33" s="1"/>
  <c r="E79" i="33"/>
  <c r="F79" i="33" s="1"/>
  <c r="H79" i="33" s="1"/>
  <c r="J79" i="33" s="1"/>
  <c r="E82" i="33"/>
  <c r="F82" i="33" s="1"/>
  <c r="H82" i="33" s="1"/>
  <c r="J82" i="33" s="1"/>
  <c r="E83" i="33"/>
  <c r="F83" i="33" s="1"/>
  <c r="H83" i="33" s="1"/>
  <c r="J83" i="33" s="1"/>
  <c r="E86" i="33"/>
  <c r="F86" i="33" s="1"/>
  <c r="H86" i="33" s="1"/>
  <c r="J86" i="33" s="1"/>
  <c r="E84" i="33"/>
  <c r="F84" i="33" s="1"/>
  <c r="H84" i="33" s="1"/>
  <c r="J84" i="33" s="1"/>
  <c r="E85" i="33"/>
  <c r="F85" i="33" s="1"/>
  <c r="H85" i="33" s="1"/>
  <c r="J85" i="33" s="1"/>
  <c r="E87" i="33"/>
  <c r="F87" i="33" s="1"/>
  <c r="H87" i="33" s="1"/>
  <c r="J87" i="33" s="1"/>
  <c r="E88" i="33"/>
  <c r="F88" i="33" s="1"/>
  <c r="H88" i="33" s="1"/>
  <c r="J88" i="33" s="1"/>
  <c r="E76" i="33"/>
  <c r="F76" i="33" s="1"/>
  <c r="H76" i="33" s="1"/>
  <c r="J76" i="33" s="1"/>
  <c r="E77" i="33"/>
  <c r="F77" i="33" s="1"/>
  <c r="H77" i="33" s="1"/>
  <c r="J77" i="33" s="1"/>
  <c r="E78" i="33"/>
  <c r="F78" i="33" s="1"/>
  <c r="H78" i="33" s="1"/>
  <c r="J78" i="33" s="1"/>
  <c r="E89" i="33"/>
  <c r="F89" i="33" s="1"/>
  <c r="H89" i="33" s="1"/>
  <c r="J89" i="33" s="1"/>
  <c r="E80" i="33"/>
  <c r="F80" i="33" s="1"/>
  <c r="H80" i="33" s="1"/>
  <c r="J80" i="33" s="1"/>
</calcChain>
</file>

<file path=xl/sharedStrings.xml><?xml version="1.0" encoding="utf-8"?>
<sst xmlns="http://schemas.openxmlformats.org/spreadsheetml/2006/main" count="1945" uniqueCount="874">
  <si>
    <t>Data Sources</t>
  </si>
  <si>
    <t>Dataset</t>
  </si>
  <si>
    <t>Dodge 2023</t>
  </si>
  <si>
    <t xml:space="preserve"> </t>
  </si>
  <si>
    <t>Commercial End-Use Survey (CEUS) 2022</t>
  </si>
  <si>
    <t>https://www.energy.ca.gov/publications/2023/2022-california-commercial-end-use-survey-ceus-final-report</t>
  </si>
  <si>
    <t>Commercial Buildings Energy Consumption Survey (CBECS) 2018</t>
  </si>
  <si>
    <t>https://www.eia.gov/consumption/commercial/data/2018/index.php?view=microdata</t>
  </si>
  <si>
    <t>Comstock 2023</t>
  </si>
  <si>
    <t>https://data.openei.org/s3_viewer?bucket=oedi-data-lake&amp;prefix=nrel-pds-building-stock%2Fend-use-load-profiles-for-us-building-stock%2F2023%2Fcomstock_amy2018_release_2%2Fmetadata_and_annual_results%2Fby_state%2Fstate%3DCA%2F</t>
  </si>
  <si>
    <t>Prototype</t>
  </si>
  <si>
    <t>California Energy Commission (CEC) Medium Office prototype (CBECC 2022.3.1)</t>
  </si>
  <si>
    <t>https://bees.noresco.com/software2022.html</t>
  </si>
  <si>
    <t>Pacific Northwest National Laboratory (PNNL) Medium Office prototype (90.1-2022)</t>
  </si>
  <si>
    <t>https://www.energycodes.gov/prototype-building-models#Commercial</t>
  </si>
  <si>
    <t>Database for Energy Efficient Resources (DEER) Large Office prototype (June 2023)</t>
  </si>
  <si>
    <t>https://github.com/sound-data/DEER-Prototypes-EnergyPlus</t>
  </si>
  <si>
    <t>Oak Ridge National Laboratory (ORNL) 2019 Medium Office prototype zoning</t>
  </si>
  <si>
    <t>https://web.eecs.utk.edu/~jnew1/publications/2019_IBPSA_OpenStudioOffice.pdf</t>
  </si>
  <si>
    <t>Codes</t>
  </si>
  <si>
    <t>Title 24, part 6, referred to as T24 (1984, 1992,1998, 2001, 2005, 2008, 2013, 2016,2019, 2022, 2025)</t>
  </si>
  <si>
    <t>https://www.energy.ca.gov/publications/2025/2025-building-energy-efficiency-standards-residential-and-nonresidential</t>
  </si>
  <si>
    <t>https://codes.iccsafe.org/codes/united-states/california</t>
  </si>
  <si>
    <t>2010+</t>
  </si>
  <si>
    <t>Title 20</t>
  </si>
  <si>
    <t>https://govt.westlaw.com/calregs/Document/I270DCA634B4011EFA8F7F119BAF97AD6?viewType=FullText&amp;originationContext=documenttoc&amp;transitionType=CategoryPageItem&amp;contextData=(sc.Default)</t>
  </si>
  <si>
    <t>American Society of Heating, Refrigerating and Air-Conditioning Engineers (ASHRAE) 90.1 (2022)</t>
  </si>
  <si>
    <t>https://www.ashrae.org/technical-resources/standards-and-guidelines/read-only-versions-of-ashrae-standards</t>
  </si>
  <si>
    <t>Code of Federal Regulations (CFR) Title 10 ( 2024)</t>
  </si>
  <si>
    <t>https://www.govinfo.gov/content/pkg/CFR-2024-title10-vol3/pdf/CFR-2024-title10-vol3-part431-subpartF.pdf</t>
  </si>
  <si>
    <t>Alternative Calculation Method (ACM) (2022)</t>
  </si>
  <si>
    <t>https://www.energy.ca.gov/publications/2022/2022-nonresidential-and-multifamily-alternative-calculation-method-reference</t>
  </si>
  <si>
    <t>ACM (2025)</t>
  </si>
  <si>
    <t>https://www.energy.ca.gov/publications/2025/2025-nonresidential-and-multifamily-alternative-calculation-method-reference</t>
  </si>
  <si>
    <t>Nonres ACM 2022, Appendix 5.4A and Appendix 5.4B</t>
  </si>
  <si>
    <t xml:space="preserve">2022 Reduced infiltration Codes and Standards Enhancement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</si>
  <si>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</si>
  <si>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</si>
  <si>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</si>
  <si>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</si>
  <si>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</si>
  <si>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Air leakage Memo, NORESCO, 2025</t>
  </si>
  <si>
    <t>Infiltration_rate_report_14May2025-Short-Version.docx</t>
  </si>
  <si>
    <t>Yousefi, F., Athalye, R., (2025), "Determining Vintage Bins for Prototype Development: An Analysis of California Commercial Buildings," ASHRAE Annual Conference</t>
  </si>
  <si>
    <t>https://www.thefreelibrary.com/Determining+Vintage+Bins+for+Prototype+Development%3a+An+Analysis+of...-a0879271125</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</si>
  <si>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</si>
  <si>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</si>
  <si>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Yousefi, F., Athalye, R. (2026). "Developing a New Set of Prototypical Models for Office Buildings in California," IBPSA-USA Conference</t>
  </si>
  <si>
    <t>https://publications.ibpsa.org/conference/paper/?id=simbuild2026_1372</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</si>
  <si>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</si>
  <si>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</si>
  <si>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</si>
  <si>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</si>
  <si>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</si>
  <si>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</si>
  <si>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</si>
  <si>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1978-84</t>
  </si>
  <si>
    <t>1985-97</t>
  </si>
  <si>
    <t>1992-1997</t>
  </si>
  <si>
    <t>Construction rate (Dodge 2023 data for new medium offices)</t>
  </si>
  <si>
    <t xml:space="preserve">Source:Dodge Construction Data, 2023 ( NEW medium office built after 1967) (STC refers to building types in Dodge terminology). </t>
  </si>
  <si>
    <t>Notes</t>
  </si>
  <si>
    <t xml:space="preserve">OfficeMedium Prototype </t>
  </si>
  <si>
    <r>
      <t>The Medium Office prototype was developed to represent California office buildings between 25,000 and 150,000 ft². Based on California construction data, the existing CEC/PNNL Medium Office geometry was retained because it aligned well with observed building stock characteristics. The prototype is modeled as a three-story building with a total floor area of 53,628 ft². Its zoning layout was updated using ORNL-based layouts, with modifications to better reflect current design practice and simplify the model. These changes included consolidating spaces, reducing the total number of thermal zones, and incorporating elevator space into the vertical circulation area. The resulting Medium Office prototype includes approximately 61.8% office space, 6.2% conference space, 5.5% storage, 9% corridor, 5.9% lobby, 3.6% restroom, 3.7% stair/elevator area, and for other 4.3% (server room, mechanical room, breakroom). The same geometry and zoning layout are applied across vintages and California climate zones.
Information about the geometry and underlying logic of the office prototypes can be found in this paper: Yousefi, F., Athalye, R. (2026).</t>
    </r>
    <r>
      <rPr>
        <b/>
        <sz val="10"/>
        <color rgb="FF000000"/>
        <rFont val="Arial"/>
        <family val="2"/>
      </rPr>
      <t xml:space="preserve"> ‘Developing a New Set of Prototypical Models for Office Buildings in California.’</t>
    </r>
    <r>
      <rPr>
        <sz val="10"/>
        <color rgb="FF000000"/>
        <rFont val="Arial"/>
        <family val="2"/>
      </rPr>
      <t xml:space="preserve"> IBPSA-USA Conference.
The link is provided above in the Data Source section. The floor area was slightly modified in some spaces during the geometry‑drawing phase.</t>
    </r>
  </si>
  <si>
    <t>1986 is  the representative year for the 1984-1997 vintage bin</t>
  </si>
  <si>
    <t>Most medium offices in this vintage bin were built after 1984 (more than 54% ) and the CA energy code did not  noticeably changed between 1984 to 1992) . Edition 1986 included 6 prescriptive packages per CZ for office buildings compared to 1984 with 3 packages per CZ.
Also "Heat Capacity" for external wall is considered between 10.0 to 14.99 (BTU/F/ft2) 
Package A was selected for the thermal properties
Medium office was considered as low rise office</t>
  </si>
  <si>
    <t>2001 is  the representative year for the 1998-2007 vintage bin</t>
  </si>
  <si>
    <t xml:space="preserve">Wall and roof prescriptive criteria from 1998 to 2005  remain unchanged except for CZ2 and 6 in 2001 version (the percentage of change is less than 10%). 
Since the construction rate between 1998-2005 is greater than the 2006-2007 period,  the envelope properties of 1998 -2005 were chosen for envelope properties. The windows requirement considerably changed in the 2001 code and makes this year (2001) as the nominated year for this vintage. 
It should be noticed that, only one Title 24 should be chosen within each vintage bin for building envelope properties since the entire envelope is built at once. We can't choose 1998 for walls and 2001 for windows. Wall and roof prescriptive criteria from 1998 to 2005  remain unchanged except for CZ2 and 6 in 2001 version (the percentage of change is less than 10%). </t>
  </si>
  <si>
    <t>2013 is  the representative year for the 2008-2018 vintage bin</t>
  </si>
  <si>
    <t>Wall properties remain unchanged from the 2008 code to the 2016 code but the roof did changed. Although the 2016 code introduced improvement for roof in nearly all CZ and for wall in a few CZ, and construction activity surged between 2017 and 2018, the extende period from 2008 to 2016 resulted in a higher construction rate during that time . As a result, it was decided to select the code that was effective during 2008-2016. 
The 2013 code modified the solar reflectance requirement for low-sloped roof products ( by approximately 15%), and enhanced window properties. Therefore, the 2013 code was chosen as the representative code.  Additionally, construction activity from 2014-2018 was higher compared to 2008-2013 period.</t>
  </si>
  <si>
    <t>NORESCO, Updated September 2026</t>
  </si>
  <si>
    <t>OfficeMedium</t>
  </si>
  <si>
    <t>Characteristic</t>
  </si>
  <si>
    <t>Value</t>
  </si>
  <si>
    <t>Building Type</t>
  </si>
  <si>
    <t xml:space="preserve">Medium Office </t>
  </si>
  <si>
    <t>Building Category</t>
  </si>
  <si>
    <t>Nonresidential</t>
  </si>
  <si>
    <t>Version</t>
  </si>
  <si>
    <t>v2-0</t>
  </si>
  <si>
    <t>Vintages</t>
  </si>
  <si>
    <t>4 Vintages: Pre-1978 , 1978-1997 ,1998-2007 , 2008-2018
New Construction (2019+)</t>
  </si>
  <si>
    <t>Based on the vintage bin analysis. 
A summary of the findings is presented in the following paper, with a link provided in the Notes tab:
Yousefi, F., Athalye, R. (2025). “Determining Vintage Bins for Prototype Development: An Analysis of California Commercial Buildings.” ASHRAE Annual Conference.</t>
  </si>
  <si>
    <t>Shape</t>
  </si>
  <si>
    <r>
      <t xml:space="preserve">Assume rectangular shape; supported by CBECS, CEC, and PNNL. The windows have been updated from ribbon style to punched openings.
The logic behind the geometry of the CalBEM Office prototypes' shell is described in the following paper, with a link provided in the Notes tab:
</t>
    </r>
    <r>
      <rPr>
        <i/>
        <sz val="10"/>
        <color rgb="FF000000"/>
        <rFont val="Arial"/>
        <family val="2"/>
      </rPr>
      <t>Yousefi, F., &amp; Athalye, R. (2026). "Developing a New Set of Prototypical Models for Office Buildings in California", IBPSA-USA Conference.</t>
    </r>
  </si>
  <si>
    <t>Total Floor Area (ft2)</t>
  </si>
  <si>
    <t>53,628 (163.7 ft x 109.2 ft)</t>
  </si>
  <si>
    <t>Supported by Dodge 2023 data (Same as CEC and PNNL)</t>
  </si>
  <si>
    <t>Aspect Ratio</t>
  </si>
  <si>
    <t>Assumption; same as CEC and PNNL Medium Office prototype</t>
  </si>
  <si>
    <t>Number of Floors</t>
  </si>
  <si>
    <t>Supported by Dodge 2023 data (Same as CEC and PNNL)
DEER doesn't offer medium office prototype</t>
  </si>
  <si>
    <t>Roof type</t>
  </si>
  <si>
    <t>Flat</t>
  </si>
  <si>
    <t>Supported by CBECS 2018 data (Same as CEC and PNNL)</t>
  </si>
  <si>
    <t>Window dimensions</t>
  </si>
  <si>
    <t xml:space="preserve">33%
</t>
  </si>
  <si>
    <t>Assumed based on CBECS data; same as CEC and PNNL Medium Office prototype.
CBECS: 26-50%
Comstock: 26%
CEC prototype: 33% same as PNNL
DEER: 33% for Large Office prototype</t>
  </si>
  <si>
    <t>3 ft from ground, 6*3 feet, 1 ft from ceiling, 2ft from each other.</t>
  </si>
  <si>
    <t>Shading Geometry</t>
  </si>
  <si>
    <t xml:space="preserve">No Shades </t>
  </si>
  <si>
    <t>Floor to floor height (feet)</t>
  </si>
  <si>
    <t>Assumption, standard ceiling height in office buildings; same as CEC and PNNL Medium Office prototype.</t>
  </si>
  <si>
    <t>Floor to ceiling height (feet)</t>
  </si>
  <si>
    <t>9 
(4 ft above-ceiling plenum)</t>
  </si>
  <si>
    <t>Glazing sill height (feet)</t>
  </si>
  <si>
    <t>3.35 ft 
(top of the window is 7.64 ft high with 4.29 ft high glass)</t>
  </si>
  <si>
    <t>Proposed OfficeMedium</t>
  </si>
  <si>
    <t>Layout of Spcase (each space has its own thermal zone)</t>
  </si>
  <si>
    <t>Building</t>
  </si>
  <si>
    <t>Space/Thermal Zone</t>
  </si>
  <si>
    <t>Space Type 
Primarily from [T24, 2022 Appendix 5.4A] -  See Notes column</t>
  </si>
  <si>
    <t>HVAC System Name
Vintage 1&amp;2</t>
  </si>
  <si>
    <t>HVAC System Name
Vintage 3&amp;4</t>
  </si>
  <si>
    <t>HVAC System Name
New Construction</t>
  </si>
  <si>
    <t>Schedule Category</t>
  </si>
  <si>
    <t>Conditioned (Y/N)</t>
  </si>
  <si>
    <t>Area Fraction</t>
  </si>
  <si>
    <t>Area (ft²)</t>
  </si>
  <si>
    <t>Volume (ft³)</t>
  </si>
  <si>
    <t>Multipliers</t>
  </si>
  <si>
    <t>Number of People</t>
  </si>
  <si>
    <t xml:space="preserve">People 
(Persons/1,000 ft²)
[T24, 2025,Table 120.1-A] </t>
  </si>
  <si>
    <t>Open_Office_Core_FloorG</t>
  </si>
  <si>
    <t>Office Area (&gt;250 square feet)</t>
  </si>
  <si>
    <t>CAV with Reheat_Core</t>
  </si>
  <si>
    <t>PVAV_FloorG</t>
  </si>
  <si>
    <t>VRF System_FloorG + DOAS</t>
  </si>
  <si>
    <t>Office</t>
  </si>
  <si>
    <t>Yes</t>
  </si>
  <si>
    <t>Open_Office_N_FloorG</t>
  </si>
  <si>
    <t>CAV with Reheat_North</t>
  </si>
  <si>
    <t>Enclosed_Office_W_FloorG</t>
  </si>
  <si>
    <t>CAV with Reheat_West</t>
  </si>
  <si>
    <t>Enclosed_Office_E_FloorG</t>
  </si>
  <si>
    <t>CAV with Reheat_East</t>
  </si>
  <si>
    <t>Open_Office_S_FloorG</t>
  </si>
  <si>
    <t>CAV with Reheat_South</t>
  </si>
  <si>
    <t>Conference_FloorG</t>
  </si>
  <si>
    <t>Convention, Conference, Multipurpose and Meeting Area</t>
  </si>
  <si>
    <t>Persons/1,000 ft²: ORNL: 54, T24:33</t>
  </si>
  <si>
    <t>Lobby_FloorG</t>
  </si>
  <si>
    <t>Lobby, Main Entry</t>
  </si>
  <si>
    <t>CAV with Reheat_Core_Service</t>
  </si>
  <si>
    <t>For entrance lobbies, assumed 10 persons/1000 ft² based on ASHRAE 62.1 Table 6-1
T24 assumed 33 persons/1,000 ft² for main Entry lobbies &amp; 5 persons/1000 ft² for reception area</t>
  </si>
  <si>
    <t>Storage_FloorG</t>
  </si>
  <si>
    <t>Storage (General)</t>
  </si>
  <si>
    <t>Ancillary</t>
  </si>
  <si>
    <t>-</t>
  </si>
  <si>
    <t>Occupant  load density for storage is based on T24, 2025, Appendix 5.4A.
Conditioned but with higher cooling setpoint</t>
  </si>
  <si>
    <t>Mechanical/Electrical_FloorG</t>
  </si>
  <si>
    <t>Electrical, Mechanical, Telephone Rooms</t>
  </si>
  <si>
    <t>Conditioned but with higher cooling setpoint</t>
  </si>
  <si>
    <t>IT-Room_FloorG</t>
  </si>
  <si>
    <t>IT Room (EPD 12)</t>
  </si>
  <si>
    <t>Data</t>
  </si>
  <si>
    <t>Nonres ACM 2025, Appendix 5.4A</t>
  </si>
  <si>
    <t>Restroom_FloorG</t>
  </si>
  <si>
    <t>Restrooms</t>
  </si>
  <si>
    <t>BreakRoom/Kitchenette_FloorG</t>
  </si>
  <si>
    <t>Lounge, Breakroom, or Waiting Area</t>
  </si>
  <si>
    <t>Number of People: T24: 33 for Breakroom</t>
  </si>
  <si>
    <t>Stairway_FloorG</t>
  </si>
  <si>
    <t>Stairwell</t>
  </si>
  <si>
    <t>Corridor_W_FloorG</t>
  </si>
  <si>
    <t>Corridor Area</t>
  </si>
  <si>
    <t>First Floor</t>
  </si>
  <si>
    <t>Second and Third Floor</t>
  </si>
  <si>
    <t>Corridor_N_FloorG</t>
  </si>
  <si>
    <t>Corridor_E_FloorG</t>
  </si>
  <si>
    <t>Corridor_S_FloorG</t>
  </si>
  <si>
    <t>Area Distribution By Space Type</t>
  </si>
  <si>
    <t>Plenum_FloorG</t>
  </si>
  <si>
    <t>Plenum</t>
  </si>
  <si>
    <t>No</t>
  </si>
  <si>
    <t>Space Type</t>
  </si>
  <si>
    <t>%  Area</t>
  </si>
  <si>
    <t>PVAV_FloorM</t>
  </si>
  <si>
    <t>VRF System_FloorM + DOAS</t>
  </si>
  <si>
    <t>Enclosed_Office_E_FloorM</t>
  </si>
  <si>
    <t>Lounge_FloorM</t>
  </si>
  <si>
    <t>NonRes ACM 2005, Appendix 5.4A assigns 2.5 occupants to kitchenette spaces, but because this room serves as a combined break/kitchenette area—and break rooms assume 33 occupants—we applied a midpoint value. The lounge overlaps functionally with the break area, so its occupant count (33) was reduced to 15 to keep overall loads balanced.</t>
  </si>
  <si>
    <t>Total</t>
  </si>
  <si>
    <t>PVAV_FloorT</t>
  </si>
  <si>
    <t>VRF System_FloorT + DOAS</t>
  </si>
  <si>
    <t>Lounge_FloorT</t>
  </si>
  <si>
    <t>T24, 2025, Appendix 5.4A assigns 2.5 occupants to kitchenette spaces, but because this room serves as a combined break/kitchenette area—and break rooms assume 33 occupants—we applied a midpoint value. The lounge overlaps functionally with the break area, so its occupant count (33) was reduced to 15 to keep overall loads balanced.</t>
  </si>
  <si>
    <t xml:space="preserve"> Total ( 1 Building)</t>
  </si>
  <si>
    <t>Total (54 Space)</t>
  </si>
  <si>
    <t>Total (11 Space Type)</t>
  </si>
  <si>
    <t>Total (6 HVAC Systems/Airloops)</t>
  </si>
  <si>
    <t>Total (3 HVAC Systems/Airloops)</t>
  </si>
  <si>
    <t>Total (4 HVAC Systems/Airloops)</t>
  </si>
  <si>
    <t xml:space="preserve"> Total (1 category)</t>
  </si>
  <si>
    <t xml:space="preserve"> Total (51 Conditioned zones, 3 unconditioned zones)</t>
  </si>
  <si>
    <r>
      <rPr>
        <b/>
        <sz val="10"/>
        <color rgb="FF000000"/>
        <rFont val="Arial"/>
        <family val="2"/>
      </rPr>
      <t>Ref:</t>
    </r>
    <r>
      <rPr>
        <sz val="10"/>
        <color rgb="FF000000"/>
        <rFont val="Arial"/>
        <family val="2"/>
      </rPr>
      <t xml:space="preserve"> Geometry and zones: ORNL 2019 medium office prototype with modification. Note that to reduce simulation time, the floor areas of similar spaces in the middle section are combined, and the number of zones is minimized as much as possible.</t>
    </r>
  </si>
  <si>
    <t>https://web.eecs.utk.edu/~jnew1/presentations/2019_IBPSA_OpenStudioOffice.pdf</t>
  </si>
  <si>
    <t>Envelope - OfficeMedium</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</si>
  <si>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</si>
  <si>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</si>
  <si>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</si>
  <si>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</si>
  <si>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</si>
  <si>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</si>
  <si>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</si>
  <si>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</si>
  <si>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</si>
  <si>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</si>
  <si>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</si>
  <si>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</si>
  <si>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</si>
  <si>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</si>
  <si>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</si>
  <si>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</si>
  <si>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</si>
  <si>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</si>
  <si>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</si>
  <si>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</si>
  <si>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</si>
  <si>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</si>
  <si>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</si>
  <si>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</si>
  <si>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Metal-frame walls + insulation + Gypsum board</t>
  </si>
  <si>
    <t>U-factor IP</t>
  </si>
  <si>
    <t>Pre 1978</t>
  </si>
  <si>
    <t>N/A</t>
  </si>
  <si>
    <t>ASHRAE 90.1, 2022, Table A3.3.3.1, 3.5", R-0</t>
  </si>
  <si>
    <t>1978-1997</t>
  </si>
  <si>
    <t>Low-rise office: Package A/ Heat Capacity was considered ~10 (BTU/F/ft2)</t>
  </si>
  <si>
    <t>1998-2007</t>
  </si>
  <si>
    <t>TABLE 1-H</t>
  </si>
  <si>
    <t>2008-2018</t>
  </si>
  <si>
    <t>TABLE 140.3-B</t>
  </si>
  <si>
    <t>Existing</t>
  </si>
  <si>
    <t>2019+</t>
  </si>
  <si>
    <t>Table 140.3-B (In Nonres Section)</t>
  </si>
  <si>
    <t>Roof</t>
  </si>
  <si>
    <t>FlatRoof_WoodFramedAndOther_NonRes</t>
  </si>
  <si>
    <t>Metal-Deck roof + insulation + Roof membrane</t>
  </si>
  <si>
    <t>Considering 30 years for roof/ insultation replacement.</t>
  </si>
  <si>
    <t>Windows</t>
  </si>
  <si>
    <t>FixedWindow_NonRes</t>
  </si>
  <si>
    <t xml:space="preserve">CBECS 2018 shows that over 50 % of medium offices that were built before 2000 are single pane </t>
  </si>
  <si>
    <t>ASHRAE Handbook of Fundamentals for single pane (Table 4-Ch15) &amp; T24, 2013  for double pane(50%-50%)*</t>
  </si>
  <si>
    <t>Double pane</t>
  </si>
  <si>
    <t xml:space="preserve">CBECS 2018 shows that over 50% of medium offices that were built before 2000 are single pane </t>
  </si>
  <si>
    <t>SHGC</t>
  </si>
  <si>
    <t>ASHRAE Handbook of Fundamentals for single pane (Table 10-Ch15), &amp; T24 2013  for double pane(50%-50%)*</t>
  </si>
  <si>
    <t>WWR:30-40 / SHGC non-north (Non-north SHGC is more stringent than north and is therefore considered for all sides)</t>
  </si>
  <si>
    <t>Infiltration</t>
  </si>
  <si>
    <t>Zones</t>
  </si>
  <si>
    <t>I_75 (cfm/ft²)
6-sdied Infiltration rate @ 75 pa</t>
  </si>
  <si>
    <t>Source</t>
  </si>
  <si>
    <t xml:space="preserve"> I-design (cfm/ft²)
(4-sided Infiltration rate at normal pressure) 
(Design flow rate approach and Flow/Exterior Wall Area calculation method) </t>
  </si>
  <si>
    <t>2022 CASE report (Table 38)</t>
  </si>
  <si>
    <t>1.0065*</t>
  </si>
  <si>
    <t>2022 CASE report (Table 38) &amp;
T24, 2008-2016 (Table 140.3-C)</t>
  </si>
  <si>
    <t>0.6**</t>
  </si>
  <si>
    <t>2022 CASE report (Table 38) &amp;  T24,140.3(a)9Cii &amp; T24, 2025 (Table 140.3-C)</t>
  </si>
  <si>
    <t>* An air barrier was not required for guest rooms under T24, until the 2019 edition. However, to reflect typical construction practices, we assumed that all exterior walls are equipped with an air barrier where it was required for nonresidential walls.</t>
  </si>
  <si>
    <t>*** T24  require 0.4 cfm/ft² for tested condition but it also in section 140.3(a)9Cii says that if the air leakage requirements are not met, a visual inspection and diagnostic evaluation shall be completed , all observed leaks shall be sealed where such sealing can be made without destruction of existing building components, and buildings where the tested leakage rate exceeded 0.6 cfm/ft² of building shell area at 75 Pa have been retested to confirm leakage is below 0.6 cfm/ft² of building shell at 75 Pa.</t>
  </si>
  <si>
    <t xml:space="preserve">*Note for windows properties in vintage 1 &amp;2 : </t>
  </si>
  <si>
    <t xml:space="preserve">We’ve considered a 50% single-pane and 50% double-pane mix (based on the 2013 requirements) for the window properties in Vintage 1 &amp; 2 (pre-1998 buildings). </t>
  </si>
  <si>
    <t>Since we don't have California-specific data, the decision is based on the CBECS 2018 data, which indicates:</t>
  </si>
  <si>
    <t xml:space="preserve"> - 40% of medium offices built before 1978 have mixed windows, while only 6% of offices from the second vintage (1978-1997) have mixed glass.</t>
  </si>
  <si>
    <t xml:space="preserve"> - Pre-1978: Among those with either single or double-pane windows, 80% have single-pane windows, and 20% have double-pane windows.</t>
  </si>
  <si>
    <t xml:space="preserve"> - 1978-1997: Among those with either single or double-pane windows, 55% have single-pane windows, and 45% have double-pane windows.</t>
  </si>
  <si>
    <t xml:space="preserve"> - Pre 1999: Among those with either single or double-pane windows,  61% has single pane windows.</t>
  </si>
  <si>
    <t>Since we don't have California-specific data and CBECS data is for 2018, it's likely that a percentage of pre-1978 buildings have undergone retrofitting in the past 7 years and upgraded their windows. Based on this, we've decided to apply the 50%-50% mix for the window properties.</t>
  </si>
  <si>
    <t>HVAC system - OfficeMedium</t>
  </si>
  <si>
    <t>HVAC System Layout</t>
  </si>
  <si>
    <t xml:space="preserve">Heating </t>
  </si>
  <si>
    <t>Cooling</t>
  </si>
  <si>
    <t>Air Distribution</t>
  </si>
  <si>
    <t>Other systems</t>
  </si>
  <si>
    <t xml:space="preserve">Existing  </t>
  </si>
  <si>
    <t>All Except IT Rooms</t>
  </si>
  <si>
    <t xml:space="preserve">Furnace (Gas) </t>
  </si>
  <si>
    <t>Packaged (DX)</t>
  </si>
  <si>
    <t>CAV with Reheat for the first two vintages 
VAV with Reheat for vintage 3 and 4</t>
  </si>
  <si>
    <t>OA mix through air handler
Economizer for Vintage 3 and 4
DCV for Vintage 4 (for qualifying high density rooms)</t>
  </si>
  <si>
    <t>CEUS 2022 + Engineering Judgement</t>
  </si>
  <si>
    <t>IT Room</t>
  </si>
  <si>
    <t xml:space="preserve">DX Computer Room Air Conditioner (CRAC) </t>
  </si>
  <si>
    <t>CAV</t>
  </si>
  <si>
    <t>_</t>
  </si>
  <si>
    <t>Engineering Judgement</t>
  </si>
  <si>
    <t>New Construction</t>
  </si>
  <si>
    <t>VRF</t>
  </si>
  <si>
    <t>DOAS
Economizer
ERV
DCV for qualifying high density rooms</t>
  </si>
  <si>
    <t>T24, 2025</t>
  </si>
  <si>
    <t>DX Computer Room Air Conditioner (CRAC)</t>
  </si>
  <si>
    <t>T24 2025</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</si>
  <si>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</si>
  <si>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HVAC System Type</t>
  </si>
  <si>
    <t>Upgrade/Installed year</t>
  </si>
  <si>
    <t xml:space="preserve"> DX Computer Room Air Conditioner (CRAC)</t>
  </si>
  <si>
    <t>Packaged CAV - DX with Gas Furnace</t>
  </si>
  <si>
    <t>11 EER for &lt;65 kBtu/h
10.4 EER for 65-135 kBtu/h
 10.2 EER for 135-240 kBtu/h</t>
  </si>
  <si>
    <t>Thermal efficiency (Et) of 80%</t>
  </si>
  <si>
    <t>10.1 EER  for 65-135 kBtu/h
9.5 EER for 135-240 kBtu/h
9.3 EER &amp; 9.7 IPLV  for &gt;240 kBtu/h</t>
  </si>
  <si>
    <r>
      <rPr>
        <sz val="10"/>
        <color rgb="FF000000"/>
        <rFont val="Arial"/>
        <family val="2"/>
      </rPr>
      <t xml:space="preserve">T24, Table 112-A (2008)
</t>
    </r>
    <r>
      <rPr>
        <sz val="10"/>
        <color rgb="FF000000"/>
        <rFont val="Arial"/>
        <family val="2"/>
      </rPr>
      <t xml:space="preserve"> California Title 20 Appliance Efficiency Regulations, Table E-4, Standards for Gas- and Oil-Fired Central Furnaces (2008)
CRAC: California Title 20 Appliance Efficiency Regulations, §1605.3(c)(2), Tables C-9 (2008)</t>
    </r>
  </si>
  <si>
    <t>Packaged VAV - DX with Gas Furnace</t>
  </si>
  <si>
    <t>SCOP= 
2.44 for &lt;65 kBtu/h
2.34 for 65-240 kBtu/h
2.24 for &gt;240 kBtu/h</t>
  </si>
  <si>
    <t>Thermal efficiency (Et) of 80% or 78% AFUE</t>
  </si>
  <si>
    <t>SEER 13 for &lt;65 kBtu/h
11 EER &amp; 11.2 IEER for 65-135 kBtu/h
10.8 EER &amp; 11 IEER for 135-240 kBtu/h
9.8 EER &amp; 9.9 IEER for &gt;240 kBtu/h</t>
  </si>
  <si>
    <t>T24, Table 110.2-J &amp; Table 110.2-A (2013)
CRAC: 10 CFR §431.97(f)(1), Table 7 (2013)</t>
  </si>
  <si>
    <t>NSenCOP=
2.09 for &lt;65 kBtu/h
 1.99 for 65-240 kBtu/h
1,81 for &gt;240 kBtu/h</t>
  </si>
  <si>
    <t>7.5 HSPF2 for &lt;65 kBtu/h
3.3 COP for 65-135 kBtu/h
3.2 COP for 135-240 kBtu/h
3.2 COP for &gt;240 kBtu/h</t>
  </si>
  <si>
    <t>10.1 EER &amp; 14.4 IEER for 65-135 kBtu/h
 9.7 EER &amp; 13.7 IEER for 135-240 kBtu/h
8.9 EER &amp; 12.5 IEER for &gt;240 kBtu/h</t>
  </si>
  <si>
    <t xml:space="preserve"> T24, Table 110.2-G (2025)
10 CFR § 431.97 Table 16  (2025)
CRAC: 10 CFR § 431.97, Table 13 (2025)</t>
  </si>
  <si>
    <t>Fan power</t>
  </si>
  <si>
    <t>Approach</t>
  </si>
  <si>
    <t>System</t>
  </si>
  <si>
    <t>Total Static Pressure (TSP)
(in w.c.)</t>
  </si>
  <si>
    <t>Fan Efficiency
[ACM 2025]</t>
  </si>
  <si>
    <t xml:space="preserve">Motor Efficiency </t>
  </si>
  <si>
    <t xml:space="preserve"> Fan Power Index 
(W/cfm)</t>
  </si>
  <si>
    <t>Data Source</t>
  </si>
  <si>
    <t>Note</t>
  </si>
  <si>
    <t>PNNL 90 1-2011, TSP</t>
  </si>
  <si>
    <t>CAV System &lt;7,437 cfm</t>
  </si>
  <si>
    <t>According to PNNL 20405 section 5.2.2.5, the full-load efficiency of the motor serving the fan is taken from  ASHRAE 90.1, 2004, Table 10.8, based on motor nameplate and assuming enclosed motors operating at 1,800 rotations per minute (rpm)
Motor nameplate size in hp = brake horsepower (bhp) × 1.1 ( using a 10% oversizing factor)
Brake horsepower (bhp) = (Supply cfm from sizing run × TSP in w.c.) / (6356 ×  fan efficiency)</t>
  </si>
  <si>
    <t xml:space="preserve">Fan power in W/cfm = (TSP in w.c. ×  746) / (6356  ×  fan efficiency × motor and drive efficiency </t>
  </si>
  <si>
    <t>Fan power formula: PNNL 20405, 2010, section 5.2.2.5
TSP and fan efficiecncy: PNNL 20405, 2010, Table 5.11, 90.1-04ac values
Motor and drive efficiency: ASHRAE 90.1, 2004, Table 10.8</t>
  </si>
  <si>
    <t>PNNL 20405, 2010, Table 5.11</t>
  </si>
  <si>
    <t>CAV System &gt;7,437 cfm</t>
  </si>
  <si>
    <t>VAV System &gt; 4,648 cfm</t>
  </si>
  <si>
    <t>Brake horsepower (bhp) = (Supply cfm × TSP in w.c.) / (6356 × fan efficiency)</t>
  </si>
  <si>
    <t>Fan power (w/cfm) = (bhp ×  746) / ( supply cfm × motor efficiency )</t>
  </si>
  <si>
    <t>ACM 2025</t>
  </si>
  <si>
    <r>
      <rPr>
        <sz val="10"/>
        <color rgb="FF000000"/>
        <rFont val="Arial"/>
        <family val="2"/>
      </rPr>
      <t>Small indoor fan at zone (for VRF)</t>
    </r>
    <r>
      <rPr>
        <sz val="10"/>
        <color rgb="FF000000"/>
        <rFont val="Arial"/>
        <family val="2"/>
      </rPr>
      <t xml:space="preserve"> &lt;1,600 cfm</t>
    </r>
  </si>
  <si>
    <t>The full‑load efficiency of the motor serving the fan is taken from ACM 2025 Table 12 based on the cfm of the fan.
Motor horsepower in hp = (Supply cfm from sizing run × fan power in W/cfm) / 746.
Considering a maximum airflow of 1,600 cfm for the VRF indoor fan (based on the sizing run), the resulting motor power is less than 1 hp. Therefore, motor efficiency is 85.5% according to ACM 2025 Table 12. In larger fan, motor effiiceny is higher.</t>
  </si>
  <si>
    <t>Fan power index (0.35 w/cfm): [T24, 2025, Section 140.4(a)3 D]
Motot efficiency: [ ACM 2025, Table 12]</t>
  </si>
  <si>
    <r>
      <t xml:space="preserve">0.35 W/CFM is  for the indoor unit fan.
</t>
    </r>
    <r>
      <rPr>
        <sz val="10"/>
        <color rgb="FF000000"/>
        <rFont val="Arial"/>
        <family val="2"/>
      </rPr>
      <t xml:space="preserve">
For main HVAC system fan (if applicable), the fan power must be determined using the 2025 ACM Table 13.</t>
    </r>
  </si>
  <si>
    <t xml:space="preserve">TSP (E+ input) in w.c. = fan power in W/cfm  × motor effciency  × fan efficiecny × 6356  / 746 </t>
  </si>
  <si>
    <t>𝜇_𝑚𝑜𝑡𝑜𝑟 : Motor and drive efficiency</t>
  </si>
  <si>
    <r>
      <t>(〖Fna power〗_(w/cfm)∗cfm∗</t>
    </r>
    <r>
      <rPr>
        <sz val="11"/>
        <color rgb="FF000000"/>
        <rFont val="Calibri"/>
        <family val="2"/>
        <scheme val="minor"/>
      </rPr>
      <t>μ_motor</t>
    </r>
    <r>
      <rPr>
        <sz val="11"/>
        <color rgb="FF000000"/>
        <rFont val="Cambria Math"/>
        <family val="1"/>
      </rPr>
      <t>)/</t>
    </r>
    <r>
      <rPr>
        <sz val="11"/>
        <color theme="1"/>
        <rFont val="Cambria Math"/>
        <family val="1"/>
      </rPr>
      <t>746</t>
    </r>
  </si>
  <si>
    <t>Thermostat Setpoints: OfficeMedium</t>
  </si>
  <si>
    <t>Spaces/Zones</t>
  </si>
  <si>
    <t>Setpoint</t>
  </si>
  <si>
    <t>Heating Setpoint (F)</t>
  </si>
  <si>
    <t>T24 2022 - Appendix 5.4B</t>
  </si>
  <si>
    <t>Heating Setback (F)</t>
  </si>
  <si>
    <t>Cooling Setpoint (F)</t>
  </si>
  <si>
    <t>Cooling Setback (F)</t>
  </si>
  <si>
    <t xml:space="preserve"> Heating Setpoint (F)</t>
  </si>
  <si>
    <t>Enginnering Judgment 
(Semi‑conditioned space)</t>
  </si>
  <si>
    <t xml:space="preserve"> Heating Setback (F)</t>
  </si>
  <si>
    <t xml:space="preserve"> Cooling Setback (F)</t>
  </si>
  <si>
    <t>IT rooms</t>
  </si>
  <si>
    <t>Cooling Setpoint (F)*</t>
  </si>
  <si>
    <t xml:space="preserve">Title 24, Part 6, 2025, section 140.9 (a)  and  PNNL ASHRAE 90.1 2022 Large Office prototype  </t>
  </si>
  <si>
    <t>Heating Setpoint (F)*</t>
  </si>
  <si>
    <r>
      <t>*The IT room with over 12 W/ft</t>
    </r>
    <r>
      <rPr>
        <vertAlign val="superscript"/>
        <sz val="9"/>
        <color rgb="FF000000"/>
        <rFont val="Arial"/>
        <family val="2"/>
      </rPr>
      <t>2</t>
    </r>
    <r>
      <rPr>
        <sz val="10"/>
        <color rgb="FF000000"/>
        <rFont val="Arial"/>
        <family val="2"/>
      </rPr>
      <t xml:space="preserve"> load doesn't require heating system as the equipment constantly generate enough heat. </t>
    </r>
  </si>
  <si>
    <r>
      <t xml:space="preserve">Note: </t>
    </r>
    <r>
      <rPr>
        <sz val="10"/>
        <color rgb="FF000000"/>
        <rFont val="Arial"/>
        <family val="2"/>
      </rPr>
      <t xml:space="preserve"> The Medium Office prototype by PNNL also uses the same setpoints, except for one of the perimeter zones, which has a heating setpoint of 69 °F and a cooling setpoint of 76 °F during hours of 10:00-11:00, 12:00-13:00, and 14:00-15:00 .</t>
    </r>
  </si>
  <si>
    <t>Outdoor Airflow Rate - OfficeMedium</t>
  </si>
  <si>
    <t>Space</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</si>
  <si>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</si>
  <si>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</si>
  <si>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</si>
  <si>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</si>
  <si>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</si>
  <si>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</si>
  <si>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</si>
  <si>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</si>
  <si>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Office space/Occupancy Category - Office Buildings</t>
  </si>
  <si>
    <t xml:space="preserve">Conference/meeting/Occupancy Category - General </t>
  </si>
  <si>
    <t>Main entry lobbies/Occupancy Category - Office Buildings</t>
  </si>
  <si>
    <t>Occupiable storage rooms for dry 
materials/Occupancy Category - Office Buildings</t>
  </si>
  <si>
    <t>All Other</t>
  </si>
  <si>
    <t>Telephone/data entry/Occupancy Category - Office Buildings</t>
  </si>
  <si>
    <t xml:space="preserve">4*50/70 cfm per unit  </t>
  </si>
  <si>
    <t xml:space="preserve">All Other- Almost 1 unit per 30 occupant for exhaust fan </t>
  </si>
  <si>
    <t>Breakrooms/Occupancy Category - Office Buildings</t>
  </si>
  <si>
    <t xml:space="preserve">Corridors /Occupancy Category - General </t>
  </si>
  <si>
    <t>Break rooms /Occupancy Category - Office Buildings</t>
  </si>
  <si>
    <r>
      <rPr>
        <sz val="10"/>
        <color rgb="FF000000"/>
        <rFont val="Arial"/>
        <family val="2"/>
      </rPr>
      <t>4*</t>
    </r>
    <r>
      <rPr>
        <sz val="10"/>
        <color rgb="FF000000"/>
        <rFont val="Arial"/>
        <family val="2"/>
      </rPr>
      <t>50/70</t>
    </r>
    <r>
      <rPr>
        <sz val="10"/>
        <color rgb="FF000000"/>
        <rFont val="Arial"/>
        <family val="2"/>
      </rPr>
      <t xml:space="preserve"> cfm per unit  </t>
    </r>
  </si>
  <si>
    <r>
      <rPr>
        <sz val="10"/>
        <color rgb="FF000000"/>
        <rFont val="Arial"/>
        <family val="2"/>
      </rPr>
      <t xml:space="preserve">4* </t>
    </r>
    <r>
      <rPr>
        <sz val="10"/>
        <color rgb="FF000000"/>
        <rFont val="Arial"/>
        <family val="2"/>
      </rPr>
      <t>50/70</t>
    </r>
    <r>
      <rPr>
        <sz val="10"/>
        <color rgb="FF000000"/>
        <rFont val="Arial"/>
        <family val="2"/>
      </rPr>
      <t xml:space="preserve"> cfm per unit  </t>
    </r>
  </si>
  <si>
    <t>CEUS 2022 Data shows that about 50% of the unconditioned floor area belongs to the first vintage bin (Pre-1978)</t>
  </si>
  <si>
    <t>Water Heater - OfficeMedium</t>
  </si>
  <si>
    <t>WH Type</t>
  </si>
  <si>
    <t>Efficiency</t>
  </si>
  <si>
    <t>Number of WH</t>
  </si>
  <si>
    <t>Tank Volume (gal)</t>
  </si>
  <si>
    <t>Tank Loss</t>
  </si>
  <si>
    <t>Gas</t>
  </si>
  <si>
    <t>Peak Hot Water Consumption</t>
  </si>
  <si>
    <t>Space Name</t>
  </si>
  <si>
    <t>Baseline WH Type 
[T24, 2022, Appendix 5.4A , sheet: "2022 SpaceFuncData-Input"]</t>
  </si>
  <si>
    <t>Total Area (ft²)</t>
  </si>
  <si>
    <t>Hot Water Usage Specification
(gal/hr per person)  
[T24, 2022, Appendix 5.4A , sheet: "2022 SpaceFuncData-Input"]</t>
  </si>
  <si>
    <t>Peak Hot Water Usage
(gal/hr)</t>
  </si>
  <si>
    <t>Peak Hot Water Usage
(gal/min)</t>
  </si>
  <si>
    <t>Gas*</t>
  </si>
  <si>
    <t>For space types marked with an asterisk (the ‘*’ symbol), the water‑heater type is listed as electric in Appendix 5.4A, sheet ‘2022 SpaceFuncData‑Input.’ However, we modified the value based on CEUS data, which indicates that gas is the primary fuel type.</t>
  </si>
  <si>
    <t>Gas storage</t>
  </si>
  <si>
    <t>Minimum peak hot water usage is 75 gal according to ACM 2025</t>
  </si>
  <si>
    <t xml:space="preserve">Total </t>
  </si>
  <si>
    <t>Electric resistance</t>
  </si>
  <si>
    <t>Design supply temperature (°F)</t>
  </si>
  <si>
    <t>Title 24 2022 Reference Appendices, Appendix 5.4B</t>
  </si>
  <si>
    <t>WH system factor</t>
  </si>
  <si>
    <t>2025 ACM §5.9.2 Rated Capacity</t>
  </si>
  <si>
    <t>Water mass conversion (lb/gal)</t>
  </si>
  <si>
    <t>Reheat multiplier</t>
  </si>
  <si>
    <t>2025 ACM §5.9.2 Storage Volume</t>
  </si>
  <si>
    <t>Climate Zone Water Heater Sizing and Loss Coefficients</t>
  </si>
  <si>
    <t>Water Heater Name</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</si>
  <si>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</si>
  <si>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</si>
  <si>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</si>
  <si>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</si>
  <si>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</si>
  <si>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</si>
  <si>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</si>
  <si>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</si>
  <si>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</si>
  <si>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WH_OfficeMedium</t>
  </si>
  <si>
    <t>CZ01</t>
  </si>
  <si>
    <t>Btu/hr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</si>
  <si>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</si>
  <si>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</si>
  <si>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</si>
  <si>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</si>
  <si>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</si>
  <si>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</si>
  <si>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</si>
  <si>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</si>
  <si>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</si>
  <si>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</si>
  <si>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</si>
  <si>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Gas WH</t>
  </si>
  <si>
    <t>Elec WH</t>
  </si>
  <si>
    <t>WH capacity</t>
  </si>
  <si>
    <t>Tank volume</t>
  </si>
  <si>
    <t>Catalog gas input (Btu/h)</t>
  </si>
  <si>
    <t>Input source</t>
  </si>
  <si>
    <t>Catalog gas tank (gal)</t>
  </si>
  <si>
    <t>Tank source</t>
  </si>
  <si>
    <t>Elec resistance tank (kW)</t>
  </si>
  <si>
    <t>Elec resistance (Btu/h)</t>
  </si>
  <si>
    <t>Elec tank (gal)</t>
  </si>
  <si>
    <t>Elec tank source</t>
  </si>
  <si>
    <t>Grainger</t>
  </si>
  <si>
    <t>ENERGY STAR</t>
  </si>
  <si>
    <t>Both</t>
  </si>
  <si>
    <t>Background Data [To be deleted prior to publication]</t>
  </si>
  <si>
    <t>Water use:</t>
  </si>
  <si>
    <t>PNNL (for Core zone)</t>
  </si>
  <si>
    <t>DEER</t>
  </si>
  <si>
    <t>CEC</t>
  </si>
  <si>
    <t>peak flow rate (gal/min)</t>
  </si>
  <si>
    <t>0.0322 for N&amp;S ZN - 0.0192 for E&amp;W ZN</t>
  </si>
  <si>
    <t>0.0242 for Core ZN- 0.0109 for two ZN - 0.0183 for two other ZN</t>
  </si>
  <si>
    <t>NOR Flow rate schedule follows CEC</t>
  </si>
  <si>
    <t>Target Temperature</t>
  </si>
  <si>
    <t>Sensible Fraction</t>
  </si>
  <si>
    <t>Latent Fraction</t>
  </si>
  <si>
    <t xml:space="preserve">CEUS 2022 data </t>
  </si>
  <si>
    <t>Water Heater</t>
  </si>
  <si>
    <t>% of total impacted  floor area</t>
  </si>
  <si>
    <t>Dominated system</t>
  </si>
  <si>
    <t>Package System / Heat Pump</t>
  </si>
  <si>
    <t xml:space="preserve">Fuel and Share </t>
  </si>
  <si>
    <t>49.9% Electric and 49.1% Gas</t>
  </si>
  <si>
    <t xml:space="preserve">New Construction </t>
  </si>
  <si>
    <t>LPD (W/ft²)</t>
  </si>
  <si>
    <t>Additional LPD for Portable Lighting (W/ft²)</t>
  </si>
  <si>
    <t xml:space="preserve">LPD (W/ft²) </t>
  </si>
  <si>
    <r>
      <rPr>
        <sz val="10"/>
        <color rgb="FF000000"/>
        <rFont val="Arial"/>
        <family val="2"/>
      </rPr>
      <t xml:space="preserve">T24, part 6, 2025, Table 140.6 C
</t>
    </r>
    <r>
      <rPr>
        <sz val="10"/>
        <color rgb="FF000000"/>
        <rFont val="Arial"/>
        <family val="2"/>
      </rPr>
      <t>IT Room Source: ASHRAE 90.1 2022, Table 9.5.2.1-1, computer room space type</t>
    </r>
  </si>
  <si>
    <r>
      <rPr>
        <sz val="10"/>
        <color rgb="FF000000"/>
        <rFont val="Arial"/>
        <family val="2"/>
      </rPr>
      <t xml:space="preserve">T24, part 6, 2013, Table 140.6 C
</t>
    </r>
    <r>
      <rPr>
        <sz val="10"/>
        <color rgb="FF000000"/>
        <rFont val="Arial"/>
        <family val="2"/>
      </rPr>
      <t>IT Room Source: ASHRAE 90.1 2013, TABLE9.6.1, computer room space type</t>
    </r>
  </si>
  <si>
    <t>It is assumed that 50% of the additional allowance lighting is in use.</t>
  </si>
  <si>
    <t>2013 LPD is for "Lounge" area
It is assumed that 50% of the additional allowance lighting is in use.</t>
  </si>
  <si>
    <t>Whole Building method</t>
  </si>
  <si>
    <t>LPD for Office Building ((W/ft²)</t>
  </si>
  <si>
    <t>Ref: T24, Table 140.6 B</t>
  </si>
  <si>
    <t>Ref: Title 24, Part 6- Table 140.6-C (office area &gt;250nSF)</t>
  </si>
  <si>
    <t xml:space="preserve">Title 24, part 6 Code cycle </t>
  </si>
  <si>
    <t>Lighting density for office Buildings: (complete building Method)</t>
  </si>
  <si>
    <t xml:space="preserve"> Lighting density for office area &gt;250 sf Floor area Method</t>
  </si>
  <si>
    <t>Table</t>
  </si>
  <si>
    <t>T24, part 6 2022</t>
  </si>
  <si>
    <t>file://carcgl.com/amer/NOR/Groups/CodesStds/Standards/California/2022%20Building%20Energy%20Efficiency%20Standards%20for%20Residential%20and%20Nonresidential%20Buildings.pdf</t>
  </si>
  <si>
    <t>0.6, 0.2 (additional)</t>
  </si>
  <si>
    <t>Table 140.6 C</t>
  </si>
  <si>
    <t>T24, part 6 2019</t>
  </si>
  <si>
    <t>file://carcgl.com/amer/NOR/Groups/CodesStds/Standards/California/2016-CEC-400-2015-037-CMF.pdf</t>
  </si>
  <si>
    <t>T24, part 6 2016</t>
  </si>
  <si>
    <t>Table 146-E</t>
  </si>
  <si>
    <t xml:space="preserve">TBD: Review the CASE report on 2016 for lighting </t>
  </si>
  <si>
    <t>Review of existing Medium Office prototype</t>
  </si>
  <si>
    <t>Prototype/Source</t>
  </si>
  <si>
    <t>Downloaded on</t>
  </si>
  <si>
    <t>Zone</t>
  </si>
  <si>
    <t>Light Intensity</t>
  </si>
  <si>
    <t>Unit</t>
  </si>
  <si>
    <t>Total intensity multipliers</t>
  </si>
  <si>
    <t>Total lighting intensity</t>
  </si>
  <si>
    <t>Core/Perims area ratio</t>
  </si>
  <si>
    <t>Working days</t>
  </si>
  <si>
    <t>PNNL</t>
  </si>
  <si>
    <t>All</t>
  </si>
  <si>
    <t xml:space="preserve"> W/ft2</t>
  </si>
  <si>
    <t>Saturday</t>
  </si>
  <si>
    <t>CEC (CBECC 2023)</t>
  </si>
  <si>
    <t>Sunday</t>
  </si>
  <si>
    <t>Holiday</t>
  </si>
  <si>
    <t>Interior lighting Schedules (existing prototypes extracted from the idf files (presented below)</t>
  </si>
  <si>
    <t>Hour</t>
  </si>
  <si>
    <t>CEC-Weekday</t>
  </si>
  <si>
    <t>CEC-Saturday</t>
  </si>
  <si>
    <t>CEC-Sunday</t>
  </si>
  <si>
    <t>PNNL-Weekday</t>
  </si>
  <si>
    <t>PNNL-Saturday</t>
  </si>
  <si>
    <t>PNNL-Otherday</t>
  </si>
  <si>
    <t>Sum of intensity multiplier</t>
  </si>
  <si>
    <t>Same as Small Office</t>
  </si>
  <si>
    <t>Motion Controlled Luminaires (W)</t>
  </si>
  <si>
    <t>Non-motion Controlled Luminaires (W)</t>
  </si>
  <si>
    <t>Total (W)</t>
  </si>
  <si>
    <t>Title 24, 2022</t>
  </si>
  <si>
    <t>Exterior Lighting</t>
  </si>
  <si>
    <t>Items (Assume LZ2)</t>
  </si>
  <si>
    <t>Assumptions
[2019 Outdoor Lighting CASE Report &amp; PNNL 90.1-2010 TSD]</t>
  </si>
  <si>
    <t>Lighting Power Allowance 
[T24, 2025, Table 140.7-A &amp; 140.7-B]</t>
  </si>
  <si>
    <t>Exterior Lighting Power (W)</t>
  </si>
  <si>
    <t>IWA (Initial Wage Allowance)</t>
  </si>
  <si>
    <t>(W)</t>
  </si>
  <si>
    <t>Parking area</t>
  </si>
  <si>
    <r>
      <rPr>
        <sz val="10"/>
        <color rgb="FF000000"/>
        <rFont val="Arial"/>
        <family val="2"/>
      </rPr>
      <t>400 ft² for every parking space</t>
    </r>
    <r>
      <rPr>
        <sz val="10"/>
        <color rgb="FF000000"/>
        <rFont val="Arial"/>
        <family val="2"/>
      </rPr>
      <t xml:space="preserve"> [2019 Lighting CASE report, Appendix H]
</t>
    </r>
    <r>
      <rPr>
        <sz val="10"/>
        <color rgb="FF000000"/>
        <rFont val="Arial"/>
        <family val="2"/>
      </rPr>
      <t xml:space="preserve">1 parking space per 250 ft² of gross building area  </t>
    </r>
    <r>
      <rPr>
        <sz val="10"/>
        <color rgb="FF00B0F0"/>
        <rFont val="Arial"/>
        <family val="2"/>
      </rPr>
      <t xml:space="preserve"> [2019 Lighting CASE report,Table 38]</t>
    </r>
  </si>
  <si>
    <t>(ft²)</t>
  </si>
  <si>
    <t>(W/ft²)</t>
  </si>
  <si>
    <t>Building Entrance</t>
  </si>
  <si>
    <t>2 building entrance (1 per 10,000 ft² footprint)</t>
  </si>
  <si>
    <t>(count)</t>
  </si>
  <si>
    <t>(W/ea)</t>
  </si>
  <si>
    <t>Hardscape Ornamental Light</t>
  </si>
  <si>
    <r>
      <rPr>
        <sz val="10"/>
        <color rgb="FF000000"/>
        <rFont val="Arial"/>
        <family val="2"/>
      </rPr>
      <t xml:space="preserve">0.1 ft² per 1 ft² of gross building area for hardscape ornamental light </t>
    </r>
    <r>
      <rPr>
        <sz val="10"/>
        <color rgb="FF000000"/>
        <rFont val="Arial"/>
        <family val="2"/>
      </rPr>
      <t xml:space="preserve"> [2019 Lighting CASE report,Table 36]</t>
    </r>
  </si>
  <si>
    <t>Building façade</t>
  </si>
  <si>
    <t xml:space="preserve">0.1 W per ft² of facade area 
Façade Area* = Perimeter × 0.5 × 30 ft (30 ft is the max height that is lit) 
The 0.5 factor assumes that only half of the perimeter walls are lit.
-Formula is developed based on the 2019 Outdoor Lighting CASE report </t>
  </si>
  <si>
    <t>Motion controlled Luminaires</t>
  </si>
  <si>
    <t>Non-motion-controlled Luminaires</t>
  </si>
  <si>
    <t>*Developed based on 2019 Outdoor Lighting CASE Report</t>
  </si>
  <si>
    <t>Perimeter (ft)</t>
  </si>
  <si>
    <t>Total floor area (ft²)</t>
  </si>
  <si>
    <t>Floors (above ground)</t>
  </si>
  <si>
    <t>Plug load Power Density (W/ft²)</t>
  </si>
  <si>
    <t>Gas Power Density (Btu/hr-ft²)</t>
  </si>
  <si>
    <t>Refrigeration Power Density (W/ft²)</t>
  </si>
  <si>
    <t>Proposed Updates to Equipment Power Densities and Schedules in the 2028 Energy Code Nonresidential and Multifamily Alternative Calculation Method (NRMFACM) Reference Manual, August 7, 2025</t>
  </si>
  <si>
    <t xml:space="preserve">T24 2022 - Appendix 5.4A
</t>
  </si>
  <si>
    <t xml:space="preserve">Feedback from TAG team </t>
  </si>
  <si>
    <t>T24 2022 - Appendix 5.4A</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</si>
  <si>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</si>
  <si>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</si>
  <si>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</si>
  <si>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</si>
  <si>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</si>
  <si>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</si>
  <si>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</si>
  <si>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</si>
  <si>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</si>
  <si>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</si>
  <si>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</si>
  <si>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</si>
  <si>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</si>
  <si>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</si>
  <si>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</si>
  <si>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</si>
  <si>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Medium Office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</si>
  <si>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</si>
  <si>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</si>
  <si>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</si>
  <si>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</si>
  <si>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</si>
  <si>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</si>
  <si>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</si>
  <si>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</si>
  <si>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</si>
  <si>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</si>
  <si>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</si>
  <si>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</si>
  <si>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</si>
  <si>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</si>
  <si>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</si>
  <si>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</si>
  <si>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</si>
  <si>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</si>
  <si>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</si>
  <si>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</si>
  <si>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</si>
  <si>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</si>
  <si>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</si>
  <si>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</si>
  <si>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</si>
  <si>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cfm</t>
  </si>
  <si>
    <t>Assumed for multifamily and commercial prototypes</t>
  </si>
  <si>
    <t>cat</t>
  </si>
  <si>
    <t>Usage category</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</si>
  <si>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</si>
  <si>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</si>
  <si>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</si>
  <si>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</si>
  <si>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</si>
  <si>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</si>
  <si>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</si>
  <si>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</si>
  <si>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</si>
  <si>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</si>
  <si>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</si>
  <si>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</si>
  <si>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</si>
  <si>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</si>
  <si>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</si>
  <si>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</si>
  <si>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</si>
  <si>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</si>
  <si>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</si>
  <si>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</si>
  <si>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</si>
  <si>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</si>
  <si>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</si>
  <si>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</si>
  <si>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</si>
  <si>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</si>
  <si>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</si>
  <si>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</si>
  <si>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</si>
  <si>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</si>
  <si>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</si>
  <si>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</si>
  <si>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</si>
  <si>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</si>
  <si>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</si>
  <si>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</si>
  <si>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</si>
  <si>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</si>
  <si>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</si>
  <si>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</si>
  <si>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</si>
  <si>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</si>
  <si>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</si>
  <si>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</si>
  <si>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</si>
  <si>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</si>
  <si>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</si>
  <si>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</si>
  <si>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</si>
  <si>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Protoypes</t>
  </si>
  <si>
    <t>EFLH</t>
  </si>
  <si>
    <t>Equivalent full load hours</t>
  </si>
  <si>
    <t>hours</t>
  </si>
  <si>
    <t>Calculated using the elevator schedule</t>
  </si>
  <si>
    <t>Equipment (Plug Load )- Prototypes comparison</t>
  </si>
  <si>
    <t xml:space="preserve">CEC </t>
  </si>
  <si>
    <t>Core Zones</t>
  </si>
  <si>
    <t>1.5 W/ft2</t>
  </si>
  <si>
    <t>Perimeter 3,1</t>
  </si>
  <si>
    <t>Perimeter 2,4</t>
  </si>
  <si>
    <t>10000 W</t>
  </si>
  <si>
    <t>Elevatoir_lights_Fan</t>
  </si>
  <si>
    <t>Escalator</t>
  </si>
  <si>
    <t>3930 W</t>
  </si>
  <si>
    <t xml:space="preserve">Yearly Load multiplier </t>
  </si>
  <si>
    <t>Office Area</t>
  </si>
  <si>
    <t>Escalator (only CEC)</t>
  </si>
  <si>
    <t>Lights_Fan (ONLY PNNL)</t>
  </si>
  <si>
    <t>CEC 2022</t>
  </si>
  <si>
    <t>PNNL 2022</t>
  </si>
  <si>
    <t>PNNL-Sunday</t>
  </si>
  <si>
    <t>Schedule</t>
  </si>
  <si>
    <t>Type</t>
  </si>
  <si>
    <t>Occupancy</t>
  </si>
  <si>
    <r>
      <rPr>
        <sz val="9"/>
        <color rgb="FF000000"/>
        <rFont val="Arial"/>
        <family val="2"/>
      </rPr>
      <t xml:space="preserve">T24 2022 - Appendix 5.4B, [Office]
</t>
    </r>
    <r>
      <rPr>
        <sz val="9"/>
        <color rgb="FF0070C0"/>
        <rFont val="Arial"/>
        <family val="2"/>
      </rPr>
      <t xml:space="preserve">
Updated base on Plug load and schedules project with CEC, 2025</t>
    </r>
  </si>
  <si>
    <t>Weekday</t>
  </si>
  <si>
    <t>Lights</t>
  </si>
  <si>
    <t>T24 2022 - Appendix 5.4B, [Office]</t>
  </si>
  <si>
    <t xml:space="preserve">ElecEquipment </t>
  </si>
  <si>
    <t xml:space="preserve">Plug load and schedules project with CEC, 2025 </t>
  </si>
  <si>
    <t>HVACAvail</t>
  </si>
  <si>
    <r>
      <rPr>
        <sz val="9"/>
        <color rgb="FF000000"/>
        <rFont val="Arial"/>
        <family val="2"/>
      </rPr>
      <t xml:space="preserve">T24 2022 - Appendix 5.4B, [Office]
</t>
    </r>
    <r>
      <rPr>
        <sz val="9"/>
        <color rgb="FF4472C4"/>
        <rFont val="Arial"/>
        <family val="2"/>
      </rPr>
      <t>Updated base on Plug load and schedules project with CEC, 2025</t>
    </r>
  </si>
  <si>
    <t>ServiceHotWater</t>
  </si>
  <si>
    <r>
      <t xml:space="preserve">T24 2022 - Appendix 5.4B, [Office]
</t>
    </r>
    <r>
      <rPr>
        <sz val="9"/>
        <color rgb="FF0070C0"/>
        <rFont val="Arial"/>
        <family val="2"/>
      </rPr>
      <t>Updated base on Plug load and schedules project with CEC, 202</t>
    </r>
  </si>
  <si>
    <t>HtgSetpt</t>
  </si>
  <si>
    <t>ClgSetpt</t>
  </si>
  <si>
    <t>IT room</t>
  </si>
  <si>
    <r>
      <rPr>
        <sz val="9"/>
        <color rgb="FF000000"/>
        <rFont val="Arial"/>
        <family val="2"/>
      </rPr>
      <t xml:space="preserve">T24 2022 - Appendix 5.4B, [Data]
</t>
    </r>
    <r>
      <rPr>
        <sz val="9"/>
        <color rgb="FF0070C0"/>
        <rFont val="Arial"/>
        <family val="2"/>
      </rPr>
      <t>Updated base on office schedule</t>
    </r>
  </si>
  <si>
    <r>
      <t xml:space="preserve">T24 2022 - Appendix 5.4B, [Data]
</t>
    </r>
    <r>
      <rPr>
        <sz val="9"/>
        <color rgb="FF0070C0"/>
        <rFont val="Arial"/>
        <family val="2"/>
      </rPr>
      <t>Updated base on office schedule</t>
    </r>
  </si>
  <si>
    <t>T24 2022 - Appendix 5.4B, [Data]</t>
  </si>
  <si>
    <t xml:space="preserve">T24 2022 - Appendix 5.4B, [Data]
</t>
  </si>
  <si>
    <t>Based on Activity level and thermostat setpoint</t>
  </si>
  <si>
    <t>Other</t>
  </si>
  <si>
    <t>Stairway</t>
  </si>
  <si>
    <r>
      <rPr>
        <sz val="9"/>
        <color rgb="FF000000"/>
        <rFont val="Arial"/>
        <family val="2"/>
      </rPr>
      <t xml:space="preserve">T24 2022 - Appendix 5.4B, [Office]
</t>
    </r>
    <r>
      <rPr>
        <sz val="9"/>
        <color rgb="FF0070C0"/>
        <rFont val="Arial"/>
        <family val="2"/>
      </rPr>
      <t>Updated base on Plug load and schedules project with CEC, 202</t>
    </r>
  </si>
  <si>
    <t>ExtLightingNonMotionCtrl</t>
  </si>
  <si>
    <t>ExtLightingMotionCtrl</t>
  </si>
  <si>
    <t>FunctionalAreaPeopleActivityLevel</t>
  </si>
  <si>
    <t xml:space="preserve">Based on Activity level schedules in  CEC Prototypes </t>
  </si>
  <si>
    <t>ComputerRoomPeopleActivityLevel</t>
  </si>
  <si>
    <t>Conference room</t>
  </si>
  <si>
    <t>MeetingAreaPeopleActivityLevel</t>
  </si>
  <si>
    <t>CommonAreaPeopleActivityLevel</t>
  </si>
  <si>
    <t>Operating Schedule</t>
  </si>
  <si>
    <t>System Capacity fraction</t>
  </si>
  <si>
    <t xml:space="preserve">Developed based on CEC and CEUS </t>
  </si>
  <si>
    <t>Office Zones</t>
  </si>
  <si>
    <t xml:space="preserve">Alternative HVAC System Operating	</t>
  </si>
  <si>
    <t xml:space="preserve">Alternative HVAC System Operating					</t>
  </si>
  <si>
    <t xml:space="preserve">Developed based on CEC schedules and CEUS operating hours					</t>
  </si>
  <si>
    <t>Office Closed Zones</t>
  </si>
  <si>
    <t>Otherday</t>
  </si>
  <si>
    <t>Office Open Zones</t>
  </si>
  <si>
    <r>
      <t xml:space="preserve">Equipment (Plug load) </t>
    </r>
    <r>
      <rPr>
        <sz val="9"/>
        <color rgb="FF000000"/>
        <rFont val="Arial"/>
        <family val="2"/>
      </rPr>
      <t>(Nees to be updated based on the Plug load project with CEC)</t>
    </r>
  </si>
  <si>
    <t>Equipment</t>
  </si>
  <si>
    <t xml:space="preserve">Office Zones		</t>
  </si>
  <si>
    <t>CalBEM Energy Consumption - OfficeMedium</t>
  </si>
  <si>
    <t>National Average (EnergyStar Portfolio Manager)</t>
  </si>
  <si>
    <r>
      <rPr>
        <b/>
        <sz val="12"/>
        <color rgb="FFFFFFFF"/>
        <rFont val="Arial"/>
        <family val="2"/>
      </rPr>
      <t>CEUS Energy Consumption - Office</t>
    </r>
    <r>
      <rPr>
        <b/>
        <sz val="12"/>
        <color rgb="FF000000"/>
        <rFont val="Arial"/>
        <family val="2"/>
      </rPr>
      <t>Large</t>
    </r>
  </si>
  <si>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</si>
  <si>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</si>
  <si>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</si>
  <si>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</si>
  <si>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</si>
  <si>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</si>
  <si>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</si>
  <si>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</si>
  <si>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RangeRange (25% Higher)</t>
  </si>
  <si>
    <t>Acceptable RangeRange (25% Lower)</t>
  </si>
  <si>
    <t>National Average Acceptable Range</t>
  </si>
  <si>
    <t>Total Floorspace (Thousand of ft2)</t>
  </si>
  <si>
    <t>CEUS 2022 Electric Energy Intensity (kWh/ft²)</t>
  </si>
  <si>
    <t>CEUS 2022 Annual Gas Intensity (kWh/ft²)</t>
  </si>
  <si>
    <t>CEUS 2022 Total EUI (kBtu/ft²)</t>
  </si>
  <si>
    <t>Acceptable Range (25% Higher)</t>
  </si>
  <si>
    <t>Acceptable Range (25% Lower)</t>
  </si>
  <si>
    <t>CEUS 2022 Acceptable Range</t>
  </si>
  <si>
    <t>HotelSmall</t>
  </si>
  <si>
    <t>OfficeLarge</t>
  </si>
  <si>
    <r>
      <rPr>
        <b/>
        <sz val="10"/>
        <color theme="1"/>
        <rFont val="Arial"/>
        <family val="2"/>
      </rPr>
      <t xml:space="preserve">Source: </t>
    </r>
    <r>
      <rPr>
        <sz val="10"/>
        <color theme="1"/>
        <rFont val="Arial"/>
        <family val="2"/>
      </rPr>
      <t>CEUS 2022 Report/Data</t>
    </r>
  </si>
  <si>
    <t xml:space="preserve">And applying FZ-CZ multipliers for converting  FZ  data to  CZ  data </t>
  </si>
  <si>
    <t>We don't have Medium Office specific data from CEUS. The data copied here belongs to the CEUS large office data which our Medium Office prototype falls within that group</t>
  </si>
  <si>
    <t>PV - TBD</t>
  </si>
  <si>
    <t>EV Charger - OfficeMedium (TBD)</t>
  </si>
  <si>
    <t xml:space="preserve">According To CEUS 2022 and their survey around 2018-2020, only 0.5% of large office buildings have  EV chargers </t>
  </si>
  <si>
    <t>CEUS 2022 (Base on Survey 2018)</t>
  </si>
  <si>
    <t>The data presented in this worksheet represents the projected number of EV charger ports, or the number of cars that can be charged at the same time, for the year 2022 (last year of CEUC)</t>
  </si>
  <si>
    <t>Has EV Chargers</t>
  </si>
  <si>
    <t>Level 1,  120 volt Charger     (No. ports/SqFT)</t>
  </si>
  <si>
    <t>Level 2,  240 volt Charger    (No. ports/SqFT)</t>
  </si>
  <si>
    <t>Level 3,  DC fast     (No. ports/SqFT)</t>
  </si>
  <si>
    <t>Charger Type Unkown  (No. ports/SqFT)</t>
  </si>
  <si>
    <t>All Chargers Totals   (No. ports/SqFT)</t>
  </si>
  <si>
    <t>Calculation Method</t>
  </si>
  <si>
    <t>Statewide/  Utility/ FCZ</t>
  </si>
  <si>
    <t xml:space="preserve">No </t>
  </si>
  <si>
    <t>Public Only</t>
  </si>
  <si>
    <t>Public &amp; Employee</t>
  </si>
  <si>
    <t>Public &amp; Fleet</t>
  </si>
  <si>
    <t>Employee Only</t>
  </si>
  <si>
    <t>Employee &amp; Fleet</t>
  </si>
  <si>
    <t>Fleet Only</t>
  </si>
  <si>
    <t>All 3 Types</t>
  </si>
  <si>
    <t>Unknown</t>
  </si>
  <si>
    <t>Level 1 Total</t>
  </si>
  <si>
    <t>Level 2 Total</t>
  </si>
  <si>
    <t>Level 3 Total</t>
  </si>
  <si>
    <t>Unkonwn Total</t>
  </si>
  <si>
    <t>Floorspace-Based</t>
  </si>
  <si>
    <t>Statewide</t>
  </si>
  <si>
    <t>Office, Small</t>
  </si>
  <si>
    <t>FCZ01 Tot</t>
  </si>
  <si>
    <t>FCZ02 Tot</t>
  </si>
  <si>
    <t>FCZ03 Tot</t>
  </si>
  <si>
    <t>FCZ04 Tot</t>
  </si>
  <si>
    <t>FCZ05 Tot</t>
  </si>
  <si>
    <t>FCZ06 Tot</t>
  </si>
  <si>
    <t>FCZ07 Tot</t>
  </si>
  <si>
    <t>FCZ08 Tot</t>
  </si>
  <si>
    <t>FCZ09 Tot</t>
  </si>
  <si>
    <t>FCZ10 Tot</t>
  </si>
  <si>
    <t>FCZ11 Tot</t>
  </si>
  <si>
    <t>FCZ12c Tot</t>
  </si>
  <si>
    <t>FCZ12i Tot</t>
  </si>
  <si>
    <t>FCZ13 Tot</t>
  </si>
  <si>
    <t>FCZ16 Tot</t>
  </si>
  <si>
    <t>FCZ17 Tot</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</si>
  <si>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</si>
  <si>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</si>
  <si>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</si>
  <si>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</si>
  <si>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</si>
  <si>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</si>
  <si>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</si>
  <si>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</si>
  <si>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</si>
  <si>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</si>
  <si>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</si>
  <si>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</si>
  <si>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</si>
  <si>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</si>
  <si>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</si>
  <si>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</si>
  <si>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</si>
  <si>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</si>
  <si>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</si>
  <si>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</si>
  <si>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(Cafeteria/Fast Food)</t>
  </si>
  <si>
    <t>Dining Area (Family and Leisure)</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</si>
  <si>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</si>
  <si>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</si>
  <si>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</si>
  <si>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</si>
  <si>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</si>
  <si>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</si>
  <si>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</si>
  <si>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</si>
  <si>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</si>
  <si>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</si>
  <si>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</si>
  <si>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</si>
  <si>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</si>
  <si>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</si>
  <si>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</si>
  <si>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</si>
  <si>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</si>
  <si>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</si>
  <si>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Locker Room</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</si>
  <si>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</si>
  <si>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</si>
  <si>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</si>
  <si>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</si>
  <si>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</si>
  <si>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</si>
  <si>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</si>
  <si>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</si>
  <si>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</si>
  <si>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</si>
  <si>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</si>
  <si>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</si>
  <si>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</si>
  <si>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Storage, Commercial/Industrial (Warehouse)</t>
  </si>
  <si>
    <t>Storage, Commercial/Industrial (Refrigerated)</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</si>
  <si>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</si>
  <si>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</si>
  <si>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</si>
  <si>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</si>
  <si>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</si>
  <si>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</si>
  <si>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</si>
  <si>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</si>
  <si>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</si>
  <si>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</si>
  <si>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</si>
  <si>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</si>
  <si>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</si>
  <si>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</si>
  <si>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</si>
  <si>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Computer Room (EPD 20)</t>
  </si>
  <si>
    <t>Server Room (EPD 45)</t>
  </si>
  <si>
    <t>% of floor area per CZ and vintage bin - OfficeLarge</t>
  </si>
  <si>
    <t xml:space="preserve"> We don't have Medium Office specific data from CEUS. The data copied here  belongs to the CEUS large office data which our Medium Office prototype falls within that group</t>
  </si>
  <si>
    <t>Pre-1978</t>
  </si>
  <si>
    <t>Floor area distribution of CA office buildings (CEUS 2022)</t>
  </si>
  <si>
    <t>Office, Medium</t>
  </si>
  <si>
    <t>Office, Large</t>
  </si>
  <si>
    <t>Source: CEUS 2022 dataset</t>
  </si>
  <si>
    <t>Indirectly conditioned</t>
  </si>
  <si>
    <t>Stairway, and Mechanical_Electrical</t>
  </si>
  <si>
    <t>All conditioned zones except server rooms, Stairway &amp; Mechanical_Electrical</t>
  </si>
  <si>
    <t xml:space="preserve">All zones except for IT Rooms, Stairway, and Mechanical_Electrical </t>
  </si>
  <si>
    <t xml:space="preserve"> Stairway, and Mechanical_Electrical</t>
  </si>
  <si>
    <t>Corridor, Stairway, Lobby, Restroom, Mech, Storage, Break</t>
  </si>
  <si>
    <t>Stairway and Mechanical_Electrical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</si>
</sst>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_(* \(#,##0.00\);_(* &quot;-&quot;??_);_(@_)"/>
    <numFmt numFmtId="164" formatCode="0.0%"/>
    <numFmt numFmtId="165" formatCode="0.000000000000000%"/>
    <numFmt numFmtId="166" formatCode="0.0"/>
    <numFmt numFmtId="167" formatCode="#,##0.0"/>
    <numFmt numFmtId="168" formatCode="0.0000"/>
    <numFmt numFmtId="169" formatCode="0.000"/>
    <numFmt numFmtId="170" formatCode="_(* #,##0_);_(* \(#,##0\);_(* &quot;-&quot;??_);_(@_)"/>
    <numFmt numFmtId="171" formatCode="0.000000000"/>
    <numFmt numFmtId="172" formatCode="0.000000000000"/>
    <numFmt numFmtId="173" formatCode="0.000000000000000"/>
    <numFmt numFmtId="174" formatCode="#,##0;\-0;[Color15]0"/>
  </numFmts>
  <fonts count="74">
    <font>
      <sz val="11"/>
      <color theme="1"/>
      <name val="Calibri"/>
      <family val="2"/>
      <scheme val="minor"/>
    </font>
    <font>
      <sz val="10"/>
      <name val="Arial"/>
      <family val="2"/>
    </font>
    <font>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1"/>
      <name val="Calibri"/>
      <family val="2"/>
      <scheme val="minor"/>
    </font>
    <font>
      <b/>
      <sz val="12"/>
      <color theme="0"/>
      <name val="Calibri"/>
      <family val="2"/>
      <scheme val="minor"/>
    </font>
    <font>
      <b/>
      <sz val="11"/>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b/>
      <sz val="11"/>
      <color theme="0"/>
      <name val="Arial"/>
      <family val="2"/>
    </font>
    <font>
      <b/>
      <sz val="10"/>
      <color theme="0"/>
      <name val="Arial"/>
      <family val="2"/>
    </font>
    <font>
      <sz val="11"/>
      <color rgb="FF0070C0"/>
      <name val="Arial"/>
      <family val="2"/>
    </font>
    <font>
      <b/>
      <sz val="10"/>
      <name val="Arial"/>
      <family val="2"/>
    </font>
    <font>
      <b/>
      <sz val="10"/>
      <color indexed="8"/>
      <name val="Arial"/>
      <family val="2"/>
    </font>
    <font>
      <sz val="10"/>
      <color theme="4" tint="-0.499984740745262"/>
      <name val="Arial"/>
      <family val="2"/>
    </font>
    <font>
      <sz val="10"/>
      <color rgb="FF000000"/>
      <name val="Arial"/>
      <family val="2"/>
    </font>
    <font>
      <sz val="9"/>
      <color theme="1"/>
      <name val="Arial"/>
      <family val="2"/>
    </font>
    <font>
      <sz val="10"/>
      <color rgb="FF000000"/>
      <name val="Arial"/>
      <family val="2"/>
    </font>
    <font>
      <sz val="10"/>
      <color theme="0"/>
      <name val="Arial"/>
      <family val="2"/>
    </font>
    <font>
      <b/>
      <sz val="10"/>
      <color rgb="FF000000"/>
      <name val="Arial"/>
      <family val="2"/>
    </font>
    <font>
      <b/>
      <sz val="9"/>
      <color theme="0"/>
      <name val="Arial"/>
      <family val="2"/>
    </font>
    <font>
      <sz val="9"/>
      <name val="Arial"/>
      <family val="2"/>
    </font>
    <font>
      <b/>
      <sz val="10"/>
      <color rgb="FF7030A0"/>
      <name val="Arial"/>
      <family val="2"/>
    </font>
    <font>
      <b/>
      <sz val="18"/>
      <color rgb="FF000000"/>
      <name val="Whitney-Book"/>
    </font>
    <font>
      <sz val="18"/>
      <color rgb="FF000000"/>
      <name val="Whitney-Book"/>
    </font>
    <font>
      <b/>
      <sz val="12"/>
      <color rgb="FFFFFFFF"/>
      <name val="Arial"/>
      <family val="2"/>
    </font>
    <font>
      <b/>
      <sz val="12"/>
      <color rgb="FF000000"/>
      <name val="Arial"/>
      <family val="2"/>
    </font>
    <font>
      <b/>
      <sz val="16"/>
      <color theme="1"/>
      <name val="Arial"/>
      <family val="2"/>
    </font>
    <font>
      <sz val="9"/>
      <color rgb="FF000000"/>
      <name val="Arial"/>
      <family val="2"/>
    </font>
    <font>
      <sz val="9"/>
      <color rgb="FF0070C0"/>
      <name val="Arial"/>
      <family val="2"/>
    </font>
    <font>
      <sz val="10"/>
      <color rgb="FF0070C0"/>
      <name val="Arial"/>
      <family val="2"/>
    </font>
    <font>
      <b/>
      <sz val="12"/>
      <color theme="1"/>
      <name val="Arial"/>
      <family val="2"/>
    </font>
    <font>
      <u/>
      <sz val="11"/>
      <color theme="10"/>
      <name val="Arial"/>
      <family val="2"/>
    </font>
    <font>
      <b/>
      <sz val="11"/>
      <color theme="1"/>
      <name val="Arial"/>
      <family val="2"/>
    </font>
    <font>
      <sz val="11"/>
      <color rgb="FF000000"/>
      <name val="Calibri"/>
      <family val="2"/>
    </font>
    <font>
      <sz val="11"/>
      <color rgb="FF7030A0"/>
      <name val="Calibri"/>
      <family val="2"/>
      <scheme val="minor"/>
    </font>
    <font>
      <b/>
      <sz val="12"/>
      <color rgb="FF242424"/>
      <name val="Arial"/>
      <family val="2"/>
    </font>
    <font>
      <b/>
      <sz val="15"/>
      <color theme="1"/>
      <name val="Arial"/>
      <family val="2"/>
    </font>
    <font>
      <b/>
      <sz val="11"/>
      <color rgb="FF000000"/>
      <name val="Calibri"/>
      <family val="2"/>
      <scheme val="minor"/>
    </font>
    <font>
      <b/>
      <sz val="11"/>
      <name val="Calibri"/>
      <family val="2"/>
    </font>
    <font>
      <b/>
      <sz val="14"/>
      <color rgb="FF000000"/>
      <name val="Arial"/>
      <family val="2"/>
    </font>
    <font>
      <b/>
      <sz val="14"/>
      <color rgb="FFFFFFFF"/>
      <name val="Calibri"/>
      <family val="2"/>
    </font>
    <font>
      <b/>
      <sz val="11"/>
      <color rgb="FF000000"/>
      <name val="Calibri"/>
      <family val="2"/>
    </font>
    <font>
      <b/>
      <sz val="11"/>
      <color rgb="FFFFFFFF"/>
      <name val="Calibri"/>
      <family val="2"/>
    </font>
    <font>
      <b/>
      <sz val="9"/>
      <color theme="1"/>
      <name val="Arial"/>
      <family val="2"/>
    </font>
    <font>
      <sz val="11"/>
      <color theme="1"/>
      <name val="Calibri"/>
      <family val="2"/>
    </font>
    <font>
      <sz val="9"/>
      <color theme="4"/>
      <name val="Arial"/>
      <family val="2"/>
    </font>
    <font>
      <sz val="9"/>
      <color rgb="FF4472C4"/>
      <name val="Arial"/>
      <family val="2"/>
    </font>
    <font>
      <b/>
      <sz val="11"/>
      <color rgb="FF000000"/>
      <name val="Arial"/>
      <family val="2"/>
    </font>
    <font>
      <u/>
      <sz val="10"/>
      <color rgb="FF000000"/>
      <name val="Arial"/>
      <family val="2"/>
    </font>
    <font>
      <vertAlign val="superscript"/>
      <sz val="9"/>
      <color rgb="FF000000"/>
      <name val="Arial"/>
      <family val="2"/>
    </font>
    <font>
      <sz val="11"/>
      <color rgb="FF000000"/>
      <name val="Arial"/>
      <family val="2"/>
    </font>
    <font>
      <sz val="12"/>
      <color rgb="FF000000"/>
      <name val="Arial"/>
      <family val="2"/>
    </font>
    <font>
      <sz val="11"/>
      <color theme="1"/>
      <name val="Cambria Math"/>
      <family val="1"/>
    </font>
    <font>
      <sz val="11"/>
      <color rgb="FF000000"/>
      <name val="Cambria Math"/>
      <family val="1"/>
    </font>
    <font>
      <sz val="10"/>
      <color rgb="FF00B0F0"/>
      <name val="Arial"/>
      <family val="2"/>
    </font>
    <font>
      <sz val="10"/>
      <color rgb="FF000000"/>
      <name val="Arial"/>
      <family val="2"/>
    </font>
    <font>
      <sz val="10"/>
      <name val="Arial"/>
      <family val="2"/>
    </font>
    <font>
      <b/>
      <sz val="12"/>
      <color rgb="FFFFFFFF"/>
      <name val="Arial"/>
      <family val="2"/>
    </font>
    <font>
      <b/>
      <sz val="12"/>
      <color theme="0"/>
      <name val="Arial"/>
      <family val="2"/>
    </font>
    <font>
      <u/>
      <sz val="11"/>
      <color theme="1"/>
      <name val="Calibri"/>
      <family val="2"/>
      <scheme val="minor"/>
    </font>
    <font>
      <i/>
      <sz val="10"/>
      <color rgb="FF000000"/>
      <name val="Arial"/>
      <family val="2"/>
    </font>
    <font>
      <sz val="8"/>
      <color rgb="FF000000"/>
      <name val="Arial"/>
      <family val="2"/>
    </font>
    <font>
      <u/>
      <sz val="11"/>
      <color rgb="FF000000"/>
      <name val="Calibri"/>
      <family val="2"/>
      <scheme val="minor"/>
    </font>
    <font>
      <sz val="10"/>
      <color rgb="FFFFFFFF"/>
      <name val="Arial"/>
      <family val="2"/>
    </font>
  </fonts>
  <fills count="25">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4" tint="-0.499984740745262"/>
        <bgColor indexed="64"/>
      </patternFill>
    </fill>
    <fill>
      <patternFill patternType="solid">
        <fgColor rgb="FF203764"/>
        <bgColor rgb="FF000000"/>
      </patternFill>
    </fill>
    <fill>
      <patternFill patternType="solid">
        <fgColor rgb="FFD9E1F2"/>
        <bgColor rgb="FF000000"/>
      </patternFill>
    </fill>
    <fill>
      <patternFill patternType="solid">
        <fgColor rgb="FFD6DCE4"/>
        <bgColor rgb="FF000000"/>
      </patternFill>
    </fill>
    <fill>
      <patternFill patternType="solid">
        <fgColor theme="7" tint="0.79998168889431442"/>
        <bgColor rgb="FF000000"/>
      </patternFill>
    </fill>
    <fill>
      <patternFill patternType="solid">
        <fgColor rgb="FFD9E1F2"/>
        <bgColor indexed="64"/>
      </patternFill>
    </fill>
    <fill>
      <patternFill patternType="solid">
        <fgColor rgb="FFFFFFFF"/>
        <bgColor indexed="64"/>
      </patternFill>
    </fill>
    <fill>
      <patternFill patternType="solid">
        <fgColor rgb="FF244062"/>
      </patternFill>
    </fill>
    <fill>
      <patternFill patternType="solid">
        <fgColor rgb="FFD9E1F2"/>
      </patternFill>
    </fill>
    <fill>
      <patternFill patternType="solid">
        <fgColor rgb="FF203864"/>
      </patternFill>
    </fill>
    <fill>
      <patternFill patternType="solid">
        <fgColor rgb="FFEAF1F8"/>
      </patternFill>
    </fill>
    <fill>
      <patternFill patternType="solid">
        <fgColor theme="5" tint="0.79998168889431442"/>
        <bgColor indexed="64"/>
      </patternFill>
    </fill>
    <fill>
      <patternFill patternType="solid">
        <fgColor theme="0" tint="-0.14999847407452621"/>
        <bgColor indexed="65"/>
      </patternFill>
    </fill>
    <fill>
      <patternFill patternType="solid">
        <fgColor rgb="FFFFFFFF"/>
        <bgColor rgb="FF000000"/>
      </patternFill>
    </fill>
    <fill>
      <patternFill patternType="solid">
        <fgColor rgb="FF919191"/>
        <bgColor indexed="64"/>
      </patternFill>
    </fill>
  </fills>
  <borders count="270">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theme="0" tint="-0.499984740745262"/>
      </right>
      <top style="thin">
        <color indexed="64"/>
      </top>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style="thin">
        <color theme="0" tint="-0.499984740745262"/>
      </right>
      <top/>
      <bottom style="thin">
        <color indexed="64"/>
      </bottom>
      <diagonal/>
    </border>
    <border>
      <left style="thin">
        <color theme="0" tint="-0.499984740745262"/>
      </left>
      <right style="thin">
        <color indexed="64"/>
      </right>
      <top style="thin">
        <color theme="0" tint="-0.499984740745262"/>
      </top>
      <bottom style="thin">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right/>
      <top/>
      <bottom style="thin">
        <color theme="0" tint="-0.499984740745262"/>
      </bottom>
      <diagonal/>
    </border>
    <border>
      <left style="thin">
        <color theme="0" tint="-0.499984740745262"/>
      </left>
      <right/>
      <top style="thin">
        <color theme="0" tint="-0.499984740745262"/>
      </top>
      <bottom style="thin">
        <color rgb="FF000000"/>
      </bottom>
      <diagonal/>
    </border>
    <border>
      <left/>
      <right/>
      <top style="thin">
        <color theme="0" tint="-0.499984740745262"/>
      </top>
      <bottom style="thin">
        <color rgb="FF000000"/>
      </bottom>
      <diagonal/>
    </border>
    <border>
      <left/>
      <right style="thin">
        <color theme="0" tint="-0.499984740745262"/>
      </right>
      <top style="thin">
        <color theme="0" tint="-0.499984740745262"/>
      </top>
      <bottom style="thin">
        <color rgb="FF000000"/>
      </bottom>
      <diagonal/>
    </border>
    <border>
      <left/>
      <right/>
      <top style="thin">
        <color theme="0" tint="-0.499984740745262"/>
      </top>
      <bottom/>
      <diagonal/>
    </border>
    <border>
      <left style="thin">
        <color theme="1" tint="0.34998626667073579"/>
      </left>
      <right style="thin">
        <color theme="1" tint="0.34998626667073579"/>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style="thin">
        <color indexed="64"/>
      </left>
      <right style="medium">
        <color indexed="64"/>
      </right>
      <top/>
      <bottom style="medium">
        <color indexed="64"/>
      </bottom>
      <diagonal/>
    </border>
    <border>
      <left style="thin">
        <color rgb="FF808080"/>
      </left>
      <right style="thin">
        <color rgb="FF808080"/>
      </right>
      <top style="thin">
        <color rgb="FF808080"/>
      </top>
      <bottom/>
      <diagonal/>
    </border>
    <border>
      <left/>
      <right/>
      <top/>
      <bottom style="medium">
        <color indexed="64"/>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style="thin">
        <color indexed="64"/>
      </right>
      <top style="medium">
        <color indexed="64"/>
      </top>
      <bottom style="thin">
        <color indexed="64"/>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style="thin">
        <color theme="1" tint="0.34998626667073579"/>
      </top>
      <bottom/>
      <diagonal/>
    </border>
    <border>
      <left style="thin">
        <color indexed="64"/>
      </left>
      <right style="medium">
        <color indexed="64"/>
      </right>
      <top style="thin">
        <color indexed="64"/>
      </top>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medium">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style="thin">
        <color theme="1" tint="0.34998626667073579"/>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thin">
        <color theme="1" tint="0.34998626667073579"/>
      </left>
      <right/>
      <top style="thin">
        <color indexed="64"/>
      </top>
      <bottom style="medium">
        <color indexed="64"/>
      </bottom>
      <diagonal/>
    </border>
    <border>
      <left style="thin">
        <color theme="1" tint="0.34998626667073579"/>
      </left>
      <right style="medium">
        <color indexed="64"/>
      </right>
      <top style="medium">
        <color indexed="64"/>
      </top>
      <bottom style="thin">
        <color indexed="64"/>
      </bottom>
      <diagonal/>
    </border>
    <border>
      <left style="thin">
        <color theme="1" tint="0.34998626667073579"/>
      </left>
      <right style="medium">
        <color indexed="64"/>
      </right>
      <top style="thin">
        <color indexed="64"/>
      </top>
      <bottom style="thin">
        <color indexed="64"/>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bottom style="medium">
        <color indexed="64"/>
      </bottom>
      <diagonal/>
    </border>
    <border>
      <left style="thin">
        <color theme="1" tint="0.34998626667073579"/>
      </left>
      <right style="medium">
        <color indexed="64"/>
      </right>
      <top style="thin">
        <color indexed="64"/>
      </top>
      <bottom style="medium">
        <color indexed="64"/>
      </bottom>
      <diagonal/>
    </border>
    <border>
      <left style="thin">
        <color theme="1" tint="0.34998626667073579"/>
      </left>
      <right style="medium">
        <color indexed="64"/>
      </right>
      <top style="medium">
        <color indexed="64"/>
      </top>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medium">
        <color theme="1" tint="0.34998626667073579"/>
      </left>
      <right style="thin">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style="medium">
        <color indexed="64"/>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theme="1" tint="0.34998626667073579"/>
      </left>
      <right/>
      <top style="thin">
        <color theme="1" tint="0.34998626667073579"/>
      </top>
      <bottom style="thin">
        <color theme="1" tint="0.34998626667073579"/>
      </bottom>
      <diagonal/>
    </border>
    <border>
      <left style="thin">
        <color theme="1" tint="0.34998626667073579"/>
      </left>
      <right style="medium">
        <color indexed="64"/>
      </right>
      <top style="medium">
        <color theme="1" tint="0.34998626667073579"/>
      </top>
      <bottom/>
      <diagonal/>
    </border>
    <border>
      <left style="medium">
        <color indexed="64"/>
      </left>
      <right style="thin">
        <color theme="1" tint="0.34998626667073579"/>
      </right>
      <top/>
      <bottom style="thin">
        <color theme="1" tint="0.34998626667073579"/>
      </bottom>
      <diagonal/>
    </border>
    <border>
      <left style="thin">
        <color theme="1" tint="0.34998626667073579"/>
      </left>
      <right style="medium">
        <color indexed="64"/>
      </right>
      <top/>
      <bottom style="thin">
        <color theme="1" tint="0.34998626667073579"/>
      </bottom>
      <diagonal/>
    </border>
    <border>
      <left style="medium">
        <color indexed="64"/>
      </left>
      <right style="thin">
        <color rgb="FF595959"/>
      </right>
      <top style="medium">
        <color rgb="FF595959"/>
      </top>
      <bottom/>
      <diagonal/>
    </border>
    <border>
      <left style="medium">
        <color indexed="64"/>
      </left>
      <right style="thin">
        <color rgb="FF595959"/>
      </right>
      <top/>
      <bottom/>
      <diagonal/>
    </border>
    <border>
      <left style="medium">
        <color indexed="64"/>
      </left>
      <right style="thin">
        <color rgb="FF595959"/>
      </right>
      <top/>
      <bottom style="medium">
        <color rgb="FF000000"/>
      </bottom>
      <diagonal/>
    </border>
    <border>
      <left style="thin">
        <color rgb="FF595959"/>
      </left>
      <right style="thin">
        <color rgb="FF595959"/>
      </right>
      <top style="medium">
        <color rgb="FF595959"/>
      </top>
      <bottom/>
      <diagonal/>
    </border>
    <border>
      <left style="thin">
        <color rgb="FF595959"/>
      </left>
      <right style="thin">
        <color rgb="FF595959"/>
      </right>
      <top/>
      <bottom/>
      <diagonal/>
    </border>
    <border>
      <left style="thin">
        <color rgb="FF595959"/>
      </left>
      <right style="thin">
        <color rgb="FF595959"/>
      </right>
      <top/>
      <bottom style="medium">
        <color rgb="FF595959"/>
      </bottom>
      <diagonal/>
    </border>
    <border>
      <left style="thin">
        <color rgb="FF595959"/>
      </left>
      <right style="thin">
        <color rgb="FF595959"/>
      </right>
      <top/>
      <bottom style="medium">
        <color rgb="FF000000"/>
      </bottom>
      <diagonal/>
    </border>
    <border>
      <left style="thin">
        <color rgb="FF595959"/>
      </left>
      <right style="medium">
        <color indexed="64"/>
      </right>
      <top style="medium">
        <color rgb="FF595959"/>
      </top>
      <bottom/>
      <diagonal/>
    </border>
    <border>
      <left style="thin">
        <color rgb="FF595959"/>
      </left>
      <right style="medium">
        <color indexed="64"/>
      </right>
      <top/>
      <bottom/>
      <diagonal/>
    </border>
    <border>
      <left style="thin">
        <color rgb="FF595959"/>
      </left>
      <right style="medium">
        <color indexed="64"/>
      </right>
      <top/>
      <bottom style="medium">
        <color rgb="FF595959"/>
      </bottom>
      <diagonal/>
    </border>
    <border>
      <left/>
      <right style="thin">
        <color rgb="FF595959"/>
      </right>
      <top style="medium">
        <color rgb="FF595959"/>
      </top>
      <bottom style="thin">
        <color rgb="FF595959"/>
      </bottom>
      <diagonal/>
    </border>
    <border>
      <left/>
      <right style="medium">
        <color rgb="FF595959"/>
      </right>
      <top style="medium">
        <color rgb="FF595959"/>
      </top>
      <bottom style="thin">
        <color rgb="FF595959"/>
      </bottom>
      <diagonal/>
    </border>
    <border>
      <left/>
      <right style="thin">
        <color rgb="FF595959"/>
      </right>
      <top/>
      <bottom style="thin">
        <color rgb="FF595959"/>
      </bottom>
      <diagonal/>
    </border>
    <border>
      <left/>
      <right style="medium">
        <color rgb="FF595959"/>
      </right>
      <top/>
      <bottom style="thin">
        <color rgb="FF595959"/>
      </bottom>
      <diagonal/>
    </border>
    <border>
      <left/>
      <right style="thin">
        <color rgb="FF595959"/>
      </right>
      <top/>
      <bottom style="medium">
        <color rgb="FF595959"/>
      </bottom>
      <diagonal/>
    </border>
    <border>
      <left/>
      <right style="medium">
        <color rgb="FF595959"/>
      </right>
      <top/>
      <bottom style="medium">
        <color rgb="FF595959"/>
      </bottom>
      <diagonal/>
    </border>
    <border>
      <left style="medium">
        <color indexed="64"/>
      </left>
      <right style="thin">
        <color rgb="FF595959"/>
      </right>
      <top/>
      <bottom style="thin">
        <color rgb="FF595959"/>
      </bottom>
      <diagonal/>
    </border>
    <border>
      <left style="thin">
        <color rgb="FF595959"/>
      </left>
      <right style="thin">
        <color rgb="FF595959"/>
      </right>
      <top/>
      <bottom style="thin">
        <color rgb="FF595959"/>
      </bottom>
      <diagonal/>
    </border>
    <border>
      <left style="thin">
        <color rgb="FF595959"/>
      </left>
      <right style="medium">
        <color indexed="64"/>
      </right>
      <top/>
      <bottom style="thin">
        <color rgb="FF595959"/>
      </bottom>
      <diagonal/>
    </border>
    <border>
      <left/>
      <right style="thin">
        <color rgb="FF595959"/>
      </right>
      <top/>
      <bottom/>
      <diagonal/>
    </border>
    <border>
      <left/>
      <right style="medium">
        <color rgb="FF595959"/>
      </right>
      <top/>
      <bottom/>
      <diagonal/>
    </border>
    <border>
      <left style="medium">
        <color indexed="64"/>
      </left>
      <right style="thin">
        <color rgb="FF595959"/>
      </right>
      <top style="medium">
        <color indexed="64"/>
      </top>
      <bottom/>
      <diagonal/>
    </border>
    <border>
      <left style="thin">
        <color rgb="FF595959"/>
      </left>
      <right style="thin">
        <color rgb="FF595959"/>
      </right>
      <top style="medium">
        <color indexed="64"/>
      </top>
      <bottom/>
      <diagonal/>
    </border>
    <border>
      <left style="thin">
        <color rgb="FF595959"/>
      </left>
      <right style="medium">
        <color indexed="64"/>
      </right>
      <top style="medium">
        <color indexed="64"/>
      </top>
      <bottom/>
      <diagonal/>
    </border>
    <border>
      <left style="thin">
        <color rgb="FF595959"/>
      </left>
      <right style="medium">
        <color indexed="64"/>
      </right>
      <top/>
      <bottom style="medium">
        <color rgb="FF000000"/>
      </bottom>
      <diagonal/>
    </border>
    <border>
      <left/>
      <right style="thin">
        <color rgb="FF595959"/>
      </right>
      <top style="medium">
        <color indexed="64"/>
      </top>
      <bottom style="thin">
        <color rgb="FF595959"/>
      </bottom>
      <diagonal/>
    </border>
    <border>
      <left/>
      <right style="medium">
        <color indexed="64"/>
      </right>
      <top style="medium">
        <color indexed="64"/>
      </top>
      <bottom style="thin">
        <color rgb="FF595959"/>
      </bottom>
      <diagonal/>
    </border>
    <border>
      <left/>
      <right style="medium">
        <color indexed="64"/>
      </right>
      <top/>
      <bottom style="thin">
        <color rgb="FF595959"/>
      </bottom>
      <diagonal/>
    </border>
    <border>
      <left/>
      <right style="thin">
        <color rgb="FF595959"/>
      </right>
      <top/>
      <bottom style="medium">
        <color indexed="64"/>
      </bottom>
      <diagonal/>
    </border>
    <border>
      <left/>
      <right style="medium">
        <color indexed="64"/>
      </right>
      <top/>
      <bottom style="medium">
        <color indexed="64"/>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medium">
        <color rgb="FF000000"/>
      </left>
      <right style="thin">
        <color indexed="64"/>
      </right>
      <top style="medium">
        <color rgb="FF000000"/>
      </top>
      <bottom style="thin">
        <color indexed="64"/>
      </bottom>
      <diagonal/>
    </border>
    <border>
      <left/>
      <right style="medium">
        <color indexed="64"/>
      </right>
      <top style="medium">
        <color rgb="FF000000"/>
      </top>
      <bottom style="thin">
        <color indexed="64"/>
      </bottom>
      <diagonal/>
    </border>
    <border>
      <left style="medium">
        <color indexed="64"/>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medium">
        <color indexed="64"/>
      </right>
      <top style="medium">
        <color rgb="FF000000"/>
      </top>
      <bottom/>
      <diagonal/>
    </border>
    <border>
      <left style="medium">
        <color indexed="64"/>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indexed="64"/>
      </right>
      <top/>
      <bottom/>
      <diagonal/>
    </border>
    <border>
      <left/>
      <right style="medium">
        <color indexed="64"/>
      </right>
      <top/>
      <bottom style="thin">
        <color indexed="64"/>
      </bottom>
      <diagonal/>
    </border>
    <border>
      <left/>
      <right style="thin">
        <color rgb="FF000000"/>
      </right>
      <top style="thin">
        <color rgb="FF000000"/>
      </top>
      <bottom style="thin">
        <color rgb="FF000000"/>
      </bottom>
      <diagonal/>
    </border>
    <border>
      <left style="medium">
        <color rgb="FF000000"/>
      </left>
      <right style="thin">
        <color indexed="64"/>
      </right>
      <top/>
      <bottom style="medium">
        <color rgb="FF000000"/>
      </bottom>
      <diagonal/>
    </border>
    <border>
      <left/>
      <right style="medium">
        <color indexed="64"/>
      </right>
      <top/>
      <bottom style="medium">
        <color rgb="FF000000"/>
      </bottom>
      <diagonal/>
    </border>
    <border>
      <left/>
      <right style="thin">
        <color indexed="64"/>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indexed="64"/>
      </right>
      <top style="medium">
        <color rgb="FF000000"/>
      </top>
      <bottom/>
      <diagonal/>
    </border>
    <border>
      <left/>
      <right style="medium">
        <color indexed="64"/>
      </right>
      <top style="medium">
        <color rgb="FF000000"/>
      </top>
      <bottom/>
      <diagonal/>
    </border>
    <border>
      <left style="thin">
        <color indexed="64"/>
      </left>
      <right style="thin">
        <color indexed="64"/>
      </right>
      <top/>
      <bottom style="medium">
        <color rgb="FF000000"/>
      </bottom>
      <diagonal/>
    </border>
    <border>
      <left style="thin">
        <color rgb="FF000000"/>
      </left>
      <right/>
      <top style="thin">
        <color rgb="FF000000"/>
      </top>
      <bottom/>
      <diagonal/>
    </border>
    <border>
      <left style="thin">
        <color rgb="FF000000"/>
      </left>
      <right/>
      <top style="medium">
        <color rgb="FF000000"/>
      </top>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thin">
        <color indexed="64"/>
      </top>
      <bottom style="thin">
        <color indexed="64"/>
      </bottom>
      <diagonal/>
    </border>
    <border>
      <left style="thin">
        <color rgb="FF000000"/>
      </left>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theme="1" tint="0.34998626667073579"/>
      </bottom>
      <diagonal/>
    </border>
    <border>
      <left style="thin">
        <color theme="1" tint="0.34998626667073579"/>
      </left>
      <right style="thin">
        <color rgb="FF000000"/>
      </right>
      <top style="thin">
        <color theme="1" tint="0.34998626667073579"/>
      </top>
      <bottom/>
      <diagonal/>
    </border>
    <border>
      <left/>
      <right style="thin">
        <color rgb="FF000000"/>
      </right>
      <top/>
      <bottom/>
      <diagonal/>
    </border>
    <border>
      <left style="thin">
        <color rgb="FF000000"/>
      </left>
      <right style="thin">
        <color theme="1" tint="0.34998626667073579"/>
      </right>
      <top style="thin">
        <color theme="1" tint="0.34998626667073579"/>
      </top>
      <bottom style="thin">
        <color rgb="FF000000"/>
      </bottom>
      <diagonal/>
    </border>
    <border>
      <left style="thin">
        <color theme="1" tint="0.34998626667073579"/>
      </left>
      <right style="thin">
        <color theme="1" tint="0.34998626667073579"/>
      </right>
      <top style="thin">
        <color theme="1" tint="0.34998626667073579"/>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theme="1" tint="0.34998626667073579"/>
      </right>
      <top style="thin">
        <color theme="1" tint="0.34998626667073579"/>
      </top>
      <bottom style="thin">
        <color rgb="FF000000"/>
      </bottom>
      <diagonal/>
    </border>
    <border>
      <left style="thin">
        <color theme="1" tint="0.34998626667073579"/>
      </left>
      <right style="thin">
        <color rgb="FF000000"/>
      </right>
      <top style="thin">
        <color theme="1" tint="0.34998626667073579"/>
      </top>
      <bottom style="thin">
        <color rgb="FF000000"/>
      </bottom>
      <diagonal/>
    </border>
    <border>
      <left style="thin">
        <color theme="0" tint="-0.499984740745262"/>
      </left>
      <right style="thin">
        <color theme="0" tint="-0.499984740745262"/>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theme="0" tint="-0.499984740745262"/>
      </right>
      <top style="thin">
        <color theme="0" tint="-0.499984740745262"/>
      </top>
      <bottom style="thin">
        <color theme="0" tint="-0.499984740745262"/>
      </bottom>
      <diagonal/>
    </border>
    <border>
      <left style="thin">
        <color indexed="64"/>
      </left>
      <right style="thin">
        <color rgb="FF000000"/>
      </right>
      <top style="thin">
        <color indexed="64"/>
      </top>
      <bottom style="thin">
        <color indexed="64"/>
      </bottom>
      <diagonal/>
    </border>
    <border>
      <left style="thin">
        <color rgb="FF000000"/>
      </left>
      <right style="thin">
        <color theme="0" tint="-0.499984740745262"/>
      </right>
      <top style="thin">
        <color theme="0" tint="-0.499984740745262"/>
      </top>
      <bottom/>
      <diagonal/>
    </border>
    <border>
      <left style="thin">
        <color rgb="FF000000"/>
      </left>
      <right style="thin">
        <color theme="0" tint="-0.499984740745262"/>
      </right>
      <top/>
      <bottom style="thin">
        <color rgb="FF000000"/>
      </bottom>
      <diagonal/>
    </border>
    <border>
      <left/>
      <right/>
      <top/>
      <bottom style="thin">
        <color rgb="FF000000"/>
      </bottom>
      <diagonal/>
    </border>
    <border>
      <left style="thin">
        <color theme="1" tint="0.499984740745262"/>
      </left>
      <right style="thin">
        <color theme="1" tint="0.499984740745262"/>
      </right>
      <top style="thin">
        <color theme="1" tint="0.34998626667073579"/>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style="thin">
        <color theme="1" tint="0.34998626667073579"/>
      </top>
      <bottom style="thin">
        <color theme="1" tint="0.34998626667073579"/>
      </bottom>
      <diagonal/>
    </border>
    <border>
      <left/>
      <right/>
      <top style="thin">
        <color rgb="FF000000"/>
      </top>
      <bottom style="thin">
        <color rgb="FF000000"/>
      </bottom>
      <diagonal/>
    </border>
    <border>
      <left style="thin">
        <color theme="1" tint="0.34998626667073579"/>
      </left>
      <right style="thin">
        <color theme="1" tint="0.34998626667073579"/>
      </right>
      <top style="medium">
        <color rgb="FF000000"/>
      </top>
      <bottom/>
      <diagonal/>
    </border>
    <border>
      <left style="thin">
        <color theme="1" tint="0.34998626667073579"/>
      </left>
      <right style="medium">
        <color indexed="64"/>
      </right>
      <top style="medium">
        <color rgb="FF000000"/>
      </top>
      <bottom style="thin">
        <color theme="1" tint="0.34998626667073579"/>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diagonal/>
    </border>
    <border>
      <left style="thin">
        <color theme="1" tint="0.34998626667073579"/>
      </left>
      <right style="medium">
        <color indexed="64"/>
      </right>
      <top style="thin">
        <color theme="1" tint="0.34998626667073579"/>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bottom style="medium">
        <color rgb="FF000000"/>
      </bottom>
      <diagonal/>
    </border>
    <border>
      <left style="thin">
        <color indexed="64"/>
      </left>
      <right style="thin">
        <color indexed="64"/>
      </right>
      <top style="medium">
        <color rgb="FF000000"/>
      </top>
      <bottom style="thin">
        <color indexed="64"/>
      </bottom>
      <diagonal/>
    </border>
    <border>
      <left style="thin">
        <color indexed="64"/>
      </left>
      <right style="thin">
        <color indexed="64"/>
      </right>
      <top style="thin">
        <color indexed="64"/>
      </top>
      <bottom style="medium">
        <color rgb="FF000000"/>
      </bottom>
      <diagonal/>
    </border>
    <border>
      <left style="thin">
        <color theme="1" tint="0.34998626667073579"/>
      </left>
      <right style="medium">
        <color rgb="FF000000"/>
      </right>
      <top/>
      <bottom/>
      <diagonal/>
    </border>
    <border>
      <left style="medium">
        <color indexed="64"/>
      </left>
      <right/>
      <top style="medium">
        <color rgb="FF000000"/>
      </top>
      <bottom style="thin">
        <color indexed="64"/>
      </bottom>
      <diagonal/>
    </border>
    <border>
      <left style="medium">
        <color indexed="64"/>
      </left>
      <right/>
      <top style="thin">
        <color indexed="64"/>
      </top>
      <bottom style="medium">
        <color rgb="FF000000"/>
      </bottom>
      <diagonal/>
    </border>
    <border>
      <left style="thin">
        <color theme="1" tint="0.34998626667073579"/>
      </left>
      <right style="medium">
        <color indexed="64"/>
      </right>
      <top style="medium">
        <color rgb="FF000000"/>
      </top>
      <bottom/>
      <diagonal/>
    </border>
    <border>
      <left style="thin">
        <color theme="1" tint="0.34998626667073579"/>
      </left>
      <right style="medium">
        <color indexed="64"/>
      </right>
      <top/>
      <bottom style="medium">
        <color rgb="FF000000"/>
      </bottom>
      <diagonal/>
    </border>
    <border>
      <left style="medium">
        <color rgb="FF000000"/>
      </left>
      <right style="thin">
        <color theme="1" tint="0.34998626667073579"/>
      </right>
      <top style="medium">
        <color rgb="FF000000"/>
      </top>
      <bottom/>
      <diagonal/>
    </border>
    <border>
      <left style="medium">
        <color rgb="FF000000"/>
      </left>
      <right style="thin">
        <color theme="1" tint="0.34998626667073579"/>
      </right>
      <top/>
      <bottom/>
      <diagonal/>
    </border>
    <border>
      <left style="medium">
        <color rgb="FF000000"/>
      </left>
      <right style="thin">
        <color theme="1" tint="0.34998626667073579"/>
      </right>
      <top/>
      <bottom style="medium">
        <color rgb="FF000000"/>
      </bottom>
      <diagonal/>
    </border>
    <border>
      <left style="medium">
        <color rgb="FF000000"/>
      </left>
      <right style="thin">
        <color theme="1" tint="0.34998626667073579"/>
      </right>
      <top style="thin">
        <color theme="1" tint="0.34998626667073579"/>
      </top>
      <bottom/>
      <diagonal/>
    </border>
    <border>
      <left style="medium">
        <color indexed="64"/>
      </left>
      <right/>
      <top style="thin">
        <color indexed="64"/>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theme="0" tint="-0.49995422223578601"/>
      </left>
      <right style="thin">
        <color theme="0" tint="-0.49995422223578601"/>
      </right>
      <top style="thin">
        <color theme="0" tint="-0.49995422223578601"/>
      </top>
      <bottom style="thin">
        <color theme="0" tint="-0.49995422223578601"/>
      </bottom>
      <diagonal/>
    </border>
    <border>
      <left style="thin">
        <color rgb="FF808080"/>
      </left>
      <right/>
      <top/>
      <bottom style="thin">
        <color rgb="FF808080"/>
      </bottom>
      <diagonal/>
    </border>
    <border>
      <left style="thin">
        <color indexed="64"/>
      </left>
      <right style="thin">
        <color rgb="FF808080"/>
      </right>
      <top style="thin">
        <color rgb="FF808080"/>
      </top>
      <bottom style="thin">
        <color rgb="FF808080"/>
      </bottom>
      <diagonal/>
    </border>
    <border>
      <left style="thin">
        <color indexed="64"/>
      </left>
      <right style="thin">
        <color rgb="FF808080"/>
      </right>
      <top style="thin">
        <color rgb="FF808080"/>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top/>
      <bottom style="thin">
        <color indexed="64"/>
      </bottom>
      <diagonal/>
    </border>
    <border>
      <left style="thin">
        <color indexed="64"/>
      </left>
      <right style="thin">
        <color indexed="64"/>
      </right>
      <top/>
      <bottom style="thin">
        <color rgb="FF000000"/>
      </bottom>
      <diagonal/>
    </border>
    <border>
      <left style="thin">
        <color theme="1" tint="0.34998626667073579"/>
      </left>
      <right/>
      <top style="thin">
        <color theme="1" tint="0.34998626667073579"/>
      </top>
      <bottom style="thin">
        <color indexed="64"/>
      </bottom>
      <diagonal/>
    </border>
    <border>
      <left/>
      <right/>
      <top style="thin">
        <color theme="1" tint="0.34998626667073579"/>
      </top>
      <bottom style="thin">
        <color indexed="64"/>
      </bottom>
      <diagonal/>
    </border>
    <border>
      <left/>
      <right style="thin">
        <color theme="1" tint="0.34998626667073579"/>
      </right>
      <top style="thin">
        <color indexed="64"/>
      </top>
      <bottom/>
      <diagonal/>
    </border>
    <border>
      <left style="thin">
        <color theme="1" tint="0.34998626667073579"/>
      </left>
      <right/>
      <top style="thin">
        <color indexed="64"/>
      </top>
      <bottom/>
      <diagonal/>
    </border>
    <border>
      <left style="thin">
        <color indexed="64"/>
      </left>
      <right/>
      <top style="thin">
        <color theme="1" tint="0.34998626667073579"/>
      </top>
      <bottom style="thin">
        <color indexed="64"/>
      </bottom>
      <diagonal/>
    </border>
    <border>
      <left/>
      <right style="thin">
        <color indexed="64"/>
      </right>
      <top style="thin">
        <color theme="1" tint="0.34998626667073579"/>
      </top>
      <bottom style="thin">
        <color indexed="64"/>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bottom style="thin">
        <color rgb="FF000000"/>
      </bottom>
      <diagonal/>
    </border>
    <border>
      <left style="thin">
        <color theme="0" tint="-0.499984740745262"/>
      </left>
      <right/>
      <top style="thin">
        <color indexed="64"/>
      </top>
      <bottom/>
      <diagonal/>
    </border>
    <border>
      <left style="thin">
        <color theme="0" tint="-0.499984740745262"/>
      </left>
      <right/>
      <top/>
      <bottom style="thin">
        <color theme="0" tint="-0.499984740745262"/>
      </bottom>
      <diagonal/>
    </border>
    <border>
      <left style="thin">
        <color theme="1" tint="0.34998626667073579"/>
      </left>
      <right style="thin">
        <color theme="1" tint="0.34998626667073579"/>
      </right>
      <top style="thin">
        <color theme="1" tint="0.34998626667073579"/>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rgb="FF000000"/>
      </top>
      <bottom/>
      <diagonal/>
    </border>
    <border>
      <left style="thin">
        <color rgb="FF000000"/>
      </left>
      <right style="thin">
        <color indexed="64"/>
      </right>
      <top style="thin">
        <color rgb="FF000000"/>
      </top>
      <bottom style="thin">
        <color theme="1" tint="0.34998626667073579"/>
      </bottom>
      <diagonal/>
    </border>
    <border>
      <left style="thin">
        <color indexed="64"/>
      </left>
      <right style="thin">
        <color indexed="64"/>
      </right>
      <top style="thin">
        <color rgb="FF000000"/>
      </top>
      <bottom style="thin">
        <color theme="1" tint="0.34998626667073579"/>
      </bottom>
      <diagonal/>
    </border>
    <border>
      <left style="thin">
        <color rgb="FF000000"/>
      </left>
      <right style="thin">
        <color theme="1" tint="0.34998626667073579"/>
      </right>
      <top style="thin">
        <color theme="1" tint="0.34998626667073579"/>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theme="1" tint="0.34998626667073579"/>
      </left>
      <right style="thin">
        <color indexed="64"/>
      </right>
      <top style="thin">
        <color theme="1" tint="0.34998626667073579"/>
      </top>
      <bottom style="thin">
        <color rgb="FF000000"/>
      </bottom>
      <diagonal/>
    </border>
  </borders>
  <cellStyleXfs count="15">
    <xf numFmtId="0" fontId="0" fillId="0" borderId="0"/>
    <xf numFmtId="0" fontId="1" fillId="0" borderId="0"/>
    <xf numFmtId="9" fontId="2" fillId="0" borderId="0" applyFont="0" applyFill="0" applyBorder="0" applyAlignment="0" applyProtection="0"/>
    <xf numFmtId="0" fontId="3" fillId="0" borderId="0" applyNumberFormat="0" applyFill="0" applyBorder="0" applyAlignment="0" applyProtection="0"/>
    <xf numFmtId="0" fontId="5" fillId="0" borderId="0"/>
    <xf numFmtId="0" fontId="7" fillId="0" borderId="0" applyNumberFormat="0" applyFill="0" applyBorder="0" applyAlignment="0" applyProtection="0"/>
    <xf numFmtId="43" fontId="2" fillId="0" borderId="0" applyFont="0" applyFill="0" applyBorder="0" applyAlignment="0" applyProtection="0"/>
    <xf numFmtId="0" fontId="2" fillId="0" borderId="0"/>
    <xf numFmtId="9" fontId="5" fillId="0" borderId="0" applyFont="0" applyFill="0" applyBorder="0" applyAlignment="0" applyProtection="0"/>
    <xf numFmtId="0" fontId="14" fillId="0" borderId="0"/>
    <xf numFmtId="0" fontId="16" fillId="0" borderId="0" applyNumberFormat="0" applyFill="0" applyBorder="0" applyAlignment="0" applyProtection="0"/>
    <xf numFmtId="0" fontId="5" fillId="0" borderId="0"/>
    <xf numFmtId="0" fontId="5" fillId="0" borderId="0"/>
    <xf numFmtId="0" fontId="54" fillId="0" borderId="0"/>
    <xf numFmtId="9" fontId="5" fillId="0" borderId="0" applyFont="0" applyFill="0" applyBorder="0" applyAlignment="0" applyProtection="0"/>
  </cellStyleXfs>
  <cellXfs count="954">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vertical="center"/>
    </xf>
    <xf numFmtId="9" fontId="8" fillId="0" borderId="0" xfId="2" applyFont="1"/>
    <xf numFmtId="0" fontId="0" fillId="0" borderId="0" xfId="0" applyAlignment="1">
      <alignment horizontal="center" vertical="center"/>
    </xf>
    <xf numFmtId="0" fontId="11" fillId="0" borderId="0" xfId="3" applyFont="1" applyFill="1" applyBorder="1" applyAlignment="1">
      <alignment horizontal="left" vertical="top" wrapText="1"/>
    </xf>
    <xf numFmtId="0" fontId="0" fillId="0" borderId="35" xfId="0" applyBorder="1" applyAlignment="1">
      <alignment horizontal="center" vertical="center"/>
    </xf>
    <xf numFmtId="0" fontId="11" fillId="0" borderId="31" xfId="3" applyFont="1" applyBorder="1" applyAlignment="1">
      <alignment horizontal="center" vertical="top" wrapText="1"/>
    </xf>
    <xf numFmtId="0" fontId="12" fillId="0" borderId="0" xfId="0" applyFont="1"/>
    <xf numFmtId="0" fontId="12" fillId="0" borderId="0" xfId="0" applyFont="1" applyAlignment="1">
      <alignment horizontal="center" vertical="center"/>
    </xf>
    <xf numFmtId="0" fontId="5" fillId="0" borderId="0" xfId="0" applyFont="1"/>
    <xf numFmtId="0" fontId="6" fillId="0" borderId="0" xfId="0" applyFont="1"/>
    <xf numFmtId="0" fontId="5" fillId="0" borderId="0" xfId="0" applyFont="1" applyAlignment="1">
      <alignment horizontal="center" vertical="center"/>
    </xf>
    <xf numFmtId="0" fontId="5" fillId="0" borderId="0" xfId="0" applyFont="1" applyAlignment="1">
      <alignment vertical="center"/>
    </xf>
    <xf numFmtId="169" fontId="5" fillId="0" borderId="0" xfId="0" applyNumberFormat="1" applyFont="1"/>
    <xf numFmtId="166" fontId="5" fillId="0" borderId="0" xfId="0" applyNumberFormat="1" applyFont="1"/>
    <xf numFmtId="0" fontId="16" fillId="0" borderId="0" xfId="5" applyFont="1"/>
    <xf numFmtId="0" fontId="5" fillId="5" borderId="2" xfId="0" applyFont="1" applyFill="1" applyBorder="1" applyAlignment="1">
      <alignment horizontal="center" vertical="center"/>
    </xf>
    <xf numFmtId="0" fontId="5" fillId="5" borderId="2" xfId="0" applyFont="1" applyFill="1" applyBorder="1" applyAlignment="1">
      <alignment vertical="center" wrapText="1"/>
    </xf>
    <xf numFmtId="9" fontId="5" fillId="0" borderId="2" xfId="2" applyFont="1" applyBorder="1" applyAlignment="1">
      <alignment horizontal="center" vertical="center"/>
    </xf>
    <xf numFmtId="0" fontId="15" fillId="0" borderId="0" xfId="0" applyFont="1" applyAlignment="1">
      <alignment vertical="center"/>
    </xf>
    <xf numFmtId="0" fontId="5" fillId="0" borderId="2" xfId="0" applyFont="1" applyBorder="1" applyAlignment="1">
      <alignment vertical="center"/>
    </xf>
    <xf numFmtId="0" fontId="5" fillId="0" borderId="2" xfId="0" applyFont="1" applyBorder="1" applyAlignment="1">
      <alignment vertical="center" wrapText="1"/>
    </xf>
    <xf numFmtId="3" fontId="5" fillId="0" borderId="2" xfId="7" applyNumberFormat="1" applyFont="1" applyBorder="1" applyAlignment="1">
      <alignment horizontal="center" vertical="center"/>
    </xf>
    <xf numFmtId="0" fontId="11" fillId="0" borderId="2" xfId="3" applyFont="1" applyBorder="1" applyAlignment="1">
      <alignment horizontal="center" vertical="center" wrapText="1"/>
    </xf>
    <xf numFmtId="9" fontId="5" fillId="0" borderId="2" xfId="2" applyFont="1" applyBorder="1" applyAlignment="1">
      <alignment horizontal="center"/>
    </xf>
    <xf numFmtId="0" fontId="5" fillId="0" borderId="0" xfId="0" applyFont="1" applyAlignment="1">
      <alignment horizontal="center" vertical="top" wrapText="1"/>
    </xf>
    <xf numFmtId="0" fontId="6" fillId="0" borderId="0" xfId="0" applyFont="1" applyAlignment="1">
      <alignment horizontal="center" vertical="top" wrapText="1"/>
    </xf>
    <xf numFmtId="169" fontId="16" fillId="0" borderId="0" xfId="5" applyNumberFormat="1" applyFont="1" applyAlignment="1">
      <alignment horizontal="left" vertical="top"/>
    </xf>
    <xf numFmtId="0" fontId="6" fillId="2" borderId="0" xfId="0" applyFont="1" applyFill="1"/>
    <xf numFmtId="0" fontId="6" fillId="2" borderId="0" xfId="0" applyFont="1" applyFill="1" applyAlignment="1">
      <alignment wrapText="1"/>
    </xf>
    <xf numFmtId="0" fontId="6" fillId="2" borderId="0" xfId="0" applyFont="1" applyFill="1" applyAlignment="1">
      <alignment horizontal="left"/>
    </xf>
    <xf numFmtId="0" fontId="6" fillId="2" borderId="0" xfId="0" applyFont="1" applyFill="1" applyAlignment="1">
      <alignment horizontal="center"/>
    </xf>
    <xf numFmtId="0" fontId="5" fillId="0" borderId="2" xfId="0" applyFont="1" applyBorder="1" applyAlignment="1">
      <alignment horizontal="center" vertical="top" wrapText="1"/>
    </xf>
    <xf numFmtId="0" fontId="5" fillId="0" borderId="22" xfId="0" applyFont="1" applyBorder="1" applyAlignment="1">
      <alignment vertical="center"/>
    </xf>
    <xf numFmtId="0" fontId="5" fillId="0" borderId="22" xfId="0" applyFont="1" applyBorder="1" applyAlignment="1">
      <alignment horizontal="left" vertical="center"/>
    </xf>
    <xf numFmtId="0" fontId="5" fillId="0" borderId="22" xfId="0" applyFont="1" applyBorder="1" applyAlignment="1">
      <alignment horizontal="left" vertical="center" wrapText="1"/>
    </xf>
    <xf numFmtId="0" fontId="5" fillId="0" borderId="2" xfId="0" applyFont="1" applyBorder="1" applyAlignment="1">
      <alignment horizontal="left" vertical="center" wrapText="1"/>
    </xf>
    <xf numFmtId="0" fontId="5" fillId="0" borderId="2" xfId="0" applyFont="1" applyBorder="1" applyAlignment="1">
      <alignment horizontal="left" vertical="center"/>
    </xf>
    <xf numFmtId="170" fontId="5" fillId="0" borderId="2" xfId="6" applyNumberFormat="1" applyFont="1" applyBorder="1"/>
    <xf numFmtId="0" fontId="6" fillId="0" borderId="2" xfId="0" applyFont="1" applyBorder="1" applyAlignment="1">
      <alignment horizontal="left" vertical="center" wrapText="1"/>
    </xf>
    <xf numFmtId="17" fontId="5" fillId="0" borderId="2" xfId="0" applyNumberFormat="1" applyFont="1" applyBorder="1" applyAlignment="1">
      <alignment horizontal="left" vertical="center"/>
    </xf>
    <xf numFmtId="2" fontId="5" fillId="0" borderId="2" xfId="0" applyNumberFormat="1" applyFont="1" applyBorder="1" applyAlignment="1">
      <alignment horizontal="left" vertical="center"/>
    </xf>
    <xf numFmtId="0" fontId="6" fillId="0" borderId="2" xfId="0" applyFont="1" applyBorder="1" applyAlignment="1">
      <alignment vertical="center"/>
    </xf>
    <xf numFmtId="0" fontId="5" fillId="0" borderId="2" xfId="0" applyFont="1" applyBorder="1"/>
    <xf numFmtId="0" fontId="5" fillId="0" borderId="2" xfId="0" applyFont="1" applyBorder="1" applyAlignment="1">
      <alignment vertical="top" wrapText="1"/>
    </xf>
    <xf numFmtId="0" fontId="5" fillId="0" borderId="31" xfId="0" applyFont="1" applyBorder="1" applyAlignment="1">
      <alignment horizontal="center" vertical="center"/>
    </xf>
    <xf numFmtId="0" fontId="5" fillId="6" borderId="0" xfId="0" applyFont="1" applyFill="1"/>
    <xf numFmtId="0" fontId="6" fillId="0" borderId="0" xfId="0" applyFont="1" applyAlignment="1">
      <alignment wrapText="1"/>
    </xf>
    <xf numFmtId="0" fontId="6" fillId="0" borderId="0" xfId="0" applyFont="1" applyAlignment="1">
      <alignment horizontal="left"/>
    </xf>
    <xf numFmtId="0" fontId="6" fillId="0" borderId="0" xfId="0" applyFont="1" applyAlignment="1">
      <alignment horizontal="center"/>
    </xf>
    <xf numFmtId="0" fontId="21" fillId="7" borderId="31" xfId="0" applyFont="1" applyFill="1" applyBorder="1" applyAlignment="1">
      <alignment horizontal="center" vertical="center" wrapText="1"/>
    </xf>
    <xf numFmtId="0" fontId="5" fillId="0" borderId="31" xfId="0" applyFont="1" applyBorder="1" applyAlignment="1">
      <alignment horizontal="center" vertical="center" wrapText="1"/>
    </xf>
    <xf numFmtId="165" fontId="5" fillId="0" borderId="0" xfId="0" applyNumberFormat="1" applyFont="1"/>
    <xf numFmtId="9" fontId="5" fillId="0" borderId="0" xfId="2" applyFont="1" applyFill="1" applyBorder="1"/>
    <xf numFmtId="9" fontId="5" fillId="0" borderId="0" xfId="0" applyNumberFormat="1" applyFont="1"/>
    <xf numFmtId="9" fontId="5" fillId="0" borderId="0" xfId="2" applyFont="1"/>
    <xf numFmtId="0" fontId="28" fillId="9" borderId="2" xfId="0" applyFont="1" applyFill="1" applyBorder="1" applyAlignment="1">
      <alignment horizontal="left" vertical="center" wrapText="1"/>
    </xf>
    <xf numFmtId="0" fontId="28" fillId="9" borderId="2" xfId="0" applyFont="1" applyFill="1" applyBorder="1" applyAlignment="1">
      <alignment horizontal="left" vertical="center"/>
    </xf>
    <xf numFmtId="0" fontId="5" fillId="0" borderId="20" xfId="0" applyFont="1" applyBorder="1" applyAlignment="1">
      <alignment horizontal="left"/>
    </xf>
    <xf numFmtId="10" fontId="5" fillId="0" borderId="20" xfId="8" applyNumberFormat="1" applyFont="1" applyBorder="1" applyAlignment="1">
      <alignment horizontal="center"/>
    </xf>
    <xf numFmtId="10" fontId="5" fillId="0" borderId="0" xfId="8" applyNumberFormat="1" applyFont="1" applyBorder="1" applyAlignment="1">
      <alignment horizontal="center"/>
    </xf>
    <xf numFmtId="10" fontId="5" fillId="0" borderId="21" xfId="8" applyNumberFormat="1" applyFont="1" applyBorder="1" applyAlignment="1">
      <alignment horizontal="center"/>
    </xf>
    <xf numFmtId="164" fontId="5" fillId="0" borderId="0" xfId="0" applyNumberFormat="1" applyFont="1"/>
    <xf numFmtId="0" fontId="6" fillId="7" borderId="31" xfId="0" applyFont="1" applyFill="1" applyBorder="1" applyAlignment="1">
      <alignment horizontal="center" vertical="center"/>
    </xf>
    <xf numFmtId="9" fontId="5" fillId="0" borderId="0" xfId="0" applyNumberFormat="1" applyFont="1" applyAlignment="1">
      <alignment vertical="center"/>
    </xf>
    <xf numFmtId="0" fontId="6" fillId="0" borderId="0" xfId="0" applyFont="1" applyAlignment="1">
      <alignment vertical="center"/>
    </xf>
    <xf numFmtId="0" fontId="16" fillId="0" borderId="0" xfId="5" applyFont="1" applyAlignment="1">
      <alignment vertical="center"/>
    </xf>
    <xf numFmtId="0" fontId="28" fillId="7" borderId="15" xfId="0" applyFont="1" applyFill="1" applyBorder="1" applyAlignment="1">
      <alignment horizontal="center" vertical="center" wrapText="1"/>
    </xf>
    <xf numFmtId="0" fontId="28" fillId="7" borderId="15" xfId="0" applyFont="1" applyFill="1" applyBorder="1" applyAlignment="1">
      <alignment horizontal="center" vertical="center"/>
    </xf>
    <xf numFmtId="3" fontId="5" fillId="0" borderId="2" xfId="0" applyNumberFormat="1" applyFont="1" applyBorder="1" applyAlignment="1">
      <alignment horizontal="center" vertical="center"/>
    </xf>
    <xf numFmtId="11" fontId="5" fillId="0" borderId="0" xfId="0" applyNumberFormat="1" applyFont="1" applyAlignment="1">
      <alignment horizontal="center" vertical="center"/>
    </xf>
    <xf numFmtId="11" fontId="5" fillId="0" borderId="0" xfId="0" applyNumberFormat="1" applyFont="1" applyAlignment="1">
      <alignment horizontal="center" vertical="center" wrapText="1"/>
    </xf>
    <xf numFmtId="0" fontId="25" fillId="0" borderId="0" xfId="0" applyFont="1" applyAlignment="1">
      <alignment horizontal="center" vertical="center"/>
    </xf>
    <xf numFmtId="169" fontId="25" fillId="0" borderId="36" xfId="0" applyNumberFormat="1" applyFont="1" applyBorder="1" applyAlignment="1">
      <alignment horizontal="center" vertical="center"/>
    </xf>
    <xf numFmtId="0" fontId="25" fillId="0" borderId="39" xfId="0" applyFont="1" applyBorder="1" applyAlignment="1">
      <alignment horizontal="center" vertical="center"/>
    </xf>
    <xf numFmtId="0" fontId="25" fillId="0" borderId="41" xfId="0" applyFont="1" applyBorder="1" applyAlignment="1">
      <alignment horizontal="center" vertical="center"/>
    </xf>
    <xf numFmtId="0" fontId="25" fillId="0" borderId="44" xfId="0" applyFont="1" applyBorder="1" applyAlignment="1">
      <alignment horizontal="center" vertical="center"/>
    </xf>
    <xf numFmtId="169" fontId="25" fillId="0" borderId="38" xfId="0" applyNumberFormat="1" applyFont="1" applyBorder="1" applyAlignment="1">
      <alignment horizontal="center" vertical="center"/>
    </xf>
    <xf numFmtId="169" fontId="25" fillId="0" borderId="39" xfId="0" applyNumberFormat="1" applyFont="1" applyBorder="1" applyAlignment="1">
      <alignment horizontal="center" vertical="center"/>
    </xf>
    <xf numFmtId="169" fontId="25" fillId="0" borderId="41" xfId="0" applyNumberFormat="1" applyFont="1" applyBorder="1" applyAlignment="1">
      <alignment horizontal="center" vertical="center"/>
    </xf>
    <xf numFmtId="169" fontId="25" fillId="0" borderId="43" xfId="0" applyNumberFormat="1" applyFont="1" applyBorder="1" applyAlignment="1">
      <alignment horizontal="center" vertical="center"/>
    </xf>
    <xf numFmtId="169" fontId="25" fillId="0" borderId="44" xfId="0" applyNumberFormat="1" applyFont="1" applyBorder="1" applyAlignment="1">
      <alignment horizontal="center" vertical="center"/>
    </xf>
    <xf numFmtId="0" fontId="29" fillId="4" borderId="0" xfId="0" applyFont="1" applyFill="1" applyAlignment="1">
      <alignment vertical="center" wrapText="1"/>
    </xf>
    <xf numFmtId="0" fontId="25" fillId="4" borderId="0" xfId="0" applyFont="1" applyFill="1" applyAlignment="1">
      <alignment horizontal="center" vertical="center"/>
    </xf>
    <xf numFmtId="166" fontId="25" fillId="4" borderId="0" xfId="0" applyNumberFormat="1" applyFont="1" applyFill="1" applyAlignment="1">
      <alignment horizontal="center" vertical="center"/>
    </xf>
    <xf numFmtId="0" fontId="21" fillId="7" borderId="34" xfId="0" applyFont="1" applyFill="1" applyBorder="1" applyAlignment="1">
      <alignment horizontal="center" vertical="center" wrapText="1"/>
    </xf>
    <xf numFmtId="0" fontId="5" fillId="0" borderId="2" xfId="0" applyFont="1" applyBorder="1" applyAlignment="1">
      <alignment horizontal="left"/>
    </xf>
    <xf numFmtId="0" fontId="5" fillId="0" borderId="0" xfId="12"/>
    <xf numFmtId="0" fontId="28" fillId="0" borderId="0" xfId="0" applyFont="1" applyAlignment="1">
      <alignment horizontal="center" vertical="center" wrapText="1"/>
    </xf>
    <xf numFmtId="10" fontId="5" fillId="0" borderId="0" xfId="8" applyNumberFormat="1" applyFont="1" applyFill="1" applyBorder="1" applyAlignment="1">
      <alignment horizontal="center"/>
    </xf>
    <xf numFmtId="0" fontId="19" fillId="10" borderId="0" xfId="0" applyFont="1" applyFill="1"/>
    <xf numFmtId="0" fontId="27" fillId="10" borderId="0" xfId="0" applyFont="1" applyFill="1"/>
    <xf numFmtId="0" fontId="28" fillId="0" borderId="0" xfId="12" applyFont="1"/>
    <xf numFmtId="0" fontId="28" fillId="9" borderId="22" xfId="0" applyFont="1" applyFill="1" applyBorder="1" applyAlignment="1">
      <alignment horizontal="center" vertical="center" wrapText="1"/>
    </xf>
    <xf numFmtId="0" fontId="28" fillId="9" borderId="2" xfId="12" applyFont="1" applyFill="1" applyBorder="1" applyAlignment="1">
      <alignment horizontal="left" vertical="center" wrapText="1"/>
    </xf>
    <xf numFmtId="0" fontId="28" fillId="9" borderId="3" xfId="12" applyFont="1" applyFill="1" applyBorder="1" applyAlignment="1">
      <alignment horizontal="left" vertical="center"/>
    </xf>
    <xf numFmtId="0" fontId="28" fillId="9" borderId="29" xfId="12" applyFont="1" applyFill="1" applyBorder="1" applyAlignment="1">
      <alignment horizontal="center" vertical="center" wrapText="1"/>
    </xf>
    <xf numFmtId="0" fontId="28" fillId="9" borderId="22" xfId="12" applyFont="1" applyFill="1" applyBorder="1" applyAlignment="1">
      <alignment horizontal="center" vertical="center" wrapText="1"/>
    </xf>
    <xf numFmtId="0" fontId="28" fillId="9" borderId="30" xfId="12" applyFont="1" applyFill="1" applyBorder="1" applyAlignment="1">
      <alignment horizontal="center" vertical="center" wrapText="1"/>
    </xf>
    <xf numFmtId="0" fontId="28" fillId="9" borderId="25" xfId="12" applyFont="1" applyFill="1" applyBorder="1" applyAlignment="1">
      <alignment horizontal="center" vertical="center" wrapText="1"/>
    </xf>
    <xf numFmtId="3" fontId="5" fillId="0" borderId="28" xfId="8" applyNumberFormat="1" applyFont="1" applyBorder="1" applyAlignment="1">
      <alignment horizontal="left"/>
    </xf>
    <xf numFmtId="3" fontId="5" fillId="0" borderId="0" xfId="8" applyNumberFormat="1" applyFont="1" applyBorder="1" applyAlignment="1">
      <alignment horizontal="left"/>
    </xf>
    <xf numFmtId="3" fontId="5" fillId="0" borderId="27" xfId="8" applyNumberFormat="1" applyFont="1" applyBorder="1" applyAlignment="1">
      <alignment horizontal="left"/>
    </xf>
    <xf numFmtId="1" fontId="5" fillId="0" borderId="0" xfId="0" applyNumberFormat="1" applyFont="1"/>
    <xf numFmtId="3" fontId="5" fillId="0" borderId="0" xfId="0" applyNumberFormat="1" applyFont="1" applyAlignment="1">
      <alignment horizontal="center" vertical="center"/>
    </xf>
    <xf numFmtId="166" fontId="5" fillId="0" borderId="0" xfId="0" applyNumberFormat="1" applyFont="1" applyAlignment="1">
      <alignment horizontal="center" vertical="center"/>
    </xf>
    <xf numFmtId="0" fontId="5" fillId="0" borderId="0" xfId="0" applyFont="1" applyAlignment="1">
      <alignment horizontal="right"/>
    </xf>
    <xf numFmtId="0" fontId="6" fillId="2" borderId="0" xfId="0" applyFont="1" applyFill="1" applyAlignment="1">
      <alignment horizontal="center" vertical="center"/>
    </xf>
    <xf numFmtId="169" fontId="25" fillId="0" borderId="0" xfId="0" applyNumberFormat="1" applyFont="1" applyAlignment="1">
      <alignment horizontal="center" vertical="center"/>
    </xf>
    <xf numFmtId="0" fontId="28" fillId="7" borderId="2" xfId="0" applyFont="1" applyFill="1" applyBorder="1" applyAlignment="1">
      <alignment horizontal="center" vertical="center"/>
    </xf>
    <xf numFmtId="9" fontId="5" fillId="0" borderId="0" xfId="0" applyNumberFormat="1" applyFont="1" applyAlignment="1">
      <alignment horizontal="center" vertical="top" wrapText="1"/>
    </xf>
    <xf numFmtId="165" fontId="5" fillId="0" borderId="0" xfId="0" applyNumberFormat="1" applyFont="1" applyAlignment="1">
      <alignment horizontal="center" vertical="top" wrapText="1"/>
    </xf>
    <xf numFmtId="168" fontId="0" fillId="0" borderId="0" xfId="0" applyNumberFormat="1" applyAlignment="1">
      <alignment vertical="top" wrapText="1"/>
    </xf>
    <xf numFmtId="10" fontId="5" fillId="0" borderId="0" xfId="2" applyNumberFormat="1" applyFont="1"/>
    <xf numFmtId="0" fontId="0" fillId="0" borderId="0" xfId="0" applyAlignment="1">
      <alignment horizontal="left" vertical="center"/>
    </xf>
    <xf numFmtId="0" fontId="5" fillId="0" borderId="0" xfId="0" quotePrefix="1" applyFont="1" applyAlignment="1">
      <alignment horizontal="center" vertical="center" wrapText="1"/>
    </xf>
    <xf numFmtId="9" fontId="32" fillId="0" borderId="0" xfId="0" applyNumberFormat="1" applyFont="1" applyAlignment="1">
      <alignment horizontal="center" vertical="center" wrapText="1" readingOrder="1"/>
    </xf>
    <xf numFmtId="9" fontId="33" fillId="0" borderId="0" xfId="0" applyNumberFormat="1" applyFont="1" applyAlignment="1">
      <alignment horizontal="center" vertical="center" wrapText="1" readingOrder="1"/>
    </xf>
    <xf numFmtId="2" fontId="5" fillId="0" borderId="0" xfId="0" applyNumberFormat="1" applyFont="1"/>
    <xf numFmtId="3" fontId="5" fillId="0" borderId="0" xfId="0" applyNumberFormat="1" applyFont="1"/>
    <xf numFmtId="1" fontId="1" fillId="0" borderId="0" xfId="7" applyNumberFormat="1" applyFont="1" applyAlignment="1">
      <alignment horizontal="center" vertical="center"/>
    </xf>
    <xf numFmtId="1" fontId="23" fillId="0" borderId="0" xfId="7" applyNumberFormat="1" applyFont="1" applyAlignment="1">
      <alignment horizontal="center" vertical="center"/>
    </xf>
    <xf numFmtId="1" fontId="1" fillId="0" borderId="0" xfId="7" quotePrefix="1" applyNumberFormat="1" applyFont="1" applyAlignment="1">
      <alignment horizontal="center" vertical="center"/>
    </xf>
    <xf numFmtId="1" fontId="23" fillId="0" borderId="0" xfId="7" quotePrefix="1" applyNumberFormat="1" applyFont="1" applyAlignment="1">
      <alignment horizontal="center" vertical="center"/>
    </xf>
    <xf numFmtId="10" fontId="5" fillId="0" borderId="2" xfId="2" applyNumberFormat="1" applyFont="1" applyFill="1" applyBorder="1" applyAlignment="1">
      <alignment horizontal="center" vertical="center"/>
    </xf>
    <xf numFmtId="0" fontId="18" fillId="0" borderId="0" xfId="0" applyFont="1" applyAlignment="1">
      <alignment horizontal="center" vertical="center"/>
    </xf>
    <xf numFmtId="0" fontId="22" fillId="0" borderId="0" xfId="0" applyFont="1" applyAlignment="1">
      <alignment horizontal="center" vertical="center" wrapText="1"/>
    </xf>
    <xf numFmtId="10" fontId="5" fillId="0" borderId="0" xfId="2" applyNumberFormat="1" applyFont="1" applyFill="1"/>
    <xf numFmtId="10" fontId="1" fillId="0" borderId="0" xfId="2" applyNumberFormat="1" applyFont="1" applyFill="1" applyBorder="1" applyAlignment="1">
      <alignment horizontal="center" vertical="center"/>
    </xf>
    <xf numFmtId="173" fontId="1" fillId="0" borderId="0" xfId="7" applyNumberFormat="1" applyFont="1" applyAlignment="1">
      <alignment horizontal="center" vertical="center"/>
    </xf>
    <xf numFmtId="0" fontId="11" fillId="5" borderId="31" xfId="3" applyFont="1" applyFill="1" applyBorder="1" applyAlignment="1">
      <alignment horizontal="center" vertical="top" wrapText="1"/>
    </xf>
    <xf numFmtId="4" fontId="5" fillId="5" borderId="2" xfId="7" applyNumberFormat="1" applyFont="1" applyFill="1" applyBorder="1" applyAlignment="1">
      <alignment horizontal="center" vertical="center"/>
    </xf>
    <xf numFmtId="164" fontId="5" fillId="5" borderId="2" xfId="2" applyNumberFormat="1" applyFont="1" applyFill="1" applyBorder="1" applyAlignment="1">
      <alignment horizontal="center" vertical="center"/>
    </xf>
    <xf numFmtId="3" fontId="5" fillId="5" borderId="2" xfId="7" applyNumberFormat="1" applyFont="1" applyFill="1" applyBorder="1" applyAlignment="1">
      <alignment horizontal="center" vertical="center"/>
    </xf>
    <xf numFmtId="3" fontId="5" fillId="0" borderId="15" xfId="7" applyNumberFormat="1" applyFont="1" applyBorder="1" applyAlignment="1">
      <alignment horizontal="center" vertical="center"/>
    </xf>
    <xf numFmtId="0" fontId="21" fillId="12" borderId="2" xfId="0" applyFont="1" applyFill="1" applyBorder="1" applyAlignment="1">
      <alignment horizontal="center" vertical="center" wrapText="1"/>
    </xf>
    <xf numFmtId="0" fontId="14" fillId="0" borderId="0" xfId="0" applyFont="1"/>
    <xf numFmtId="9" fontId="1" fillId="0" borderId="0" xfId="2" applyFont="1" applyFill="1" applyBorder="1" applyAlignment="1">
      <alignment horizontal="center" vertical="center"/>
    </xf>
    <xf numFmtId="9" fontId="1" fillId="0" borderId="2" xfId="2" applyFont="1" applyFill="1" applyBorder="1" applyAlignment="1">
      <alignment horizontal="center" vertical="center"/>
    </xf>
    <xf numFmtId="0" fontId="6" fillId="0" borderId="2" xfId="0" applyFont="1" applyBorder="1" applyAlignment="1">
      <alignment horizontal="center" vertical="center"/>
    </xf>
    <xf numFmtId="0" fontId="19" fillId="10" borderId="0" xfId="0" applyFont="1" applyFill="1" applyAlignment="1">
      <alignment vertical="center" wrapText="1"/>
    </xf>
    <xf numFmtId="0" fontId="6" fillId="0" borderId="0" xfId="0" applyFont="1" applyAlignment="1">
      <alignment horizontal="center" vertical="center"/>
    </xf>
    <xf numFmtId="0" fontId="5" fillId="0" borderId="2" xfId="0" applyFont="1" applyBorder="1" applyAlignment="1">
      <alignment horizontal="center" wrapText="1"/>
    </xf>
    <xf numFmtId="166" fontId="24" fillId="0" borderId="2" xfId="0" applyNumberFormat="1" applyFont="1" applyBorder="1" applyAlignment="1">
      <alignment horizontal="center" vertical="center"/>
    </xf>
    <xf numFmtId="0" fontId="5" fillId="7" borderId="2" xfId="0" applyFont="1" applyFill="1" applyBorder="1" applyAlignment="1">
      <alignment vertical="center"/>
    </xf>
    <xf numFmtId="0" fontId="5" fillId="0" borderId="2" xfId="0" applyFont="1" applyBorder="1" applyAlignment="1">
      <alignment wrapText="1"/>
    </xf>
    <xf numFmtId="9" fontId="5" fillId="0" borderId="0" xfId="2" applyFont="1" applyAlignment="1">
      <alignment horizontal="center" vertical="center"/>
    </xf>
    <xf numFmtId="0" fontId="36" fillId="0" borderId="0" xfId="0" applyFont="1" applyAlignment="1">
      <alignment horizontal="center"/>
    </xf>
    <xf numFmtId="0" fontId="36" fillId="0" borderId="0" xfId="0" applyFont="1"/>
    <xf numFmtId="0" fontId="5" fillId="6" borderId="0" xfId="0" applyFont="1" applyFill="1" applyAlignment="1">
      <alignment horizontal="right"/>
    </xf>
    <xf numFmtId="0" fontId="5" fillId="0" borderId="0" xfId="0" applyFont="1" applyAlignment="1">
      <alignment horizontal="right" wrapText="1"/>
    </xf>
    <xf numFmtId="0" fontId="6" fillId="7" borderId="34" xfId="0" applyFont="1" applyFill="1" applyBorder="1" applyAlignment="1">
      <alignment horizontal="center" vertical="center"/>
    </xf>
    <xf numFmtId="0" fontId="21" fillId="7" borderId="15" xfId="0" applyFont="1" applyFill="1" applyBorder="1" applyAlignment="1">
      <alignment horizontal="center" vertical="center" wrapText="1"/>
    </xf>
    <xf numFmtId="0" fontId="0" fillId="0" borderId="0" xfId="0" applyAlignment="1">
      <alignment horizontal="center" vertical="center" wrapText="1"/>
    </xf>
    <xf numFmtId="164" fontId="5" fillId="0" borderId="2" xfId="2" applyNumberFormat="1" applyFont="1" applyFill="1" applyBorder="1" applyAlignment="1">
      <alignment horizontal="center" vertical="center"/>
    </xf>
    <xf numFmtId="2" fontId="38" fillId="0" borderId="56" xfId="0" applyNumberFormat="1" applyFont="1" applyBorder="1" applyAlignment="1">
      <alignment horizontal="center" vertical="center"/>
    </xf>
    <xf numFmtId="2" fontId="38" fillId="0" borderId="57" xfId="0" applyNumberFormat="1" applyFont="1" applyBorder="1" applyAlignment="1">
      <alignment horizontal="center" vertical="center"/>
    </xf>
    <xf numFmtId="2" fontId="38" fillId="0" borderId="60" xfId="0" applyNumberFormat="1" applyFont="1" applyBorder="1" applyAlignment="1">
      <alignment horizontal="center" vertical="center"/>
    </xf>
    <xf numFmtId="2" fontId="38" fillId="0" borderId="61" xfId="0" applyNumberFormat="1" applyFont="1" applyBorder="1" applyAlignment="1">
      <alignment horizontal="center" vertical="center"/>
    </xf>
    <xf numFmtId="2" fontId="5" fillId="0" borderId="1" xfId="0" applyNumberFormat="1" applyFont="1" applyBorder="1" applyAlignment="1">
      <alignment horizontal="center" vertical="center"/>
    </xf>
    <xf numFmtId="2" fontId="5" fillId="0" borderId="5" xfId="0" applyNumberFormat="1" applyFont="1" applyBorder="1" applyAlignment="1">
      <alignment horizontal="center" vertical="center"/>
    </xf>
    <xf numFmtId="2" fontId="5" fillId="0" borderId="2" xfId="0" applyNumberFormat="1" applyFont="1" applyBorder="1" applyAlignment="1">
      <alignment horizontal="center" vertical="center"/>
    </xf>
    <xf numFmtId="2" fontId="5" fillId="0" borderId="7" xfId="0" applyNumberFormat="1" applyFont="1" applyBorder="1" applyAlignment="1">
      <alignment horizontal="center" vertical="center"/>
    </xf>
    <xf numFmtId="2" fontId="5" fillId="0" borderId="48" xfId="0" applyNumberFormat="1" applyFont="1" applyBorder="1" applyAlignment="1">
      <alignment horizontal="center" vertical="center"/>
    </xf>
    <xf numFmtId="0" fontId="6" fillId="7" borderId="34" xfId="0" applyFont="1" applyFill="1" applyBorder="1" applyAlignment="1">
      <alignment horizontal="center" vertical="center" wrapText="1"/>
    </xf>
    <xf numFmtId="169" fontId="16" fillId="0" borderId="0" xfId="5" applyNumberFormat="1" applyFont="1" applyAlignment="1">
      <alignment horizontal="left" vertical="center"/>
    </xf>
    <xf numFmtId="43" fontId="5" fillId="0" borderId="0" xfId="0" applyNumberFormat="1" applyFont="1"/>
    <xf numFmtId="0" fontId="21" fillId="12" borderId="15" xfId="0" applyFont="1" applyFill="1" applyBorder="1" applyAlignment="1">
      <alignment horizontal="center" vertical="center" wrapText="1"/>
    </xf>
    <xf numFmtId="0" fontId="28" fillId="12" borderId="74" xfId="0" applyFont="1" applyFill="1" applyBorder="1" applyAlignment="1">
      <alignment horizontal="center" vertical="center"/>
    </xf>
    <xf numFmtId="0" fontId="28" fillId="12" borderId="67" xfId="0" applyFont="1" applyFill="1" applyBorder="1" applyAlignment="1">
      <alignment horizontal="center" vertical="center" wrapText="1"/>
    </xf>
    <xf numFmtId="0" fontId="28" fillId="12" borderId="67" xfId="0" applyFont="1" applyFill="1" applyBorder="1" applyAlignment="1">
      <alignment horizontal="center" vertical="center"/>
    </xf>
    <xf numFmtId="3" fontId="5" fillId="0" borderId="55" xfId="0" applyNumberFormat="1" applyFont="1" applyBorder="1" applyAlignment="1">
      <alignment horizontal="center" vertical="center"/>
    </xf>
    <xf numFmtId="170" fontId="5" fillId="0" borderId="55" xfId="6" applyNumberFormat="1" applyFont="1" applyBorder="1" applyAlignment="1">
      <alignment horizontal="center" vertical="center"/>
    </xf>
    <xf numFmtId="170" fontId="11" fillId="0" borderId="31" xfId="6" applyNumberFormat="1" applyFont="1" applyBorder="1" applyAlignment="1">
      <alignment horizontal="center" vertical="top" wrapText="1"/>
    </xf>
    <xf numFmtId="170" fontId="11" fillId="5" borderId="31" xfId="6" applyNumberFormat="1" applyFont="1" applyFill="1" applyBorder="1" applyAlignment="1">
      <alignment horizontal="center" vertical="top" wrapText="1"/>
    </xf>
    <xf numFmtId="0" fontId="21" fillId="7" borderId="55" xfId="0" applyFont="1" applyFill="1" applyBorder="1" applyAlignment="1">
      <alignment horizontal="center" vertical="center" wrapText="1"/>
    </xf>
    <xf numFmtId="1" fontId="11" fillId="0" borderId="58" xfId="3" applyNumberFormat="1" applyFont="1" applyBorder="1" applyAlignment="1">
      <alignment horizontal="left" vertical="center" wrapText="1"/>
    </xf>
    <xf numFmtId="0" fontId="1" fillId="0" borderId="58" xfId="0" applyFont="1" applyBorder="1"/>
    <xf numFmtId="170" fontId="5" fillId="0" borderId="58" xfId="6" applyNumberFormat="1" applyFont="1" applyBorder="1" applyAlignment="1">
      <alignment horizontal="left" vertical="center" wrapText="1"/>
    </xf>
    <xf numFmtId="170" fontId="5" fillId="0" borderId="58" xfId="6" applyNumberFormat="1" applyFont="1" applyBorder="1" applyAlignment="1">
      <alignment horizontal="left" vertical="center"/>
    </xf>
    <xf numFmtId="43" fontId="5" fillId="0" borderId="58" xfId="6" applyFont="1" applyFill="1" applyBorder="1"/>
    <xf numFmtId="43" fontId="5" fillId="0" borderId="58" xfId="0" applyNumberFormat="1" applyFont="1" applyBorder="1"/>
    <xf numFmtId="43" fontId="5" fillId="0" borderId="58" xfId="6" applyFont="1" applyBorder="1"/>
    <xf numFmtId="0" fontId="21" fillId="7" borderId="58" xfId="0" applyFont="1" applyFill="1" applyBorder="1" applyAlignment="1">
      <alignment horizontal="center" vertical="center" wrapText="1"/>
    </xf>
    <xf numFmtId="0" fontId="5" fillId="7" borderId="2" xfId="0" applyFont="1" applyFill="1" applyBorder="1" applyAlignment="1">
      <alignment horizontal="center" vertical="center"/>
    </xf>
    <xf numFmtId="0" fontId="25" fillId="0" borderId="75" xfId="0" applyFont="1" applyBorder="1" applyAlignment="1">
      <alignment horizontal="center" vertical="center" wrapText="1"/>
    </xf>
    <xf numFmtId="0" fontId="25" fillId="0" borderId="75" xfId="0" applyFont="1" applyBorder="1" applyAlignment="1">
      <alignment horizontal="center" vertical="center"/>
    </xf>
    <xf numFmtId="2" fontId="0" fillId="0" borderId="0" xfId="0" applyNumberFormat="1" applyAlignment="1">
      <alignment horizontal="center" vertical="center"/>
    </xf>
    <xf numFmtId="0" fontId="25" fillId="0" borderId="80" xfId="0" applyFont="1" applyBorder="1" applyAlignment="1">
      <alignment horizontal="center" vertical="center"/>
    </xf>
    <xf numFmtId="2" fontId="25" fillId="0" borderId="1" xfId="0" applyNumberFormat="1" applyFont="1" applyBorder="1" applyAlignment="1">
      <alignment horizontal="center" vertical="center"/>
    </xf>
    <xf numFmtId="2" fontId="25" fillId="0" borderId="5" xfId="0" applyNumberFormat="1" applyFont="1" applyBorder="1" applyAlignment="1">
      <alignment horizontal="center" vertical="center"/>
    </xf>
    <xf numFmtId="0" fontId="25" fillId="0" borderId="14" xfId="0" applyFont="1" applyBorder="1" applyAlignment="1">
      <alignment horizontal="center" vertical="center"/>
    </xf>
    <xf numFmtId="2" fontId="25" fillId="0" borderId="2" xfId="0" applyNumberFormat="1" applyFont="1" applyBorder="1" applyAlignment="1">
      <alignment horizontal="center" vertical="center"/>
    </xf>
    <xf numFmtId="2" fontId="25" fillId="0" borderId="7" xfId="0" applyNumberFormat="1" applyFont="1" applyBorder="1" applyAlignment="1">
      <alignment horizontal="center" vertical="center"/>
    </xf>
    <xf numFmtId="0" fontId="25" fillId="0" borderId="18" xfId="0" applyFont="1" applyBorder="1" applyAlignment="1">
      <alignment horizontal="center" vertical="center"/>
    </xf>
    <xf numFmtId="2" fontId="25" fillId="0" borderId="15" xfId="0" applyNumberFormat="1" applyFont="1" applyBorder="1" applyAlignment="1">
      <alignment horizontal="center" vertical="center"/>
    </xf>
    <xf numFmtId="2" fontId="25" fillId="0" borderId="87" xfId="0" applyNumberFormat="1" applyFont="1" applyBorder="1" applyAlignment="1">
      <alignment horizontal="center" vertical="center"/>
    </xf>
    <xf numFmtId="0" fontId="25" fillId="0" borderId="89" xfId="0" applyFont="1" applyBorder="1" applyAlignment="1">
      <alignment horizontal="center" vertical="center"/>
    </xf>
    <xf numFmtId="0" fontId="25" fillId="0" borderId="90" xfId="0" applyFont="1" applyBorder="1" applyAlignment="1">
      <alignment horizontal="center" vertical="center"/>
    </xf>
    <xf numFmtId="0" fontId="25" fillId="0" borderId="69" xfId="0" applyFont="1" applyBorder="1" applyAlignment="1">
      <alignment horizontal="center" vertical="center"/>
    </xf>
    <xf numFmtId="2" fontId="25" fillId="0" borderId="48" xfId="0" applyNumberFormat="1" applyFont="1" applyBorder="1" applyAlignment="1">
      <alignment horizontal="center" vertical="center"/>
    </xf>
    <xf numFmtId="2" fontId="25" fillId="0" borderId="9" xfId="0" applyNumberFormat="1" applyFont="1" applyBorder="1" applyAlignment="1">
      <alignment horizontal="center" vertical="center"/>
    </xf>
    <xf numFmtId="2" fontId="38" fillId="0" borderId="58" xfId="0" applyNumberFormat="1" applyFont="1" applyBorder="1" applyAlignment="1">
      <alignment horizontal="center" vertical="center"/>
    </xf>
    <xf numFmtId="2" fontId="38" fillId="0" borderId="59" xfId="0" applyNumberFormat="1"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2" fontId="25" fillId="0" borderId="22" xfId="0" applyNumberFormat="1" applyFont="1" applyBorder="1" applyAlignment="1">
      <alignment horizontal="center" vertical="center"/>
    </xf>
    <xf numFmtId="2" fontId="25" fillId="0" borderId="30" xfId="0" applyNumberFormat="1" applyFont="1" applyBorder="1" applyAlignment="1">
      <alignment horizontal="center" vertical="center"/>
    </xf>
    <xf numFmtId="2" fontId="25" fillId="0" borderId="72" xfId="0" applyNumberFormat="1" applyFont="1" applyBorder="1" applyAlignment="1">
      <alignment horizontal="center" vertical="center"/>
    </xf>
    <xf numFmtId="2" fontId="25" fillId="0" borderId="96" xfId="0" applyNumberFormat="1" applyFont="1" applyBorder="1" applyAlignment="1">
      <alignment horizontal="center" vertical="center"/>
    </xf>
    <xf numFmtId="2" fontId="25" fillId="0" borderId="55" xfId="0" applyNumberFormat="1" applyFont="1" applyBorder="1" applyAlignment="1">
      <alignment horizontal="center" vertical="center"/>
    </xf>
    <xf numFmtId="2" fontId="25" fillId="0" borderId="97" xfId="0" applyNumberFormat="1" applyFont="1" applyBorder="1" applyAlignment="1">
      <alignment horizontal="center" vertical="center"/>
    </xf>
    <xf numFmtId="2" fontId="25" fillId="0" borderId="92" xfId="0" applyNumberFormat="1" applyFont="1" applyBorder="1" applyAlignment="1">
      <alignment horizontal="center" vertical="center"/>
    </xf>
    <xf numFmtId="2" fontId="25" fillId="0" borderId="98" xfId="0" applyNumberFormat="1" applyFont="1" applyBorder="1" applyAlignment="1">
      <alignment horizontal="center" vertical="center"/>
    </xf>
    <xf numFmtId="0" fontId="25" fillId="0" borderId="4" xfId="0" applyFont="1" applyBorder="1" applyAlignment="1">
      <alignment horizontal="center" vertical="center"/>
    </xf>
    <xf numFmtId="1" fontId="25" fillId="0" borderId="1" xfId="0" applyNumberFormat="1" applyFont="1" applyBorder="1" applyAlignment="1">
      <alignment horizontal="center" vertical="center"/>
    </xf>
    <xf numFmtId="1" fontId="25" fillId="0" borderId="5" xfId="0" applyNumberFormat="1" applyFont="1" applyBorder="1" applyAlignment="1">
      <alignment horizontal="center" vertical="center"/>
    </xf>
    <xf numFmtId="0" fontId="25" fillId="0" borderId="6" xfId="0" applyFont="1" applyBorder="1" applyAlignment="1">
      <alignment horizontal="center" vertical="center"/>
    </xf>
    <xf numFmtId="1" fontId="25" fillId="0" borderId="2" xfId="0" applyNumberFormat="1" applyFont="1" applyBorder="1" applyAlignment="1">
      <alignment horizontal="center" vertical="center"/>
    </xf>
    <xf numFmtId="1" fontId="25" fillId="0" borderId="7" xfId="0" applyNumberFormat="1" applyFont="1" applyBorder="1" applyAlignment="1">
      <alignment horizontal="center" vertical="center"/>
    </xf>
    <xf numFmtId="0" fontId="25" fillId="0" borderId="8" xfId="0" applyFont="1" applyBorder="1" applyAlignment="1">
      <alignment horizontal="center" vertical="center"/>
    </xf>
    <xf numFmtId="1" fontId="25" fillId="0" borderId="48" xfId="0" applyNumberFormat="1" applyFont="1" applyBorder="1" applyAlignment="1">
      <alignment horizontal="center" vertical="center"/>
    </xf>
    <xf numFmtId="1" fontId="25" fillId="0" borderId="9" xfId="0" applyNumberFormat="1" applyFont="1" applyBorder="1" applyAlignment="1">
      <alignment horizontal="center" vertical="center"/>
    </xf>
    <xf numFmtId="0" fontId="25" fillId="0" borderId="29" xfId="0" applyFont="1" applyBorder="1" applyAlignment="1">
      <alignment horizontal="center" vertical="center"/>
    </xf>
    <xf numFmtId="1" fontId="25" fillId="0" borderId="22" xfId="0" applyNumberFormat="1" applyFont="1" applyBorder="1" applyAlignment="1">
      <alignment horizontal="center" vertical="center"/>
    </xf>
    <xf numFmtId="1" fontId="25" fillId="0" borderId="30" xfId="0" applyNumberFormat="1" applyFont="1" applyBorder="1" applyAlignment="1">
      <alignment horizontal="center" vertical="center"/>
    </xf>
    <xf numFmtId="0" fontId="25" fillId="0" borderId="111" xfId="0" applyFont="1" applyBorder="1" applyAlignment="1">
      <alignment horizontal="center" vertical="center"/>
    </xf>
    <xf numFmtId="0" fontId="25" fillId="0" borderId="115" xfId="0" applyFont="1" applyBorder="1" applyAlignment="1">
      <alignment horizontal="center" vertical="center"/>
    </xf>
    <xf numFmtId="1" fontId="25" fillId="0" borderId="88" xfId="0" applyNumberFormat="1" applyFont="1" applyBorder="1" applyAlignment="1">
      <alignment horizontal="center" vertical="center"/>
    </xf>
    <xf numFmtId="1" fontId="25" fillId="0" borderId="122" xfId="0" applyNumberFormat="1" applyFont="1" applyBorder="1" applyAlignment="1">
      <alignment horizontal="center" vertical="center"/>
    </xf>
    <xf numFmtId="1" fontId="25" fillId="0" borderId="55" xfId="0" applyNumberFormat="1" applyFont="1" applyBorder="1" applyAlignment="1">
      <alignment horizontal="center" vertical="center"/>
    </xf>
    <xf numFmtId="1" fontId="25" fillId="0" borderId="97" xfId="0" applyNumberFormat="1" applyFont="1" applyBorder="1" applyAlignment="1">
      <alignment horizontal="center" vertical="center"/>
    </xf>
    <xf numFmtId="1" fontId="25" fillId="0" borderId="92" xfId="0" applyNumberFormat="1" applyFont="1" applyBorder="1" applyAlignment="1">
      <alignment horizontal="center" vertical="center"/>
    </xf>
    <xf numFmtId="1" fontId="25" fillId="0" borderId="98" xfId="0" applyNumberFormat="1" applyFont="1" applyBorder="1" applyAlignment="1">
      <alignment horizontal="center" vertical="center"/>
    </xf>
    <xf numFmtId="0" fontId="25" fillId="0" borderId="0" xfId="0" applyFont="1" applyAlignment="1">
      <alignment horizontal="center" vertical="center" wrapText="1"/>
    </xf>
    <xf numFmtId="0" fontId="6" fillId="2" borderId="0" xfId="0" applyFont="1" applyFill="1" applyAlignment="1">
      <alignment vertical="center"/>
    </xf>
    <xf numFmtId="0" fontId="5" fillId="0" borderId="2" xfId="0" applyFont="1" applyBorder="1" applyAlignment="1">
      <alignment horizontal="center"/>
    </xf>
    <xf numFmtId="0" fontId="6" fillId="7" borderId="2" xfId="0" applyFont="1" applyFill="1" applyBorder="1" applyAlignment="1">
      <alignment horizontal="center" vertical="center" wrapText="1"/>
    </xf>
    <xf numFmtId="0" fontId="28" fillId="7" borderId="15" xfId="0" applyFont="1" applyFill="1" applyBorder="1" applyAlignment="1">
      <alignment horizontal="left" vertical="center" wrapText="1"/>
    </xf>
    <xf numFmtId="0" fontId="28" fillId="7" borderId="55" xfId="0" applyFont="1" applyFill="1" applyBorder="1" applyAlignment="1">
      <alignment horizontal="center" vertical="center" wrapText="1"/>
    </xf>
    <xf numFmtId="0" fontId="5" fillId="0" borderId="2" xfId="0" applyFont="1" applyBorder="1" applyAlignment="1">
      <alignment horizontal="right" vertical="center"/>
    </xf>
    <xf numFmtId="174" fontId="5" fillId="0" borderId="2" xfId="0" applyNumberFormat="1" applyFont="1" applyBorder="1" applyAlignment="1">
      <alignment vertical="center"/>
    </xf>
    <xf numFmtId="170" fontId="5" fillId="0" borderId="2" xfId="6" applyNumberFormat="1" applyFont="1" applyBorder="1" applyAlignment="1">
      <alignment horizontal="right" vertical="center" wrapText="1"/>
    </xf>
    <xf numFmtId="0" fontId="5" fillId="0" borderId="14" xfId="0" applyFont="1" applyBorder="1" applyAlignment="1">
      <alignment vertical="center" wrapText="1"/>
    </xf>
    <xf numFmtId="0" fontId="5" fillId="0" borderId="14" xfId="0" applyFont="1" applyBorder="1" applyAlignment="1">
      <alignment horizontal="right" vertical="center"/>
    </xf>
    <xf numFmtId="170" fontId="5" fillId="0" borderId="14" xfId="6" applyNumberFormat="1" applyFont="1" applyBorder="1" applyAlignment="1">
      <alignment horizontal="right" vertical="center"/>
    </xf>
    <xf numFmtId="174" fontId="1" fillId="0" borderId="2" xfId="0" applyNumberFormat="1" applyFont="1" applyBorder="1" applyAlignment="1">
      <alignment vertical="center"/>
    </xf>
    <xf numFmtId="174" fontId="1" fillId="8" borderId="14" xfId="0" applyNumberFormat="1" applyFont="1" applyFill="1" applyBorder="1" applyAlignment="1">
      <alignment vertical="center"/>
    </xf>
    <xf numFmtId="3" fontId="5" fillId="0" borderId="0" xfId="0" applyNumberFormat="1" applyFont="1" applyAlignment="1">
      <alignment horizontal="left"/>
    </xf>
    <xf numFmtId="1" fontId="5" fillId="0" borderId="55" xfId="0" applyNumberFormat="1" applyFont="1" applyBorder="1" applyAlignment="1">
      <alignment horizontal="center" vertical="center"/>
    </xf>
    <xf numFmtId="2" fontId="25" fillId="0" borderId="126" xfId="0" applyNumberFormat="1" applyFont="1" applyBorder="1" applyAlignment="1">
      <alignment horizontal="center" vertical="center"/>
    </xf>
    <xf numFmtId="2" fontId="25" fillId="0" borderId="125" xfId="0" applyNumberFormat="1" applyFont="1" applyBorder="1" applyAlignment="1">
      <alignment horizontal="center" vertical="center"/>
    </xf>
    <xf numFmtId="2" fontId="25" fillId="0" borderId="73" xfId="0" applyNumberFormat="1" applyFont="1" applyBorder="1" applyAlignment="1">
      <alignment horizontal="center" vertical="center"/>
    </xf>
    <xf numFmtId="0" fontId="28" fillId="0" borderId="0" xfId="0" applyFont="1" applyAlignment="1">
      <alignment horizontal="left" vertical="center"/>
    </xf>
    <xf numFmtId="0" fontId="5" fillId="5" borderId="31" xfId="0" applyFont="1" applyFill="1" applyBorder="1" applyAlignment="1">
      <alignment horizontal="center" vertical="center"/>
    </xf>
    <xf numFmtId="1" fontId="5" fillId="0" borderId="31" xfId="0" applyNumberFormat="1" applyFont="1" applyBorder="1" applyAlignment="1">
      <alignment horizontal="center" vertical="center"/>
    </xf>
    <xf numFmtId="1" fontId="5" fillId="5" borderId="31" xfId="0" applyNumberFormat="1" applyFont="1" applyFill="1" applyBorder="1" applyAlignment="1">
      <alignment horizontal="center" vertical="center"/>
    </xf>
    <xf numFmtId="0" fontId="17" fillId="0" borderId="0" xfId="0" applyFont="1"/>
    <xf numFmtId="0" fontId="5" fillId="0" borderId="50" xfId="4" applyBorder="1" applyAlignment="1">
      <alignment horizontal="center" vertical="center"/>
    </xf>
    <xf numFmtId="0" fontId="5" fillId="0" borderId="52" xfId="4" applyBorder="1" applyAlignment="1">
      <alignment horizontal="center" vertical="center"/>
    </xf>
    <xf numFmtId="0" fontId="5" fillId="0" borderId="54" xfId="4" applyBorder="1" applyAlignment="1">
      <alignment horizontal="center" vertical="center"/>
    </xf>
    <xf numFmtId="164" fontId="5" fillId="0" borderId="2" xfId="2" applyNumberFormat="1" applyFont="1" applyBorder="1"/>
    <xf numFmtId="164" fontId="5" fillId="0" borderId="0" xfId="2" applyNumberFormat="1" applyFont="1" applyFill="1" applyBorder="1"/>
    <xf numFmtId="1" fontId="25" fillId="0" borderId="78" xfId="0" applyNumberFormat="1" applyFont="1" applyBorder="1" applyAlignment="1">
      <alignment horizontal="center" vertical="center"/>
    </xf>
    <xf numFmtId="1" fontId="25" fillId="0" borderId="79" xfId="0" applyNumberFormat="1" applyFont="1" applyBorder="1" applyAlignment="1">
      <alignment horizontal="center" vertical="center"/>
    </xf>
    <xf numFmtId="1" fontId="25" fillId="0" borderId="83" xfId="0" applyNumberFormat="1" applyFont="1" applyBorder="1" applyAlignment="1">
      <alignment horizontal="center" vertical="center"/>
    </xf>
    <xf numFmtId="1" fontId="25" fillId="0" borderId="113" xfId="0" applyNumberFormat="1" applyFont="1" applyBorder="1" applyAlignment="1">
      <alignment horizontal="center" vertical="center"/>
    </xf>
    <xf numFmtId="1" fontId="25" fillId="0" borderId="116" xfId="0" applyNumberFormat="1" applyFont="1" applyBorder="1" applyAlignment="1">
      <alignment horizontal="center" vertical="center"/>
    </xf>
    <xf numFmtId="1" fontId="38" fillId="0" borderId="55" xfId="0" applyNumberFormat="1" applyFont="1" applyBorder="1" applyAlignment="1">
      <alignment horizontal="center" vertical="center"/>
    </xf>
    <xf numFmtId="0" fontId="28" fillId="12" borderId="167" xfId="0" applyFont="1" applyFill="1" applyBorder="1" applyAlignment="1">
      <alignment horizontal="center" vertical="center" wrapText="1"/>
    </xf>
    <xf numFmtId="0" fontId="21" fillId="12" borderId="168" xfId="0" applyFont="1" applyFill="1" applyBorder="1" applyAlignment="1">
      <alignment horizontal="center" vertical="center" wrapText="1"/>
    </xf>
    <xf numFmtId="0" fontId="21" fillId="13" borderId="169" xfId="0" applyFont="1" applyFill="1" applyBorder="1" applyAlignment="1">
      <alignment horizontal="center" vertical="center" wrapText="1"/>
    </xf>
    <xf numFmtId="0" fontId="21" fillId="13" borderId="170" xfId="0" applyFont="1" applyFill="1" applyBorder="1" applyAlignment="1">
      <alignment horizontal="center" vertical="center" wrapText="1"/>
    </xf>
    <xf numFmtId="0" fontId="21" fillId="13" borderId="171" xfId="0" applyFont="1" applyFill="1" applyBorder="1" applyAlignment="1">
      <alignment horizontal="center" vertical="center" wrapText="1"/>
    </xf>
    <xf numFmtId="0" fontId="21" fillId="14" borderId="172" xfId="0" applyFont="1" applyFill="1" applyBorder="1" applyAlignment="1">
      <alignment horizontal="center" vertical="center" wrapText="1"/>
    </xf>
    <xf numFmtId="0" fontId="21" fillId="14" borderId="173" xfId="0" applyFont="1" applyFill="1" applyBorder="1" applyAlignment="1">
      <alignment horizontal="center" vertical="center" wrapText="1"/>
    </xf>
    <xf numFmtId="0" fontId="5" fillId="0" borderId="36" xfId="4" applyBorder="1" applyAlignment="1">
      <alignment horizontal="center" vertical="center"/>
    </xf>
    <xf numFmtId="170" fontId="5" fillId="0" borderId="36" xfId="6" applyNumberFormat="1" applyFont="1" applyBorder="1" applyAlignment="1">
      <alignment horizontal="center" vertical="center"/>
    </xf>
    <xf numFmtId="2" fontId="5" fillId="0" borderId="36" xfId="0" applyNumberFormat="1" applyFont="1" applyBorder="1" applyAlignment="1">
      <alignment horizontal="center" vertical="center"/>
    </xf>
    <xf numFmtId="0" fontId="6" fillId="15" borderId="183" xfId="0" applyFont="1" applyFill="1" applyBorder="1" applyAlignment="1">
      <alignment horizontal="center" vertical="center" wrapText="1"/>
    </xf>
    <xf numFmtId="2" fontId="5" fillId="0" borderId="36" xfId="0" applyNumberFormat="1" applyFont="1" applyBorder="1"/>
    <xf numFmtId="166" fontId="43" fillId="0" borderId="184" xfId="0" applyNumberFormat="1" applyFont="1" applyBorder="1"/>
    <xf numFmtId="0" fontId="21" fillId="13" borderId="185" xfId="0" applyFont="1" applyFill="1" applyBorder="1" applyAlignment="1">
      <alignment horizontal="center" vertical="center" wrapText="1"/>
    </xf>
    <xf numFmtId="0" fontId="21" fillId="13" borderId="186" xfId="0" applyFont="1" applyFill="1" applyBorder="1" applyAlignment="1">
      <alignment horizontal="center" vertical="center" wrapText="1"/>
    </xf>
    <xf numFmtId="0" fontId="43" fillId="0" borderId="36" xfId="0" applyFont="1" applyBorder="1"/>
    <xf numFmtId="0" fontId="43" fillId="0" borderId="181" xfId="0" applyFont="1" applyBorder="1"/>
    <xf numFmtId="0" fontId="26" fillId="0" borderId="0" xfId="0" applyFont="1"/>
    <xf numFmtId="0" fontId="6" fillId="15" borderId="188" xfId="0" applyFont="1" applyFill="1" applyBorder="1" applyAlignment="1">
      <alignment horizontal="center" vertical="center" wrapText="1"/>
    </xf>
    <xf numFmtId="2" fontId="5" fillId="0" borderId="184" xfId="0" applyNumberFormat="1" applyFont="1" applyBorder="1"/>
    <xf numFmtId="2" fontId="5" fillId="0" borderId="2" xfId="0" applyNumberFormat="1" applyFont="1" applyBorder="1"/>
    <xf numFmtId="0" fontId="21" fillId="14" borderId="189" xfId="0" applyFont="1" applyFill="1" applyBorder="1" applyAlignment="1">
      <alignment horizontal="center" vertical="center" wrapText="1"/>
    </xf>
    <xf numFmtId="0" fontId="5" fillId="0" borderId="184" xfId="0" applyFont="1" applyBorder="1"/>
    <xf numFmtId="0" fontId="21" fillId="6" borderId="190" xfId="0" applyFont="1" applyFill="1" applyBorder="1" applyAlignment="1">
      <alignment horizontal="center" vertical="center" wrapText="1"/>
    </xf>
    <xf numFmtId="166" fontId="5" fillId="0" borderId="191" xfId="0" applyNumberFormat="1" applyFont="1" applyBorder="1"/>
    <xf numFmtId="166" fontId="43" fillId="0" borderId="192" xfId="0" applyNumberFormat="1" applyFont="1" applyBorder="1"/>
    <xf numFmtId="0" fontId="5" fillId="0" borderId="192" xfId="0" applyFont="1" applyBorder="1"/>
    <xf numFmtId="166" fontId="5" fillId="0" borderId="193" xfId="0" applyNumberFormat="1" applyFont="1" applyBorder="1"/>
    <xf numFmtId="166" fontId="43" fillId="0" borderId="176" xfId="0" applyNumberFormat="1" applyFont="1" applyBorder="1"/>
    <xf numFmtId="166" fontId="43" fillId="0" borderId="182" xfId="0" applyNumberFormat="1" applyFont="1" applyBorder="1"/>
    <xf numFmtId="1" fontId="25" fillId="0" borderId="72" xfId="0" applyNumberFormat="1" applyFont="1" applyBorder="1" applyAlignment="1">
      <alignment horizontal="center" vertical="center"/>
    </xf>
    <xf numFmtId="1" fontId="25" fillId="0" borderId="96" xfId="0" applyNumberFormat="1" applyFont="1" applyBorder="1" applyAlignment="1">
      <alignment horizontal="center" vertical="center"/>
    </xf>
    <xf numFmtId="0" fontId="5" fillId="0" borderId="2" xfId="3" applyFont="1" applyBorder="1" applyAlignment="1">
      <alignment horizontal="center" vertical="center" wrapText="1"/>
    </xf>
    <xf numFmtId="10" fontId="40" fillId="0" borderId="0" xfId="2" applyNumberFormat="1" applyFont="1" applyAlignment="1">
      <alignment vertical="center"/>
    </xf>
    <xf numFmtId="0" fontId="40" fillId="0" borderId="0" xfId="0" applyFont="1"/>
    <xf numFmtId="3" fontId="5" fillId="5" borderId="3" xfId="7" applyNumberFormat="1" applyFont="1" applyFill="1" applyBorder="1" applyAlignment="1">
      <alignment horizontal="center" vertical="center"/>
    </xf>
    <xf numFmtId="3" fontId="5" fillId="0" borderId="3" xfId="7" applyNumberFormat="1" applyFont="1" applyBorder="1" applyAlignment="1">
      <alignment horizontal="center" vertical="center"/>
    </xf>
    <xf numFmtId="3" fontId="5" fillId="0" borderId="16" xfId="7" applyNumberFormat="1" applyFont="1" applyBorder="1" applyAlignment="1">
      <alignment horizontal="center" vertical="center"/>
    </xf>
    <xf numFmtId="0" fontId="45" fillId="0" borderId="0" xfId="0" quotePrefix="1" applyFont="1"/>
    <xf numFmtId="0" fontId="24" fillId="0" borderId="31" xfId="0" applyFont="1" applyBorder="1" applyAlignment="1">
      <alignment horizontal="center" vertical="center"/>
    </xf>
    <xf numFmtId="0" fontId="5" fillId="0" borderId="0" xfId="0" applyFont="1" applyAlignment="1">
      <alignment horizontal="left"/>
    </xf>
    <xf numFmtId="0" fontId="5" fillId="0" borderId="0" xfId="0" applyFont="1" applyAlignment="1">
      <alignment horizontal="center" vertical="center" wrapText="1"/>
    </xf>
    <xf numFmtId="1" fontId="5" fillId="0" borderId="0" xfId="2" applyNumberFormat="1" applyFont="1" applyFill="1"/>
    <xf numFmtId="0" fontId="47" fillId="0" borderId="0" xfId="0" applyFont="1" applyAlignment="1">
      <alignment horizontal="center" vertical="center"/>
    </xf>
    <xf numFmtId="0" fontId="13" fillId="0" borderId="0" xfId="0" applyFont="1" applyAlignment="1">
      <alignment vertical="center" wrapText="1"/>
    </xf>
    <xf numFmtId="0" fontId="24" fillId="0" borderId="2" xfId="0" applyFont="1" applyBorder="1" applyAlignment="1">
      <alignment horizontal="center" vertical="center"/>
    </xf>
    <xf numFmtId="0" fontId="34" fillId="0" borderId="0" xfId="0" applyFont="1" applyAlignment="1">
      <alignment vertical="center"/>
    </xf>
    <xf numFmtId="0" fontId="28" fillId="12" borderId="199" xfId="0" applyFont="1" applyFill="1" applyBorder="1" applyAlignment="1">
      <alignment horizontal="center" vertical="center"/>
    </xf>
    <xf numFmtId="0" fontId="5" fillId="4" borderId="0" xfId="0" applyFont="1" applyFill="1"/>
    <xf numFmtId="0" fontId="5" fillId="4" borderId="200" xfId="0" applyFont="1" applyFill="1" applyBorder="1" applyAlignment="1">
      <alignment vertical="center"/>
    </xf>
    <xf numFmtId="0" fontId="5" fillId="0" borderId="201" xfId="0" applyFont="1" applyBorder="1" applyAlignment="1">
      <alignment horizontal="center" vertical="center"/>
    </xf>
    <xf numFmtId="0" fontId="5" fillId="0" borderId="202" xfId="0" applyFont="1" applyBorder="1" applyAlignment="1">
      <alignment horizontal="center" vertical="center"/>
    </xf>
    <xf numFmtId="0" fontId="5" fillId="0" borderId="203" xfId="0" applyFont="1" applyBorder="1" applyAlignment="1">
      <alignment horizontal="center" vertical="center"/>
    </xf>
    <xf numFmtId="0" fontId="5" fillId="0" borderId="203" xfId="0" applyFont="1" applyBorder="1" applyAlignment="1">
      <alignment horizontal="center" vertical="center" wrapText="1"/>
    </xf>
    <xf numFmtId="0" fontId="5" fillId="0" borderId="205" xfId="0" applyFont="1" applyBorder="1" applyAlignment="1">
      <alignment vertical="center" wrapText="1"/>
    </xf>
    <xf numFmtId="0" fontId="6" fillId="7" borderId="209" xfId="0" applyFont="1" applyFill="1" applyBorder="1" applyAlignment="1">
      <alignment horizontal="center" vertical="center"/>
    </xf>
    <xf numFmtId="0" fontId="21" fillId="7" borderId="210" xfId="0" applyFont="1" applyFill="1" applyBorder="1" applyAlignment="1">
      <alignment horizontal="center" vertical="center" wrapText="1"/>
    </xf>
    <xf numFmtId="0" fontId="5" fillId="0" borderId="209" xfId="0" applyFont="1" applyBorder="1" applyAlignment="1">
      <alignment horizontal="center" vertical="center"/>
    </xf>
    <xf numFmtId="0" fontId="43" fillId="0" borderId="0" xfId="0" applyFont="1"/>
    <xf numFmtId="0" fontId="49" fillId="0" borderId="0" xfId="0" applyFont="1"/>
    <xf numFmtId="0" fontId="51" fillId="18" borderId="36" xfId="0" applyFont="1" applyFill="1" applyBorder="1" applyAlignment="1">
      <alignment horizontal="center" vertical="center" wrapText="1"/>
    </xf>
    <xf numFmtId="0" fontId="0" fillId="0" borderId="36" xfId="0" applyBorder="1" applyAlignment="1">
      <alignment horizontal="center" vertical="center" wrapText="1"/>
    </xf>
    <xf numFmtId="2" fontId="0" fillId="0" borderId="36" xfId="0" applyNumberFormat="1" applyBorder="1" applyAlignment="1">
      <alignment horizontal="center" vertical="center" wrapText="1"/>
    </xf>
    <xf numFmtId="166" fontId="53" fillId="4" borderId="0" xfId="0" applyNumberFormat="1" applyFont="1" applyFill="1" applyAlignment="1">
      <alignment horizontal="center" vertical="center"/>
    </xf>
    <xf numFmtId="2" fontId="38" fillId="0" borderId="15" xfId="0" applyNumberFormat="1" applyFont="1" applyBorder="1" applyAlignment="1">
      <alignment horizontal="center" vertical="center"/>
    </xf>
    <xf numFmtId="2" fontId="38" fillId="0" borderId="2" xfId="0" applyNumberFormat="1" applyFont="1" applyBorder="1" applyAlignment="1">
      <alignment horizontal="center" vertical="center"/>
    </xf>
    <xf numFmtId="2" fontId="38" fillId="0" borderId="7" xfId="0" applyNumberFormat="1" applyFont="1" applyBorder="1" applyAlignment="1">
      <alignment horizontal="center" vertical="center"/>
    </xf>
    <xf numFmtId="0" fontId="43" fillId="0" borderId="0" xfId="0" applyFont="1" applyAlignment="1">
      <alignment horizontal="center" vertical="center" wrapText="1"/>
    </xf>
    <xf numFmtId="0" fontId="48" fillId="0" borderId="0" xfId="0" applyFont="1" applyAlignment="1">
      <alignment horizontal="center" vertical="center" wrapText="1"/>
    </xf>
    <xf numFmtId="43" fontId="24" fillId="0" borderId="58" xfId="6" applyFont="1" applyFill="1" applyBorder="1"/>
    <xf numFmtId="1" fontId="5" fillId="0" borderId="0" xfId="0" applyNumberFormat="1" applyFont="1" applyAlignment="1">
      <alignment horizontal="center" vertical="top" wrapText="1"/>
    </xf>
    <xf numFmtId="0" fontId="25" fillId="0" borderId="217" xfId="0" applyFont="1" applyBorder="1" applyAlignment="1">
      <alignment horizontal="center" vertical="center"/>
    </xf>
    <xf numFmtId="0" fontId="25" fillId="0" borderId="221" xfId="0" applyFont="1" applyBorder="1" applyAlignment="1">
      <alignment horizontal="center" vertical="center"/>
    </xf>
    <xf numFmtId="2" fontId="25" fillId="0" borderId="219" xfId="0" applyNumberFormat="1" applyFont="1" applyBorder="1" applyAlignment="1">
      <alignment horizontal="center" vertical="center"/>
    </xf>
    <xf numFmtId="2" fontId="25" fillId="0" borderId="222" xfId="0" applyNumberFormat="1" applyFont="1" applyBorder="1" applyAlignment="1">
      <alignment horizontal="center" vertical="center"/>
    </xf>
    <xf numFmtId="0" fontId="25" fillId="0" borderId="224" xfId="0" applyFont="1" applyBorder="1" applyAlignment="1">
      <alignment horizontal="center" vertical="center"/>
    </xf>
    <xf numFmtId="2" fontId="25" fillId="0" borderId="166" xfId="0" applyNumberFormat="1" applyFont="1" applyBorder="1" applyAlignment="1">
      <alignment horizontal="center" vertical="center"/>
    </xf>
    <xf numFmtId="2" fontId="25" fillId="0" borderId="225" xfId="0" applyNumberFormat="1" applyFont="1" applyBorder="1" applyAlignment="1">
      <alignment horizontal="center" vertical="center"/>
    </xf>
    <xf numFmtId="2" fontId="25" fillId="0" borderId="226" xfId="0" applyNumberFormat="1" applyFont="1" applyBorder="1" applyAlignment="1">
      <alignment horizontal="center" vertical="center"/>
    </xf>
    <xf numFmtId="2" fontId="25" fillId="0" borderId="190" xfId="0" applyNumberFormat="1" applyFont="1" applyBorder="1" applyAlignment="1">
      <alignment horizontal="center" vertical="center"/>
    </xf>
    <xf numFmtId="2" fontId="25" fillId="0" borderId="191" xfId="0" applyNumberFormat="1" applyFont="1" applyBorder="1" applyAlignment="1">
      <alignment horizontal="center" vertical="center"/>
    </xf>
    <xf numFmtId="2" fontId="25" fillId="0" borderId="227" xfId="0" applyNumberFormat="1" applyFont="1" applyBorder="1" applyAlignment="1">
      <alignment horizontal="center" vertical="center"/>
    </xf>
    <xf numFmtId="2" fontId="25" fillId="0" borderId="193" xfId="0" applyNumberFormat="1" applyFont="1" applyBorder="1" applyAlignment="1">
      <alignment horizontal="center" vertical="center"/>
    </xf>
    <xf numFmtId="0" fontId="25" fillId="0" borderId="26" xfId="0" applyFont="1" applyBorder="1" applyAlignment="1">
      <alignment horizontal="center" vertical="center"/>
    </xf>
    <xf numFmtId="0" fontId="25" fillId="0" borderId="229" xfId="0" applyFont="1" applyBorder="1" applyAlignment="1">
      <alignment horizontal="center" vertical="center"/>
    </xf>
    <xf numFmtId="0" fontId="25" fillId="0" borderId="230" xfId="0" applyFont="1" applyBorder="1" applyAlignment="1">
      <alignment horizontal="center" vertical="center"/>
    </xf>
    <xf numFmtId="0" fontId="25" fillId="0" borderId="237" xfId="0" applyFont="1" applyBorder="1" applyAlignment="1">
      <alignment horizontal="center" vertical="center"/>
    </xf>
    <xf numFmtId="2" fontId="5" fillId="0" borderId="0" xfId="2" applyNumberFormat="1" applyFont="1" applyAlignment="1"/>
    <xf numFmtId="10" fontId="40" fillId="0" borderId="0" xfId="2" applyNumberFormat="1" applyFont="1" applyAlignment="1">
      <alignment vertical="top"/>
    </xf>
    <xf numFmtId="164" fontId="5" fillId="0" borderId="0" xfId="0" applyNumberFormat="1" applyFont="1" applyAlignment="1">
      <alignment vertical="center"/>
    </xf>
    <xf numFmtId="0" fontId="24" fillId="0" borderId="2" xfId="0" applyFont="1" applyBorder="1" applyAlignment="1">
      <alignment horizontal="center" wrapText="1"/>
    </xf>
    <xf numFmtId="0" fontId="21" fillId="7" borderId="2" xfId="0" applyFont="1" applyFill="1" applyBorder="1" applyAlignment="1">
      <alignment horizontal="center" vertical="center" wrapText="1"/>
    </xf>
    <xf numFmtId="0" fontId="5" fillId="0" borderId="0" xfId="13" applyFont="1"/>
    <xf numFmtId="0" fontId="43" fillId="0" borderId="0" xfId="13" applyFont="1" applyAlignment="1">
      <alignment vertical="center" wrapText="1"/>
    </xf>
    <xf numFmtId="0" fontId="43" fillId="0" borderId="0" xfId="13" applyFont="1" applyAlignment="1">
      <alignment vertical="center"/>
    </xf>
    <xf numFmtId="0" fontId="5" fillId="0" borderId="0" xfId="13" applyFont="1" applyAlignment="1">
      <alignment horizontal="left"/>
    </xf>
    <xf numFmtId="0" fontId="54" fillId="0" borderId="0" xfId="13"/>
    <xf numFmtId="0" fontId="5" fillId="0" borderId="0" xfId="13" applyFont="1" applyAlignment="1">
      <alignment vertical="center"/>
    </xf>
    <xf numFmtId="0" fontId="54" fillId="0" borderId="0" xfId="13" applyAlignment="1">
      <alignment vertical="center"/>
    </xf>
    <xf numFmtId="0" fontId="6" fillId="0" borderId="0" xfId="13" applyFont="1" applyAlignment="1">
      <alignment horizontal="left" vertical="center"/>
    </xf>
    <xf numFmtId="0" fontId="5" fillId="22" borderId="2" xfId="13" applyFont="1" applyFill="1" applyBorder="1" applyAlignment="1">
      <alignment horizontal="center" vertical="center" wrapText="1"/>
    </xf>
    <xf numFmtId="0" fontId="5" fillId="22" borderId="2" xfId="13" applyFont="1" applyFill="1" applyBorder="1" applyAlignment="1">
      <alignment horizontal="left" vertical="center" wrapText="1"/>
    </xf>
    <xf numFmtId="0" fontId="5" fillId="0" borderId="2" xfId="13" applyFont="1" applyBorder="1" applyAlignment="1">
      <alignment horizontal="center" vertical="center" wrapText="1"/>
    </xf>
    <xf numFmtId="0" fontId="5" fillId="22" borderId="2" xfId="13" applyFont="1" applyFill="1" applyBorder="1" applyAlignment="1">
      <alignment horizontal="left"/>
    </xf>
    <xf numFmtId="0" fontId="5" fillId="0" borderId="2" xfId="13" applyFont="1" applyBorder="1" applyAlignment="1">
      <alignment horizontal="center" vertical="center"/>
    </xf>
    <xf numFmtId="0" fontId="5" fillId="0" borderId="0" xfId="13" applyFont="1" applyAlignment="1">
      <alignment horizontal="center" vertical="center" wrapText="1"/>
    </xf>
    <xf numFmtId="0" fontId="21" fillId="22" borderId="240" xfId="13" applyFont="1" applyFill="1" applyBorder="1" applyAlignment="1">
      <alignment horizontal="left" vertical="center" wrapText="1"/>
    </xf>
    <xf numFmtId="0" fontId="21" fillId="22" borderId="240" xfId="13" applyFont="1" applyFill="1" applyBorder="1" applyAlignment="1">
      <alignment horizontal="center" vertical="center" wrapText="1"/>
    </xf>
    <xf numFmtId="0" fontId="5" fillId="22" borderId="3" xfId="13" applyFont="1" applyFill="1" applyBorder="1" applyAlignment="1">
      <alignment vertical="center" wrapText="1"/>
    </xf>
    <xf numFmtId="164" fontId="5" fillId="0" borderId="240" xfId="14" applyNumberFormat="1" applyFont="1" applyBorder="1" applyAlignment="1">
      <alignment horizontal="center"/>
    </xf>
    <xf numFmtId="0" fontId="5" fillId="0" borderId="240" xfId="13" applyFont="1" applyBorder="1" applyAlignment="1">
      <alignment horizontal="center" vertical="center" wrapText="1"/>
    </xf>
    <xf numFmtId="0" fontId="24" fillId="0" borderId="0" xfId="0" applyFont="1" applyAlignment="1">
      <alignment wrapText="1"/>
    </xf>
    <xf numFmtId="0" fontId="28" fillId="0" borderId="0" xfId="0" applyFont="1"/>
    <xf numFmtId="0" fontId="24" fillId="0" borderId="0" xfId="0" applyFont="1"/>
    <xf numFmtId="3" fontId="5" fillId="5" borderId="2" xfId="7" applyNumberFormat="1" applyFont="1" applyFill="1" applyBorder="1" applyAlignment="1">
      <alignment horizontal="center" vertical="center" wrapText="1"/>
    </xf>
    <xf numFmtId="2" fontId="55" fillId="0" borderId="2" xfId="0" applyNumberFormat="1" applyFont="1" applyBorder="1" applyAlignment="1">
      <alignment horizontal="center" vertical="center"/>
    </xf>
    <xf numFmtId="0" fontId="5" fillId="0" borderId="0" xfId="0" applyFont="1" applyAlignment="1">
      <alignment wrapText="1"/>
    </xf>
    <xf numFmtId="2" fontId="46" fillId="0" borderId="0" xfId="2" applyNumberFormat="1" applyFont="1" applyFill="1" applyBorder="1"/>
    <xf numFmtId="2" fontId="5" fillId="0" borderId="0" xfId="2" applyNumberFormat="1" applyFont="1" applyFill="1" applyBorder="1"/>
    <xf numFmtId="2" fontId="6" fillId="0" borderId="0" xfId="2" applyNumberFormat="1" applyFont="1" applyFill="1" applyBorder="1" applyAlignment="1"/>
    <xf numFmtId="2" fontId="42" fillId="0" borderId="0" xfId="2" applyNumberFormat="1" applyFont="1" applyFill="1" applyBorder="1" applyAlignment="1">
      <alignment vertical="center"/>
    </xf>
    <xf numFmtId="0" fontId="42" fillId="0" borderId="0" xfId="0" applyFont="1" applyAlignment="1">
      <alignment vertical="center"/>
    </xf>
    <xf numFmtId="0" fontId="57" fillId="0" borderId="0" xfId="0" applyFont="1" applyAlignment="1">
      <alignment vertical="center"/>
    </xf>
    <xf numFmtId="0" fontId="42" fillId="0" borderId="0" xfId="0" applyFont="1"/>
    <xf numFmtId="164" fontId="5" fillId="0" borderId="0" xfId="0" applyNumberFormat="1" applyFont="1" applyAlignment="1">
      <alignment horizontal="center" vertical="center"/>
    </xf>
    <xf numFmtId="164" fontId="5" fillId="0" borderId="0" xfId="2" applyNumberFormat="1" applyFont="1" applyFill="1" applyBorder="1" applyAlignment="1">
      <alignment horizontal="center" vertical="center"/>
    </xf>
    <xf numFmtId="0" fontId="16" fillId="0" borderId="0" xfId="5" applyFont="1" applyAlignment="1"/>
    <xf numFmtId="0" fontId="58" fillId="0" borderId="0" xfId="5" applyFont="1" applyAlignment="1">
      <alignment vertical="center"/>
    </xf>
    <xf numFmtId="2" fontId="24" fillId="0" borderId="203" xfId="0" applyNumberFormat="1" applyFont="1" applyBorder="1" applyAlignment="1">
      <alignment horizontal="center" vertical="center" wrapText="1"/>
    </xf>
    <xf numFmtId="164" fontId="6" fillId="0" borderId="0" xfId="0" applyNumberFormat="1" applyFont="1" applyAlignment="1">
      <alignment horizontal="center" vertical="center"/>
    </xf>
    <xf numFmtId="0" fontId="16" fillId="0" borderId="0" xfId="5" applyFont="1" applyFill="1" applyBorder="1" applyAlignment="1">
      <alignment horizontal="center" vertical="center"/>
    </xf>
    <xf numFmtId="0" fontId="5" fillId="0" borderId="0" xfId="0" quotePrefix="1" applyFont="1" applyAlignment="1">
      <alignment horizontal="center" vertical="center"/>
    </xf>
    <xf numFmtId="10" fontId="5" fillId="0" borderId="0" xfId="0" applyNumberFormat="1" applyFont="1" applyAlignment="1">
      <alignment horizontal="center" vertical="center" wrapText="1"/>
    </xf>
    <xf numFmtId="0" fontId="58" fillId="0" borderId="0" xfId="5" applyFont="1" applyAlignment="1">
      <alignment horizontal="left" vertical="center"/>
    </xf>
    <xf numFmtId="0" fontId="24" fillId="0" borderId="0" xfId="0" applyFont="1" applyAlignment="1">
      <alignment vertical="center"/>
    </xf>
    <xf numFmtId="0" fontId="24" fillId="0" borderId="204" xfId="0" applyFont="1" applyBorder="1" applyAlignment="1">
      <alignment horizontal="center" vertical="center" wrapText="1"/>
    </xf>
    <xf numFmtId="2" fontId="5" fillId="0" borderId="0" xfId="0" applyNumberFormat="1" applyFont="1" applyAlignment="1">
      <alignment horizontal="left"/>
    </xf>
    <xf numFmtId="0" fontId="24" fillId="0" borderId="0" xfId="0" applyFont="1" applyAlignment="1">
      <alignment horizontal="left"/>
    </xf>
    <xf numFmtId="0" fontId="1" fillId="0" borderId="36" xfId="0" applyFont="1" applyBorder="1" applyAlignment="1">
      <alignment horizontal="center" vertical="center"/>
    </xf>
    <xf numFmtId="0" fontId="24" fillId="0" borderId="31" xfId="0" applyFont="1" applyBorder="1" applyAlignment="1">
      <alignment horizontal="center" vertical="center" wrapText="1"/>
    </xf>
    <xf numFmtId="0" fontId="24" fillId="0" borderId="253"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32" xfId="0" applyFont="1" applyBorder="1" applyAlignment="1">
      <alignment horizontal="center" vertical="center" wrapText="1"/>
    </xf>
    <xf numFmtId="0" fontId="5" fillId="0" borderId="34" xfId="0" applyFont="1" applyBorder="1" applyAlignment="1">
      <alignment vertical="center"/>
    </xf>
    <xf numFmtId="0" fontId="7" fillId="0" borderId="0" xfId="5"/>
    <xf numFmtId="1" fontId="24" fillId="0" borderId="31" xfId="0" applyNumberFormat="1" applyFont="1" applyBorder="1" applyAlignment="1">
      <alignment horizontal="center" vertical="center" wrapText="1"/>
    </xf>
    <xf numFmtId="1" fontId="24" fillId="0" borderId="31" xfId="0" applyNumberFormat="1" applyFont="1" applyBorder="1" applyAlignment="1">
      <alignment horizontal="center" vertical="center"/>
    </xf>
    <xf numFmtId="0" fontId="24" fillId="0" borderId="259" xfId="0" applyFont="1" applyBorder="1" applyAlignment="1">
      <alignment vertical="center" wrapText="1"/>
    </xf>
    <xf numFmtId="0" fontId="24" fillId="0" borderId="200" xfId="0" applyFont="1" applyBorder="1" applyAlignment="1">
      <alignment horizontal="center" vertical="center"/>
    </xf>
    <xf numFmtId="0" fontId="41" fillId="0" borderId="0" xfId="5" applyFont="1" applyAlignment="1">
      <alignment horizontal="center" vertical="center"/>
    </xf>
    <xf numFmtId="0" fontId="61" fillId="0" borderId="0" xfId="0" applyFont="1" applyAlignment="1">
      <alignment horizontal="center" vertical="top" wrapText="1"/>
    </xf>
    <xf numFmtId="0" fontId="12" fillId="0" borderId="0" xfId="0" applyFont="1" applyAlignment="1">
      <alignment vertical="center"/>
    </xf>
    <xf numFmtId="0" fontId="62" fillId="0" borderId="0" xfId="0" applyFont="1"/>
    <xf numFmtId="0" fontId="24" fillId="5" borderId="31" xfId="0" applyFont="1" applyFill="1" applyBorder="1" applyAlignment="1">
      <alignment horizontal="center" vertical="center"/>
    </xf>
    <xf numFmtId="0" fontId="5" fillId="0" borderId="68" xfId="0" applyFont="1" applyBorder="1" applyAlignment="1">
      <alignment horizontal="left" vertical="center"/>
    </xf>
    <xf numFmtId="0" fontId="39" fillId="0" borderId="195" xfId="0" applyFont="1" applyBorder="1" applyAlignment="1">
      <alignment horizontal="left" vertical="center"/>
    </xf>
    <xf numFmtId="0" fontId="7" fillId="0" borderId="0" xfId="5" applyBorder="1" applyAlignment="1">
      <alignment horizontal="center" vertical="center" wrapText="1"/>
    </xf>
    <xf numFmtId="0" fontId="24" fillId="0" borderId="0" xfId="0" quotePrefix="1" applyFont="1" applyAlignment="1">
      <alignment horizontal="center" vertical="center" wrapText="1"/>
    </xf>
    <xf numFmtId="0" fontId="24" fillId="16" borderId="0" xfId="0" applyFont="1" applyFill="1" applyAlignment="1">
      <alignment horizontal="center" vertical="center" wrapText="1"/>
    </xf>
    <xf numFmtId="0" fontId="39" fillId="23" borderId="195" xfId="0" applyFont="1" applyFill="1" applyBorder="1" applyAlignment="1">
      <alignment horizontal="left" vertical="center"/>
    </xf>
    <xf numFmtId="0" fontId="5" fillId="4" borderId="0" xfId="0" applyFont="1" applyFill="1" applyAlignment="1">
      <alignment horizontal="center" vertical="center" wrapText="1"/>
    </xf>
    <xf numFmtId="0" fontId="24" fillId="4" borderId="0" xfId="0" applyFont="1" applyFill="1" applyAlignment="1">
      <alignment horizontal="center" wrapText="1"/>
    </xf>
    <xf numFmtId="0" fontId="7" fillId="0" borderId="0" xfId="5" applyBorder="1" applyAlignment="1">
      <alignment horizontal="center" vertical="center"/>
    </xf>
    <xf numFmtId="0" fontId="5" fillId="0" borderId="68" xfId="0" applyFont="1" applyBorder="1" applyAlignment="1">
      <alignment vertical="center"/>
    </xf>
    <xf numFmtId="0" fontId="6" fillId="7" borderId="263" xfId="0" applyFont="1" applyFill="1" applyBorder="1" applyAlignment="1">
      <alignment horizontal="center" vertical="center"/>
    </xf>
    <xf numFmtId="0" fontId="6" fillId="12" borderId="258" xfId="0" applyFont="1" applyFill="1" applyBorder="1" applyAlignment="1">
      <alignment horizontal="center" vertical="center"/>
    </xf>
    <xf numFmtId="0" fontId="6" fillId="12" borderId="67" xfId="0" applyFont="1" applyFill="1" applyBorder="1" applyAlignment="1">
      <alignment horizontal="center" vertical="center" wrapText="1"/>
    </xf>
    <xf numFmtId="0" fontId="66" fillId="0" borderId="269" xfId="0" applyFont="1" applyBorder="1" applyAlignment="1">
      <alignment horizontal="center" vertical="center" wrapText="1"/>
    </xf>
    <xf numFmtId="0" fontId="24" fillId="0" borderId="36" xfId="0" applyFont="1" applyBorder="1" applyAlignment="1">
      <alignment horizontal="center" vertical="center"/>
    </xf>
    <xf numFmtId="0" fontId="24" fillId="0" borderId="183" xfId="0" applyFont="1" applyBorder="1" applyAlignment="1">
      <alignment horizontal="center" vertical="center"/>
    </xf>
    <xf numFmtId="0" fontId="42" fillId="7" borderId="55" xfId="0" applyFont="1" applyFill="1" applyBorder="1" applyAlignment="1">
      <alignment horizontal="center" vertical="center"/>
    </xf>
    <xf numFmtId="0" fontId="42" fillId="7" borderId="55" xfId="0" applyFont="1" applyFill="1" applyBorder="1" applyAlignment="1">
      <alignment horizontal="center" vertical="center" wrapText="1"/>
    </xf>
    <xf numFmtId="169" fontId="5" fillId="0" borderId="55" xfId="0" applyNumberFormat="1" applyFont="1" applyBorder="1" applyAlignment="1">
      <alignment horizontal="center" vertical="center"/>
    </xf>
    <xf numFmtId="0" fontId="5" fillId="8" borderId="55" xfId="0" applyFont="1" applyFill="1" applyBorder="1" applyAlignment="1">
      <alignment horizontal="center" vertical="center" wrapText="1"/>
    </xf>
    <xf numFmtId="169" fontId="5" fillId="8" borderId="55" xfId="0" applyNumberFormat="1" applyFont="1" applyFill="1" applyBorder="1" applyAlignment="1">
      <alignment horizontal="center" vertical="center"/>
    </xf>
    <xf numFmtId="0" fontId="5" fillId="5" borderId="55" xfId="0" applyFont="1" applyFill="1" applyBorder="1" applyAlignment="1">
      <alignment horizontal="center" vertical="center"/>
    </xf>
    <xf numFmtId="0" fontId="5" fillId="3" borderId="55" xfId="0" applyFont="1" applyFill="1" applyBorder="1" applyAlignment="1">
      <alignment horizontal="center" vertical="center"/>
    </xf>
    <xf numFmtId="0" fontId="5" fillId="24" borderId="55" xfId="0" applyFont="1" applyFill="1" applyBorder="1" applyAlignment="1">
      <alignment horizontal="center" vertical="center"/>
    </xf>
    <xf numFmtId="0" fontId="5" fillId="4" borderId="55" xfId="0" applyFont="1" applyFill="1" applyBorder="1" applyAlignment="1">
      <alignment horizontal="center" vertical="center"/>
    </xf>
    <xf numFmtId="2" fontId="5" fillId="0" borderId="55" xfId="0" applyNumberFormat="1" applyFont="1" applyBorder="1" applyAlignment="1">
      <alignment horizontal="center" vertical="center"/>
    </xf>
    <xf numFmtId="2" fontId="5" fillId="4" borderId="55" xfId="0" applyNumberFormat="1" applyFont="1" applyFill="1" applyBorder="1" applyAlignment="1">
      <alignment horizontal="center" vertical="center"/>
    </xf>
    <xf numFmtId="0" fontId="5" fillId="5" borderId="55" xfId="0" applyFont="1" applyFill="1" applyBorder="1" applyAlignment="1">
      <alignment horizontal="center" vertical="center" wrapText="1"/>
    </xf>
    <xf numFmtId="0" fontId="5" fillId="0" borderId="0" xfId="0" applyFont="1" applyAlignment="1">
      <alignment horizontal="left" vertical="center"/>
    </xf>
    <xf numFmtId="0" fontId="0" fillId="4" borderId="0" xfId="0" applyFill="1"/>
    <xf numFmtId="0" fontId="0" fillId="4" borderId="0" xfId="0" applyFill="1" applyAlignment="1">
      <alignment horizontal="center"/>
    </xf>
    <xf numFmtId="0" fontId="6" fillId="7" borderId="31" xfId="0" applyFont="1" applyFill="1" applyBorder="1" applyAlignment="1">
      <alignment horizontal="center" vertical="center" wrapText="1"/>
    </xf>
    <xf numFmtId="0" fontId="69" fillId="0" borderId="36" xfId="5" applyFont="1" applyBorder="1" applyAlignment="1">
      <alignment horizontal="center" vertical="center"/>
    </xf>
    <xf numFmtId="0" fontId="5" fillId="8" borderId="55" xfId="0" applyFont="1" applyFill="1" applyBorder="1" applyAlignment="1">
      <alignment horizontal="center" vertical="center"/>
    </xf>
    <xf numFmtId="0" fontId="6" fillId="7" borderId="0" xfId="0" applyFont="1" applyFill="1" applyAlignment="1">
      <alignment horizontal="center" vertical="center" wrapText="1"/>
    </xf>
    <xf numFmtId="0" fontId="6" fillId="12"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36" xfId="0" applyFont="1" applyFill="1" applyBorder="1" applyAlignment="1">
      <alignment horizontal="center" vertical="center" wrapText="1"/>
    </xf>
    <xf numFmtId="166" fontId="5" fillId="0" borderId="2" xfId="7" applyNumberFormat="1" applyFont="1" applyBorder="1" applyAlignment="1">
      <alignment horizontal="center" vertical="center"/>
    </xf>
    <xf numFmtId="1" fontId="5" fillId="0" borderId="3" xfId="7" applyNumberFormat="1" applyFont="1" applyBorder="1" applyAlignment="1">
      <alignment horizontal="center" vertical="center"/>
    </xf>
    <xf numFmtId="10" fontId="5" fillId="0" borderId="36" xfId="2" applyNumberFormat="1" applyFont="1" applyBorder="1" applyAlignment="1">
      <alignment horizontal="center" vertical="center"/>
    </xf>
    <xf numFmtId="0" fontId="5" fillId="0" borderId="2" xfId="3" applyFont="1" applyFill="1" applyBorder="1" applyAlignment="1">
      <alignment horizontal="center" vertical="center" wrapText="1"/>
    </xf>
    <xf numFmtId="2" fontId="5" fillId="0" borderId="36" xfId="2" applyNumberFormat="1" applyFont="1" applyBorder="1" applyAlignment="1">
      <alignment horizontal="center" vertical="center"/>
    </xf>
    <xf numFmtId="10" fontId="5" fillId="0" borderId="36" xfId="2" applyNumberFormat="1" applyFont="1" applyBorder="1" applyAlignment="1">
      <alignment horizontal="left" vertical="center"/>
    </xf>
    <xf numFmtId="0" fontId="5" fillId="0" borderId="2" xfId="3" applyFont="1" applyFill="1" applyBorder="1" applyAlignment="1">
      <alignment horizontal="center" vertical="center"/>
    </xf>
    <xf numFmtId="10" fontId="5" fillId="0" borderId="36" xfId="2" applyNumberFormat="1" applyFont="1" applyBorder="1" applyAlignment="1">
      <alignment horizontal="left" vertical="center" wrapText="1"/>
    </xf>
    <xf numFmtId="1" fontId="5" fillId="0" borderId="3" xfId="7" quotePrefix="1" applyNumberFormat="1" applyFont="1" applyBorder="1" applyAlignment="1">
      <alignment horizontal="center" vertical="center"/>
    </xf>
    <xf numFmtId="0" fontId="5" fillId="0" borderId="2" xfId="3" applyFont="1" applyBorder="1" applyAlignment="1">
      <alignment horizontal="center" vertical="center"/>
    </xf>
    <xf numFmtId="0" fontId="5" fillId="0" borderId="3" xfId="7" quotePrefix="1" applyFont="1" applyBorder="1" applyAlignment="1">
      <alignment horizontal="center" vertical="center"/>
    </xf>
    <xf numFmtId="172" fontId="5" fillId="0" borderId="36" xfId="7" applyNumberFormat="1" applyFont="1" applyBorder="1" applyAlignment="1">
      <alignment horizontal="center" vertical="center"/>
    </xf>
    <xf numFmtId="166" fontId="5" fillId="5" borderId="2" xfId="7" applyNumberFormat="1" applyFont="1" applyFill="1" applyBorder="1" applyAlignment="1">
      <alignment horizontal="center" vertical="center"/>
    </xf>
    <xf numFmtId="171" fontId="5" fillId="0" borderId="36" xfId="7" applyNumberFormat="1" applyFont="1" applyBorder="1" applyAlignment="1">
      <alignment horizontal="center" vertical="center"/>
    </xf>
    <xf numFmtId="1" fontId="5" fillId="0" borderId="36" xfId="7" applyNumberFormat="1" applyFont="1" applyBorder="1" applyAlignment="1">
      <alignment horizontal="center" vertical="center"/>
    </xf>
    <xf numFmtId="1" fontId="5" fillId="0" borderId="36" xfId="7" quotePrefix="1" applyNumberFormat="1" applyFont="1" applyBorder="1" applyAlignment="1">
      <alignment horizontal="left" vertical="center" wrapText="1"/>
    </xf>
    <xf numFmtId="1" fontId="5" fillId="0" borderId="36" xfId="7" quotePrefix="1" applyNumberFormat="1" applyFont="1" applyBorder="1" applyAlignment="1">
      <alignment horizontal="left" vertical="center"/>
    </xf>
    <xf numFmtId="0" fontId="5" fillId="5" borderId="3" xfId="7" applyFont="1" applyFill="1" applyBorder="1" applyAlignment="1">
      <alignment horizontal="center" vertical="center"/>
    </xf>
    <xf numFmtId="1" fontId="5" fillId="0" borderId="36" xfId="7" quotePrefix="1" applyNumberFormat="1" applyFont="1" applyBorder="1" applyAlignment="1">
      <alignment horizontal="center" vertical="center"/>
    </xf>
    <xf numFmtId="0" fontId="5" fillId="0" borderId="3" xfId="7" applyFont="1" applyBorder="1" applyAlignment="1">
      <alignment horizontal="center" vertical="center"/>
    </xf>
    <xf numFmtId="3" fontId="5" fillId="0" borderId="2" xfId="3" applyNumberFormat="1" applyFont="1" applyFill="1" applyBorder="1" applyAlignment="1">
      <alignment horizontal="center" vertical="center" wrapText="1"/>
    </xf>
    <xf numFmtId="164" fontId="5" fillId="0" borderId="2" xfId="3" applyNumberFormat="1" applyFont="1" applyBorder="1" applyAlignment="1">
      <alignment horizontal="center" vertical="center" wrapText="1"/>
    </xf>
    <xf numFmtId="3" fontId="5" fillId="0" borderId="2" xfId="3" applyNumberFormat="1" applyFont="1" applyBorder="1" applyAlignment="1">
      <alignment horizontal="center" vertical="center" wrapText="1"/>
    </xf>
    <xf numFmtId="3" fontId="5" fillId="0" borderId="3" xfId="3" applyNumberFormat="1" applyFont="1" applyBorder="1" applyAlignment="1">
      <alignment horizontal="center" vertical="center" wrapText="1"/>
    </xf>
    <xf numFmtId="1" fontId="5" fillId="0" borderId="2" xfId="7" applyNumberFormat="1" applyFont="1" applyBorder="1" applyAlignment="1">
      <alignment horizontal="center" vertical="center"/>
    </xf>
    <xf numFmtId="0" fontId="6" fillId="5" borderId="36" xfId="0" applyFont="1" applyFill="1" applyBorder="1" applyAlignment="1">
      <alignment horizontal="center" vertical="center"/>
    </xf>
    <xf numFmtId="164" fontId="5" fillId="0" borderId="36" xfId="0" applyNumberFormat="1" applyFont="1" applyBorder="1" applyAlignment="1">
      <alignment horizontal="center" vertical="center" wrapText="1"/>
    </xf>
    <xf numFmtId="0" fontId="5" fillId="8" borderId="36" xfId="0" applyFont="1" applyFill="1" applyBorder="1" applyAlignment="1">
      <alignment horizontal="center" vertical="center" wrapText="1"/>
    </xf>
    <xf numFmtId="164" fontId="5" fillId="8" borderId="36" xfId="0" applyNumberFormat="1" applyFont="1" applyFill="1" applyBorder="1" applyAlignment="1">
      <alignment horizontal="center" vertical="center" wrapText="1"/>
    </xf>
    <xf numFmtId="0" fontId="6" fillId="7" borderId="15" xfId="0" applyFont="1" applyFill="1" applyBorder="1" applyAlignment="1">
      <alignment horizontal="center" vertical="center" wrapText="1"/>
    </xf>
    <xf numFmtId="0" fontId="5" fillId="0" borderId="14" xfId="3" applyFont="1" applyBorder="1" applyAlignment="1">
      <alignment horizontal="center" vertical="center" wrapText="1"/>
    </xf>
    <xf numFmtId="0" fontId="5" fillId="0" borderId="14" xfId="3" applyFont="1" applyFill="1" applyBorder="1" applyAlignment="1">
      <alignment horizontal="center" vertical="center" wrapText="1"/>
    </xf>
    <xf numFmtId="0" fontId="5" fillId="5" borderId="14" xfId="3" applyFont="1" applyFill="1" applyBorder="1" applyAlignment="1">
      <alignment horizontal="center" vertical="center" wrapText="1"/>
    </xf>
    <xf numFmtId="0" fontId="28" fillId="7" borderId="2" xfId="0" applyFont="1" applyFill="1" applyBorder="1" applyAlignment="1">
      <alignment vertical="center"/>
    </xf>
    <xf numFmtId="0" fontId="28" fillId="7" borderId="0" xfId="0" applyFont="1" applyFill="1" applyAlignment="1">
      <alignment horizontal="center" vertical="center"/>
    </xf>
    <xf numFmtId="0" fontId="28" fillId="7" borderId="2" xfId="0" applyFont="1" applyFill="1" applyBorder="1" applyAlignment="1">
      <alignment horizontal="left" vertical="center"/>
    </xf>
    <xf numFmtId="0" fontId="71" fillId="0" borderId="0" xfId="0" applyFont="1"/>
    <xf numFmtId="0" fontId="5" fillId="0" borderId="0" xfId="0" applyFont="1" applyAlignment="1">
      <alignment vertical="center" wrapText="1"/>
    </xf>
    <xf numFmtId="0" fontId="5" fillId="0" borderId="34" xfId="0" applyFont="1" applyBorder="1" applyAlignment="1">
      <alignment horizontal="center" vertical="center"/>
    </xf>
    <xf numFmtId="0" fontId="5" fillId="0" borderId="33" xfId="0" applyFont="1" applyBorder="1" applyAlignment="1">
      <alignment horizontal="center" vertical="center"/>
    </xf>
    <xf numFmtId="0" fontId="5" fillId="0" borderId="55" xfId="0" applyFont="1" applyBorder="1" applyAlignment="1">
      <alignment horizontal="center" vertical="center" wrapText="1"/>
    </xf>
    <xf numFmtId="0" fontId="5" fillId="0" borderId="55" xfId="0" applyFont="1" applyBorder="1" applyAlignment="1">
      <alignment horizontal="center" vertical="center"/>
    </xf>
    <xf numFmtId="0" fontId="0" fillId="0" borderId="0" xfId="0" applyAlignment="1">
      <alignment horizontal="left" vertical="center" wrapText="1"/>
    </xf>
    <xf numFmtId="0" fontId="5" fillId="0" borderId="0" xfId="0" applyFont="1" applyAlignment="1">
      <alignment horizontal="left" vertical="center" wrapText="1"/>
    </xf>
    <xf numFmtId="0" fontId="24" fillId="0" borderId="195" xfId="0" applyFont="1" applyBorder="1" applyAlignment="1">
      <alignment horizontal="center" vertical="center"/>
    </xf>
    <xf numFmtId="0" fontId="5" fillId="0" borderId="36" xfId="0" applyFont="1" applyBorder="1" applyAlignment="1">
      <alignment horizontal="center" vertical="center" wrapText="1"/>
    </xf>
    <xf numFmtId="0" fontId="24" fillId="0" borderId="33" xfId="0" applyFont="1" applyBorder="1" applyAlignment="1">
      <alignment horizontal="center" vertical="center"/>
    </xf>
    <xf numFmtId="0" fontId="5" fillId="0" borderId="211" xfId="0" applyFont="1" applyBorder="1" applyAlignment="1">
      <alignment horizontal="center" vertical="center"/>
    </xf>
    <xf numFmtId="0" fontId="5" fillId="0" borderId="2" xfId="0" applyFont="1" applyBorder="1" applyAlignment="1">
      <alignment horizontal="center" vertical="center" wrapText="1"/>
    </xf>
    <xf numFmtId="0" fontId="5" fillId="0" borderId="2" xfId="0" applyFont="1" applyBorder="1" applyAlignment="1">
      <alignment horizontal="center" vertical="center"/>
    </xf>
    <xf numFmtId="0" fontId="5" fillId="0" borderId="36" xfId="0" applyFont="1" applyBorder="1" applyAlignment="1">
      <alignment horizontal="center" vertical="center"/>
    </xf>
    <xf numFmtId="0" fontId="28" fillId="0" borderId="0" xfId="0" applyFont="1" applyAlignment="1">
      <alignment horizontal="left" vertical="center" wrapText="1"/>
    </xf>
    <xf numFmtId="0" fontId="24" fillId="0" borderId="36" xfId="0" applyFont="1" applyBorder="1" applyAlignment="1">
      <alignment horizontal="center" vertical="center" wrapText="1"/>
    </xf>
    <xf numFmtId="0" fontId="6" fillId="7" borderId="55" xfId="0" applyFont="1" applyFill="1" applyBorder="1" applyAlignment="1">
      <alignment horizontal="center" vertical="center" wrapText="1"/>
    </xf>
    <xf numFmtId="0" fontId="6" fillId="7" borderId="67" xfId="0" applyFont="1" applyFill="1" applyBorder="1" applyAlignment="1">
      <alignment horizontal="center" vertical="center" wrapText="1"/>
    </xf>
    <xf numFmtId="0" fontId="6" fillId="7" borderId="67" xfId="0" applyFont="1" applyFill="1" applyBorder="1" applyAlignment="1">
      <alignment horizontal="center" vertical="center"/>
    </xf>
    <xf numFmtId="0" fontId="5" fillId="0" borderId="0" xfId="0" applyFont="1" applyAlignment="1">
      <alignment horizontal="center"/>
    </xf>
    <xf numFmtId="2" fontId="1" fillId="0" borderId="2" xfId="0" applyNumberFormat="1" applyFont="1" applyBorder="1" applyAlignment="1">
      <alignment horizontal="center" vertical="center"/>
    </xf>
    <xf numFmtId="0" fontId="6" fillId="7" borderId="0" xfId="0" applyFont="1" applyFill="1" applyAlignment="1">
      <alignment horizontal="center" vertical="center"/>
    </xf>
    <xf numFmtId="0" fontId="6" fillId="7" borderId="2" xfId="0" applyFont="1" applyFill="1" applyBorder="1" applyAlignment="1">
      <alignment horizontal="center" vertical="center"/>
    </xf>
    <xf numFmtId="0" fontId="6" fillId="7" borderId="15" xfId="0" applyFont="1" applyFill="1" applyBorder="1" applyAlignment="1">
      <alignment horizontal="center" vertical="center"/>
    </xf>
    <xf numFmtId="0" fontId="25" fillId="0" borderId="38" xfId="0" applyFont="1" applyBorder="1" applyAlignment="1">
      <alignment horizontal="center" vertical="center"/>
    </xf>
    <xf numFmtId="0" fontId="25" fillId="0" borderId="36" xfId="0" applyFont="1" applyBorder="1" applyAlignment="1">
      <alignment horizontal="center" vertical="center"/>
    </xf>
    <xf numFmtId="0" fontId="25" fillId="0" borderId="43" xfId="0" applyFont="1" applyBorder="1" applyAlignment="1">
      <alignment horizontal="center" vertical="center"/>
    </xf>
    <xf numFmtId="0" fontId="28" fillId="12" borderId="2" xfId="0" applyFont="1" applyFill="1" applyBorder="1" applyAlignment="1">
      <alignment horizontal="center" vertical="center" wrapText="1"/>
    </xf>
    <xf numFmtId="43" fontId="28" fillId="0" borderId="2" xfId="6" applyFont="1" applyBorder="1" applyAlignment="1">
      <alignment horizontal="center" vertical="center"/>
    </xf>
    <xf numFmtId="2" fontId="28" fillId="0" borderId="2" xfId="0" applyNumberFormat="1" applyFont="1" applyBorder="1" applyAlignment="1">
      <alignment horizontal="center" vertical="center" wrapText="1"/>
    </xf>
    <xf numFmtId="0" fontId="26" fillId="0" borderId="0" xfId="13" applyFont="1"/>
    <xf numFmtId="0" fontId="43" fillId="0" borderId="0" xfId="13" applyFont="1"/>
    <xf numFmtId="0" fontId="28" fillId="18" borderId="238" xfId="13" applyFont="1" applyFill="1" applyBorder="1" applyAlignment="1">
      <alignment horizontal="center" vertical="center" wrapText="1"/>
    </xf>
    <xf numFmtId="0" fontId="28" fillId="18" borderId="242" xfId="13" applyFont="1" applyFill="1" applyBorder="1" applyAlignment="1">
      <alignment horizontal="center" vertical="center" wrapText="1"/>
    </xf>
    <xf numFmtId="0" fontId="28" fillId="18" borderId="2" xfId="13" applyFont="1" applyFill="1" applyBorder="1" applyAlignment="1">
      <alignment vertical="center" wrapText="1"/>
    </xf>
    <xf numFmtId="0" fontId="28" fillId="15" borderId="195" xfId="13" applyFont="1" applyFill="1" applyBorder="1" applyAlignment="1">
      <alignment vertical="center" wrapText="1"/>
    </xf>
    <xf numFmtId="0" fontId="28" fillId="15" borderId="0" xfId="13" applyFont="1" applyFill="1" applyAlignment="1">
      <alignment vertical="center" wrapText="1"/>
    </xf>
    <xf numFmtId="0" fontId="28" fillId="15" borderId="20" xfId="13" applyFont="1" applyFill="1" applyBorder="1" applyAlignment="1">
      <alignment vertical="center" wrapText="1"/>
    </xf>
    <xf numFmtId="0" fontId="28" fillId="15" borderId="20" xfId="13" applyFont="1" applyFill="1" applyBorder="1" applyAlignment="1">
      <alignment horizontal="left" vertical="center" wrapText="1"/>
    </xf>
    <xf numFmtId="0" fontId="28" fillId="15" borderId="21" xfId="13" applyFont="1" applyFill="1" applyBorder="1" applyAlignment="1">
      <alignment vertical="center" wrapText="1"/>
    </xf>
    <xf numFmtId="0" fontId="72" fillId="0" borderId="0" xfId="5" applyFont="1" applyAlignment="1">
      <alignment horizontal="left" vertical="top"/>
    </xf>
    <xf numFmtId="0" fontId="26" fillId="0" borderId="0" xfId="13" applyFont="1" applyAlignment="1">
      <alignment wrapText="1"/>
    </xf>
    <xf numFmtId="0" fontId="60" fillId="0" borderId="18" xfId="13" applyFont="1" applyBorder="1" applyAlignment="1">
      <alignment horizontal="left" vertical="center"/>
    </xf>
    <xf numFmtId="0" fontId="60" fillId="0" borderId="21" xfId="13" applyFont="1" applyBorder="1" applyAlignment="1">
      <alignment horizontal="left" vertical="center"/>
    </xf>
    <xf numFmtId="0" fontId="43" fillId="0" borderId="20" xfId="13" applyFont="1" applyBorder="1" applyAlignment="1">
      <alignment horizontal="left" vertical="center"/>
    </xf>
    <xf numFmtId="0" fontId="43" fillId="0" borderId="0" xfId="13" applyFont="1" applyAlignment="1">
      <alignment horizontal="left" vertical="center"/>
    </xf>
    <xf numFmtId="0" fontId="43" fillId="0" borderId="23" xfId="13" applyFont="1" applyBorder="1" applyAlignment="1">
      <alignment horizontal="left" vertical="center"/>
    </xf>
    <xf numFmtId="0" fontId="43" fillId="0" borderId="24" xfId="13" applyFont="1" applyBorder="1" applyAlignment="1">
      <alignment horizontal="left" vertical="center"/>
    </xf>
    <xf numFmtId="0" fontId="14" fillId="0" borderId="2" xfId="0" applyFont="1" applyBorder="1" applyAlignment="1">
      <alignment horizontal="center"/>
    </xf>
    <xf numFmtId="0" fontId="14" fillId="0" borderId="2" xfId="0" applyFont="1" applyBorder="1" applyAlignment="1">
      <alignment horizontal="center" vertical="center"/>
    </xf>
    <xf numFmtId="0" fontId="24" fillId="0" borderId="0" xfId="0" applyFont="1" applyAlignment="1">
      <alignment horizontal="left" vertical="center"/>
    </xf>
    <xf numFmtId="0" fontId="24" fillId="0" borderId="0" xfId="0" applyFont="1" applyAlignment="1">
      <alignment horizontal="center"/>
    </xf>
    <xf numFmtId="0" fontId="65" fillId="0" borderId="0" xfId="0" applyFont="1" applyAlignment="1">
      <alignment vertical="center"/>
    </xf>
    <xf numFmtId="0" fontId="65" fillId="0" borderId="0" xfId="0" applyFont="1" applyAlignment="1">
      <alignment vertical="center" wrapText="1"/>
    </xf>
    <xf numFmtId="0" fontId="24" fillId="0" borderId="0" xfId="0" applyFont="1" applyAlignment="1">
      <alignment vertical="center" wrapText="1"/>
    </xf>
    <xf numFmtId="0" fontId="24" fillId="0" borderId="0" xfId="0" applyFont="1" applyAlignment="1">
      <alignment horizontal="left" vertical="center" wrapText="1"/>
    </xf>
    <xf numFmtId="0" fontId="24" fillId="0" borderId="2" xfId="0" applyFont="1" applyBorder="1" applyAlignment="1">
      <alignment vertical="center"/>
    </xf>
    <xf numFmtId="0" fontId="24" fillId="0" borderId="55" xfId="0" applyFont="1" applyBorder="1" applyAlignment="1">
      <alignment vertical="center"/>
    </xf>
    <xf numFmtId="0" fontId="24" fillId="0" borderId="55" xfId="0" applyFont="1" applyBorder="1" applyAlignment="1">
      <alignment horizontal="center" vertical="center"/>
    </xf>
    <xf numFmtId="0" fontId="24" fillId="0" borderId="2" xfId="0" applyFont="1" applyBorder="1" applyAlignment="1">
      <alignment horizontal="center" vertical="center" wrapText="1"/>
    </xf>
    <xf numFmtId="0" fontId="24" fillId="0" borderId="2" xfId="0" applyFont="1" applyBorder="1" applyAlignment="1">
      <alignment vertical="center" wrapText="1"/>
    </xf>
    <xf numFmtId="0" fontId="24" fillId="0" borderId="2" xfId="1" applyFont="1" applyBorder="1" applyAlignment="1">
      <alignment vertical="center" wrapText="1"/>
    </xf>
    <xf numFmtId="3" fontId="24" fillId="0" borderId="2" xfId="1" applyNumberFormat="1" applyFont="1" applyBorder="1" applyAlignment="1">
      <alignment horizontal="center" vertical="center" wrapText="1"/>
    </xf>
    <xf numFmtId="167" fontId="24" fillId="0" borderId="2" xfId="1" applyNumberFormat="1" applyFont="1" applyBorder="1" applyAlignment="1">
      <alignment horizontal="center" vertical="center" wrapText="1"/>
    </xf>
    <xf numFmtId="0" fontId="24" fillId="0" borderId="2" xfId="1" applyFont="1" applyBorder="1" applyAlignment="1">
      <alignment vertical="center"/>
    </xf>
    <xf numFmtId="0" fontId="24" fillId="0" borderId="2" xfId="1" applyFont="1" applyBorder="1" applyAlignment="1">
      <alignment horizontal="center" vertical="center" wrapText="1"/>
    </xf>
    <xf numFmtId="172" fontId="35" fillId="0" borderId="0" xfId="7" applyNumberFormat="1" applyFont="1" applyAlignment="1">
      <alignment vertical="center"/>
    </xf>
    <xf numFmtId="0" fontId="35" fillId="0" borderId="0" xfId="0" applyFont="1"/>
    <xf numFmtId="1" fontId="35" fillId="0" borderId="0" xfId="7" quotePrefix="1" applyNumberFormat="1" applyFont="1" applyAlignment="1">
      <alignment vertical="center"/>
    </xf>
    <xf numFmtId="0" fontId="24" fillId="0" borderId="0" xfId="0" applyFont="1" applyAlignment="1">
      <alignment vertical="top"/>
    </xf>
    <xf numFmtId="0" fontId="35" fillId="0" borderId="0" xfId="0" applyFont="1" applyAlignment="1">
      <alignment vertical="top"/>
    </xf>
    <xf numFmtId="0" fontId="35" fillId="0" borderId="0" xfId="0" applyFont="1" applyAlignment="1">
      <alignment horizontal="left" vertical="top"/>
    </xf>
    <xf numFmtId="0" fontId="28" fillId="7" borderId="31" xfId="0" applyFont="1" applyFill="1" applyBorder="1" applyAlignment="1">
      <alignment horizontal="center" vertical="center" wrapText="1"/>
    </xf>
    <xf numFmtId="0" fontId="37" fillId="0" borderId="0" xfId="0" applyFont="1" applyAlignment="1">
      <alignment vertical="center"/>
    </xf>
    <xf numFmtId="0" fontId="37" fillId="0" borderId="0" xfId="0" applyFont="1"/>
    <xf numFmtId="1" fontId="24" fillId="0" borderId="2" xfId="0" applyNumberFormat="1" applyFont="1" applyBorder="1" applyAlignment="1">
      <alignment horizontal="center" vertical="center" wrapText="1"/>
    </xf>
    <xf numFmtId="3" fontId="24" fillId="0" borderId="2" xfId="0" applyNumberFormat="1" applyFont="1" applyBorder="1" applyAlignment="1">
      <alignment horizontal="center" vertical="center" wrapText="1"/>
    </xf>
    <xf numFmtId="170" fontId="24" fillId="0" borderId="2" xfId="0" applyNumberFormat="1" applyFont="1" applyBorder="1" applyAlignment="1">
      <alignment horizontal="center" vertical="center" wrapText="1"/>
    </xf>
    <xf numFmtId="0" fontId="24" fillId="0" borderId="58" xfId="0" applyFont="1" applyBorder="1"/>
    <xf numFmtId="43" fontId="24" fillId="0" borderId="2" xfId="6" applyFont="1" applyBorder="1" applyAlignment="1">
      <alignment horizontal="center" vertical="center"/>
    </xf>
    <xf numFmtId="0" fontId="24" fillId="0" borderId="0" xfId="13" applyFont="1"/>
    <xf numFmtId="0" fontId="24" fillId="0" borderId="0" xfId="13" applyFont="1" applyAlignment="1">
      <alignment vertical="center" wrapText="1"/>
    </xf>
    <xf numFmtId="166" fontId="24" fillId="0" borderId="0" xfId="13" applyNumberFormat="1" applyFont="1" applyAlignment="1">
      <alignment horizontal="left" vertical="center" wrapText="1"/>
    </xf>
    <xf numFmtId="0" fontId="24" fillId="0" borderId="0" xfId="13" applyFont="1" applyAlignment="1">
      <alignment vertical="center"/>
    </xf>
    <xf numFmtId="169" fontId="24" fillId="0" borderId="0" xfId="13" applyNumberFormat="1" applyFont="1" applyAlignment="1">
      <alignment horizontal="left" vertical="center" wrapText="1"/>
    </xf>
    <xf numFmtId="0" fontId="24" fillId="0" borderId="0" xfId="13" applyFont="1" applyAlignment="1">
      <alignment horizontal="left" vertical="center" wrapText="1"/>
    </xf>
    <xf numFmtId="168" fontId="24" fillId="0" borderId="0" xfId="13" applyNumberFormat="1" applyFont="1" applyAlignment="1">
      <alignment horizontal="left" vertical="center" wrapText="1"/>
    </xf>
    <xf numFmtId="0" fontId="24" fillId="0" borderId="243" xfId="13" applyFont="1" applyBorder="1" applyAlignment="1">
      <alignment horizontal="center" vertical="center" wrapText="1"/>
    </xf>
    <xf numFmtId="0" fontId="24" fillId="0" borderId="242" xfId="13" applyFont="1" applyBorder="1" applyAlignment="1">
      <alignment horizontal="center" vertical="center" wrapText="1"/>
    </xf>
    <xf numFmtId="166" fontId="24" fillId="20" borderId="238" xfId="13" applyNumberFormat="1" applyFont="1" applyFill="1" applyBorder="1" applyAlignment="1">
      <alignment horizontal="center" vertical="center" wrapText="1"/>
    </xf>
    <xf numFmtId="3" fontId="24" fillId="0" borderId="238" xfId="13" applyNumberFormat="1" applyFont="1" applyBorder="1" applyAlignment="1">
      <alignment horizontal="center" vertical="center" wrapText="1"/>
    </xf>
    <xf numFmtId="2" fontId="24" fillId="21" borderId="239" xfId="13" applyNumberFormat="1" applyFont="1" applyFill="1" applyBorder="1" applyAlignment="1">
      <alignment horizontal="center" vertical="center" wrapText="1"/>
    </xf>
    <xf numFmtId="3" fontId="24" fillId="0" borderId="241" xfId="13" applyNumberFormat="1" applyFont="1" applyBorder="1" applyAlignment="1">
      <alignment horizontal="center" vertical="center" wrapText="1"/>
    </xf>
    <xf numFmtId="166" fontId="24" fillId="20" borderId="244" xfId="13" applyNumberFormat="1" applyFont="1" applyFill="1" applyBorder="1" applyAlignment="1">
      <alignment horizontal="center" vertical="center" wrapText="1"/>
    </xf>
    <xf numFmtId="3" fontId="24" fillId="0" borderId="244" xfId="13" applyNumberFormat="1" applyFont="1" applyBorder="1" applyAlignment="1">
      <alignment horizontal="center" vertical="center" wrapText="1"/>
    </xf>
    <xf numFmtId="3" fontId="24" fillId="0" borderId="245" xfId="13" applyNumberFormat="1" applyFont="1" applyBorder="1" applyAlignment="1">
      <alignment horizontal="center" vertical="center" wrapText="1"/>
    </xf>
    <xf numFmtId="37" fontId="24" fillId="0" borderId="16" xfId="6" applyNumberFormat="1" applyFont="1" applyFill="1" applyBorder="1" applyAlignment="1">
      <alignment horizontal="left" vertical="center"/>
    </xf>
    <xf numFmtId="0" fontId="24" fillId="0" borderId="17" xfId="13" applyFont="1" applyBorder="1" applyAlignment="1">
      <alignment horizontal="left" vertical="center"/>
    </xf>
    <xf numFmtId="0" fontId="24" fillId="0" borderId="16" xfId="13" applyFont="1" applyBorder="1" applyAlignment="1">
      <alignment horizontal="left" vertical="center"/>
    </xf>
    <xf numFmtId="3" fontId="24" fillId="0" borderId="17" xfId="6" applyNumberFormat="1" applyFont="1" applyFill="1" applyBorder="1" applyAlignment="1">
      <alignment horizontal="left" vertical="center"/>
    </xf>
    <xf numFmtId="0" fontId="24" fillId="0" borderId="18" xfId="13" applyFont="1" applyBorder="1" applyAlignment="1">
      <alignment horizontal="left" vertical="center"/>
    </xf>
    <xf numFmtId="37" fontId="24" fillId="0" borderId="20" xfId="6" applyNumberFormat="1" applyFont="1" applyFill="1" applyBorder="1" applyAlignment="1">
      <alignment horizontal="left" vertical="center"/>
    </xf>
    <xf numFmtId="0" fontId="24" fillId="0" borderId="0" xfId="13" applyFont="1" applyAlignment="1">
      <alignment horizontal="left" vertical="center"/>
    </xf>
    <xf numFmtId="0" fontId="24" fillId="0" borderId="20" xfId="13" applyFont="1" applyBorder="1" applyAlignment="1">
      <alignment horizontal="left" vertical="center"/>
    </xf>
    <xf numFmtId="3" fontId="24" fillId="0" borderId="0" xfId="6" applyNumberFormat="1" applyFont="1" applyFill="1" applyAlignment="1">
      <alignment horizontal="left" vertical="center"/>
    </xf>
    <xf numFmtId="0" fontId="24" fillId="0" borderId="21" xfId="13" applyFont="1" applyBorder="1" applyAlignment="1">
      <alignment horizontal="left" vertical="center"/>
    </xf>
    <xf numFmtId="0" fontId="24" fillId="0" borderId="21" xfId="13" applyFont="1" applyBorder="1"/>
    <xf numFmtId="0" fontId="24" fillId="0" borderId="24" xfId="13" applyFont="1" applyBorder="1" applyAlignment="1">
      <alignment horizontal="left" vertical="center"/>
    </xf>
    <xf numFmtId="0" fontId="24" fillId="0" borderId="25" xfId="13" applyFont="1" applyBorder="1"/>
    <xf numFmtId="37" fontId="24" fillId="0" borderId="23" xfId="6" applyNumberFormat="1" applyFont="1" applyFill="1" applyBorder="1" applyAlignment="1">
      <alignment horizontal="left" vertical="center"/>
    </xf>
    <xf numFmtId="0" fontId="24" fillId="0" borderId="25" xfId="13" applyFont="1" applyBorder="1" applyAlignment="1">
      <alignment horizontal="left" vertical="center"/>
    </xf>
    <xf numFmtId="0" fontId="24" fillId="0" borderId="2" xfId="0" applyFont="1" applyBorder="1" applyAlignment="1">
      <alignment wrapText="1"/>
    </xf>
    <xf numFmtId="0" fontId="24" fillId="0" borderId="2" xfId="0" applyFont="1" applyBorder="1"/>
    <xf numFmtId="2" fontId="24" fillId="0" borderId="2" xfId="0" applyNumberFormat="1" applyFont="1" applyBorder="1" applyAlignment="1">
      <alignment horizontal="center" vertical="center" wrapText="1"/>
    </xf>
    <xf numFmtId="0" fontId="24" fillId="0" borderId="2" xfId="3" applyFont="1" applyBorder="1" applyAlignment="1">
      <alignment horizontal="center" vertical="center" wrapText="1"/>
    </xf>
    <xf numFmtId="2" fontId="37" fillId="0" borderId="2" xfId="0" applyNumberFormat="1" applyFont="1" applyBorder="1" applyAlignment="1">
      <alignment horizontal="center" vertical="center"/>
    </xf>
    <xf numFmtId="2" fontId="37" fillId="0" borderId="36" xfId="0" applyNumberFormat="1" applyFont="1" applyBorder="1" applyAlignment="1">
      <alignment horizontal="center" vertical="center"/>
    </xf>
    <xf numFmtId="2" fontId="37" fillId="0" borderId="197" xfId="0" applyNumberFormat="1" applyFont="1" applyBorder="1" applyAlignment="1">
      <alignment horizontal="center" vertical="center"/>
    </xf>
    <xf numFmtId="2" fontId="37" fillId="0" borderId="15" xfId="0" applyNumberFormat="1" applyFont="1" applyBorder="1" applyAlignment="1">
      <alignment horizontal="center" vertical="center"/>
    </xf>
    <xf numFmtId="2" fontId="37" fillId="0" borderId="82" xfId="0" applyNumberFormat="1" applyFont="1" applyBorder="1" applyAlignment="1">
      <alignment horizontal="center" vertical="center"/>
    </xf>
    <xf numFmtId="2" fontId="37" fillId="0" borderId="228" xfId="0" applyNumberFormat="1" applyFont="1" applyBorder="1" applyAlignment="1">
      <alignment horizontal="center" vertical="center"/>
    </xf>
    <xf numFmtId="2" fontId="37" fillId="0" borderId="166" xfId="0" applyNumberFormat="1" applyFont="1" applyBorder="1" applyAlignment="1">
      <alignment horizontal="center" vertical="center"/>
    </xf>
    <xf numFmtId="2" fontId="37" fillId="0" borderId="225" xfId="0" applyNumberFormat="1" applyFont="1" applyBorder="1" applyAlignment="1">
      <alignment horizontal="center" vertical="center"/>
    </xf>
    <xf numFmtId="1" fontId="37" fillId="0" borderId="37" xfId="0" applyNumberFormat="1" applyFont="1" applyBorder="1" applyAlignment="1">
      <alignment horizontal="center" vertical="center"/>
    </xf>
    <xf numFmtId="1" fontId="37" fillId="0" borderId="38" xfId="0" applyNumberFormat="1" applyFont="1" applyBorder="1" applyAlignment="1">
      <alignment horizontal="center" vertical="center"/>
    </xf>
    <xf numFmtId="1" fontId="37" fillId="0" borderId="39" xfId="0" applyNumberFormat="1" applyFont="1" applyBorder="1" applyAlignment="1">
      <alignment horizontal="center" vertical="center"/>
    </xf>
    <xf numFmtId="1" fontId="37" fillId="0" borderId="40" xfId="0" applyNumberFormat="1" applyFont="1" applyBorder="1" applyAlignment="1">
      <alignment horizontal="center" vertical="center"/>
    </xf>
    <xf numFmtId="1" fontId="37" fillId="0" borderId="36" xfId="0" applyNumberFormat="1" applyFont="1" applyBorder="1" applyAlignment="1">
      <alignment horizontal="center" vertical="center"/>
    </xf>
    <xf numFmtId="1" fontId="37" fillId="0" borderId="41" xfId="0" applyNumberFormat="1" applyFont="1" applyBorder="1" applyAlignment="1">
      <alignment horizontal="center" vertical="center"/>
    </xf>
    <xf numFmtId="1" fontId="37" fillId="0" borderId="42" xfId="0" applyNumberFormat="1" applyFont="1" applyBorder="1" applyAlignment="1">
      <alignment horizontal="center" vertical="center"/>
    </xf>
    <xf numFmtId="1" fontId="37" fillId="0" borderId="43" xfId="0" applyNumberFormat="1" applyFont="1" applyBorder="1" applyAlignment="1">
      <alignment horizontal="center" vertical="center"/>
    </xf>
    <xf numFmtId="1" fontId="37" fillId="0" borderId="44" xfId="0" applyNumberFormat="1" applyFont="1" applyBorder="1" applyAlignment="1">
      <alignment horizontal="center" vertical="center"/>
    </xf>
    <xf numFmtId="0" fontId="37" fillId="0" borderId="141" xfId="0" applyFont="1" applyBorder="1" applyAlignment="1">
      <alignment horizontal="center" vertical="center"/>
    </xf>
    <xf numFmtId="0" fontId="37" fillId="0" borderId="142" xfId="0" applyFont="1" applyBorder="1" applyAlignment="1">
      <alignment horizontal="center" vertical="center"/>
    </xf>
    <xf numFmtId="0" fontId="37" fillId="0" borderId="143" xfId="0" applyFont="1" applyBorder="1" applyAlignment="1">
      <alignment horizontal="center" vertical="center"/>
    </xf>
    <xf numFmtId="0" fontId="37" fillId="0" borderId="144" xfId="0" applyFont="1" applyBorder="1" applyAlignment="1">
      <alignment horizontal="center" vertical="center"/>
    </xf>
    <xf numFmtId="0" fontId="37" fillId="0" borderId="145" xfId="0" applyFont="1" applyBorder="1" applyAlignment="1">
      <alignment horizontal="center" vertical="center"/>
    </xf>
    <xf numFmtId="0" fontId="37" fillId="0" borderId="146" xfId="0" applyFont="1" applyBorder="1" applyAlignment="1">
      <alignment horizontal="center" vertical="center"/>
    </xf>
    <xf numFmtId="0" fontId="37" fillId="0" borderId="150" xfId="0" applyFont="1" applyBorder="1" applyAlignment="1">
      <alignment horizontal="center" vertical="center"/>
    </xf>
    <xf numFmtId="0" fontId="37" fillId="0" borderId="151" xfId="0" applyFont="1" applyBorder="1" applyAlignment="1">
      <alignment horizontal="center" vertical="center"/>
    </xf>
    <xf numFmtId="0" fontId="37" fillId="0" borderId="156" xfId="0" applyFont="1" applyBorder="1" applyAlignment="1">
      <alignment horizontal="center" vertical="center"/>
    </xf>
    <xf numFmtId="0" fontId="37" fillId="0" borderId="157" xfId="0" applyFont="1" applyBorder="1" applyAlignment="1">
      <alignment horizontal="center" vertical="center"/>
    </xf>
    <xf numFmtId="0" fontId="37" fillId="0" borderId="158" xfId="0" applyFont="1" applyBorder="1" applyAlignment="1">
      <alignment horizontal="center" vertical="center"/>
    </xf>
    <xf numFmtId="0" fontId="37" fillId="0" borderId="159" xfId="0" applyFont="1" applyBorder="1" applyAlignment="1">
      <alignment horizontal="center" vertical="center"/>
    </xf>
    <xf numFmtId="0" fontId="37" fillId="0" borderId="160" xfId="0" applyFont="1" applyBorder="1" applyAlignment="1">
      <alignment horizontal="center" vertical="center"/>
    </xf>
    <xf numFmtId="0" fontId="24" fillId="0" borderId="175" xfId="0" applyFont="1" applyBorder="1" applyAlignment="1">
      <alignment horizontal="center" vertical="center"/>
    </xf>
    <xf numFmtId="0" fontId="24" fillId="0" borderId="14" xfId="0" applyFont="1" applyBorder="1"/>
    <xf numFmtId="0" fontId="24" fillId="0" borderId="13" xfId="0" applyFont="1" applyBorder="1"/>
    <xf numFmtId="0" fontId="24" fillId="0" borderId="22" xfId="0" applyFont="1" applyBorder="1"/>
    <xf numFmtId="0" fontId="24" fillId="0" borderId="25" xfId="0" applyFont="1" applyBorder="1"/>
    <xf numFmtId="0" fontId="24" fillId="0" borderId="24" xfId="0" applyFont="1" applyBorder="1"/>
    <xf numFmtId="0" fontId="24" fillId="0" borderId="178" xfId="0" applyFont="1" applyBorder="1" applyAlignment="1">
      <alignment horizontal="center" vertical="center"/>
    </xf>
    <xf numFmtId="0" fontId="24" fillId="0" borderId="187" xfId="0" applyFont="1" applyBorder="1"/>
    <xf numFmtId="0" fontId="24" fillId="0" borderId="179" xfId="0" applyFont="1" applyBorder="1"/>
    <xf numFmtId="0" fontId="24" fillId="0" borderId="180" xfId="0" applyFont="1" applyBorder="1"/>
    <xf numFmtId="1" fontId="24" fillId="0" borderId="20" xfId="0" applyNumberFormat="1" applyFont="1" applyBorder="1" applyAlignment="1">
      <alignment horizontal="left"/>
    </xf>
    <xf numFmtId="0" fontId="24" fillId="0" borderId="20" xfId="0" applyFont="1" applyBorder="1" applyAlignment="1">
      <alignment horizontal="left"/>
    </xf>
    <xf numFmtId="0" fontId="24" fillId="7" borderId="2" xfId="0" applyFont="1" applyFill="1" applyBorder="1" applyAlignment="1">
      <alignment horizontal="center" vertical="center"/>
    </xf>
    <xf numFmtId="0" fontId="5" fillId="0" borderId="253" xfId="0" applyFont="1" applyBorder="1" applyAlignment="1">
      <alignment horizontal="center" vertical="center" wrapText="1"/>
    </xf>
    <xf numFmtId="0" fontId="20" fillId="0" borderId="24" xfId="0" applyFont="1" applyBorder="1" applyAlignment="1">
      <alignment horizontal="left" vertical="center"/>
    </xf>
    <xf numFmtId="0" fontId="13" fillId="10" borderId="3" xfId="1" applyFont="1" applyFill="1" applyBorder="1" applyAlignment="1">
      <alignment horizontal="center" vertical="center" wrapText="1"/>
    </xf>
    <xf numFmtId="0" fontId="13" fillId="10" borderId="13" xfId="1" applyFont="1" applyFill="1" applyBorder="1" applyAlignment="1">
      <alignment horizontal="center" vertical="center" wrapText="1"/>
    </xf>
    <xf numFmtId="0" fontId="13" fillId="10" borderId="0" xfId="0" applyFont="1" applyFill="1" applyAlignment="1">
      <alignment horizontal="center" vertical="center"/>
    </xf>
    <xf numFmtId="0" fontId="5" fillId="0" borderId="0" xfId="0" applyFont="1" applyAlignment="1">
      <alignment vertical="center" wrapText="1"/>
    </xf>
    <xf numFmtId="0" fontId="35" fillId="10" borderId="0" xfId="0" applyFont="1" applyFill="1" applyAlignment="1">
      <alignment horizontal="center" vertical="center"/>
    </xf>
    <xf numFmtId="0" fontId="24" fillId="0" borderId="0" xfId="0" applyFont="1" applyAlignment="1">
      <alignment horizontal="left" vertical="center"/>
    </xf>
    <xf numFmtId="0" fontId="65" fillId="0" borderId="0" xfId="0" applyFont="1" applyAlignment="1">
      <alignment horizontal="left" vertical="center" wrapText="1"/>
    </xf>
    <xf numFmtId="0" fontId="24" fillId="0" borderId="0" xfId="0" applyFont="1" applyAlignment="1">
      <alignment horizontal="left" vertical="center" wrapText="1"/>
    </xf>
    <xf numFmtId="0" fontId="42" fillId="0" borderId="0" xfId="0" applyFont="1" applyAlignment="1">
      <alignment horizontal="center" vertical="center"/>
    </xf>
    <xf numFmtId="0" fontId="42" fillId="3" borderId="36" xfId="0" applyFont="1" applyFill="1" applyBorder="1" applyAlignment="1">
      <alignment horizontal="center" vertical="center" wrapText="1"/>
    </xf>
    <xf numFmtId="0" fontId="18" fillId="10" borderId="0" xfId="0" applyFont="1" applyFill="1" applyAlignment="1">
      <alignment horizontal="center" vertical="center"/>
    </xf>
    <xf numFmtId="0" fontId="5" fillId="0" borderId="34"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3" fillId="10" borderId="0" xfId="0" applyFont="1" applyFill="1" applyAlignment="1">
      <alignment horizontal="center" vertical="center" wrapText="1"/>
    </xf>
    <xf numFmtId="0" fontId="5" fillId="0" borderId="55" xfId="0" applyFont="1" applyBorder="1" applyAlignment="1">
      <alignment horizontal="center" vertical="center" wrapText="1"/>
    </xf>
    <xf numFmtId="0" fontId="5" fillId="0" borderId="55" xfId="0" applyFont="1" applyBorder="1" applyAlignment="1">
      <alignment horizontal="center" vertical="center"/>
    </xf>
    <xf numFmtId="0" fontId="0" fillId="0" borderId="0" xfId="0" quotePrefix="1" applyAlignment="1">
      <alignment horizontal="left" vertical="center" wrapText="1"/>
    </xf>
    <xf numFmtId="0" fontId="0" fillId="0" borderId="0" xfId="0" quotePrefix="1" applyAlignment="1">
      <alignment horizontal="left" vertical="center"/>
    </xf>
    <xf numFmtId="0" fontId="10" fillId="0" borderId="0" xfId="0" applyFont="1" applyAlignment="1">
      <alignment horizontal="left" vertical="center"/>
    </xf>
    <xf numFmtId="0" fontId="0" fillId="0" borderId="0" xfId="0" applyAlignment="1">
      <alignment horizontal="left" vertical="center" wrapText="1"/>
    </xf>
    <xf numFmtId="0" fontId="69" fillId="0" borderId="66" xfId="5" applyFont="1" applyBorder="1" applyAlignment="1">
      <alignment horizontal="left"/>
    </xf>
    <xf numFmtId="0" fontId="69" fillId="0" borderId="0" xfId="5" applyFont="1" applyBorder="1" applyAlignment="1">
      <alignment horizontal="left"/>
    </xf>
    <xf numFmtId="0" fontId="5" fillId="0" borderId="0" xfId="0" applyFont="1" applyAlignment="1">
      <alignment horizontal="left" vertical="center" wrapText="1"/>
    </xf>
    <xf numFmtId="0" fontId="5" fillId="0" borderId="0" xfId="0" applyFont="1" applyAlignment="1">
      <alignment horizontal="left" vertical="top" wrapText="1"/>
    </xf>
    <xf numFmtId="0" fontId="6" fillId="7" borderId="63" xfId="0" applyFont="1" applyFill="1" applyBorder="1" applyAlignment="1">
      <alignment horizontal="center" vertical="center" wrapText="1"/>
    </xf>
    <xf numFmtId="0" fontId="6" fillId="7" borderId="64" xfId="0" applyFont="1" applyFill="1" applyBorder="1" applyAlignment="1">
      <alignment horizontal="center" vertical="center" wrapText="1"/>
    </xf>
    <xf numFmtId="0" fontId="6" fillId="7" borderId="65" xfId="0" applyFont="1" applyFill="1" applyBorder="1" applyAlignment="1">
      <alignment horizontal="center" vertical="center" wrapText="1"/>
    </xf>
    <xf numFmtId="0" fontId="40" fillId="10" borderId="62" xfId="0" applyFont="1" applyFill="1" applyBorder="1" applyAlignment="1">
      <alignment horizontal="center" vertical="center"/>
    </xf>
    <xf numFmtId="0" fontId="24" fillId="0" borderId="184" xfId="0" applyFont="1" applyBorder="1" applyAlignment="1">
      <alignment horizontal="center" vertical="center" wrapText="1"/>
    </xf>
    <xf numFmtId="0" fontId="24" fillId="0" borderId="218" xfId="0" applyFont="1" applyBorder="1" applyAlignment="1">
      <alignment horizontal="center" vertical="center" wrapText="1"/>
    </xf>
    <xf numFmtId="0" fontId="24" fillId="0" borderId="176" xfId="0" applyFont="1" applyBorder="1" applyAlignment="1">
      <alignment horizontal="center" vertical="center" wrapText="1"/>
    </xf>
    <xf numFmtId="0" fontId="24" fillId="0" borderId="188" xfId="0" applyFont="1" applyBorder="1" applyAlignment="1">
      <alignment horizontal="center" vertical="center" wrapText="1"/>
    </xf>
    <xf numFmtId="0" fontId="24" fillId="0" borderId="207" xfId="0" applyFont="1" applyBorder="1" applyAlignment="1">
      <alignment horizontal="center" vertical="center" wrapText="1"/>
    </xf>
    <xf numFmtId="0" fontId="24" fillId="0" borderId="208" xfId="0" applyFont="1" applyBorder="1" applyAlignment="1">
      <alignment horizontal="center" vertical="center" wrapText="1"/>
    </xf>
    <xf numFmtId="0" fontId="24" fillId="0" borderId="2" xfId="0" applyFont="1" applyBorder="1" applyAlignment="1">
      <alignment horizontal="center" vertical="center" wrapText="1"/>
    </xf>
    <xf numFmtId="0" fontId="67" fillId="10" borderId="188" xfId="0" applyFont="1" applyFill="1" applyBorder="1" applyAlignment="1">
      <alignment horizontal="center" vertical="center" wrapText="1"/>
    </xf>
    <xf numFmtId="0" fontId="67" fillId="10" borderId="207" xfId="0" applyFont="1" applyFill="1" applyBorder="1" applyAlignment="1">
      <alignment horizontal="center" vertical="center" wrapText="1"/>
    </xf>
    <xf numFmtId="0" fontId="67" fillId="10" borderId="208" xfId="0" applyFont="1" applyFill="1" applyBorder="1" applyAlignment="1">
      <alignment horizontal="center" vertical="center" wrapText="1"/>
    </xf>
    <xf numFmtId="0" fontId="24" fillId="0" borderId="195" xfId="0" applyFont="1" applyBorder="1" applyAlignment="1">
      <alignment horizontal="center" vertical="center"/>
    </xf>
    <xf numFmtId="0" fontId="13" fillId="10" borderId="24" xfId="0" applyFont="1" applyFill="1" applyBorder="1" applyAlignment="1">
      <alignment horizontal="center" vertical="center" wrapText="1"/>
    </xf>
    <xf numFmtId="0" fontId="5" fillId="0" borderId="36" xfId="0" applyFont="1" applyBorder="1" applyAlignment="1">
      <alignment horizontal="center" vertical="center" wrapText="1"/>
    </xf>
    <xf numFmtId="0" fontId="5" fillId="0" borderId="183" xfId="0" applyFont="1" applyBorder="1" applyAlignment="1">
      <alignment horizontal="center" vertical="center" wrapText="1"/>
    </xf>
    <xf numFmtId="0" fontId="5" fillId="0" borderId="194" xfId="0" applyFont="1" applyBorder="1" applyAlignment="1">
      <alignment horizontal="center" vertical="center" wrapText="1"/>
    </xf>
    <xf numFmtId="0" fontId="24" fillId="0" borderId="34" xfId="0" applyFont="1" applyBorder="1" applyAlignment="1">
      <alignment horizontal="center" vertical="center" wrapText="1"/>
    </xf>
    <xf numFmtId="0" fontId="24" fillId="0" borderId="33" xfId="0" applyFont="1" applyBorder="1" applyAlignment="1">
      <alignment horizontal="center" vertical="center"/>
    </xf>
    <xf numFmtId="0" fontId="5" fillId="0" borderId="211" xfId="0" applyFont="1" applyBorder="1" applyAlignment="1">
      <alignment horizontal="center" vertical="center"/>
    </xf>
    <xf numFmtId="0" fontId="5" fillId="0" borderId="212" xfId="0" applyFont="1" applyBorder="1" applyAlignment="1">
      <alignment horizontal="center" vertical="center"/>
    </xf>
    <xf numFmtId="0" fontId="5" fillId="0" borderId="206" xfId="0" applyFont="1" applyBorder="1" applyAlignment="1">
      <alignment horizontal="center" vertical="center"/>
    </xf>
    <xf numFmtId="0" fontId="5" fillId="0" borderId="256"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57" xfId="0" applyFont="1" applyBorder="1" applyAlignment="1">
      <alignment horizontal="center" vertical="center" wrapText="1"/>
    </xf>
    <xf numFmtId="0" fontId="24" fillId="0" borderId="34" xfId="0" applyFont="1" applyBorder="1" applyAlignment="1">
      <alignment horizontal="center" vertical="center"/>
    </xf>
    <xf numFmtId="0" fontId="5" fillId="0" borderId="264" xfId="0" applyFont="1" applyBorder="1" applyAlignment="1">
      <alignment horizontal="center" vertical="center"/>
    </xf>
    <xf numFmtId="0" fontId="24" fillId="0" borderId="260" xfId="0" applyFont="1" applyBorder="1" applyAlignment="1">
      <alignment horizontal="center" vertical="center" wrapText="1"/>
    </xf>
    <xf numFmtId="0" fontId="24" fillId="0" borderId="19" xfId="0" applyFont="1" applyBorder="1" applyAlignment="1">
      <alignment horizontal="center" vertical="center"/>
    </xf>
    <xf numFmtId="0" fontId="24" fillId="0" borderId="246" xfId="0" applyFont="1" applyBorder="1" applyAlignment="1">
      <alignment horizontal="center" vertical="center"/>
    </xf>
    <xf numFmtId="0" fontId="7" fillId="0" borderId="2" xfId="5" applyBorder="1" applyAlignment="1">
      <alignment horizontal="center" vertical="center" wrapText="1"/>
    </xf>
    <xf numFmtId="0" fontId="24" fillId="0" borderId="206" xfId="0" applyFont="1" applyBorder="1" applyAlignment="1">
      <alignment horizontal="center" vertical="center"/>
    </xf>
    <xf numFmtId="0" fontId="24" fillId="0" borderId="266" xfId="0" quotePrefix="1" applyFont="1" applyBorder="1" applyAlignment="1">
      <alignment horizontal="center" vertical="center" wrapText="1"/>
    </xf>
    <xf numFmtId="0" fontId="24" fillId="0" borderId="264" xfId="0" quotePrefix="1" applyFont="1" applyBorder="1" applyAlignment="1">
      <alignment horizontal="center" vertical="center" wrapText="1"/>
    </xf>
    <xf numFmtId="0" fontId="24" fillId="0" borderId="268" xfId="0" quotePrefix="1" applyFont="1" applyBorder="1" applyAlignment="1">
      <alignment horizontal="center" vertical="center" wrapText="1"/>
    </xf>
    <xf numFmtId="0" fontId="24" fillId="0" borderId="265" xfId="0" applyFont="1" applyBorder="1" applyAlignment="1">
      <alignment horizontal="center" wrapText="1"/>
    </xf>
    <xf numFmtId="0" fontId="24" fillId="0" borderId="210" xfId="0" applyFont="1" applyBorder="1" applyAlignment="1">
      <alignment horizontal="center" wrapText="1"/>
    </xf>
    <xf numFmtId="0" fontId="24" fillId="0" borderId="267" xfId="0" applyFont="1" applyBorder="1" applyAlignment="1">
      <alignment horizontal="center" wrapText="1"/>
    </xf>
    <xf numFmtId="0" fontId="24" fillId="16" borderId="2" xfId="0" applyFont="1" applyFill="1" applyBorder="1" applyAlignment="1">
      <alignment horizontal="center" vertical="center" wrapText="1"/>
    </xf>
    <xf numFmtId="0" fontId="34" fillId="11" borderId="261" xfId="0" applyFont="1" applyFill="1" applyBorder="1" applyAlignment="1">
      <alignment horizontal="center" vertical="center"/>
    </xf>
    <xf numFmtId="0" fontId="34" fillId="11" borderId="262" xfId="0" applyFont="1" applyFill="1" applyBorder="1" applyAlignment="1">
      <alignment horizontal="center" vertical="center"/>
    </xf>
    <xf numFmtId="0" fontId="34" fillId="11" borderId="198" xfId="0" applyFont="1" applyFill="1" applyBorder="1" applyAlignment="1">
      <alignment horizontal="center" vertical="center"/>
    </xf>
    <xf numFmtId="0" fontId="24" fillId="0" borderId="254" xfId="0" applyFont="1" applyBorder="1" applyAlignment="1">
      <alignment horizontal="center" vertical="center" wrapText="1"/>
    </xf>
    <xf numFmtId="0" fontId="24" fillId="0" borderId="255" xfId="0" applyFont="1" applyBorder="1" applyAlignment="1">
      <alignment horizontal="center" vertical="center" wrapText="1"/>
    </xf>
    <xf numFmtId="0" fontId="34" fillId="11" borderId="0" xfId="0" applyFont="1" applyFill="1" applyAlignment="1">
      <alignment horizontal="center" vertical="center" wrapText="1"/>
    </xf>
    <xf numFmtId="0" fontId="0" fillId="0" borderId="16" xfId="0" applyBorder="1" applyAlignment="1">
      <alignment horizontal="center" vertical="center" wrapText="1"/>
    </xf>
    <xf numFmtId="0" fontId="0" fillId="0" borderId="20" xfId="0" applyBorder="1" applyAlignment="1">
      <alignment horizontal="center" vertical="center" wrapText="1"/>
    </xf>
    <xf numFmtId="0" fontId="14" fillId="0" borderId="188" xfId="0" applyFont="1" applyBorder="1" applyAlignment="1">
      <alignment horizontal="center" vertical="center" wrapText="1"/>
    </xf>
    <xf numFmtId="0" fontId="14" fillId="0" borderId="195" xfId="0" applyFont="1" applyBorder="1" applyAlignment="1">
      <alignment horizontal="center" vertical="center" wrapText="1"/>
    </xf>
    <xf numFmtId="0" fontId="5" fillId="0" borderId="36" xfId="0" applyFont="1" applyBorder="1" applyAlignment="1">
      <alignment horizontal="center" vertical="center"/>
    </xf>
    <xf numFmtId="0" fontId="28" fillId="0" borderId="0" xfId="0" applyFont="1" applyAlignment="1">
      <alignment horizontal="left" vertical="center" wrapText="1"/>
    </xf>
    <xf numFmtId="0" fontId="14" fillId="0" borderId="15" xfId="0" applyFont="1" applyBorder="1" applyAlignment="1">
      <alignment horizontal="center" vertical="center" wrapText="1"/>
    </xf>
    <xf numFmtId="0" fontId="14" fillId="0" borderId="22" xfId="0" applyFont="1" applyBorder="1" applyAlignment="1">
      <alignment horizontal="center" vertical="center" wrapText="1"/>
    </xf>
    <xf numFmtId="0" fontId="24" fillId="0" borderId="3"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44" fillId="0" borderId="0" xfId="0" applyFont="1" applyAlignment="1">
      <alignment horizontal="left"/>
    </xf>
    <xf numFmtId="0" fontId="24" fillId="0" borderId="36" xfId="0" applyFont="1" applyBorder="1" applyAlignment="1">
      <alignment horizontal="center" vertical="center" wrapText="1"/>
    </xf>
    <xf numFmtId="0" fontId="24" fillId="0" borderId="183" xfId="0" applyFont="1" applyBorder="1" applyAlignment="1">
      <alignment horizontal="center" vertical="center" wrapText="1"/>
    </xf>
    <xf numFmtId="0" fontId="28" fillId="7" borderId="16" xfId="0" applyFont="1" applyFill="1" applyBorder="1" applyAlignment="1">
      <alignment horizontal="center" vertical="center" wrapText="1"/>
    </xf>
    <xf numFmtId="0" fontId="28" fillId="7" borderId="17" xfId="0" applyFont="1" applyFill="1" applyBorder="1" applyAlignment="1">
      <alignment horizontal="center" vertical="center" wrapText="1"/>
    </xf>
    <xf numFmtId="0" fontId="28" fillId="7" borderId="249" xfId="0" applyFont="1" applyFill="1" applyBorder="1" applyAlignment="1">
      <alignment horizontal="center" vertical="center" wrapText="1"/>
    </xf>
    <xf numFmtId="0" fontId="28" fillId="15" borderId="250" xfId="0" applyFont="1" applyFill="1" applyBorder="1" applyAlignment="1">
      <alignment horizontal="center" vertical="center" wrapText="1"/>
    </xf>
    <xf numFmtId="0" fontId="28" fillId="15" borderId="17" xfId="0" applyFont="1" applyFill="1" applyBorder="1" applyAlignment="1">
      <alignment horizontal="center" vertical="center" wrapText="1"/>
    </xf>
    <xf numFmtId="0" fontId="28" fillId="15" borderId="18" xfId="0" applyFont="1" applyFill="1" applyBorder="1" applyAlignment="1">
      <alignment horizontal="center" vertical="center" wrapText="1"/>
    </xf>
    <xf numFmtId="0" fontId="28" fillId="15" borderId="247" xfId="0" applyFont="1" applyFill="1" applyBorder="1" applyAlignment="1">
      <alignment horizontal="center" vertical="center" wrapText="1"/>
    </xf>
    <xf numFmtId="0" fontId="28" fillId="15" borderId="248" xfId="0" applyFont="1" applyFill="1" applyBorder="1" applyAlignment="1">
      <alignment horizontal="center" vertical="center" wrapText="1"/>
    </xf>
    <xf numFmtId="0" fontId="28" fillId="15" borderId="251" xfId="0" applyFont="1" applyFill="1" applyBorder="1" applyAlignment="1">
      <alignment horizontal="center" vertical="center" wrapText="1"/>
    </xf>
    <xf numFmtId="0" fontId="28" fillId="15" borderId="252" xfId="0" applyFont="1" applyFill="1" applyBorder="1" applyAlignment="1">
      <alignment horizontal="center" vertical="center" wrapText="1"/>
    </xf>
    <xf numFmtId="0" fontId="13" fillId="19" borderId="20" xfId="13" applyFont="1" applyFill="1" applyBorder="1" applyAlignment="1">
      <alignment horizontal="center" vertical="center" wrapText="1"/>
    </xf>
    <xf numFmtId="0" fontId="13" fillId="19" borderId="0" xfId="13" applyFont="1" applyFill="1" applyAlignment="1">
      <alignment horizontal="center" vertical="center" wrapText="1"/>
    </xf>
    <xf numFmtId="0" fontId="13" fillId="10" borderId="20" xfId="0" applyFont="1" applyFill="1" applyBorder="1" applyAlignment="1">
      <alignment horizontal="center" vertical="center" wrapText="1"/>
    </xf>
    <xf numFmtId="43" fontId="28" fillId="0" borderId="3" xfId="6" applyFont="1" applyBorder="1" applyAlignment="1">
      <alignment horizontal="center" vertical="center"/>
    </xf>
    <xf numFmtId="43" fontId="28" fillId="0" borderId="13" xfId="6" applyFont="1" applyBorder="1" applyAlignment="1">
      <alignment horizontal="center" vertical="center"/>
    </xf>
    <xf numFmtId="43" fontId="28" fillId="0" borderId="14" xfId="6" applyFont="1" applyBorder="1" applyAlignment="1">
      <alignment horizontal="center" vertical="center"/>
    </xf>
    <xf numFmtId="43" fontId="24" fillId="0" borderId="15" xfId="6" applyFont="1" applyBorder="1" applyAlignment="1">
      <alignment horizontal="center" vertical="center" wrapText="1"/>
    </xf>
    <xf numFmtId="43" fontId="24" fillId="0" borderId="22" xfId="6" applyFont="1" applyBorder="1" applyAlignment="1">
      <alignment horizontal="center" vertical="center" wrapText="1"/>
    </xf>
    <xf numFmtId="0" fontId="28" fillId="18" borderId="2" xfId="13" applyFont="1" applyFill="1" applyBorder="1" applyAlignment="1">
      <alignment horizontal="center" vertical="center" wrapText="1"/>
    </xf>
    <xf numFmtId="0" fontId="5" fillId="0" borderId="214" xfId="0" applyFont="1" applyBorder="1" applyAlignment="1">
      <alignment horizontal="center" vertical="center" wrapText="1"/>
    </xf>
    <xf numFmtId="0" fontId="5" fillId="0" borderId="215" xfId="0" applyFont="1" applyBorder="1" applyAlignment="1">
      <alignment horizontal="center" vertical="center" wrapText="1"/>
    </xf>
    <xf numFmtId="0" fontId="5" fillId="0" borderId="216" xfId="0" applyFont="1" applyBorder="1" applyAlignment="1">
      <alignment horizontal="center" vertical="center" wrapText="1"/>
    </xf>
    <xf numFmtId="0" fontId="6" fillId="0" borderId="25" xfId="0" applyFont="1" applyBorder="1" applyAlignment="1">
      <alignment horizontal="center"/>
    </xf>
    <xf numFmtId="0" fontId="6" fillId="0" borderId="22" xfId="0" applyFont="1" applyBorder="1" applyAlignment="1">
      <alignment horizontal="center"/>
    </xf>
    <xf numFmtId="0" fontId="6" fillId="0" borderId="23" xfId="0" applyFont="1" applyBorder="1" applyAlignment="1">
      <alignment horizontal="center"/>
    </xf>
    <xf numFmtId="0" fontId="16" fillId="0" borderId="22" xfId="5" applyFont="1" applyBorder="1" applyAlignment="1">
      <alignment horizontal="left" vertical="center"/>
    </xf>
    <xf numFmtId="0" fontId="16" fillId="0" borderId="23" xfId="5" applyFont="1" applyBorder="1" applyAlignment="1">
      <alignment horizontal="left" vertical="center"/>
    </xf>
    <xf numFmtId="0" fontId="6" fillId="5" borderId="2" xfId="0" applyFont="1" applyFill="1" applyBorder="1" applyAlignment="1">
      <alignment horizontal="center"/>
    </xf>
    <xf numFmtId="0" fontId="6" fillId="5" borderId="0" xfId="0" applyFont="1" applyFill="1" applyAlignment="1">
      <alignment horizontal="center" vertical="center"/>
    </xf>
    <xf numFmtId="0" fontId="6" fillId="0" borderId="24" xfId="0" applyFont="1" applyBorder="1" applyAlignment="1">
      <alignment horizontal="center"/>
    </xf>
    <xf numFmtId="0" fontId="6" fillId="7" borderId="55" xfId="0" applyFont="1" applyFill="1" applyBorder="1" applyAlignment="1">
      <alignment horizontal="center" vertical="center" wrapText="1"/>
    </xf>
    <xf numFmtId="0" fontId="6" fillId="7" borderId="67" xfId="0" applyFont="1" applyFill="1" applyBorder="1" applyAlignment="1">
      <alignment horizontal="center" vertical="center" wrapText="1"/>
    </xf>
    <xf numFmtId="0" fontId="5" fillId="0" borderId="15"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6" xfId="0" applyFont="1" applyBorder="1" applyAlignment="1">
      <alignment horizontal="center" vertical="center" wrapText="1"/>
    </xf>
    <xf numFmtId="0" fontId="6" fillId="7" borderId="55" xfId="0" applyFont="1" applyFill="1" applyBorder="1" applyAlignment="1">
      <alignment horizontal="center" vertical="center"/>
    </xf>
    <xf numFmtId="0" fontId="6" fillId="7" borderId="67" xfId="0" applyFont="1" applyFill="1" applyBorder="1" applyAlignment="1">
      <alignment horizontal="center" vertical="center"/>
    </xf>
    <xf numFmtId="0" fontId="5" fillId="8" borderId="2" xfId="0" applyFont="1" applyFill="1" applyBorder="1" applyAlignment="1">
      <alignment horizontal="left" vertical="center"/>
    </xf>
    <xf numFmtId="0" fontId="13" fillId="10" borderId="24" xfId="0" applyFont="1" applyFill="1" applyBorder="1" applyAlignment="1">
      <alignment horizontal="center" vertical="center"/>
    </xf>
    <xf numFmtId="0" fontId="28" fillId="7" borderId="127" xfId="0" applyFont="1" applyFill="1" applyBorder="1" applyAlignment="1">
      <alignment horizontal="center" vertical="center" wrapText="1"/>
    </xf>
    <xf numFmtId="0" fontId="28" fillId="7" borderId="90" xfId="0" applyFont="1" applyFill="1" applyBorder="1" applyAlignment="1">
      <alignment horizontal="center" vertical="center" wrapText="1"/>
    </xf>
    <xf numFmtId="0" fontId="5" fillId="0" borderId="0" xfId="0" applyFont="1" applyAlignment="1">
      <alignment horizontal="center"/>
    </xf>
    <xf numFmtId="0" fontId="19" fillId="10" borderId="24" xfId="0" applyFont="1" applyFill="1" applyBorder="1" applyAlignment="1">
      <alignment horizontal="center" vertical="center" wrapText="1"/>
    </xf>
    <xf numFmtId="2" fontId="1" fillId="0" borderId="2" xfId="0" applyNumberFormat="1" applyFont="1" applyBorder="1" applyAlignment="1">
      <alignment horizontal="center" vertical="center"/>
    </xf>
    <xf numFmtId="2" fontId="1" fillId="0" borderId="15" xfId="0" applyNumberFormat="1" applyFont="1" applyBorder="1" applyAlignment="1">
      <alignment horizontal="center" vertical="center"/>
    </xf>
    <xf numFmtId="2" fontId="1" fillId="0" borderId="19" xfId="0" applyNumberFormat="1" applyFont="1" applyBorder="1" applyAlignment="1">
      <alignment horizontal="center" vertical="center"/>
    </xf>
    <xf numFmtId="0" fontId="36" fillId="0" borderId="2" xfId="0" applyFont="1" applyBorder="1" applyAlignment="1">
      <alignment horizontal="center"/>
    </xf>
    <xf numFmtId="0" fontId="5" fillId="0" borderId="2" xfId="0" applyFont="1" applyBorder="1" applyAlignment="1">
      <alignment horizontal="center" vertical="center" wrapText="1"/>
    </xf>
    <xf numFmtId="0" fontId="50" fillId="17" borderId="213" xfId="0" applyFont="1" applyFill="1" applyBorder="1" applyAlignment="1">
      <alignment horizontal="center" vertical="center"/>
    </xf>
    <xf numFmtId="0" fontId="52" fillId="17" borderId="213" xfId="0" applyFont="1" applyFill="1" applyBorder="1" applyAlignment="1">
      <alignment horizontal="center" vertical="center"/>
    </xf>
    <xf numFmtId="0" fontId="0" fillId="0" borderId="183" xfId="0" applyBorder="1" applyAlignment="1">
      <alignment horizontal="center" vertical="center" wrapText="1"/>
    </xf>
    <xf numFmtId="0" fontId="0" fillId="0" borderId="194" xfId="0" applyBorder="1" applyAlignment="1">
      <alignment horizontal="center" vertical="center" wrapText="1"/>
    </xf>
    <xf numFmtId="0" fontId="36" fillId="0" borderId="3" xfId="0" applyFont="1" applyBorder="1" applyAlignment="1">
      <alignment horizontal="center"/>
    </xf>
    <xf numFmtId="0" fontId="36" fillId="0" borderId="13" xfId="0" applyFont="1" applyBorder="1" applyAlignment="1">
      <alignment horizontal="center"/>
    </xf>
    <xf numFmtId="0" fontId="36" fillId="0" borderId="14" xfId="0" applyFont="1" applyBorder="1" applyAlignment="1">
      <alignment horizontal="center"/>
    </xf>
    <xf numFmtId="0" fontId="25" fillId="0" borderId="79" xfId="0" applyFont="1" applyBorder="1" applyAlignment="1">
      <alignment horizontal="center" vertical="center" wrapText="1"/>
    </xf>
    <xf numFmtId="0" fontId="25" fillId="0" borderId="83"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61" xfId="0" applyFont="1" applyBorder="1" applyAlignment="1">
      <alignment horizontal="center" vertical="center" wrapText="1"/>
    </xf>
    <xf numFmtId="0" fontId="25" fillId="0" borderId="163" xfId="0" applyFont="1" applyBorder="1" applyAlignment="1">
      <alignment horizontal="center" vertical="center" wrapText="1"/>
    </xf>
    <xf numFmtId="0" fontId="25" fillId="0" borderId="164" xfId="0" applyFont="1" applyBorder="1" applyAlignment="1">
      <alignment horizontal="center" vertical="center" wrapText="1"/>
    </xf>
    <xf numFmtId="0" fontId="25" fillId="0" borderId="219" xfId="0" applyFont="1" applyBorder="1" applyAlignment="1">
      <alignment horizontal="center" vertical="center"/>
    </xf>
    <xf numFmtId="0" fontId="25" fillId="0" borderId="82" xfId="0" applyFont="1" applyBorder="1" applyAlignment="1">
      <alignment horizontal="center" vertical="center"/>
    </xf>
    <xf numFmtId="0" fontId="25" fillId="0" borderId="166" xfId="0" applyFont="1" applyBorder="1" applyAlignment="1">
      <alignment horizontal="center" vertical="center"/>
    </xf>
    <xf numFmtId="0" fontId="25" fillId="0" borderId="162" xfId="0" applyFont="1" applyBorder="1" applyAlignment="1">
      <alignment horizontal="center" vertical="center" wrapText="1"/>
    </xf>
    <xf numFmtId="0" fontId="25" fillId="0" borderId="55" xfId="0" applyFont="1" applyBorder="1" applyAlignment="1">
      <alignment horizontal="center" vertical="center" wrapText="1"/>
    </xf>
    <xf numFmtId="0" fontId="25" fillId="0" borderId="165" xfId="0" applyFont="1" applyBorder="1" applyAlignment="1">
      <alignment horizontal="center" vertical="center" wrapText="1"/>
    </xf>
    <xf numFmtId="0" fontId="25" fillId="0" borderId="220" xfId="0" applyFont="1" applyBorder="1" applyAlignment="1">
      <alignment horizontal="center" vertical="center" wrapText="1"/>
    </xf>
    <xf numFmtId="0" fontId="25" fillId="0" borderId="223" xfId="0" applyFont="1" applyBorder="1" applyAlignment="1">
      <alignment horizontal="center" vertical="center" wrapText="1"/>
    </xf>
    <xf numFmtId="0" fontId="25" fillId="0" borderId="129" xfId="0" applyFont="1" applyBorder="1" applyAlignment="1">
      <alignment horizontal="center" vertical="center" wrapText="1"/>
    </xf>
    <xf numFmtId="0" fontId="25" fillId="0" borderId="81" xfId="0" applyFont="1" applyBorder="1" applyAlignment="1">
      <alignment horizontal="center" vertical="center" wrapText="1"/>
    </xf>
    <xf numFmtId="0" fontId="25" fillId="0" borderId="84" xfId="0" applyFont="1" applyBorder="1" applyAlignment="1">
      <alignment horizontal="center" vertical="center" wrapText="1"/>
    </xf>
    <xf numFmtId="0" fontId="25" fillId="0" borderId="85" xfId="0" applyFont="1" applyBorder="1" applyAlignment="1">
      <alignment horizontal="center" vertical="center"/>
    </xf>
    <xf numFmtId="0" fontId="25" fillId="0" borderId="72" xfId="0" applyFont="1" applyBorder="1" applyAlignment="1">
      <alignment horizontal="center" vertical="center" wrapText="1"/>
    </xf>
    <xf numFmtId="0" fontId="25" fillId="0" borderId="92" xfId="0" applyFont="1" applyBorder="1" applyAlignment="1">
      <alignment horizontal="center" vertical="center" wrapText="1"/>
    </xf>
    <xf numFmtId="0" fontId="25" fillId="0" borderId="130" xfId="0" applyFont="1" applyBorder="1" applyAlignment="1">
      <alignment horizontal="center" vertical="center" wrapText="1"/>
    </xf>
    <xf numFmtId="0" fontId="37" fillId="0" borderId="131" xfId="0" applyFont="1" applyBorder="1" applyAlignment="1">
      <alignment horizontal="center" vertical="center" wrapText="1"/>
    </xf>
    <xf numFmtId="0" fontId="37" fillId="0" borderId="132" xfId="0" applyFont="1" applyBorder="1" applyAlignment="1">
      <alignment horizontal="center" vertical="center" wrapText="1"/>
    </xf>
    <xf numFmtId="0" fontId="37" fillId="0" borderId="147" xfId="0" applyFont="1" applyBorder="1" applyAlignment="1">
      <alignment horizontal="center" vertical="center" wrapText="1"/>
    </xf>
    <xf numFmtId="0" fontId="37" fillId="0" borderId="135" xfId="0" applyFont="1" applyBorder="1" applyAlignment="1">
      <alignment horizontal="center" vertical="center" wrapText="1"/>
    </xf>
    <xf numFmtId="0" fontId="37" fillId="0" borderId="148" xfId="0" applyFont="1" applyBorder="1" applyAlignment="1">
      <alignment horizontal="center" vertical="center" wrapText="1"/>
    </xf>
    <xf numFmtId="0" fontId="37" fillId="0" borderId="134" xfId="0" applyFont="1" applyBorder="1" applyAlignment="1">
      <alignment horizontal="center" vertical="center" wrapText="1"/>
    </xf>
    <xf numFmtId="0" fontId="37" fillId="0" borderId="139" xfId="0" applyFont="1" applyBorder="1" applyAlignment="1">
      <alignment horizontal="center" vertical="center" wrapText="1"/>
    </xf>
    <xf numFmtId="0" fontId="37" fillId="0" borderId="149" xfId="0" applyFont="1" applyBorder="1" applyAlignment="1">
      <alignment horizontal="center" vertical="center" wrapText="1"/>
    </xf>
    <xf numFmtId="0" fontId="37" fillId="0" borderId="152" xfId="0" applyFont="1" applyBorder="1" applyAlignment="1">
      <alignment horizontal="center" vertical="center" wrapText="1"/>
    </xf>
    <xf numFmtId="0" fontId="37" fillId="0" borderId="133" xfId="0" applyFont="1" applyBorder="1" applyAlignment="1">
      <alignment horizontal="center" vertical="center" wrapText="1"/>
    </xf>
    <xf numFmtId="0" fontId="37" fillId="0" borderId="153" xfId="0" applyFont="1" applyBorder="1" applyAlignment="1">
      <alignment horizontal="center" vertical="center" wrapText="1"/>
    </xf>
    <xf numFmtId="0" fontId="37" fillId="0" borderId="137" xfId="0" applyFont="1" applyBorder="1" applyAlignment="1">
      <alignment horizontal="center" vertical="center" wrapText="1"/>
    </xf>
    <xf numFmtId="0" fontId="37" fillId="0" borderId="154" xfId="0" applyFont="1" applyBorder="1" applyAlignment="1">
      <alignment horizontal="center" vertical="center" wrapText="1"/>
    </xf>
    <xf numFmtId="0" fontId="37" fillId="0" borderId="155" xfId="0" applyFont="1" applyBorder="1" applyAlignment="1">
      <alignment horizontal="center" vertical="center" wrapText="1"/>
    </xf>
    <xf numFmtId="0" fontId="25" fillId="0" borderId="76" xfId="0" applyFont="1" applyBorder="1" applyAlignment="1">
      <alignment horizontal="center" vertical="center" wrapText="1"/>
    </xf>
    <xf numFmtId="0" fontId="25" fillId="0" borderId="100" xfId="0" applyFont="1" applyBorder="1" applyAlignment="1">
      <alignment horizontal="center" vertical="center" wrapText="1"/>
    </xf>
    <xf numFmtId="0" fontId="25" fillId="0" borderId="102" xfId="0" applyFont="1" applyBorder="1" applyAlignment="1">
      <alignment horizontal="center" vertical="center" wrapText="1"/>
    </xf>
    <xf numFmtId="0" fontId="25" fillId="0" borderId="104" xfId="0" applyFont="1" applyBorder="1" applyAlignment="1">
      <alignment horizontal="center" vertical="center" wrapText="1"/>
    </xf>
    <xf numFmtId="0" fontId="25" fillId="0" borderId="107" xfId="0" applyFont="1" applyBorder="1" applyAlignment="1">
      <alignment horizontal="center" vertical="center" wrapText="1"/>
    </xf>
    <xf numFmtId="0" fontId="25" fillId="0" borderId="77" xfId="0" applyFont="1" applyBorder="1" applyAlignment="1">
      <alignment horizontal="center" vertical="center"/>
    </xf>
    <xf numFmtId="0" fontId="25" fillId="0" borderId="108" xfId="0" applyFont="1" applyBorder="1" applyAlignment="1">
      <alignment horizontal="center" vertical="center"/>
    </xf>
    <xf numFmtId="0" fontId="25" fillId="0" borderId="99"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103" xfId="0" applyFont="1" applyBorder="1" applyAlignment="1">
      <alignment horizontal="center" vertical="center" wrapText="1"/>
    </xf>
    <xf numFmtId="0" fontId="25" fillId="0" borderId="105" xfId="0" applyFont="1" applyBorder="1" applyAlignment="1">
      <alignment horizontal="center" vertical="center" wrapText="1"/>
    </xf>
    <xf numFmtId="0" fontId="25" fillId="0" borderId="106" xfId="0" applyFont="1" applyBorder="1" applyAlignment="1">
      <alignment horizontal="center" vertical="center" wrapText="1"/>
    </xf>
    <xf numFmtId="0" fontId="25" fillId="0" borderId="109" xfId="0" applyFont="1" applyBorder="1" applyAlignment="1">
      <alignment horizontal="center" vertical="center" wrapText="1"/>
    </xf>
    <xf numFmtId="0" fontId="6" fillId="7" borderId="70" xfId="0" applyFont="1" applyFill="1" applyBorder="1" applyAlignment="1">
      <alignment horizontal="center" vertical="center"/>
    </xf>
    <xf numFmtId="0" fontId="6" fillId="7" borderId="0" xfId="0" applyFont="1" applyFill="1" applyAlignment="1">
      <alignment horizontal="center" vertical="center"/>
    </xf>
    <xf numFmtId="0" fontId="6" fillId="7" borderId="71" xfId="0" applyFont="1" applyFill="1" applyBorder="1" applyAlignment="1">
      <alignment horizontal="center" vertical="center"/>
    </xf>
    <xf numFmtId="0" fontId="25" fillId="0" borderId="78" xfId="0" applyFont="1" applyBorder="1" applyAlignment="1">
      <alignment horizontal="center" vertical="center" wrapText="1"/>
    </xf>
    <xf numFmtId="0" fontId="25" fillId="0" borderId="67" xfId="0" applyFont="1" applyBorder="1" applyAlignment="1">
      <alignment horizontal="center" vertical="center" wrapText="1"/>
    </xf>
    <xf numFmtId="0" fontId="6" fillId="7" borderId="2" xfId="0" applyFont="1" applyFill="1" applyBorder="1" applyAlignment="1">
      <alignment horizontal="center" vertical="center"/>
    </xf>
    <xf numFmtId="0" fontId="6" fillId="7" borderId="15" xfId="0" applyFont="1" applyFill="1" applyBorder="1" applyAlignment="1">
      <alignment horizontal="center" vertical="center"/>
    </xf>
    <xf numFmtId="0" fontId="13" fillId="10" borderId="25" xfId="0" applyFont="1" applyFill="1" applyBorder="1" applyAlignment="1">
      <alignment horizontal="center" vertical="center" wrapText="1"/>
    </xf>
    <xf numFmtId="0" fontId="25" fillId="0" borderId="110"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120" xfId="0" applyFont="1" applyBorder="1" applyAlignment="1">
      <alignment horizontal="center" vertical="center" wrapText="1"/>
    </xf>
    <xf numFmtId="0" fontId="38" fillId="0" borderId="128" xfId="0" applyFont="1" applyBorder="1" applyAlignment="1">
      <alignment horizontal="center" vertical="center" wrapText="1"/>
    </xf>
    <xf numFmtId="0" fontId="38" fillId="0" borderId="112" xfId="0" applyFont="1" applyBorder="1" applyAlignment="1">
      <alignment horizontal="center" vertical="center" wrapText="1"/>
    </xf>
    <xf numFmtId="0" fontId="38" fillId="0" borderId="114" xfId="0" applyFont="1" applyBorder="1" applyAlignment="1">
      <alignment horizontal="center" vertical="center" wrapText="1"/>
    </xf>
    <xf numFmtId="0" fontId="21" fillId="7" borderId="3" xfId="0" applyFont="1" applyFill="1" applyBorder="1" applyAlignment="1">
      <alignment horizontal="center" vertical="center" wrapText="1"/>
    </xf>
    <xf numFmtId="0" fontId="21" fillId="7" borderId="13" xfId="0" applyFont="1" applyFill="1" applyBorder="1" applyAlignment="1">
      <alignment horizontal="center" vertical="center" wrapText="1"/>
    </xf>
    <xf numFmtId="0" fontId="21" fillId="7" borderId="14" xfId="0" applyFont="1" applyFill="1" applyBorder="1" applyAlignment="1">
      <alignment horizontal="center" vertical="center" wrapText="1"/>
    </xf>
    <xf numFmtId="0" fontId="6" fillId="7" borderId="125" xfId="0" applyFont="1" applyFill="1" applyBorder="1" applyAlignment="1">
      <alignment horizontal="center" vertical="center"/>
    </xf>
    <xf numFmtId="0" fontId="25" fillId="0" borderId="4"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8"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37" xfId="0" applyFont="1" applyBorder="1" applyAlignment="1">
      <alignment horizontal="center" vertical="center"/>
    </xf>
    <xf numFmtId="0" fontId="25" fillId="0" borderId="40" xfId="0" applyFont="1" applyBorder="1" applyAlignment="1">
      <alignment horizontal="center" vertical="center"/>
    </xf>
    <xf numFmtId="0" fontId="25" fillId="0" borderId="42" xfId="0" applyFont="1" applyBorder="1" applyAlignment="1">
      <alignment horizontal="center" vertical="center"/>
    </xf>
    <xf numFmtId="0" fontId="25" fillId="0" borderId="38" xfId="0" applyFont="1" applyBorder="1" applyAlignment="1">
      <alignment horizontal="center" vertical="center"/>
    </xf>
    <xf numFmtId="0" fontId="25" fillId="0" borderId="36" xfId="0" applyFont="1" applyBorder="1" applyAlignment="1">
      <alignment horizontal="center" vertical="center"/>
    </xf>
    <xf numFmtId="0" fontId="25" fillId="0" borderId="43" xfId="0" applyFont="1" applyBorder="1" applyAlignment="1">
      <alignment horizontal="center" vertical="center"/>
    </xf>
    <xf numFmtId="0" fontId="25" fillId="0" borderId="38" xfId="0" applyFont="1" applyBorder="1" applyAlignment="1">
      <alignment horizontal="left" vertical="center" wrapText="1"/>
    </xf>
    <xf numFmtId="0" fontId="25" fillId="0" borderId="36" xfId="0" applyFont="1" applyBorder="1" applyAlignment="1">
      <alignment horizontal="left" vertical="center" wrapText="1"/>
    </xf>
    <xf numFmtId="0" fontId="25" fillId="0" borderId="43" xfId="0" applyFont="1" applyBorder="1" applyAlignment="1">
      <alignment horizontal="left" vertical="center" wrapText="1"/>
    </xf>
    <xf numFmtId="0" fontId="6" fillId="2" borderId="0" xfId="0" applyFont="1" applyFill="1" applyAlignment="1">
      <alignment horizontal="left" vertical="center"/>
    </xf>
    <xf numFmtId="0" fontId="25" fillId="0" borderId="36" xfId="0" applyFont="1" applyBorder="1" applyAlignment="1">
      <alignment horizontal="center" vertical="center" wrapText="1"/>
    </xf>
    <xf numFmtId="0" fontId="25" fillId="0" borderId="43" xfId="0" applyFont="1" applyBorder="1" applyAlignment="1">
      <alignment horizontal="center" vertical="center" wrapText="1"/>
    </xf>
    <xf numFmtId="0" fontId="30" fillId="0" borderId="38" xfId="0" applyFont="1" applyBorder="1" applyAlignment="1">
      <alignment vertical="center" wrapText="1"/>
    </xf>
    <xf numFmtId="0" fontId="30" fillId="0" borderId="36" xfId="0" applyFont="1" applyBorder="1" applyAlignment="1">
      <alignment vertical="center" wrapText="1"/>
    </xf>
    <xf numFmtId="0" fontId="30" fillId="0" borderId="43" xfId="0" applyFont="1" applyBorder="1" applyAlignment="1">
      <alignment vertical="center" wrapText="1"/>
    </xf>
    <xf numFmtId="0" fontId="30" fillId="0" borderId="45" xfId="0" applyFont="1" applyBorder="1" applyAlignment="1">
      <alignment horizontal="center" vertical="center" wrapText="1"/>
    </xf>
    <xf numFmtId="0" fontId="30" fillId="0" borderId="46" xfId="0" applyFont="1" applyBorder="1" applyAlignment="1">
      <alignment horizontal="center" vertical="center" wrapText="1"/>
    </xf>
    <xf numFmtId="0" fontId="30" fillId="0" borderId="47" xfId="0" applyFont="1" applyBorder="1" applyAlignment="1">
      <alignment horizontal="center" vertical="center" wrapText="1"/>
    </xf>
    <xf numFmtId="0" fontId="25" fillId="0" borderId="38" xfId="0" applyFont="1" applyBorder="1" applyAlignment="1">
      <alignment horizontal="center" vertical="center" wrapText="1"/>
    </xf>
    <xf numFmtId="0" fontId="25" fillId="0" borderId="37" xfId="0" applyFont="1" applyBorder="1" applyAlignment="1">
      <alignment horizontal="center" vertical="center" wrapText="1"/>
    </xf>
    <xf numFmtId="0" fontId="25" fillId="0" borderId="42" xfId="0" applyFont="1" applyBorder="1" applyAlignment="1">
      <alignment horizontal="center" vertical="center" wrapText="1"/>
    </xf>
    <xf numFmtId="0" fontId="6" fillId="7" borderId="10" xfId="0" applyFont="1" applyFill="1" applyBorder="1" applyAlignment="1">
      <alignment horizontal="center" vertical="center"/>
    </xf>
    <xf numFmtId="0" fontId="6" fillId="7" borderId="11" xfId="0" applyFont="1" applyFill="1" applyBorder="1" applyAlignment="1">
      <alignment horizontal="center" vertical="center"/>
    </xf>
    <xf numFmtId="0" fontId="6" fillId="7" borderId="12" xfId="0" applyFont="1" applyFill="1" applyBorder="1" applyAlignment="1">
      <alignment horizontal="center" vertical="center"/>
    </xf>
    <xf numFmtId="0" fontId="31" fillId="0" borderId="11" xfId="0" applyFont="1" applyBorder="1" applyAlignment="1">
      <alignment horizontal="center" vertical="center"/>
    </xf>
    <xf numFmtId="0" fontId="25" fillId="0" borderId="88" xfId="0" applyFont="1" applyBorder="1" applyAlignment="1">
      <alignment horizontal="center" vertical="center" wrapText="1"/>
    </xf>
    <xf numFmtId="0" fontId="25" fillId="0" borderId="91" xfId="0" applyFont="1" applyBorder="1" applyAlignment="1">
      <alignment horizontal="center" vertical="center" wrapText="1"/>
    </xf>
    <xf numFmtId="0" fontId="25" fillId="0" borderId="93" xfId="0" applyFont="1" applyBorder="1" applyAlignment="1">
      <alignment horizontal="center" vertical="center" wrapText="1"/>
    </xf>
    <xf numFmtId="0" fontId="37" fillId="0" borderId="138" xfId="0" applyFont="1" applyBorder="1" applyAlignment="1">
      <alignment horizontal="center" vertical="center" wrapText="1"/>
    </xf>
    <xf numFmtId="0" fontId="37" fillId="0" borderId="140" xfId="0" applyFont="1" applyBorder="1" applyAlignment="1">
      <alignment horizontal="center" vertical="center" wrapText="1"/>
    </xf>
    <xf numFmtId="0" fontId="25" fillId="0" borderId="114" xfId="0" applyFont="1" applyBorder="1" applyAlignment="1">
      <alignment horizontal="center" vertical="center" wrapText="1"/>
    </xf>
    <xf numFmtId="0" fontId="25" fillId="0" borderId="116" xfId="0" applyFont="1" applyBorder="1" applyAlignment="1">
      <alignment horizontal="center" vertical="center" wrapText="1"/>
    </xf>
    <xf numFmtId="0" fontId="25" fillId="0" borderId="82"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21" xfId="0" applyFont="1" applyBorder="1" applyAlignment="1">
      <alignment horizontal="center" vertical="center" wrapText="1"/>
    </xf>
    <xf numFmtId="0" fontId="25" fillId="0" borderId="123" xfId="0" applyFont="1" applyBorder="1" applyAlignment="1">
      <alignment horizontal="center" vertical="center" wrapText="1"/>
    </xf>
    <xf numFmtId="0" fontId="25" fillId="0" borderId="124"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117" xfId="0" applyFont="1" applyBorder="1" applyAlignment="1">
      <alignment horizontal="center" vertical="center" wrapText="1"/>
    </xf>
    <xf numFmtId="0" fontId="25" fillId="0" borderId="118" xfId="0" applyFont="1" applyBorder="1" applyAlignment="1">
      <alignment horizontal="center" vertical="center" wrapText="1"/>
    </xf>
    <xf numFmtId="0" fontId="25" fillId="0" borderId="119" xfId="0" applyFont="1" applyBorder="1" applyAlignment="1">
      <alignment horizontal="center" vertical="center" wrapText="1"/>
    </xf>
    <xf numFmtId="0" fontId="25" fillId="0" borderId="72" xfId="0" applyFont="1" applyBorder="1" applyAlignment="1">
      <alignment horizontal="center" vertical="center"/>
    </xf>
    <xf numFmtId="0" fontId="25" fillId="0" borderId="55" xfId="0" applyFont="1" applyBorder="1" applyAlignment="1">
      <alignment horizontal="center" vertical="center"/>
    </xf>
    <xf numFmtId="0" fontId="25" fillId="0" borderId="92" xfId="0" applyFont="1" applyBorder="1" applyAlignment="1">
      <alignment horizontal="center" vertical="center"/>
    </xf>
    <xf numFmtId="0" fontId="25" fillId="0" borderId="113" xfId="0" applyFont="1" applyBorder="1" applyAlignment="1">
      <alignment horizontal="center" vertical="center"/>
    </xf>
    <xf numFmtId="0" fontId="25" fillId="0" borderId="162" xfId="0" applyFont="1" applyBorder="1" applyAlignment="1">
      <alignment horizontal="center" vertical="center"/>
    </xf>
    <xf numFmtId="0" fontId="25" fillId="0" borderId="165" xfId="0" applyFont="1" applyBorder="1" applyAlignment="1">
      <alignment horizontal="center" vertical="center"/>
    </xf>
    <xf numFmtId="0" fontId="25" fillId="0" borderId="166" xfId="0" applyFont="1" applyBorder="1" applyAlignment="1">
      <alignment horizontal="center" vertical="center" wrapText="1"/>
    </xf>
    <xf numFmtId="0" fontId="25" fillId="0" borderId="231" xfId="0" applyFont="1" applyBorder="1" applyAlignment="1">
      <alignment horizontal="center" vertical="center" wrapText="1"/>
    </xf>
    <xf numFmtId="0" fontId="25" fillId="0" borderId="232" xfId="0" applyFont="1" applyBorder="1" applyAlignment="1">
      <alignment horizontal="center" vertical="center" wrapText="1"/>
    </xf>
    <xf numFmtId="0" fontId="25" fillId="0" borderId="219" xfId="0" applyFont="1" applyBorder="1" applyAlignment="1">
      <alignment horizontal="center" vertical="center" wrapText="1"/>
    </xf>
    <xf numFmtId="0" fontId="25" fillId="0" borderId="233" xfId="0" applyFont="1" applyBorder="1" applyAlignment="1">
      <alignment horizontal="center" vertical="center" wrapText="1"/>
    </xf>
    <xf numFmtId="0" fontId="25" fillId="0" borderId="234" xfId="0" applyFont="1" applyBorder="1" applyAlignment="1">
      <alignment horizontal="center" vertical="center" wrapText="1"/>
    </xf>
    <xf numFmtId="0" fontId="25" fillId="0" borderId="235" xfId="0" applyFont="1" applyBorder="1" applyAlignment="1">
      <alignment horizontal="center" vertical="center" wrapText="1"/>
    </xf>
    <xf numFmtId="0" fontId="25" fillId="0" borderId="196" xfId="0" applyFont="1" applyBorder="1" applyAlignment="1">
      <alignment horizontal="center" vertical="center" wrapText="1"/>
    </xf>
    <xf numFmtId="0" fontId="25" fillId="0" borderId="183" xfId="0" applyFont="1" applyBorder="1" applyAlignment="1">
      <alignment horizontal="center" vertical="center" wrapText="1"/>
    </xf>
    <xf numFmtId="0" fontId="25" fillId="0" borderId="236" xfId="0" applyFont="1" applyBorder="1" applyAlignment="1">
      <alignment horizontal="center" vertical="center" wrapText="1"/>
    </xf>
    <xf numFmtId="0" fontId="37" fillId="0" borderId="136" xfId="0" applyFont="1" applyBorder="1" applyAlignment="1">
      <alignment horizontal="center" vertical="center" wrapText="1"/>
    </xf>
    <xf numFmtId="0" fontId="24" fillId="0" borderId="0" xfId="0" applyFont="1" applyAlignment="1">
      <alignment horizontal="center" vertical="center" wrapText="1"/>
    </xf>
    <xf numFmtId="0" fontId="24" fillId="0" borderId="174" xfId="0" applyFont="1" applyBorder="1" applyAlignment="1">
      <alignment horizontal="center" vertical="center"/>
    </xf>
    <xf numFmtId="0" fontId="24" fillId="0" borderId="177" xfId="0" applyFont="1" applyBorder="1" applyAlignment="1">
      <alignment horizontal="center" vertical="center"/>
    </xf>
    <xf numFmtId="0" fontId="34" fillId="11" borderId="180" xfId="0" applyFont="1" applyFill="1" applyBorder="1" applyAlignment="1">
      <alignment horizontal="center" vertical="center"/>
    </xf>
    <xf numFmtId="0" fontId="34" fillId="11" borderId="179" xfId="0" applyFont="1" applyFill="1" applyBorder="1" applyAlignment="1">
      <alignment horizontal="center" vertical="center"/>
    </xf>
    <xf numFmtId="0" fontId="9" fillId="10" borderId="0" xfId="0" applyFont="1" applyFill="1" applyAlignment="1">
      <alignment horizontal="center" vertical="center" wrapText="1"/>
    </xf>
    <xf numFmtId="10" fontId="6" fillId="0" borderId="10" xfId="8" applyNumberFormat="1" applyFont="1" applyBorder="1" applyAlignment="1">
      <alignment horizontal="center"/>
    </xf>
    <xf numFmtId="10" fontId="6" fillId="0" borderId="11" xfId="8" applyNumberFormat="1" applyFont="1" applyBorder="1" applyAlignment="1">
      <alignment horizontal="center"/>
    </xf>
    <xf numFmtId="10" fontId="6" fillId="0" borderId="12" xfId="8" applyNumberFormat="1" applyFont="1" applyBorder="1" applyAlignment="1">
      <alignment horizontal="center"/>
    </xf>
    <xf numFmtId="0" fontId="6" fillId="5" borderId="3"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4" xfId="0" applyFont="1" applyFill="1" applyBorder="1" applyAlignment="1">
      <alignment horizontal="center" vertical="center"/>
    </xf>
    <xf numFmtId="0" fontId="0" fillId="0" borderId="0" xfId="0" applyAlignment="1">
      <alignment horizontal="center"/>
    </xf>
    <xf numFmtId="0" fontId="5" fillId="0" borderId="49" xfId="0" applyFont="1" applyBorder="1" applyAlignment="1">
      <alignment horizontal="center" vertical="center"/>
    </xf>
    <xf numFmtId="0" fontId="5" fillId="0" borderId="51" xfId="0" applyFont="1" applyBorder="1" applyAlignment="1">
      <alignment horizontal="center" vertical="center"/>
    </xf>
    <xf numFmtId="0" fontId="5" fillId="0" borderId="53" xfId="0" applyFont="1" applyBorder="1" applyAlignment="1">
      <alignment horizontal="center" vertical="center"/>
    </xf>
    <xf numFmtId="0" fontId="68" fillId="10" borderId="0" xfId="0" applyFont="1" applyFill="1" applyAlignment="1">
      <alignment horizontal="center" vertical="center" wrapText="1"/>
    </xf>
    <xf numFmtId="0" fontId="19" fillId="10" borderId="0" xfId="0" applyFont="1" applyFill="1" applyAlignment="1">
      <alignment horizontal="center" vertical="center" wrapText="1"/>
    </xf>
    <xf numFmtId="0" fontId="28" fillId="7" borderId="3" xfId="0" applyFont="1" applyFill="1" applyBorder="1" applyAlignment="1">
      <alignment horizontal="center" vertical="center"/>
    </xf>
    <xf numFmtId="0" fontId="28" fillId="7" borderId="13" xfId="0" applyFont="1" applyFill="1" applyBorder="1" applyAlignment="1">
      <alignment horizontal="center" vertical="center"/>
    </xf>
    <xf numFmtId="0" fontId="28" fillId="7" borderId="14" xfId="0" applyFont="1" applyFill="1" applyBorder="1" applyAlignment="1">
      <alignment horizontal="center" vertical="center"/>
    </xf>
  </cellXfs>
  <cellStyles count="15">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7" xfId="13" xr:uid="{2C485F81-6405-4B62-B544-B22D7AEE3868}"/>
    <cellStyle name="Normal_Prototype_Scorecard-LgOffice-2008-03-13" xfId="1" xr:uid="{F839F8A1-86E5-4008-9801-0F032E8A3317}"/>
    <cellStyle name="Percent" xfId="2" builtinId="5"/>
    <cellStyle name="Percent 2" xfId="8" xr:uid="{CB789C3E-741F-4464-8065-385A956411E6}"/>
    <cellStyle name="Percent 2 2" xfId="14" xr:uid="{128044B2-6F80-480E-AA65-61559A78AAF0}"/>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919191"/>
      <color rgb="FF969595"/>
      <color rgb="FFD9E1F2"/>
      <color rgb="FFCCCCFF"/>
      <color rgb="FFFFEBCD"/>
      <color rgb="FF2DC8FF"/>
      <color rgb="FF8238BA"/>
      <color rgb="FFFF9900"/>
      <color rgb="FF002F8E"/>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PNNL</a:t>
            </a:r>
            <a:r>
              <a:rPr lang="en-US" sz="1100" b="0">
                <a:solidFill>
                  <a:sysClr val="windowText" lastClr="000000"/>
                </a:solidFill>
              </a:rPr>
              <a:t>: </a:t>
            </a:r>
            <a:r>
              <a:rPr lang="en-US" sz="1100"/>
              <a:t>Lights schedule-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'Interior Lights'!$B$66</c:f>
              <c:strCache>
                <c:ptCount val="1"/>
                <c:pt idx="0">
                  <c:v>CEC-Weekday</c:v>
                </c:pt>
              </c:strCache>
            </c:strRef>
          </c:tx>
          <c:spPr>
            <a:ln w="28575" cap="rnd">
              <a:solidFill>
                <a:schemeClr val="accent1"/>
              </a:solidFill>
              <a:round/>
            </a:ln>
            <a:effectLst/>
          </c:spPr>
          <c:marker>
            <c:symbol val="none"/>
          </c:marker>
          <c:cat>
            <c:multiLvlStrRef>
              <c:f>'Interior Lights'!$A$67:$A$90</c:f>
            </c:multiLvlStrRef>
          </c:cat>
          <c:val>
            <c:numRef>
              <c:f>'Interior Lights'!$B$67:$B$90</c:f>
            </c:numRef>
          </c:val>
          <c:smooth val="0"/>
          <c:extLst xmlns:c15="http://schemas.microsoft.com/office/drawing/2012/chart">
            <c:ext xmlns:c16="http://schemas.microsoft.com/office/drawing/2014/chart" uri="{C3380CC4-5D6E-409C-BE32-E72D297353CC}">
              <c16:uniqueId val="{00000000-5672-49DA-9D73-0943382CB52C}"/>
            </c:ext>
          </c:extLst>
        </c:ser>
        <c:ser>
          <c:idx val="1"/>
          <c:order val="1"/>
          <c:tx>
            <c:strRef>
              <c:f>'Interior Lights'!$C$66</c:f>
              <c:strCache>
                <c:ptCount val="1"/>
                <c:pt idx="0">
                  <c:v>CEC-Saturday</c:v>
                </c:pt>
              </c:strCache>
            </c:strRef>
          </c:tx>
          <c:spPr>
            <a:ln w="28575" cap="rnd">
              <a:solidFill>
                <a:schemeClr val="accent2"/>
              </a:solidFill>
              <a:round/>
            </a:ln>
            <a:effectLst/>
          </c:spPr>
          <c:marker>
            <c:symbol val="none"/>
          </c:marker>
          <c:cat>
            <c:multiLvlStrRef>
              <c:f>'Interior Lights'!$A$67:$A$90</c:f>
            </c:multiLvlStrRef>
          </c:cat>
          <c:val>
            <c:numRef>
              <c:f>'Interior Lights'!$C$67:$C$90</c:f>
            </c:numRef>
          </c:val>
          <c:smooth val="0"/>
          <c:extLst xmlns:c15="http://schemas.microsoft.com/office/drawing/2012/chart">
            <c:ext xmlns:c16="http://schemas.microsoft.com/office/drawing/2014/chart" uri="{C3380CC4-5D6E-409C-BE32-E72D297353CC}">
              <c16:uniqueId val="{00000001-5672-49DA-9D73-0943382CB52C}"/>
            </c:ext>
          </c:extLst>
        </c:ser>
        <c:ser>
          <c:idx val="2"/>
          <c:order val="2"/>
          <c:tx>
            <c:strRef>
              <c:f>'Interior Lights'!$D$66</c:f>
              <c:strCache>
                <c:ptCount val="1"/>
                <c:pt idx="0">
                  <c:v>CEC-Sunday</c:v>
                </c:pt>
              </c:strCache>
            </c:strRef>
          </c:tx>
          <c:spPr>
            <a:ln w="28575" cap="rnd">
              <a:solidFill>
                <a:schemeClr val="accent3"/>
              </a:solidFill>
              <a:round/>
            </a:ln>
            <a:effectLst/>
          </c:spPr>
          <c:marker>
            <c:symbol val="none"/>
          </c:marker>
          <c:cat>
            <c:multiLvlStrRef>
              <c:f>'Interior Lights'!$A$67:$A$90</c:f>
            </c:multiLvlStrRef>
          </c:cat>
          <c:val>
            <c:numRef>
              <c:f>'Interior Lights'!$D$67:$D$90</c:f>
            </c:numRef>
          </c:val>
          <c:smooth val="0"/>
          <c:extLst xmlns:c15="http://schemas.microsoft.com/office/drawing/2012/chart">
            <c:ext xmlns:c16="http://schemas.microsoft.com/office/drawing/2014/chart" uri="{C3380CC4-5D6E-409C-BE32-E72D297353CC}">
              <c16:uniqueId val="{00000002-5672-49DA-9D73-0943382CB52C}"/>
            </c:ext>
          </c:extLst>
        </c:ser>
        <c:ser>
          <c:idx val="4"/>
          <c:order val="3"/>
          <c:tx>
            <c:strRef>
              <c:f>'Interior Lights'!$E$66</c:f>
              <c:strCache>
                <c:ptCount val="1"/>
              </c:strCache>
            </c:strRef>
          </c:tx>
          <c:spPr>
            <a:ln w="28575" cap="rnd">
              <a:solidFill>
                <a:schemeClr val="accent5"/>
              </a:solidFill>
              <a:round/>
            </a:ln>
            <a:effectLst/>
          </c:spPr>
          <c:marker>
            <c:symbol val="none"/>
          </c:marker>
          <c:cat>
            <c:multiLvlStrRef>
              <c:f>'Interior Lights'!$A$67:$A$90</c:f>
            </c:multiLvlStrRef>
          </c:cat>
          <c:val>
            <c:numRef>
              <c:f>'Interior Lights'!$E$67:$E$90</c:f>
            </c:numRef>
          </c:val>
          <c:smooth val="0"/>
          <c:extLst xmlns:c15="http://schemas.microsoft.com/office/drawing/2012/chart">
            <c:ext xmlns:c16="http://schemas.microsoft.com/office/drawing/2014/chart" uri="{C3380CC4-5D6E-409C-BE32-E72D297353CC}">
              <c16:uniqueId val="{00000003-5672-49DA-9D73-0943382CB52C}"/>
            </c:ext>
          </c:extLst>
        </c:ser>
        <c:ser>
          <c:idx val="5"/>
          <c:order val="4"/>
          <c:tx>
            <c:strRef>
              <c:f>'Interior Lights'!$F$66</c:f>
              <c:strCache>
                <c:ptCount val="1"/>
                <c:pt idx="0">
                  <c:v>PNNL-Weekday</c:v>
                </c:pt>
              </c:strCache>
            </c:strRef>
          </c:tx>
          <c:spPr>
            <a:ln w="28575" cap="rnd">
              <a:solidFill>
                <a:schemeClr val="accent6"/>
              </a:solidFill>
              <a:round/>
            </a:ln>
            <a:effectLst/>
          </c:spPr>
          <c:marker>
            <c:symbol val="none"/>
          </c:marker>
          <c:cat>
            <c:multiLvlStrRef>
              <c:f>'Interior Lights'!$A$67:$A$90</c:f>
            </c:multiLvlStrRef>
          </c:cat>
          <c:val>
            <c:numRef>
              <c:f>'Interior Lights'!$F$67:$F$90</c:f>
            </c:numRef>
          </c:val>
          <c:smooth val="0"/>
          <c:extLst xmlns:c15="http://schemas.microsoft.com/office/drawing/2012/chart">
            <c:ext xmlns:c16="http://schemas.microsoft.com/office/drawing/2014/chart" uri="{C3380CC4-5D6E-409C-BE32-E72D297353CC}">
              <c16:uniqueId val="{00000004-5672-49DA-9D73-0943382CB52C}"/>
            </c:ext>
          </c:extLst>
        </c:ser>
        <c:ser>
          <c:idx val="6"/>
          <c:order val="5"/>
          <c:tx>
            <c:strRef>
              <c:f>'Interior Lights'!$G$66</c:f>
              <c:strCache>
                <c:ptCount val="1"/>
                <c:pt idx="0">
                  <c:v>PNNL-Saturday</c:v>
                </c:pt>
              </c:strCache>
            </c:strRef>
          </c:tx>
          <c:spPr>
            <a:ln w="28575" cap="rnd">
              <a:solidFill>
                <a:schemeClr val="accent1">
                  <a:lumMod val="60000"/>
                </a:schemeClr>
              </a:solidFill>
              <a:round/>
            </a:ln>
            <a:effectLst/>
          </c:spPr>
          <c:marker>
            <c:symbol val="none"/>
          </c:marker>
          <c:cat>
            <c:multiLvlStrRef>
              <c:f>'Interior Lights'!$A$67:$A$90</c:f>
            </c:multiLvlStrRef>
          </c:cat>
          <c:val>
            <c:numRef>
              <c:f>'Interior Lights'!$G$67:$G$90</c:f>
            </c:numRef>
          </c:val>
          <c:smooth val="0"/>
          <c:extLst xmlns:c15="http://schemas.microsoft.com/office/drawing/2012/chart">
            <c:ext xmlns:c16="http://schemas.microsoft.com/office/drawing/2014/chart" uri="{C3380CC4-5D6E-409C-BE32-E72D297353CC}">
              <c16:uniqueId val="{00000005-5672-49DA-9D73-0943382CB52C}"/>
            </c:ext>
          </c:extLst>
        </c:ser>
        <c:ser>
          <c:idx val="8"/>
          <c:order val="6"/>
          <c:tx>
            <c:strRef>
              <c:f>'Interior Lights'!$H$66</c:f>
              <c:strCache>
                <c:ptCount val="1"/>
                <c:pt idx="0">
                  <c:v>PNNL-Otherday</c:v>
                </c:pt>
              </c:strCache>
            </c:strRef>
          </c:tx>
          <c:spPr>
            <a:ln w="28575" cap="rnd">
              <a:solidFill>
                <a:schemeClr val="accent3">
                  <a:lumMod val="60000"/>
                </a:schemeClr>
              </a:solidFill>
              <a:round/>
            </a:ln>
            <a:effectLst/>
          </c:spPr>
          <c:marker>
            <c:symbol val="none"/>
          </c:marker>
          <c:cat>
            <c:multiLvlStrRef>
              <c:f>'Interior Lights'!$A$67:$A$90</c:f>
            </c:multiLvlStrRef>
          </c:cat>
          <c:val>
            <c:numRef>
              <c:f>'Interior Lights'!$H$67:$H$90</c:f>
            </c:numRef>
          </c:val>
          <c:smooth val="0"/>
          <c:extLst>
            <c:ext xmlns:c16="http://schemas.microsoft.com/office/drawing/2014/chart" uri="{C3380CC4-5D6E-409C-BE32-E72D297353CC}">
              <c16:uniqueId val="{00000006-5672-49DA-9D73-0943382CB52C}"/>
            </c:ext>
          </c:extLst>
        </c:ser>
        <c:dLbls>
          <c:showLegendKey val="0"/>
          <c:showVal val="0"/>
          <c:showCatName val="0"/>
          <c:showSerName val="0"/>
          <c:showPercent val="0"/>
          <c:showBubbleSize val="0"/>
        </c:dLbls>
        <c:marker val="1"/>
        <c:smooth val="0"/>
        <c:axId val="787384271"/>
        <c:axId val="787381871"/>
        <c:extLst/>
      </c:lineChart>
      <c:catAx>
        <c:axId val="78738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1871"/>
        <c:crosses val="autoZero"/>
        <c:auto val="1"/>
        <c:lblAlgn val="ctr"/>
        <c:lblOffset val="100"/>
        <c:noMultiLvlLbl val="0"/>
      </c:catAx>
      <c:valAx>
        <c:axId val="78738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4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CEC</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Equipment-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Equipment!$C$104</c:f>
              <c:strCache>
                <c:ptCount val="1"/>
                <c:pt idx="0">
                  <c:v>CEC-Weekday</c:v>
                </c:pt>
              </c:strCache>
            </c:strRef>
          </c:tx>
          <c:spPr>
            <a:ln w="28575" cap="rnd">
              <a:solidFill>
                <a:schemeClr val="accent1"/>
              </a:solidFill>
              <a:round/>
            </a:ln>
            <a:effectLst/>
          </c:spPr>
          <c:marker>
            <c:symbol val="none"/>
          </c:marker>
          <c:val>
            <c:numRef>
              <c:f>Equipment!$C$105:$C$128</c:f>
            </c:numRef>
          </c:val>
          <c:smooth val="0"/>
          <c:extLst>
            <c:ext xmlns:c16="http://schemas.microsoft.com/office/drawing/2014/chart" uri="{C3380CC4-5D6E-409C-BE32-E72D297353CC}">
              <c16:uniqueId val="{00000003-43A7-47E5-8440-F55F846E6419}"/>
            </c:ext>
          </c:extLst>
        </c:ser>
        <c:ser>
          <c:idx val="1"/>
          <c:order val="1"/>
          <c:tx>
            <c:strRef>
              <c:f>Equipment!$D$104</c:f>
              <c:strCache>
                <c:ptCount val="1"/>
                <c:pt idx="0">
                  <c:v>CEC-Saturday</c:v>
                </c:pt>
              </c:strCache>
            </c:strRef>
          </c:tx>
          <c:spPr>
            <a:ln w="28575" cap="rnd">
              <a:solidFill>
                <a:schemeClr val="accent2"/>
              </a:solidFill>
              <a:round/>
            </a:ln>
            <a:effectLst/>
          </c:spPr>
          <c:marker>
            <c:symbol val="none"/>
          </c:marker>
          <c:val>
            <c:numRef>
              <c:f>Equipment!$D$105:$D$128</c:f>
            </c:numRef>
          </c:val>
          <c:smooth val="0"/>
          <c:extLst>
            <c:ext xmlns:c16="http://schemas.microsoft.com/office/drawing/2014/chart" uri="{C3380CC4-5D6E-409C-BE32-E72D297353CC}">
              <c16:uniqueId val="{00000004-43A7-47E5-8440-F55F846E6419}"/>
            </c:ext>
          </c:extLst>
        </c:ser>
        <c:ser>
          <c:idx val="2"/>
          <c:order val="2"/>
          <c:tx>
            <c:strRef>
              <c:f>Equipment!$E$104</c:f>
              <c:strCache>
                <c:ptCount val="1"/>
                <c:pt idx="0">
                  <c:v>CEC-Sunday</c:v>
                </c:pt>
              </c:strCache>
            </c:strRef>
          </c:tx>
          <c:spPr>
            <a:ln w="28575" cap="rnd">
              <a:solidFill>
                <a:schemeClr val="accent3"/>
              </a:solidFill>
              <a:round/>
            </a:ln>
            <a:effectLst/>
          </c:spPr>
          <c:marker>
            <c:symbol val="none"/>
          </c:marker>
          <c:val>
            <c:numRef>
              <c:f>Equipment!$E$105:$E$128</c:f>
            </c:numRef>
          </c:val>
          <c:smooth val="0"/>
          <c:extLst>
            <c:ext xmlns:c16="http://schemas.microsoft.com/office/drawing/2014/chart" uri="{C3380CC4-5D6E-409C-BE32-E72D297353CC}">
              <c16:uniqueId val="{00000000-8986-4927-A516-ECB8353560CD}"/>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PNNL</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Equipment-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5"/>
          <c:order val="0"/>
          <c:tx>
            <c:strRef>
              <c:f>Equipment!$F$104</c:f>
              <c:strCache>
                <c:ptCount val="1"/>
                <c:pt idx="0">
                  <c:v>PNNL-Weekday</c:v>
                </c:pt>
              </c:strCache>
              <c:extLst xmlns:c15="http://schemas.microsoft.com/office/drawing/2012/chart"/>
            </c:strRef>
          </c:tx>
          <c:spPr>
            <a:ln w="28575" cap="rnd">
              <a:solidFill>
                <a:schemeClr val="accent6"/>
              </a:solidFill>
              <a:round/>
            </a:ln>
            <a:effectLst/>
          </c:spPr>
          <c:marker>
            <c:symbol val="none"/>
          </c:marker>
          <c:cat>
            <c:multiLvlStrRef>
              <c:f>Equipment!$A$105:$A$128</c:f>
            </c:multiLvlStrRef>
          </c:cat>
          <c:val>
            <c:numRef>
              <c:f>Equipment!$F$105:$F$128</c:f>
              <c:extLst xmlns:c15="http://schemas.microsoft.com/office/drawing/2012/chart"/>
            </c:numRef>
          </c:val>
          <c:smooth val="0"/>
          <c:extLst>
            <c:ext xmlns:c16="http://schemas.microsoft.com/office/drawing/2014/chart" uri="{C3380CC4-5D6E-409C-BE32-E72D297353CC}">
              <c16:uniqueId val="{00000008-FE65-413B-A578-C2B1178F7F78}"/>
            </c:ext>
          </c:extLst>
        </c:ser>
        <c:ser>
          <c:idx val="6"/>
          <c:order val="1"/>
          <c:tx>
            <c:strRef>
              <c:f>Equipment!$G$104</c:f>
              <c:strCache>
                <c:ptCount val="1"/>
                <c:pt idx="0">
                  <c:v>PNNL-Saturday</c:v>
                </c:pt>
              </c:strCache>
              <c:extLst xmlns:c15="http://schemas.microsoft.com/office/drawing/2012/chart"/>
            </c:strRef>
          </c:tx>
          <c:spPr>
            <a:ln w="28575" cap="rnd">
              <a:solidFill>
                <a:schemeClr val="accent1">
                  <a:lumMod val="60000"/>
                </a:schemeClr>
              </a:solidFill>
              <a:round/>
            </a:ln>
            <a:effectLst/>
          </c:spPr>
          <c:marker>
            <c:symbol val="none"/>
          </c:marker>
          <c:cat>
            <c:multiLvlStrRef>
              <c:f>Equipment!$A$105:$A$128</c:f>
            </c:multiLvlStrRef>
          </c:cat>
          <c:val>
            <c:numRef>
              <c:f>Equipment!$G$105:$G$128</c:f>
              <c:extLst xmlns:c15="http://schemas.microsoft.com/office/drawing/2012/chart"/>
            </c:numRef>
          </c:val>
          <c:smooth val="0"/>
          <c:extLst>
            <c:ext xmlns:c16="http://schemas.microsoft.com/office/drawing/2014/chart" uri="{C3380CC4-5D6E-409C-BE32-E72D297353CC}">
              <c16:uniqueId val="{00000009-FE65-413B-A578-C2B1178F7F78}"/>
            </c:ext>
          </c:extLst>
        </c:ser>
        <c:ser>
          <c:idx val="7"/>
          <c:order val="2"/>
          <c:tx>
            <c:strRef>
              <c:f>Equipment!$H$104</c:f>
              <c:strCache>
                <c:ptCount val="1"/>
                <c:pt idx="0">
                  <c:v>PNNL-Sunday</c:v>
                </c:pt>
              </c:strCache>
              <c:extLst xmlns:c15="http://schemas.microsoft.com/office/drawing/2012/chart"/>
            </c:strRef>
          </c:tx>
          <c:spPr>
            <a:ln w="28575" cap="rnd">
              <a:solidFill>
                <a:schemeClr val="accent2">
                  <a:lumMod val="60000"/>
                </a:schemeClr>
              </a:solidFill>
              <a:round/>
            </a:ln>
            <a:effectLst/>
          </c:spPr>
          <c:marker>
            <c:symbol val="none"/>
          </c:marker>
          <c:cat>
            <c:multiLvlStrRef>
              <c:f>Equipment!$A$105:$A$128</c:f>
            </c:multiLvlStrRef>
          </c:cat>
          <c:val>
            <c:numRef>
              <c:f>Equipment!$H$105:$H$128</c:f>
              <c:extLst xmlns:c15="http://schemas.microsoft.com/office/drawing/2012/chart"/>
            </c:numRef>
          </c:val>
          <c:smooth val="0"/>
          <c:extLst>
            <c:ext xmlns:c16="http://schemas.microsoft.com/office/drawing/2014/chart" uri="{C3380CC4-5D6E-409C-BE32-E72D297353CC}">
              <c16:uniqueId val="{0000000A-FE65-413B-A578-C2B1178F7F78}"/>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layout>
        <c:manualLayout>
          <c:xMode val="edge"/>
          <c:yMode val="edge"/>
          <c:x val="0.11827820943808745"/>
          <c:y val="0.87772650689406195"/>
          <c:w val="0.77545728336610698"/>
          <c:h val="8.73389952893442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CEC</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Elevator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Equipment!$K$104</c:f>
              <c:strCache>
                <c:ptCount val="1"/>
                <c:pt idx="0">
                  <c:v>CEC-Weekday</c:v>
                </c:pt>
              </c:strCache>
            </c:strRef>
          </c:tx>
          <c:spPr>
            <a:ln w="28575" cap="rnd">
              <a:solidFill>
                <a:schemeClr val="accent1"/>
              </a:solidFill>
              <a:round/>
            </a:ln>
            <a:effectLst/>
          </c:spPr>
          <c:marker>
            <c:symbol val="none"/>
          </c:marker>
          <c:val>
            <c:numRef>
              <c:f>Equipment!$K$105:$K$128</c:f>
            </c:numRef>
          </c:val>
          <c:smooth val="0"/>
          <c:extLst>
            <c:ext xmlns:c16="http://schemas.microsoft.com/office/drawing/2014/chart" uri="{C3380CC4-5D6E-409C-BE32-E72D297353CC}">
              <c16:uniqueId val="{00000000-4C13-4003-840A-EDA79F08E188}"/>
            </c:ext>
          </c:extLst>
        </c:ser>
        <c:ser>
          <c:idx val="1"/>
          <c:order val="1"/>
          <c:tx>
            <c:strRef>
              <c:f>Equipment!$L$104</c:f>
              <c:strCache>
                <c:ptCount val="1"/>
                <c:pt idx="0">
                  <c:v>CEC-Saturday</c:v>
                </c:pt>
              </c:strCache>
            </c:strRef>
          </c:tx>
          <c:spPr>
            <a:ln w="28575" cap="rnd">
              <a:solidFill>
                <a:schemeClr val="accent2"/>
              </a:solidFill>
              <a:round/>
            </a:ln>
            <a:effectLst/>
          </c:spPr>
          <c:marker>
            <c:symbol val="none"/>
          </c:marker>
          <c:val>
            <c:numRef>
              <c:f>Equipment!$L$105:$L$128</c:f>
            </c:numRef>
          </c:val>
          <c:smooth val="0"/>
          <c:extLst>
            <c:ext xmlns:c16="http://schemas.microsoft.com/office/drawing/2014/chart" uri="{C3380CC4-5D6E-409C-BE32-E72D297353CC}">
              <c16:uniqueId val="{00000001-4C13-4003-840A-EDA79F08E188}"/>
            </c:ext>
          </c:extLst>
        </c:ser>
        <c:ser>
          <c:idx val="2"/>
          <c:order val="2"/>
          <c:tx>
            <c:strRef>
              <c:f>Equipment!$M$104</c:f>
              <c:strCache>
                <c:ptCount val="1"/>
                <c:pt idx="0">
                  <c:v>CEC-Sunday</c:v>
                </c:pt>
              </c:strCache>
            </c:strRef>
          </c:tx>
          <c:spPr>
            <a:ln w="28575" cap="rnd">
              <a:solidFill>
                <a:schemeClr val="accent3"/>
              </a:solidFill>
              <a:round/>
            </a:ln>
            <a:effectLst/>
          </c:spPr>
          <c:marker>
            <c:symbol val="none"/>
          </c:marker>
          <c:val>
            <c:numRef>
              <c:f>Equipment!$M$105:$M$128</c:f>
            </c:numRef>
          </c:val>
          <c:smooth val="0"/>
          <c:extLst>
            <c:ext xmlns:c16="http://schemas.microsoft.com/office/drawing/2014/chart" uri="{C3380CC4-5D6E-409C-BE32-E72D297353CC}">
              <c16:uniqueId val="{00000002-4C13-4003-840A-EDA79F08E188}"/>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PNNL</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Elevator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5"/>
          <c:order val="0"/>
          <c:tx>
            <c:strRef>
              <c:f>Equipment!$O$104</c:f>
              <c:strCache>
                <c:ptCount val="1"/>
                <c:pt idx="0">
                  <c:v>PNNL-Weekday</c:v>
                </c:pt>
              </c:strCache>
            </c:strRef>
          </c:tx>
          <c:spPr>
            <a:ln w="28575" cap="rnd">
              <a:solidFill>
                <a:schemeClr val="accent6"/>
              </a:solidFill>
              <a:round/>
            </a:ln>
            <a:effectLst/>
          </c:spPr>
          <c:marker>
            <c:symbol val="none"/>
          </c:marker>
          <c:val>
            <c:numRef>
              <c:f>Equipment!$O$105:$O$128</c:f>
            </c:numRef>
          </c:val>
          <c:smooth val="0"/>
          <c:extLst>
            <c:ext xmlns:c16="http://schemas.microsoft.com/office/drawing/2014/chart" uri="{C3380CC4-5D6E-409C-BE32-E72D297353CC}">
              <c16:uniqueId val="{00000000-D12E-456F-BBD1-2D3F99E52D52}"/>
            </c:ext>
          </c:extLst>
        </c:ser>
        <c:ser>
          <c:idx val="6"/>
          <c:order val="1"/>
          <c:tx>
            <c:strRef>
              <c:f>Equipment!$P$104</c:f>
              <c:strCache>
                <c:ptCount val="1"/>
                <c:pt idx="0">
                  <c:v>PNNL-Saturday</c:v>
                </c:pt>
              </c:strCache>
            </c:strRef>
          </c:tx>
          <c:spPr>
            <a:ln w="28575" cap="rnd">
              <a:solidFill>
                <a:schemeClr val="accent1">
                  <a:lumMod val="60000"/>
                </a:schemeClr>
              </a:solidFill>
              <a:round/>
            </a:ln>
            <a:effectLst/>
          </c:spPr>
          <c:marker>
            <c:symbol val="none"/>
          </c:marker>
          <c:val>
            <c:numRef>
              <c:f>Equipment!$P$105:$P$128</c:f>
            </c:numRef>
          </c:val>
          <c:smooth val="0"/>
          <c:extLst>
            <c:ext xmlns:c16="http://schemas.microsoft.com/office/drawing/2014/chart" uri="{C3380CC4-5D6E-409C-BE32-E72D297353CC}">
              <c16:uniqueId val="{00000001-D12E-456F-BBD1-2D3F99E52D52}"/>
            </c:ext>
          </c:extLst>
        </c:ser>
        <c:ser>
          <c:idx val="7"/>
          <c:order val="2"/>
          <c:tx>
            <c:strRef>
              <c:f>Equipment!$Q$104</c:f>
              <c:strCache>
                <c:ptCount val="1"/>
                <c:pt idx="0">
                  <c:v>PNNL-Sunday</c:v>
                </c:pt>
              </c:strCache>
            </c:strRef>
          </c:tx>
          <c:spPr>
            <a:ln w="28575" cap="rnd">
              <a:solidFill>
                <a:schemeClr val="accent2">
                  <a:lumMod val="60000"/>
                </a:schemeClr>
              </a:solidFill>
              <a:round/>
            </a:ln>
            <a:effectLst/>
          </c:spPr>
          <c:marker>
            <c:symbol val="none"/>
          </c:marker>
          <c:val>
            <c:numRef>
              <c:f>Equipment!$Q$105:$Q$128</c:f>
            </c:numRef>
          </c:val>
          <c:smooth val="0"/>
          <c:extLst>
            <c:ext xmlns:c16="http://schemas.microsoft.com/office/drawing/2014/chart" uri="{C3380CC4-5D6E-409C-BE32-E72D297353CC}">
              <c16:uniqueId val="{00000002-D12E-456F-BBD1-2D3F99E52D52}"/>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layout>
        <c:manualLayout>
          <c:xMode val="edge"/>
          <c:yMode val="edge"/>
          <c:x val="0.11827820943808745"/>
          <c:y val="0.87772650689406195"/>
          <c:w val="0.77545728336610698"/>
          <c:h val="8.73389952893442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CEC</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Escalator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Equipment!$T$104</c:f>
              <c:strCache>
                <c:ptCount val="1"/>
                <c:pt idx="0">
                  <c:v>CEC-Weekday</c:v>
                </c:pt>
              </c:strCache>
            </c:strRef>
          </c:tx>
          <c:spPr>
            <a:ln w="28575" cap="rnd">
              <a:solidFill>
                <a:schemeClr val="accent1"/>
              </a:solidFill>
              <a:round/>
            </a:ln>
            <a:effectLst/>
          </c:spPr>
          <c:marker>
            <c:symbol val="none"/>
          </c:marker>
          <c:val>
            <c:numRef>
              <c:f>Equipment!$T$105:$T$128</c:f>
            </c:numRef>
          </c:val>
          <c:smooth val="0"/>
          <c:extLst>
            <c:ext xmlns:c16="http://schemas.microsoft.com/office/drawing/2014/chart" uri="{C3380CC4-5D6E-409C-BE32-E72D297353CC}">
              <c16:uniqueId val="{00000000-62EA-43B2-81C2-48B311DB1216}"/>
            </c:ext>
          </c:extLst>
        </c:ser>
        <c:ser>
          <c:idx val="1"/>
          <c:order val="1"/>
          <c:tx>
            <c:strRef>
              <c:f>Equipment!$U$104</c:f>
              <c:strCache>
                <c:ptCount val="1"/>
                <c:pt idx="0">
                  <c:v>CEC-Saturday</c:v>
                </c:pt>
              </c:strCache>
            </c:strRef>
          </c:tx>
          <c:spPr>
            <a:ln w="28575" cap="rnd">
              <a:solidFill>
                <a:schemeClr val="accent2"/>
              </a:solidFill>
              <a:round/>
            </a:ln>
            <a:effectLst/>
          </c:spPr>
          <c:marker>
            <c:symbol val="none"/>
          </c:marker>
          <c:val>
            <c:numRef>
              <c:f>Equipment!$U$105:$U$128</c:f>
            </c:numRef>
          </c:val>
          <c:smooth val="0"/>
          <c:extLst>
            <c:ext xmlns:c16="http://schemas.microsoft.com/office/drawing/2014/chart" uri="{C3380CC4-5D6E-409C-BE32-E72D297353CC}">
              <c16:uniqueId val="{00000001-62EA-43B2-81C2-48B311DB1216}"/>
            </c:ext>
          </c:extLst>
        </c:ser>
        <c:ser>
          <c:idx val="2"/>
          <c:order val="2"/>
          <c:tx>
            <c:strRef>
              <c:f>Equipment!$V$104</c:f>
              <c:strCache>
                <c:ptCount val="1"/>
                <c:pt idx="0">
                  <c:v>CEC-Sunday</c:v>
                </c:pt>
              </c:strCache>
            </c:strRef>
          </c:tx>
          <c:spPr>
            <a:ln w="28575" cap="rnd">
              <a:solidFill>
                <a:schemeClr val="accent3"/>
              </a:solidFill>
              <a:round/>
            </a:ln>
            <a:effectLst/>
          </c:spPr>
          <c:marker>
            <c:symbol val="none"/>
          </c:marker>
          <c:val>
            <c:numRef>
              <c:f>Equipment!$V$105:$V$128</c:f>
            </c:numRef>
          </c:val>
          <c:smooth val="0"/>
          <c:extLst>
            <c:ext xmlns:c16="http://schemas.microsoft.com/office/drawing/2014/chart" uri="{C3380CC4-5D6E-409C-BE32-E72D297353CC}">
              <c16:uniqueId val="{00000002-62EA-43B2-81C2-48B311DB1216}"/>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PNNL</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Lights Fan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5"/>
          <c:order val="0"/>
          <c:tx>
            <c:strRef>
              <c:f>Equipment!$X$104</c:f>
              <c:strCache>
                <c:ptCount val="1"/>
                <c:pt idx="0">
                  <c:v>PNNL-Weekday</c:v>
                </c:pt>
              </c:strCache>
            </c:strRef>
          </c:tx>
          <c:spPr>
            <a:ln w="28575" cap="rnd">
              <a:solidFill>
                <a:schemeClr val="accent6"/>
              </a:solidFill>
              <a:round/>
            </a:ln>
            <a:effectLst/>
          </c:spPr>
          <c:marker>
            <c:symbol val="none"/>
          </c:marker>
          <c:val>
            <c:numRef>
              <c:f>Equipment!$X$105:$X$128</c:f>
            </c:numRef>
          </c:val>
          <c:smooth val="0"/>
          <c:extLst>
            <c:ext xmlns:c16="http://schemas.microsoft.com/office/drawing/2014/chart" uri="{C3380CC4-5D6E-409C-BE32-E72D297353CC}">
              <c16:uniqueId val="{00000000-6247-4A4C-902A-2C5B9ED275B5}"/>
            </c:ext>
          </c:extLst>
        </c:ser>
        <c:ser>
          <c:idx val="6"/>
          <c:order val="1"/>
          <c:tx>
            <c:strRef>
              <c:f>Equipment!$Y$104</c:f>
              <c:strCache>
                <c:ptCount val="1"/>
                <c:pt idx="0">
                  <c:v>PNNL-Saturday</c:v>
                </c:pt>
              </c:strCache>
            </c:strRef>
          </c:tx>
          <c:spPr>
            <a:ln w="28575" cap="rnd">
              <a:solidFill>
                <a:schemeClr val="accent1">
                  <a:lumMod val="60000"/>
                </a:schemeClr>
              </a:solidFill>
              <a:round/>
            </a:ln>
            <a:effectLst/>
          </c:spPr>
          <c:marker>
            <c:symbol val="none"/>
          </c:marker>
          <c:val>
            <c:numRef>
              <c:f>Equipment!$Y$105:$Y$128</c:f>
            </c:numRef>
          </c:val>
          <c:smooth val="0"/>
          <c:extLst>
            <c:ext xmlns:c16="http://schemas.microsoft.com/office/drawing/2014/chart" uri="{C3380CC4-5D6E-409C-BE32-E72D297353CC}">
              <c16:uniqueId val="{00000001-6247-4A4C-902A-2C5B9ED275B5}"/>
            </c:ext>
          </c:extLst>
        </c:ser>
        <c:ser>
          <c:idx val="7"/>
          <c:order val="2"/>
          <c:tx>
            <c:strRef>
              <c:f>Equipment!$Z$104</c:f>
              <c:strCache>
                <c:ptCount val="1"/>
                <c:pt idx="0">
                  <c:v>PNNL-Sunday</c:v>
                </c:pt>
              </c:strCache>
            </c:strRef>
          </c:tx>
          <c:spPr>
            <a:ln w="28575" cap="rnd">
              <a:solidFill>
                <a:schemeClr val="accent2">
                  <a:lumMod val="60000"/>
                </a:schemeClr>
              </a:solidFill>
              <a:round/>
            </a:ln>
            <a:effectLst/>
          </c:spPr>
          <c:marker>
            <c:symbol val="none"/>
          </c:marker>
          <c:val>
            <c:numRef>
              <c:f>Equipment!$Z$105:$Z$128</c:f>
            </c:numRef>
          </c:val>
          <c:smooth val="0"/>
          <c:extLst>
            <c:ext xmlns:c16="http://schemas.microsoft.com/office/drawing/2014/chart" uri="{C3380CC4-5D6E-409C-BE32-E72D297353CC}">
              <c16:uniqueId val="{00000002-6247-4A4C-902A-2C5B9ED275B5}"/>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layout>
        <c:manualLayout>
          <c:xMode val="edge"/>
          <c:yMode val="edge"/>
          <c:x val="0.11827820943808745"/>
          <c:y val="0.87772650689406195"/>
          <c:w val="0.77545728336610698"/>
          <c:h val="8.73389952893442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System Capacity </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Schedules!$E$98</c:f>
              <c:strCache>
                <c:ptCount val="1"/>
                <c:pt idx="0">
                  <c:v>Weekday</c:v>
                </c:pt>
              </c:strCache>
            </c:strRef>
          </c:tx>
          <c:spPr>
            <a:ln w="28575" cap="rnd">
              <a:solidFill>
                <a:schemeClr val="accent1"/>
              </a:solidFill>
              <a:round/>
            </a:ln>
            <a:effectLst/>
          </c:spPr>
          <c:marker>
            <c:symbol val="none"/>
          </c:marker>
          <c:val>
            <c:numRef>
              <c:f>Schedules!$F$98:$AC$98</c:f>
            </c:numRef>
          </c:val>
          <c:smooth val="0"/>
          <c:extLst>
            <c:ext xmlns:c16="http://schemas.microsoft.com/office/drawing/2014/chart" uri="{C3380CC4-5D6E-409C-BE32-E72D297353CC}">
              <c16:uniqueId val="{00000000-8C2E-4FDC-8DAB-7FCF7BC63644}"/>
            </c:ext>
          </c:extLst>
        </c:ser>
        <c:ser>
          <c:idx val="1"/>
          <c:order val="1"/>
          <c:tx>
            <c:strRef>
              <c:f>Schedules!$E$99</c:f>
              <c:strCache>
                <c:ptCount val="1"/>
                <c:pt idx="0">
                  <c:v>Saturday</c:v>
                </c:pt>
              </c:strCache>
            </c:strRef>
          </c:tx>
          <c:spPr>
            <a:ln w="28575" cap="rnd">
              <a:solidFill>
                <a:schemeClr val="accent2"/>
              </a:solidFill>
              <a:round/>
            </a:ln>
            <a:effectLst/>
          </c:spPr>
          <c:marker>
            <c:symbol val="none"/>
          </c:marker>
          <c:val>
            <c:numRef>
              <c:f>Schedules!$F$99:$AC$99</c:f>
            </c:numRef>
          </c:val>
          <c:smooth val="0"/>
          <c:extLst>
            <c:ext xmlns:c16="http://schemas.microsoft.com/office/drawing/2014/chart" uri="{C3380CC4-5D6E-409C-BE32-E72D297353CC}">
              <c16:uniqueId val="{00000001-8C2E-4FDC-8DAB-7FCF7BC63644}"/>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rPr>
              <a:t>HVAC System Operating- Closed Office Zones</a:t>
            </a:r>
          </a:p>
          <a:p>
            <a:pPr marL="0" marR="0" lvl="0" indent="0" algn="ctr" defTabSz="914400" rtl="0" eaLnBrk="1" fontAlgn="auto" latinLnBrk="0" hangingPunct="1">
              <a:lnSpc>
                <a:spcPct val="100000"/>
              </a:lnSpc>
              <a:spcBef>
                <a:spcPts val="0"/>
              </a:spcBef>
              <a:spcAft>
                <a:spcPts val="0"/>
              </a:spcAft>
              <a:buClrTx/>
              <a:buSzTx/>
              <a:buFontTx/>
              <a:buNone/>
              <a:tabLst/>
              <a:defRPr sz="1000">
                <a:solidFill>
                  <a:sysClr val="windowText" lastClr="000000">
                    <a:lumMod val="65000"/>
                    <a:lumOff val="35000"/>
                  </a:sysClr>
                </a:solidFill>
                <a:latin typeface="Arial" panose="020B0604020202020204" pitchFamily="34" charset="0"/>
                <a:cs typeface="Arial" panose="020B0604020202020204" pitchFamily="34" charset="0"/>
              </a:defRPr>
            </a:pPr>
            <a:endParaRPr lang="en-US" sz="1000" b="1" i="0" u="none" strike="noStrike" kern="1200" spc="0" baseline="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Schedules!$E$101</c:f>
              <c:strCache>
                <c:ptCount val="1"/>
                <c:pt idx="0">
                  <c:v>Weekday</c:v>
                </c:pt>
              </c:strCache>
            </c:strRef>
          </c:tx>
          <c:spPr>
            <a:ln w="28575" cap="rnd">
              <a:solidFill>
                <a:schemeClr val="accent1"/>
              </a:solidFill>
              <a:round/>
            </a:ln>
            <a:effectLst/>
          </c:spPr>
          <c:marker>
            <c:symbol val="none"/>
          </c:marker>
          <c:val>
            <c:numRef>
              <c:f>Schedules!$F$101:$AC$101</c:f>
            </c:numRef>
          </c:val>
          <c:smooth val="0"/>
          <c:extLst>
            <c:ext xmlns:c16="http://schemas.microsoft.com/office/drawing/2014/chart" uri="{C3380CC4-5D6E-409C-BE32-E72D297353CC}">
              <c16:uniqueId val="{00000000-08C4-4E32-A5AC-4CF15D51F2DA}"/>
            </c:ext>
          </c:extLst>
        </c:ser>
        <c:ser>
          <c:idx val="1"/>
          <c:order val="1"/>
          <c:tx>
            <c:strRef>
              <c:f>Schedules!$E$102</c:f>
              <c:strCache>
                <c:ptCount val="1"/>
                <c:pt idx="0">
                  <c:v>Saturday</c:v>
                </c:pt>
              </c:strCache>
            </c:strRef>
          </c:tx>
          <c:spPr>
            <a:ln w="28575" cap="rnd">
              <a:solidFill>
                <a:schemeClr val="accent2"/>
              </a:solidFill>
              <a:round/>
            </a:ln>
            <a:effectLst/>
          </c:spPr>
          <c:marker>
            <c:symbol val="none"/>
          </c:marker>
          <c:val>
            <c:numRef>
              <c:f>Schedules!$F$102:$AC$102</c:f>
            </c:numRef>
          </c:val>
          <c:smooth val="0"/>
          <c:extLst>
            <c:ext xmlns:c16="http://schemas.microsoft.com/office/drawing/2014/chart" uri="{C3380CC4-5D6E-409C-BE32-E72D297353CC}">
              <c16:uniqueId val="{00000001-08C4-4E32-A5AC-4CF15D51F2DA}"/>
            </c:ext>
          </c:extLst>
        </c:ser>
        <c:ser>
          <c:idx val="2"/>
          <c:order val="2"/>
          <c:tx>
            <c:strRef>
              <c:f>Schedules!$E$103</c:f>
              <c:strCache>
                <c:ptCount val="1"/>
                <c:pt idx="0">
                  <c:v>Otherday</c:v>
                </c:pt>
              </c:strCache>
            </c:strRef>
          </c:tx>
          <c:spPr>
            <a:ln w="28575" cap="rnd">
              <a:solidFill>
                <a:schemeClr val="accent3"/>
              </a:solidFill>
              <a:round/>
            </a:ln>
            <a:effectLst/>
          </c:spPr>
          <c:marker>
            <c:symbol val="none"/>
          </c:marker>
          <c:val>
            <c:numRef>
              <c:f>Schedules!$F$103:$AC$103</c:f>
            </c:numRef>
          </c:val>
          <c:smooth val="0"/>
          <c:extLst>
            <c:ext xmlns:c16="http://schemas.microsoft.com/office/drawing/2014/chart" uri="{C3380CC4-5D6E-409C-BE32-E72D297353CC}">
              <c16:uniqueId val="{00000002-08C4-4E32-A5AC-4CF15D51F2DA}"/>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rPr>
              <a:t>HVAC System Operating- Open Office Zones</a:t>
            </a:r>
          </a:p>
          <a:p>
            <a:pPr marL="0" marR="0" lvl="0" indent="0" algn="ctr" defTabSz="914400" rtl="0" eaLnBrk="1" fontAlgn="auto" latinLnBrk="0" hangingPunct="1">
              <a:lnSpc>
                <a:spcPct val="100000"/>
              </a:lnSpc>
              <a:spcBef>
                <a:spcPts val="0"/>
              </a:spcBef>
              <a:spcAft>
                <a:spcPts val="0"/>
              </a:spcAft>
              <a:buClrTx/>
              <a:buSzTx/>
              <a:buFontTx/>
              <a:buNone/>
              <a:tabLst/>
              <a:defRPr sz="1000">
                <a:solidFill>
                  <a:sysClr val="windowText" lastClr="000000">
                    <a:lumMod val="65000"/>
                    <a:lumOff val="35000"/>
                  </a:sysClr>
                </a:solidFill>
                <a:latin typeface="Arial" panose="020B0604020202020204" pitchFamily="34" charset="0"/>
                <a:cs typeface="Arial" panose="020B0604020202020204" pitchFamily="34" charset="0"/>
              </a:defRPr>
            </a:pPr>
            <a:endParaRPr lang="en-US" sz="1000" b="1" i="0" u="none" strike="noStrike" kern="1200" spc="0" baseline="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Schedules!$E$104</c:f>
              <c:strCache>
                <c:ptCount val="1"/>
                <c:pt idx="0">
                  <c:v>Weekday</c:v>
                </c:pt>
              </c:strCache>
            </c:strRef>
          </c:tx>
          <c:spPr>
            <a:ln w="28575" cap="rnd">
              <a:solidFill>
                <a:schemeClr val="accent1"/>
              </a:solidFill>
              <a:round/>
            </a:ln>
            <a:effectLst/>
          </c:spPr>
          <c:marker>
            <c:symbol val="none"/>
          </c:marker>
          <c:val>
            <c:numRef>
              <c:f>Schedules!$F$104:$AC$104</c:f>
            </c:numRef>
          </c:val>
          <c:smooth val="0"/>
          <c:extLst>
            <c:ext xmlns:c16="http://schemas.microsoft.com/office/drawing/2014/chart" uri="{C3380CC4-5D6E-409C-BE32-E72D297353CC}">
              <c16:uniqueId val="{00000000-690D-477B-BACF-FEC0B523E134}"/>
            </c:ext>
          </c:extLst>
        </c:ser>
        <c:ser>
          <c:idx val="1"/>
          <c:order val="1"/>
          <c:tx>
            <c:strRef>
              <c:f>Schedules!$E$105</c:f>
              <c:strCache>
                <c:ptCount val="1"/>
                <c:pt idx="0">
                  <c:v>Saturday</c:v>
                </c:pt>
              </c:strCache>
            </c:strRef>
          </c:tx>
          <c:spPr>
            <a:ln w="28575" cap="rnd">
              <a:solidFill>
                <a:schemeClr val="accent2"/>
              </a:solidFill>
              <a:round/>
            </a:ln>
            <a:effectLst/>
          </c:spPr>
          <c:marker>
            <c:symbol val="none"/>
          </c:marker>
          <c:val>
            <c:numRef>
              <c:f>Schedules!$F$105:$AC$105</c:f>
            </c:numRef>
          </c:val>
          <c:smooth val="0"/>
          <c:extLst>
            <c:ext xmlns:c16="http://schemas.microsoft.com/office/drawing/2014/chart" uri="{C3380CC4-5D6E-409C-BE32-E72D297353CC}">
              <c16:uniqueId val="{00000001-690D-477B-BACF-FEC0B523E134}"/>
            </c:ext>
          </c:extLst>
        </c:ser>
        <c:ser>
          <c:idx val="2"/>
          <c:order val="2"/>
          <c:tx>
            <c:strRef>
              <c:f>Schedules!$E$106</c:f>
              <c:strCache>
                <c:ptCount val="1"/>
                <c:pt idx="0">
                  <c:v>Otherday</c:v>
                </c:pt>
              </c:strCache>
            </c:strRef>
          </c:tx>
          <c:spPr>
            <a:ln w="28575" cap="rnd">
              <a:solidFill>
                <a:schemeClr val="accent3"/>
              </a:solidFill>
              <a:round/>
            </a:ln>
            <a:effectLst/>
          </c:spPr>
          <c:marker>
            <c:symbol val="none"/>
          </c:marker>
          <c:val>
            <c:numRef>
              <c:f>Schedules!$F$106:$AC$106</c:f>
            </c:numRef>
          </c:val>
          <c:smooth val="0"/>
          <c:extLst>
            <c:ext xmlns:c16="http://schemas.microsoft.com/office/drawing/2014/chart" uri="{C3380CC4-5D6E-409C-BE32-E72D297353CC}">
              <c16:uniqueId val="{00000002-690D-477B-BACF-FEC0B523E134}"/>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Schedules!$E$115</c:f>
              <c:strCache>
                <c:ptCount val="1"/>
                <c:pt idx="0">
                  <c:v>Weekday</c:v>
                </c:pt>
              </c:strCache>
            </c:strRef>
          </c:tx>
          <c:spPr>
            <a:ln w="28575" cap="rnd">
              <a:solidFill>
                <a:schemeClr val="accent1"/>
              </a:solidFill>
              <a:round/>
            </a:ln>
            <a:effectLst/>
          </c:spPr>
          <c:marker>
            <c:symbol val="none"/>
          </c:marker>
          <c:val>
            <c:numRef>
              <c:f>Schedules!$F$115:$AC$115</c:f>
            </c:numRef>
          </c:val>
          <c:smooth val="0"/>
          <c:extLst>
            <c:ext xmlns:c16="http://schemas.microsoft.com/office/drawing/2014/chart" uri="{C3380CC4-5D6E-409C-BE32-E72D297353CC}">
              <c16:uniqueId val="{00000000-3B57-4713-B0CD-EB5944F38800}"/>
            </c:ext>
          </c:extLst>
        </c:ser>
        <c:ser>
          <c:idx val="1"/>
          <c:order val="1"/>
          <c:tx>
            <c:strRef>
              <c:f>Schedules!$E$116</c:f>
              <c:strCache>
                <c:ptCount val="1"/>
                <c:pt idx="0">
                  <c:v>Saturday</c:v>
                </c:pt>
              </c:strCache>
            </c:strRef>
          </c:tx>
          <c:spPr>
            <a:ln w="28575" cap="rnd">
              <a:solidFill>
                <a:schemeClr val="accent2"/>
              </a:solidFill>
              <a:round/>
            </a:ln>
            <a:effectLst/>
          </c:spPr>
          <c:marker>
            <c:symbol val="none"/>
          </c:marker>
          <c:val>
            <c:numRef>
              <c:f>Schedules!$F$116:$AC$116</c:f>
            </c:numRef>
          </c:val>
          <c:smooth val="0"/>
          <c:extLst>
            <c:ext xmlns:c16="http://schemas.microsoft.com/office/drawing/2014/chart" uri="{C3380CC4-5D6E-409C-BE32-E72D297353CC}">
              <c16:uniqueId val="{00000001-3B57-4713-B0CD-EB5944F38800}"/>
            </c:ext>
          </c:extLst>
        </c:ser>
        <c:ser>
          <c:idx val="2"/>
          <c:order val="2"/>
          <c:tx>
            <c:strRef>
              <c:f>Schedules!$E$117</c:f>
              <c:strCache>
                <c:ptCount val="1"/>
                <c:pt idx="0">
                  <c:v>Sunday</c:v>
                </c:pt>
              </c:strCache>
            </c:strRef>
          </c:tx>
          <c:spPr>
            <a:ln w="28575" cap="rnd">
              <a:solidFill>
                <a:schemeClr val="accent3"/>
              </a:solidFill>
              <a:round/>
            </a:ln>
            <a:effectLst/>
          </c:spPr>
          <c:marker>
            <c:symbol val="none"/>
          </c:marker>
          <c:val>
            <c:numRef>
              <c:f>Schedules!$F$117:$AC$117</c:f>
            </c:numRef>
          </c:val>
          <c:smooth val="0"/>
          <c:extLst>
            <c:ext xmlns:c16="http://schemas.microsoft.com/office/drawing/2014/chart" uri="{C3380CC4-5D6E-409C-BE32-E72D297353CC}">
              <c16:uniqueId val="{00000002-3B57-4713-B0CD-EB5944F38800}"/>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0.05</c:v>
                </c:pt>
                <c:pt idx="1">
                  <c:v>0.05</c:v>
                </c:pt>
                <c:pt idx="2">
                  <c:v>0.05</c:v>
                </c:pt>
                <c:pt idx="3">
                  <c:v>0.05</c:v>
                </c:pt>
                <c:pt idx="4">
                  <c:v>0.05</c:v>
                </c:pt>
                <c:pt idx="5">
                  <c:v>0.08</c:v>
                </c:pt>
                <c:pt idx="6">
                  <c:v>7.0000000000000007E-2</c:v>
                </c:pt>
                <c:pt idx="7">
                  <c:v>0.19</c:v>
                </c:pt>
                <c:pt idx="8">
                  <c:v>0.35</c:v>
                </c:pt>
                <c:pt idx="9">
                  <c:v>0.38</c:v>
                </c:pt>
                <c:pt idx="10">
                  <c:v>0.39</c:v>
                </c:pt>
                <c:pt idx="11">
                  <c:v>0.47</c:v>
                </c:pt>
                <c:pt idx="12">
                  <c:v>0.56999999999999995</c:v>
                </c:pt>
                <c:pt idx="13">
                  <c:v>0.54</c:v>
                </c:pt>
                <c:pt idx="14">
                  <c:v>0.34</c:v>
                </c:pt>
                <c:pt idx="15">
                  <c:v>0.33</c:v>
                </c:pt>
                <c:pt idx="16">
                  <c:v>0.44</c:v>
                </c:pt>
                <c:pt idx="17">
                  <c:v>0.26</c:v>
                </c:pt>
                <c:pt idx="18">
                  <c:v>0.21</c:v>
                </c:pt>
                <c:pt idx="19">
                  <c:v>0.15</c:v>
                </c:pt>
                <c:pt idx="20">
                  <c:v>0.17</c:v>
                </c:pt>
                <c:pt idx="21">
                  <c:v>0.08</c:v>
                </c:pt>
                <c:pt idx="22">
                  <c:v>0.05</c:v>
                </c:pt>
                <c:pt idx="23">
                  <c:v>0.05</c:v>
                </c:pt>
              </c:numCache>
            </c:numRef>
          </c:val>
          <c:smooth val="0"/>
          <c:extLst>
            <c:ext xmlns:c16="http://schemas.microsoft.com/office/drawing/2014/chart" uri="{C3380CC4-5D6E-409C-BE32-E72D297353CC}">
              <c16:uniqueId val="{00000000-47E4-46E3-B775-CD184D8213AD}"/>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1-47E4-46E3-B775-CD184D8213AD}"/>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2-47E4-46E3-B775-CD184D8213A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529C-4146-8062-294852F0BCFB}"/>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529C-4146-8062-294852F0BCFB}"/>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29C-4146-8062-294852F0BCF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Medium Office CalBEM Prototype vs. National Average (CBECS 2018)</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v>Series One</c:v>
          </c:tx>
          <c:spPr>
            <a:noFill/>
            <a:ln>
              <a:noFill/>
            </a:ln>
            <a:effectLst/>
          </c:spPr>
          <c:invertIfNegative val="0"/>
          <c:val>
            <c:numRef>
              <c:f>'Energy Usage'!$K$3:$K$18</c:f>
              <c:numCache>
                <c:formatCode>General</c:formatCode>
                <c:ptCount val="16"/>
                <c:pt idx="0">
                  <c:v>44.849999999999994</c:v>
                </c:pt>
                <c:pt idx="1">
                  <c:v>49.125</c:v>
                </c:pt>
                <c:pt idx="2">
                  <c:v>46.650000000000006</c:v>
                </c:pt>
                <c:pt idx="3">
                  <c:v>50.775000000000006</c:v>
                </c:pt>
                <c:pt idx="4">
                  <c:v>44.775000000000006</c:v>
                </c:pt>
                <c:pt idx="5">
                  <c:v>51.75</c:v>
                </c:pt>
                <c:pt idx="6">
                  <c:v>48.675000000000004</c:v>
                </c:pt>
                <c:pt idx="7">
                  <c:v>49.425000000000004</c:v>
                </c:pt>
                <c:pt idx="8">
                  <c:v>49.425000000000004</c:v>
                </c:pt>
                <c:pt idx="9">
                  <c:v>49.800000000000004</c:v>
                </c:pt>
                <c:pt idx="10">
                  <c:v>51.449999999999996</c:v>
                </c:pt>
                <c:pt idx="11">
                  <c:v>50.849999999999994</c:v>
                </c:pt>
                <c:pt idx="12">
                  <c:v>51.224999999999994</c:v>
                </c:pt>
                <c:pt idx="13">
                  <c:v>51.75</c:v>
                </c:pt>
                <c:pt idx="14">
                  <c:v>50.775000000000006</c:v>
                </c:pt>
                <c:pt idx="15">
                  <c:v>52.949999999999996</c:v>
                </c:pt>
              </c:numCache>
            </c:numRef>
          </c:val>
          <c:extLst>
            <c:ext xmlns:c16="http://schemas.microsoft.com/office/drawing/2014/chart" uri="{C3380CC4-5D6E-409C-BE32-E72D297353CC}">
              <c16:uniqueId val="{00000000-6AC1-4F8B-ADDB-A95DD605E504}"/>
            </c:ext>
          </c:extLst>
        </c:ser>
        <c:ser>
          <c:idx val="2"/>
          <c:order val="1"/>
          <c:tx>
            <c:strRef>
              <c:f>'Energy Usage'!$L$2</c:f>
              <c:strCache>
                <c:ptCount val="1"/>
                <c:pt idx="0">
                  <c:v>National Average Acceptable Range</c:v>
                </c:pt>
              </c:strCache>
            </c:strRef>
          </c:tx>
          <c:spPr>
            <a:solidFill>
              <a:srgbClr val="CCCCFF"/>
            </a:solidFill>
            <a:ln>
              <a:solidFill>
                <a:srgbClr val="CCCCFF"/>
              </a:solidFill>
            </a:ln>
            <a:effectLst/>
          </c:spPr>
          <c:invertIfNegative val="0"/>
          <c:val>
            <c:numRef>
              <c:f>'Energy Usage'!$L$3:$L$18</c:f>
              <c:numCache>
                <c:formatCode>0.0</c:formatCode>
                <c:ptCount val="16"/>
                <c:pt idx="0">
                  <c:v>29.900000000000006</c:v>
                </c:pt>
                <c:pt idx="1">
                  <c:v>32.75</c:v>
                </c:pt>
                <c:pt idx="2">
                  <c:v>31.099999999999994</c:v>
                </c:pt>
                <c:pt idx="3">
                  <c:v>33.849999999999994</c:v>
                </c:pt>
                <c:pt idx="4">
                  <c:v>29.849999999999994</c:v>
                </c:pt>
                <c:pt idx="5">
                  <c:v>34.5</c:v>
                </c:pt>
                <c:pt idx="6">
                  <c:v>32.449999999999996</c:v>
                </c:pt>
                <c:pt idx="7">
                  <c:v>32.949999999999996</c:v>
                </c:pt>
                <c:pt idx="8">
                  <c:v>32.949999999999996</c:v>
                </c:pt>
                <c:pt idx="9">
                  <c:v>33.199999999999996</c:v>
                </c:pt>
                <c:pt idx="10">
                  <c:v>34.300000000000004</c:v>
                </c:pt>
                <c:pt idx="11">
                  <c:v>33.900000000000006</c:v>
                </c:pt>
                <c:pt idx="12">
                  <c:v>34.150000000000006</c:v>
                </c:pt>
                <c:pt idx="13">
                  <c:v>34.5</c:v>
                </c:pt>
                <c:pt idx="14">
                  <c:v>33.849999999999994</c:v>
                </c:pt>
                <c:pt idx="15">
                  <c:v>35.300000000000004</c:v>
                </c:pt>
              </c:numCache>
            </c:numRef>
          </c:val>
          <c:extLst>
            <c:ext xmlns:c16="http://schemas.microsoft.com/office/drawing/2014/chart" uri="{C3380CC4-5D6E-409C-BE32-E72D297353CC}">
              <c16:uniqueId val="{00000001-6AC1-4F8B-ADDB-A95DD605E504}"/>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numCache>
            </c:numRef>
          </c:yVal>
          <c:smooth val="0"/>
          <c:extLst>
            <c:ext xmlns:c16="http://schemas.microsoft.com/office/drawing/2014/chart" uri="{C3380CC4-5D6E-409C-BE32-E72D297353CC}">
              <c16:uniqueId val="{00000002-6AC1-4F8B-ADDB-A95DD605E504}"/>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6AC1-4F8B-ADDB-A95DD605E504}"/>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95"/>
          <c:min val="3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Medium Office CalBEM Prototype vs. CEUS</a:t>
            </a:r>
            <a:r>
              <a:rPr lang="en-US" baseline="0"/>
              <a:t> 2022</a:t>
            </a:r>
            <a:endParaRPr lang="en-US"/>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v>Series One</c:v>
          </c:tx>
          <c:spPr>
            <a:noFill/>
            <a:ln>
              <a:noFill/>
            </a:ln>
            <a:effectLst/>
          </c:spPr>
          <c:invertIfNegative val="0"/>
          <c:val>
            <c:numRef>
              <c:f>'Energy Usage'!$U$3:$U$18</c:f>
              <c:numCache>
                <c:formatCode>0.00</c:formatCode>
                <c:ptCount val="16"/>
                <c:pt idx="0">
                  <c:v>55.555890000000005</c:v>
                </c:pt>
                <c:pt idx="1">
                  <c:v>54.864959999999996</c:v>
                </c:pt>
                <c:pt idx="2">
                  <c:v>48.953670000000002</c:v>
                </c:pt>
                <c:pt idx="3">
                  <c:v>49.030439999999999</c:v>
                </c:pt>
                <c:pt idx="4">
                  <c:v>45.857280000000003</c:v>
                </c:pt>
                <c:pt idx="5">
                  <c:v>40.381019999999999</c:v>
                </c:pt>
                <c:pt idx="6">
                  <c:v>61.82544</c:v>
                </c:pt>
                <c:pt idx="7">
                  <c:v>37.463760000000001</c:v>
                </c:pt>
                <c:pt idx="8">
                  <c:v>39.101520000000008</c:v>
                </c:pt>
                <c:pt idx="9">
                  <c:v>48.902489999999993</c:v>
                </c:pt>
                <c:pt idx="10">
                  <c:v>40.150710000000004</c:v>
                </c:pt>
                <c:pt idx="11">
                  <c:v>52.510680000000001</c:v>
                </c:pt>
                <c:pt idx="12">
                  <c:v>50.181989999999999</c:v>
                </c:pt>
                <c:pt idx="13">
                  <c:v>36.337800000000001</c:v>
                </c:pt>
                <c:pt idx="14">
                  <c:v>37.975560000000002</c:v>
                </c:pt>
                <c:pt idx="15">
                  <c:v>40.995179999999998</c:v>
                </c:pt>
              </c:numCache>
            </c:numRef>
          </c:val>
          <c:extLst>
            <c:ext xmlns:c16="http://schemas.microsoft.com/office/drawing/2014/chart" uri="{C3380CC4-5D6E-409C-BE32-E72D297353CC}">
              <c16:uniqueId val="{00000000-A2BE-447E-9D2B-CE745D5970A8}"/>
            </c:ext>
          </c:extLst>
        </c:ser>
        <c:ser>
          <c:idx val="2"/>
          <c:order val="1"/>
          <c:tx>
            <c:strRef>
              <c:f>'Energy Usage'!$V$2</c:f>
              <c:strCache>
                <c:ptCount val="1"/>
                <c:pt idx="0">
                  <c:v>CEUS 2022 Acceptable Range</c:v>
                </c:pt>
              </c:strCache>
            </c:strRef>
          </c:tx>
          <c:spPr>
            <a:solidFill>
              <a:schemeClr val="accent4">
                <a:lumMod val="40000"/>
                <a:lumOff val="60000"/>
              </a:schemeClr>
            </a:solidFill>
            <a:ln>
              <a:solidFill>
                <a:schemeClr val="accent4">
                  <a:lumMod val="40000"/>
                  <a:lumOff val="60000"/>
                </a:schemeClr>
              </a:solidFill>
            </a:ln>
            <a:effectLst/>
          </c:spPr>
          <c:invertIfNegative val="0"/>
          <c:val>
            <c:numRef>
              <c:f>'Energy Usage'!$V$3:$V$18</c:f>
              <c:numCache>
                <c:formatCode>0.00</c:formatCode>
                <c:ptCount val="16"/>
                <c:pt idx="0">
                  <c:v>37.037260000000003</c:v>
                </c:pt>
                <c:pt idx="1">
                  <c:v>36.576639999999998</c:v>
                </c:pt>
                <c:pt idx="2">
                  <c:v>32.635780000000011</c:v>
                </c:pt>
                <c:pt idx="3">
                  <c:v>32.686959999999999</c:v>
                </c:pt>
                <c:pt idx="4">
                  <c:v>30.571520000000007</c:v>
                </c:pt>
                <c:pt idx="5">
                  <c:v>26.920679999999997</c:v>
                </c:pt>
                <c:pt idx="6">
                  <c:v>41.21696</c:v>
                </c:pt>
                <c:pt idx="7">
                  <c:v>24.975840000000005</c:v>
                </c:pt>
                <c:pt idx="8">
                  <c:v>26.067679999999996</c:v>
                </c:pt>
                <c:pt idx="9">
                  <c:v>32.601659999999988</c:v>
                </c:pt>
                <c:pt idx="10">
                  <c:v>26.767139999999998</c:v>
                </c:pt>
                <c:pt idx="11">
                  <c:v>35.007119999999993</c:v>
                </c:pt>
                <c:pt idx="12">
                  <c:v>33.45465999999999</c:v>
                </c:pt>
                <c:pt idx="13">
                  <c:v>24.225200000000001</c:v>
                </c:pt>
                <c:pt idx="14">
                  <c:v>25.317039999999992</c:v>
                </c:pt>
                <c:pt idx="15">
                  <c:v>27.330120000000001</c:v>
                </c:pt>
              </c:numCache>
            </c:numRef>
          </c:val>
          <c:extLst>
            <c:ext xmlns:c16="http://schemas.microsoft.com/office/drawing/2014/chart" uri="{C3380CC4-5D6E-409C-BE32-E72D297353CC}">
              <c16:uniqueId val="{00000001-A2BE-447E-9D2B-CE745D5970A8}"/>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numCache>
            </c:numRef>
          </c:yVal>
          <c:smooth val="0"/>
          <c:extLst>
            <c:ext xmlns:c16="http://schemas.microsoft.com/office/drawing/2014/chart" uri="{C3380CC4-5D6E-409C-BE32-E72D297353CC}">
              <c16:uniqueId val="{00000002-A2BE-447E-9D2B-CE745D5970A8}"/>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A2BE-447E-9D2B-CE745D5970A8}"/>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95"/>
          <c:min val="3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7.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243840</xdr:colOff>
      <xdr:row>31</xdr:row>
      <xdr:rowOff>160021</xdr:rowOff>
    </xdr:from>
    <xdr:to>
      <xdr:col>1</xdr:col>
      <xdr:colOff>5545455</xdr:colOff>
      <xdr:row>40</xdr:row>
      <xdr:rowOff>1</xdr:rowOff>
    </xdr:to>
    <xdr:pic>
      <xdr:nvPicPr>
        <xdr:cNvPr id="2" name="Picture 1">
          <a:extLst>
            <a:ext uri="{FF2B5EF4-FFF2-40B4-BE49-F238E27FC236}">
              <a16:creationId xmlns:a16="http://schemas.microsoft.com/office/drawing/2014/main" id="{961C273F-9653-4AEE-A88C-C1EA73B4DD5B}"/>
            </a:ext>
          </a:extLst>
        </xdr:cNvPr>
        <xdr:cNvPicPr>
          <a:picLocks noChangeAspect="1"/>
        </xdr:cNvPicPr>
      </xdr:nvPicPr>
      <xdr:blipFill>
        <a:blip xmlns:r="http://schemas.openxmlformats.org/officeDocument/2006/relationships" r:embed="rId1"/>
        <a:stretch>
          <a:fillRect/>
        </a:stretch>
      </xdr:blipFill>
      <xdr:spPr>
        <a:xfrm>
          <a:off x="1262601" y="5783912"/>
          <a:ext cx="5301615" cy="1554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381000</xdr:colOff>
      <xdr:row>7</xdr:row>
      <xdr:rowOff>57150</xdr:rowOff>
    </xdr:from>
    <xdr:to>
      <xdr:col>1</xdr:col>
      <xdr:colOff>2992755</xdr:colOff>
      <xdr:row>7</xdr:row>
      <xdr:rowOff>1181100</xdr:rowOff>
    </xdr:to>
    <xdr:pic>
      <xdr:nvPicPr>
        <xdr:cNvPr id="7" name="Picture 6">
          <a:extLst>
            <a:ext uri="{FF2B5EF4-FFF2-40B4-BE49-F238E27FC236}">
              <a16:creationId xmlns:a16="http://schemas.microsoft.com/office/drawing/2014/main" id="{8D79BC28-8444-52CF-620F-F2AC08CB0A76}"/>
            </a:ext>
            <a:ext uri="{147F2762-F138-4A5C-976F-8EAC2B608ADB}">
              <a16:predDERef xmlns:a16="http://schemas.microsoft.com/office/drawing/2014/main" pred="{AC346D18-221D-562E-F3F7-E0D6EC84A015}"/>
            </a:ext>
          </a:extLst>
        </xdr:cNvPr>
        <xdr:cNvPicPr>
          <a:picLocks noChangeAspect="1"/>
        </xdr:cNvPicPr>
      </xdr:nvPicPr>
      <xdr:blipFill>
        <a:blip xmlns:r="http://schemas.openxmlformats.org/officeDocument/2006/relationships" r:embed="rId1"/>
        <a:stretch>
          <a:fillRect/>
        </a:stretch>
      </xdr:blipFill>
      <xdr:spPr>
        <a:xfrm>
          <a:off x="2047875" y="1495425"/>
          <a:ext cx="2619375" cy="1123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20</xdr:col>
      <xdr:colOff>297146</xdr:colOff>
      <xdr:row>0</xdr:row>
      <xdr:rowOff>20313</xdr:rowOff>
    </xdr:from>
    <xdr:to>
      <xdr:col>20</xdr:col>
      <xdr:colOff>297146</xdr:colOff>
      <xdr:row>1</xdr:row>
      <xdr:rowOff>657</xdr:rowOff>
    </xdr:to>
    <xdr:cxnSp macro="">
      <xdr:nvCxnSpPr>
        <xdr:cNvPr id="2" name="Straight Arrow Connector 1">
          <a:extLst>
            <a:ext uri="{FF2B5EF4-FFF2-40B4-BE49-F238E27FC236}">
              <a16:creationId xmlns:a16="http://schemas.microsoft.com/office/drawing/2014/main" id="{60A459D1-2777-43FB-A61E-EE23CA7D8C05}"/>
            </a:ext>
          </a:extLst>
        </xdr:cNvPr>
        <xdr:cNvCxnSpPr/>
      </xdr:nvCxnSpPr>
      <xdr:spPr>
        <a:xfrm flipV="1">
          <a:off x="30053246" y="20313"/>
          <a:ext cx="0" cy="30419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314963</xdr:colOff>
      <xdr:row>0</xdr:row>
      <xdr:rowOff>29887</xdr:rowOff>
    </xdr:from>
    <xdr:to>
      <xdr:col>20</xdr:col>
      <xdr:colOff>539917</xdr:colOff>
      <xdr:row>1</xdr:row>
      <xdr:rowOff>63387</xdr:rowOff>
    </xdr:to>
    <xdr:sp macro="" textlink="">
      <xdr:nvSpPr>
        <xdr:cNvPr id="3" name="TextBox 2">
          <a:extLst>
            <a:ext uri="{FF2B5EF4-FFF2-40B4-BE49-F238E27FC236}">
              <a16:creationId xmlns:a16="http://schemas.microsoft.com/office/drawing/2014/main" id="{30A05E02-DDE1-4D45-B818-4CDB86793432}"/>
            </a:ext>
          </a:extLst>
        </xdr:cNvPr>
        <xdr:cNvSpPr txBox="1"/>
      </xdr:nvSpPr>
      <xdr:spPr>
        <a:xfrm>
          <a:off x="30071063" y="29887"/>
          <a:ext cx="224954" cy="35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16</xdr:col>
      <xdr:colOff>396239</xdr:colOff>
      <xdr:row>1</xdr:row>
      <xdr:rowOff>72389</xdr:rowOff>
    </xdr:from>
    <xdr:to>
      <xdr:col>20</xdr:col>
      <xdr:colOff>227460</xdr:colOff>
      <xdr:row>14</xdr:row>
      <xdr:rowOff>216080</xdr:rowOff>
    </xdr:to>
    <xdr:pic>
      <xdr:nvPicPr>
        <xdr:cNvPr id="5" name="Picture 17">
          <a:extLst>
            <a:ext uri="{FF2B5EF4-FFF2-40B4-BE49-F238E27FC236}">
              <a16:creationId xmlns:a16="http://schemas.microsoft.com/office/drawing/2014/main" id="{892DBD1A-7BD1-4130-5AF7-4C6AA37B9D7A}"/>
            </a:ext>
            <a:ext uri="{147F2762-F138-4A5C-976F-8EAC2B608ADB}">
              <a16:predDERef xmlns:a16="http://schemas.microsoft.com/office/drawing/2014/main" pred="{30A05E02-DDE1-4D45-B818-4CDB86793432}"/>
            </a:ext>
          </a:extLst>
        </xdr:cNvPr>
        <xdr:cNvPicPr>
          <a:picLocks noChangeAspect="1"/>
        </xdr:cNvPicPr>
      </xdr:nvPicPr>
      <xdr:blipFill>
        <a:blip xmlns:r="http://schemas.openxmlformats.org/officeDocument/2006/relationships" r:embed="rId1"/>
        <a:stretch>
          <a:fillRect/>
        </a:stretch>
      </xdr:blipFill>
      <xdr:spPr>
        <a:xfrm>
          <a:off x="26875739" y="396239"/>
          <a:ext cx="5974846" cy="4163241"/>
        </a:xfrm>
        <a:prstGeom prst="rect">
          <a:avLst/>
        </a:prstGeom>
      </xdr:spPr>
    </xdr:pic>
    <xdr:clientData/>
  </xdr:twoCellAnchor>
  <xdr:twoCellAnchor editAs="oneCell">
    <xdr:from>
      <xdr:col>20</xdr:col>
      <xdr:colOff>757918</xdr:colOff>
      <xdr:row>0</xdr:row>
      <xdr:rowOff>304527</xdr:rowOff>
    </xdr:from>
    <xdr:to>
      <xdr:col>26</xdr:col>
      <xdr:colOff>759731</xdr:colOff>
      <xdr:row>14</xdr:row>
      <xdr:rowOff>54971</xdr:rowOff>
    </xdr:to>
    <xdr:pic>
      <xdr:nvPicPr>
        <xdr:cNvPr id="7" name="Picture 6">
          <a:extLst>
            <a:ext uri="{FF2B5EF4-FFF2-40B4-BE49-F238E27FC236}">
              <a16:creationId xmlns:a16="http://schemas.microsoft.com/office/drawing/2014/main" id="{1C823AA3-E902-78E7-6903-5DCD3407FCF2}"/>
            </a:ext>
            <a:ext uri="{147F2762-F138-4A5C-976F-8EAC2B608ADB}">
              <a16:predDERef xmlns:a16="http://schemas.microsoft.com/office/drawing/2014/main" pred="{892DBD1A-7BD1-4130-5AF7-4C6AA37B9D7A}"/>
            </a:ext>
          </a:extLst>
        </xdr:cNvPr>
        <xdr:cNvPicPr>
          <a:picLocks noChangeAspect="1"/>
        </xdr:cNvPicPr>
      </xdr:nvPicPr>
      <xdr:blipFill>
        <a:blip xmlns:r="http://schemas.openxmlformats.org/officeDocument/2006/relationships" r:embed="rId2"/>
        <a:stretch>
          <a:fillRect/>
        </a:stretch>
      </xdr:blipFill>
      <xdr:spPr>
        <a:xfrm>
          <a:off x="33381043" y="304527"/>
          <a:ext cx="6059713" cy="40938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166465</xdr:colOff>
      <xdr:row>42</xdr:row>
      <xdr:rowOff>12348</xdr:rowOff>
    </xdr:from>
    <xdr:ext cx="2486193" cy="36567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A94A42D-1607-4F7E-9893-8D840D7D7B3F}"/>
                </a:ext>
              </a:extLst>
            </xdr:cNvPr>
            <xdr:cNvSpPr txBox="1"/>
          </xdr:nvSpPr>
          <xdr:spPr>
            <a:xfrm>
              <a:off x="166465" y="17277091"/>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𝑇𝑆𝑃</m:t>
                            </m:r>
                          </m:e>
                          <m:sub>
                            <m:r>
                              <a:rPr lang="en-US" sz="1100" b="0" i="1">
                                <a:solidFill>
                                  <a:srgbClr val="000000"/>
                                </a:solidFill>
                                <a:latin typeface="Cambria Math" panose="02040503050406030204" pitchFamily="18" charset="0"/>
                              </a:rPr>
                              <m:t>𝑖𝑛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m:t>
                            </m:r>
                          </m:sub>
                        </m:sSub>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6356∗</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𝑓𝑎𝑛</m:t>
                            </m:r>
                          </m:sub>
                        </m:sSub>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24" name="TextBox 23">
              <a:extLst>
                <a:ext uri="{FF2B5EF4-FFF2-40B4-BE49-F238E27FC236}">
                  <a16:creationId xmlns:a16="http://schemas.microsoft.com/office/drawing/2014/main" id="{CA94A42D-1607-4F7E-9893-8D840D7D7B3F}"/>
                </a:ext>
              </a:extLst>
            </xdr:cNvPr>
            <xdr:cNvSpPr txBox="1"/>
          </xdr:nvSpPr>
          <xdr:spPr>
            <a:xfrm>
              <a:off x="166465" y="17277091"/>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solidFill>
                    <a:srgbClr val="000000"/>
                  </a:solidFill>
                  <a:latin typeface="Cambria Math" panose="02040503050406030204" pitchFamily="18" charset="0"/>
                </a:rPr>
                <a:t>〖𝐹𝑎𝑛 𝑝𝑜𝑤𝑒𝑟〗_(𝑤/𝑐𝑓𝑚)=(〖𝑇𝑆𝑃〗_(𝑖𝑛 𝑤.𝑐)∗746)/(6356∗</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𝑓𝑎𝑛∗</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193920</xdr:colOff>
      <xdr:row>31</xdr:row>
      <xdr:rowOff>119747</xdr:rowOff>
    </xdr:from>
    <xdr:ext cx="1369028" cy="372025"/>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0D26C572-6A7E-491C-9393-612BC79D2B1B}"/>
                </a:ext>
              </a:extLst>
            </xdr:cNvPr>
            <xdr:cNvSpPr txBox="1"/>
          </xdr:nvSpPr>
          <xdr:spPr>
            <a:xfrm>
              <a:off x="193920" y="15468604"/>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𝑇𝑆𝑃</m:t>
                            </m:r>
                          </m:e>
                          <m:sub>
                            <m:r>
                              <a:rPr lang="en-US" sz="1100" b="0" i="1">
                                <a:solidFill>
                                  <a:srgbClr val="000000"/>
                                </a:solidFill>
                                <a:effectLst/>
                                <a:latin typeface="Cambria Math" panose="02040503050406030204" pitchFamily="18" charset="0"/>
                                <a:ea typeface="+mn-ea"/>
                                <a:cs typeface="+mn-cs"/>
                              </a:rPr>
                              <m:t>𝑖𝑛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m:t>
                            </m:r>
                            <m:r>
                              <a:rPr lang="en-US" sz="1100" b="0" i="1">
                                <a:solidFill>
                                  <a:srgbClr val="000000"/>
                                </a:solidFill>
                                <a:effectLst/>
                                <a:latin typeface="Cambria Math" panose="02040503050406030204" pitchFamily="18" charset="0"/>
                                <a:ea typeface="+mn-ea"/>
                                <a:cs typeface="+mn-cs"/>
                              </a:rPr>
                              <m:t>.</m:t>
                            </m:r>
                          </m:sub>
                        </m:sSub>
                      </m:num>
                      <m:den>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6356∗</m:t>
                            </m:r>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𝑓𝑎𝑛</m:t>
                            </m:r>
                          </m:sub>
                        </m:sSub>
                      </m:den>
                    </m:f>
                  </m:oMath>
                </m:oMathPara>
              </a14:m>
              <a:endParaRPr lang="en-US" sz="1100">
                <a:solidFill>
                  <a:srgbClr val="000000"/>
                </a:solidFill>
              </a:endParaRPr>
            </a:p>
          </xdr:txBody>
        </xdr:sp>
      </mc:Choice>
      <mc:Fallback xmlns="">
        <xdr:sp macro="" textlink="">
          <xdr:nvSpPr>
            <xdr:cNvPr id="25" name="TextBox 24">
              <a:extLst>
                <a:ext uri="{FF2B5EF4-FFF2-40B4-BE49-F238E27FC236}">
                  <a16:creationId xmlns:a16="http://schemas.microsoft.com/office/drawing/2014/main" id="{0D26C572-6A7E-491C-9393-612BC79D2B1B}"/>
                </a:ext>
              </a:extLst>
            </xdr:cNvPr>
            <xdr:cNvSpPr txBox="1"/>
          </xdr:nvSpPr>
          <xdr:spPr>
            <a:xfrm>
              <a:off x="193920" y="15468604"/>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solidFill>
                    <a:srgbClr val="000000"/>
                  </a:solidFill>
                  <a:latin typeface="Cambria Math" panose="02040503050406030204" pitchFamily="18" charset="0"/>
                </a:rPr>
                <a:t>𝑏ℎ𝑝=(</a:t>
              </a:r>
              <a:r>
                <a:rPr lang="en-US" sz="1100" b="0" i="0">
                  <a:solidFill>
                    <a:srgbClr val="000000"/>
                  </a:solidFill>
                  <a:effectLst/>
                  <a:latin typeface="+mn-lt"/>
                  <a:ea typeface="+mn-ea"/>
                  <a:cs typeface="+mn-cs"/>
                </a:rPr>
                <a:t>𝑐𝑓𝑚∗〖𝑇𝑆𝑃〗_(𝑖𝑛 𝑤.𝑐.)</a:t>
              </a:r>
              <a:r>
                <a:rPr lang="en-US" sz="1100" b="0" i="0">
                  <a:solidFill>
                    <a:srgbClr val="000000"/>
                  </a:solidFill>
                  <a:effectLst/>
                  <a:latin typeface="Cambria Math" panose="02040503050406030204" pitchFamily="18" charset="0"/>
                  <a:ea typeface="+mn-ea"/>
                  <a:cs typeface="+mn-cs"/>
                </a:rPr>
                <a:t>)/</a:t>
              </a:r>
              <a:r>
                <a:rPr lang="en-US" sz="1100" b="0" i="0">
                  <a:solidFill>
                    <a:srgbClr val="000000"/>
                  </a:solidFill>
                  <a:effectLst/>
                  <a:latin typeface="+mn-lt"/>
                  <a:ea typeface="+mn-ea"/>
                  <a:cs typeface="+mn-cs"/>
                </a:rPr>
                <a:t>〖6356∗𝜇〗_𝑓𝑎𝑛</a:t>
              </a:r>
              <a:r>
                <a:rPr lang="en-US" sz="1100" b="0" i="0">
                  <a:solidFill>
                    <a:srgbClr val="000000"/>
                  </a:solidFill>
                  <a:effectLst/>
                  <a:latin typeface="Cambria Math" panose="02040503050406030204" pitchFamily="18" charset="0"/>
                  <a:ea typeface="+mn-ea"/>
                  <a:cs typeface="+mn-cs"/>
                </a:rPr>
                <a:t> </a:t>
              </a:r>
              <a:endParaRPr lang="en-US" sz="1100">
                <a:solidFill>
                  <a:srgbClr val="000000"/>
                </a:solidFill>
              </a:endParaRPr>
            </a:p>
          </xdr:txBody>
        </xdr:sp>
      </mc:Fallback>
    </mc:AlternateContent>
    <xdr:clientData/>
  </xdr:oneCellAnchor>
  <xdr:oneCellAnchor>
    <xdr:from>
      <xdr:col>0</xdr:col>
      <xdr:colOff>158681</xdr:colOff>
      <xdr:row>34</xdr:row>
      <xdr:rowOff>143002</xdr:rowOff>
    </xdr:from>
    <xdr:ext cx="2027222" cy="351058"/>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8610A825-FBB1-44D5-9C6C-2B715EFF52C2}"/>
                </a:ext>
              </a:extLst>
            </xdr:cNvPr>
            <xdr:cNvSpPr txBox="1"/>
          </xdr:nvSpPr>
          <xdr:spPr>
            <a:xfrm>
              <a:off x="158681" y="16014373"/>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𝑐𝑓𝑚</m:t>
                        </m:r>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26" name="TextBox 25">
              <a:extLst>
                <a:ext uri="{FF2B5EF4-FFF2-40B4-BE49-F238E27FC236}">
                  <a16:creationId xmlns:a16="http://schemas.microsoft.com/office/drawing/2014/main" id="{8610A825-FBB1-44D5-9C6C-2B715EFF52C2}"/>
                </a:ext>
              </a:extLst>
            </xdr:cNvPr>
            <xdr:cNvSpPr txBox="1"/>
          </xdr:nvSpPr>
          <xdr:spPr>
            <a:xfrm>
              <a:off x="158681" y="16014373"/>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solidFill>
                    <a:srgbClr val="000000"/>
                  </a:solidFill>
                  <a:latin typeface="Cambria Math" panose="02040503050406030204" pitchFamily="18" charset="0"/>
                </a:rPr>
                <a:t>〖𝐹𝑎𝑛 𝑝𝑜𝑤𝑒𝑟〗_(𝑤/𝑐𝑓𝑚)=(𝑏ℎ𝑝∗746)/(𝑐𝑓𝑚∗</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152402</xdr:colOff>
      <xdr:row>38</xdr:row>
      <xdr:rowOff>120322</xdr:rowOff>
    </xdr:from>
    <xdr:ext cx="2360967" cy="328231"/>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736B3D57-2657-406D-B738-71BFA26975F5}"/>
                </a:ext>
              </a:extLst>
            </xdr:cNvPr>
            <xdr:cNvSpPr txBox="1"/>
          </xdr:nvSpPr>
          <xdr:spPr>
            <a:xfrm>
              <a:off x="152402" y="16688379"/>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𝐹𝑎𝑛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𝑝𝑜𝑤𝑒𝑟</m:t>
                            </m:r>
                          </m:e>
                          <m:sub>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sub>
                        </m:sSub>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𝑚𝑜𝑡𝑜𝑟</m:t>
                            </m:r>
                          </m:sub>
                        </m:sSub>
                      </m:num>
                      <m:den>
                        <m:r>
                          <a:rPr lang="en-US" sz="1100" b="0" i="1">
                            <a:solidFill>
                              <a:srgbClr val="000000"/>
                            </a:solidFill>
                            <a:effectLst/>
                            <a:latin typeface="Cambria Math" panose="02040503050406030204" pitchFamily="18" charset="0"/>
                            <a:ea typeface="+mn-ea"/>
                            <a:cs typeface="+mn-cs"/>
                          </a:rPr>
                          <m:t>746</m:t>
                        </m:r>
                      </m:den>
                    </m:f>
                  </m:oMath>
                </m:oMathPara>
              </a14:m>
              <a:endParaRPr lang="en-US" sz="1100">
                <a:solidFill>
                  <a:srgbClr val="000000"/>
                </a:solidFill>
              </a:endParaRPr>
            </a:p>
          </xdr:txBody>
        </xdr:sp>
      </mc:Choice>
      <mc:Fallback xmlns="">
        <xdr:sp macro="" textlink="">
          <xdr:nvSpPr>
            <xdr:cNvPr id="27" name="TextBox 26">
              <a:extLst>
                <a:ext uri="{FF2B5EF4-FFF2-40B4-BE49-F238E27FC236}">
                  <a16:creationId xmlns:a16="http://schemas.microsoft.com/office/drawing/2014/main" id="{736B3D57-2657-406D-B738-71BFA26975F5}"/>
                </a:ext>
              </a:extLst>
            </xdr:cNvPr>
            <xdr:cNvSpPr txBox="1"/>
          </xdr:nvSpPr>
          <xdr:spPr>
            <a:xfrm>
              <a:off x="152402" y="16688379"/>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solidFill>
                    <a:srgbClr val="000000"/>
                  </a:solidFill>
                  <a:latin typeface="Cambria Math" panose="02040503050406030204" pitchFamily="18" charset="0"/>
                </a:rPr>
                <a:t>𝑏ℎ𝑝=</a:t>
              </a:r>
              <a:r>
                <a:rPr lang="en-US" sz="1100" b="0" i="0">
                  <a:solidFill>
                    <a:srgbClr val="000000"/>
                  </a:solidFill>
                  <a:effectLst/>
                  <a:latin typeface="+mn-lt"/>
                  <a:ea typeface="+mn-ea"/>
                  <a:cs typeface="+mn-cs"/>
                </a:rPr>
                <a:t>(〖𝐹</a:t>
              </a:r>
              <a:r>
                <a:rPr lang="en-US" sz="1100" b="0" i="0">
                  <a:solidFill>
                    <a:srgbClr val="000000"/>
                  </a:solidFill>
                  <a:effectLst/>
                  <a:latin typeface="Cambria Math" panose="02040503050406030204" pitchFamily="18" charset="0"/>
                  <a:ea typeface="+mn-ea"/>
                  <a:cs typeface="+mn-cs"/>
                </a:rPr>
                <a:t>𝑎𝑛</a:t>
              </a:r>
              <a:r>
                <a:rPr lang="en-US" sz="1100" b="0" i="0">
                  <a:solidFill>
                    <a:srgbClr val="000000"/>
                  </a:solidFill>
                  <a:effectLst/>
                  <a:latin typeface="+mn-lt"/>
                  <a:ea typeface="+mn-ea"/>
                  <a:cs typeface="+mn-cs"/>
                </a:rPr>
                <a:t> 𝑝𝑜𝑤𝑒𝑟〗_(</a:t>
              </a:r>
              <a:r>
                <a:rPr lang="en-US" sz="1100" b="0" i="0">
                  <a:solidFill>
                    <a:srgbClr val="000000"/>
                  </a:solidFill>
                  <a:effectLst/>
                  <a:latin typeface="Cambria Math" panose="02040503050406030204" pitchFamily="18" charset="0"/>
                  <a:ea typeface="+mn-ea"/>
                  <a:cs typeface="+mn-cs"/>
                </a:rPr>
                <a:t>𝑤/𝑐𝑓𝑚</a:t>
              </a:r>
              <a:r>
                <a:rPr lang="en-US" sz="1100" b="0" i="0">
                  <a:solidFill>
                    <a:srgbClr val="000000"/>
                  </a:solidFill>
                  <a:effectLst/>
                  <a:latin typeface="+mn-lt"/>
                  <a:ea typeface="+mn-ea"/>
                  <a:cs typeface="+mn-cs"/>
                </a:rPr>
                <a:t>)∗𝑐𝑓𝑚∗𝜇_𝑚𝑜𝑡𝑜𝑟)/746</a:t>
              </a:r>
              <a:endParaRPr lang="en-US" sz="1100">
                <a:solidFill>
                  <a:srgbClr val="000000"/>
                </a:solidFill>
              </a:endParaRPr>
            </a:p>
          </xdr:txBody>
        </xdr:sp>
      </mc:Fallback>
    </mc:AlternateContent>
    <xdr:clientData/>
  </xdr:oneCellAnchor>
  <xdr:twoCellAnchor editAs="oneCell">
    <xdr:from>
      <xdr:col>7</xdr:col>
      <xdr:colOff>2239547</xdr:colOff>
      <xdr:row>1</xdr:row>
      <xdr:rowOff>70902</xdr:rowOff>
    </xdr:from>
    <xdr:to>
      <xdr:col>9</xdr:col>
      <xdr:colOff>1773667</xdr:colOff>
      <xdr:row>7</xdr:row>
      <xdr:rowOff>287441</xdr:rowOff>
    </xdr:to>
    <xdr:pic>
      <xdr:nvPicPr>
        <xdr:cNvPr id="28" name="Picture 27">
          <a:extLst>
            <a:ext uri="{FF2B5EF4-FFF2-40B4-BE49-F238E27FC236}">
              <a16:creationId xmlns:a16="http://schemas.microsoft.com/office/drawing/2014/main" id="{C4BE0F5E-075C-3739-6B7B-164C1D936D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54711" y="417266"/>
          <a:ext cx="4992811" cy="334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2147455</xdr:colOff>
      <xdr:row>1</xdr:row>
      <xdr:rowOff>69273</xdr:rowOff>
    </xdr:from>
    <xdr:to>
      <xdr:col>13</xdr:col>
      <xdr:colOff>1051041</xdr:colOff>
      <xdr:row>7</xdr:row>
      <xdr:rowOff>250248</xdr:rowOff>
    </xdr:to>
    <xdr:pic>
      <xdr:nvPicPr>
        <xdr:cNvPr id="29" name="Picture 28">
          <a:extLst>
            <a:ext uri="{FF2B5EF4-FFF2-40B4-BE49-F238E27FC236}">
              <a16:creationId xmlns:a16="http://schemas.microsoft.com/office/drawing/2014/main" id="{E0CAEBCC-886E-C377-FA42-E8A20CA137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021310" y="415637"/>
          <a:ext cx="4939838" cy="33354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1554178</xdr:colOff>
      <xdr:row>49</xdr:row>
      <xdr:rowOff>26895</xdr:rowOff>
    </xdr:from>
    <xdr:to>
      <xdr:col>6</xdr:col>
      <xdr:colOff>1721222</xdr:colOff>
      <xdr:row>63</xdr:row>
      <xdr:rowOff>43697</xdr:rowOff>
    </xdr:to>
    <xdr:graphicFrame macro="">
      <xdr:nvGraphicFramePr>
        <xdr:cNvPr id="7" name="Chart 6">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138883</xdr:colOff>
      <xdr:row>89</xdr:row>
      <xdr:rowOff>47625</xdr:rowOff>
    </xdr:from>
    <xdr:to>
      <xdr:col>4</xdr:col>
      <xdr:colOff>1152525</xdr:colOff>
      <xdr:row>101</xdr:row>
      <xdr:rowOff>66674</xdr:rowOff>
    </xdr:to>
    <xdr:graphicFrame macro="">
      <xdr:nvGraphicFramePr>
        <xdr:cNvPr id="33" name="Chart 5">
          <a:extLst>
            <a:ext uri="{FF2B5EF4-FFF2-40B4-BE49-F238E27FC236}">
              <a16:creationId xmlns:a16="http://schemas.microsoft.com/office/drawing/2014/main" id="{CEFE1435-937F-461A-B4D1-F4FB67BE1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89</xdr:row>
      <xdr:rowOff>26895</xdr:rowOff>
    </xdr:from>
    <xdr:to>
      <xdr:col>7</xdr:col>
      <xdr:colOff>573740</xdr:colOff>
      <xdr:row>101</xdr:row>
      <xdr:rowOff>75639</xdr:rowOff>
    </xdr:to>
    <xdr:graphicFrame macro="">
      <xdr:nvGraphicFramePr>
        <xdr:cNvPr id="29" name="Chart 6">
          <a:extLst>
            <a:ext uri="{FF2B5EF4-FFF2-40B4-BE49-F238E27FC236}">
              <a16:creationId xmlns:a16="http://schemas.microsoft.com/office/drawing/2014/main" id="{18D3FECB-99F3-4E11-B893-46EC0117A1F2}"/>
            </a:ext>
            <a:ext uri="{147F2762-F138-4A5C-976F-8EAC2B608ADB}">
              <a16:predDERef xmlns:a16="http://schemas.microsoft.com/office/drawing/2014/main" pred="{CEFE1435-937F-461A-B4D1-F4FB67BE1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914398</xdr:colOff>
      <xdr:row>88</xdr:row>
      <xdr:rowOff>226918</xdr:rowOff>
    </xdr:from>
    <xdr:to>
      <xdr:col>13</xdr:col>
      <xdr:colOff>277905</xdr:colOff>
      <xdr:row>100</xdr:row>
      <xdr:rowOff>245967</xdr:rowOff>
    </xdr:to>
    <xdr:graphicFrame macro="">
      <xdr:nvGraphicFramePr>
        <xdr:cNvPr id="2" name="Chart 5">
          <a:extLst>
            <a:ext uri="{FF2B5EF4-FFF2-40B4-BE49-F238E27FC236}">
              <a16:creationId xmlns:a16="http://schemas.microsoft.com/office/drawing/2014/main" id="{0E4AEE75-C7C6-4755-81E2-245ECC1A8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1062610</xdr:colOff>
      <xdr:row>88</xdr:row>
      <xdr:rowOff>224117</xdr:rowOff>
    </xdr:from>
    <xdr:to>
      <xdr:col>17</xdr:col>
      <xdr:colOff>130055</xdr:colOff>
      <xdr:row>101</xdr:row>
      <xdr:rowOff>3920</xdr:rowOff>
    </xdr:to>
    <xdr:graphicFrame macro="">
      <xdr:nvGraphicFramePr>
        <xdr:cNvPr id="3" name="Chart 6">
          <a:extLst>
            <a:ext uri="{FF2B5EF4-FFF2-40B4-BE49-F238E27FC236}">
              <a16:creationId xmlns:a16="http://schemas.microsoft.com/office/drawing/2014/main" id="{B7F4F1D4-C6A9-468C-91BD-D7A896B41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403412</xdr:colOff>
      <xdr:row>88</xdr:row>
      <xdr:rowOff>235883</xdr:rowOff>
    </xdr:from>
    <xdr:to>
      <xdr:col>22</xdr:col>
      <xdr:colOff>394447</xdr:colOff>
      <xdr:row>100</xdr:row>
      <xdr:rowOff>254932</xdr:rowOff>
    </xdr:to>
    <xdr:graphicFrame macro="">
      <xdr:nvGraphicFramePr>
        <xdr:cNvPr id="4" name="Chart 5">
          <a:extLst>
            <a:ext uri="{FF2B5EF4-FFF2-40B4-BE49-F238E27FC236}">
              <a16:creationId xmlns:a16="http://schemas.microsoft.com/office/drawing/2014/main" id="{9B4E551D-5074-40D6-9EB5-CC6C4461A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856424</xdr:colOff>
      <xdr:row>88</xdr:row>
      <xdr:rowOff>170329</xdr:rowOff>
    </xdr:from>
    <xdr:to>
      <xdr:col>26</xdr:col>
      <xdr:colOff>461752</xdr:colOff>
      <xdr:row>100</xdr:row>
      <xdr:rowOff>219073</xdr:rowOff>
    </xdr:to>
    <xdr:graphicFrame macro="">
      <xdr:nvGraphicFramePr>
        <xdr:cNvPr id="5" name="Chart 6">
          <a:extLst>
            <a:ext uri="{FF2B5EF4-FFF2-40B4-BE49-F238E27FC236}">
              <a16:creationId xmlns:a16="http://schemas.microsoft.com/office/drawing/2014/main" id="{BBF752F7-B587-411E-B2E9-434B64F40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367554</xdr:colOff>
      <xdr:row>76</xdr:row>
      <xdr:rowOff>21644</xdr:rowOff>
    </xdr:from>
    <xdr:to>
      <xdr:col>13</xdr:col>
      <xdr:colOff>56644</xdr:colOff>
      <xdr:row>85</xdr:row>
      <xdr:rowOff>130139</xdr:rowOff>
    </xdr:to>
    <xdr:pic>
      <xdr:nvPicPr>
        <xdr:cNvPr id="6" name="Picture 5">
          <a:extLst>
            <a:ext uri="{FF2B5EF4-FFF2-40B4-BE49-F238E27FC236}">
              <a16:creationId xmlns:a16="http://schemas.microsoft.com/office/drawing/2014/main" id="{A1BF8F7D-290E-4660-EE8C-FA015E7AB5CB}"/>
            </a:ext>
          </a:extLst>
        </xdr:cNvPr>
        <xdr:cNvPicPr>
          <a:picLocks noChangeAspect="1"/>
        </xdr:cNvPicPr>
      </xdr:nvPicPr>
      <xdr:blipFill>
        <a:blip xmlns:r="http://schemas.openxmlformats.org/officeDocument/2006/relationships" r:embed="rId7"/>
        <a:stretch>
          <a:fillRect/>
        </a:stretch>
      </xdr:blipFill>
      <xdr:spPr>
        <a:xfrm>
          <a:off x="12272683" y="8134703"/>
          <a:ext cx="4736220" cy="28696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29</xdr:col>
      <xdr:colOff>289560</xdr:colOff>
      <xdr:row>1</xdr:row>
      <xdr:rowOff>251791</xdr:rowOff>
    </xdr:from>
    <xdr:to>
      <xdr:col>36</xdr:col>
      <xdr:colOff>0</xdr:colOff>
      <xdr:row>5</xdr:row>
      <xdr:rowOff>364434</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289560</xdr:colOff>
      <xdr:row>6</xdr:row>
      <xdr:rowOff>0</xdr:rowOff>
    </xdr:from>
    <xdr:to>
      <xdr:col>36</xdr:col>
      <xdr:colOff>0</xdr:colOff>
      <xdr:row>8</xdr:row>
      <xdr:rowOff>391886</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326572</xdr:colOff>
      <xdr:row>96</xdr:row>
      <xdr:rowOff>54429</xdr:rowOff>
    </xdr:from>
    <xdr:to>
      <xdr:col>36</xdr:col>
      <xdr:colOff>37012</xdr:colOff>
      <xdr:row>99</xdr:row>
      <xdr:rowOff>119744</xdr:rowOff>
    </xdr:to>
    <xdr:graphicFrame macro="">
      <xdr:nvGraphicFramePr>
        <xdr:cNvPr id="20" name="Chart 5">
          <a:extLst>
            <a:ext uri="{FF2B5EF4-FFF2-40B4-BE49-F238E27FC236}">
              <a16:creationId xmlns:a16="http://schemas.microsoft.com/office/drawing/2014/main" id="{A67B757E-11F2-4D63-8049-87A030D08F4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289560</xdr:colOff>
      <xdr:row>99</xdr:row>
      <xdr:rowOff>337457</xdr:rowOff>
    </xdr:from>
    <xdr:to>
      <xdr:col>36</xdr:col>
      <xdr:colOff>0</xdr:colOff>
      <xdr:row>103</xdr:row>
      <xdr:rowOff>0</xdr:rowOff>
    </xdr:to>
    <xdr:graphicFrame macro="">
      <xdr:nvGraphicFramePr>
        <xdr:cNvPr id="21" name="Chart 5">
          <a:extLst>
            <a:ext uri="{FF2B5EF4-FFF2-40B4-BE49-F238E27FC236}">
              <a16:creationId xmlns:a16="http://schemas.microsoft.com/office/drawing/2014/main" id="{2E6CA2C7-E4AB-4DC1-A50A-FEBB0B9CA81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289560</xdr:colOff>
      <xdr:row>103</xdr:row>
      <xdr:rowOff>130628</xdr:rowOff>
    </xdr:from>
    <xdr:to>
      <xdr:col>36</xdr:col>
      <xdr:colOff>0</xdr:colOff>
      <xdr:row>108</xdr:row>
      <xdr:rowOff>0</xdr:rowOff>
    </xdr:to>
    <xdr:graphicFrame macro="">
      <xdr:nvGraphicFramePr>
        <xdr:cNvPr id="24" name="Chart 5">
          <a:extLst>
            <a:ext uri="{FF2B5EF4-FFF2-40B4-BE49-F238E27FC236}">
              <a16:creationId xmlns:a16="http://schemas.microsoft.com/office/drawing/2014/main" id="{43375B62-1004-4C9E-9CB5-ED0EF57BA9C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291465</xdr:colOff>
      <xdr:row>113</xdr:row>
      <xdr:rowOff>97267</xdr:rowOff>
    </xdr:from>
    <xdr:to>
      <xdr:col>36</xdr:col>
      <xdr:colOff>0</xdr:colOff>
      <xdr:row>117</xdr:row>
      <xdr:rowOff>0</xdr:rowOff>
    </xdr:to>
    <xdr:graphicFrame macro="">
      <xdr:nvGraphicFramePr>
        <xdr:cNvPr id="3" name="Chart 5">
          <a:extLst>
            <a:ext uri="{FF2B5EF4-FFF2-40B4-BE49-F238E27FC236}">
              <a16:creationId xmlns:a16="http://schemas.microsoft.com/office/drawing/2014/main" id="{5A999577-F135-454E-AC54-3B86805F4DD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344805</xdr:colOff>
      <xdr:row>15</xdr:row>
      <xdr:rowOff>15512</xdr:rowOff>
    </xdr:from>
    <xdr:to>
      <xdr:col>36</xdr:col>
      <xdr:colOff>53340</xdr:colOff>
      <xdr:row>18</xdr:row>
      <xdr:rowOff>15512</xdr:rowOff>
    </xdr:to>
    <xdr:graphicFrame macro="">
      <xdr:nvGraphicFramePr>
        <xdr:cNvPr id="2" name="Chart 5">
          <a:extLst>
            <a:ext uri="{FF2B5EF4-FFF2-40B4-BE49-F238E27FC236}">
              <a16:creationId xmlns:a16="http://schemas.microsoft.com/office/drawing/2014/main" id="{4708330D-E2C0-4948-AD71-35FA1B8A22E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322762</xdr:colOff>
      <xdr:row>12</xdr:row>
      <xdr:rowOff>58239</xdr:rowOff>
    </xdr:from>
    <xdr:to>
      <xdr:col>36</xdr:col>
      <xdr:colOff>36707</xdr:colOff>
      <xdr:row>14</xdr:row>
      <xdr:rowOff>435428</xdr:rowOff>
    </xdr:to>
    <xdr:graphicFrame macro="">
      <xdr:nvGraphicFramePr>
        <xdr:cNvPr id="4" name="Chart 5">
          <a:extLst>
            <a:ext uri="{FF2B5EF4-FFF2-40B4-BE49-F238E27FC236}">
              <a16:creationId xmlns:a16="http://schemas.microsoft.com/office/drawing/2014/main" id="{169143B4-2DDC-47E1-87AD-A4306DF2D12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25</xdr:col>
      <xdr:colOff>107575</xdr:colOff>
      <xdr:row>0</xdr:row>
      <xdr:rowOff>358588</xdr:rowOff>
    </xdr:from>
    <xdr:to>
      <xdr:col>42</xdr:col>
      <xdr:colOff>16361</xdr:colOff>
      <xdr:row>21</xdr:row>
      <xdr:rowOff>116541</xdr:rowOff>
    </xdr:to>
    <xdr:graphicFrame macro="">
      <xdr:nvGraphicFramePr>
        <xdr:cNvPr id="3" name="Chart 2">
          <a:extLst>
            <a:ext uri="{FF2B5EF4-FFF2-40B4-BE49-F238E27FC236}">
              <a16:creationId xmlns:a16="http://schemas.microsoft.com/office/drawing/2014/main" id="{247CD8B0-C82E-4B09-92C2-AA88AE2A19D7}"/>
            </a:ext>
            <a:ext uri="{147F2762-F138-4A5C-976F-8EAC2B608ADB}">
              <a16:predDERef xmlns:a16="http://schemas.microsoft.com/office/drawing/2014/main" pred="{2F3ACB96-77C7-D68E-E7C0-FF8C3BC74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104775</xdr:colOff>
      <xdr:row>23</xdr:row>
      <xdr:rowOff>0</xdr:rowOff>
    </xdr:from>
    <xdr:to>
      <xdr:col>42</xdr:col>
      <xdr:colOff>13561</xdr:colOff>
      <xdr:row>52</xdr:row>
      <xdr:rowOff>110378</xdr:rowOff>
    </xdr:to>
    <xdr:graphicFrame macro="">
      <xdr:nvGraphicFramePr>
        <xdr:cNvPr id="4" name="Chart 3">
          <a:extLst>
            <a:ext uri="{FF2B5EF4-FFF2-40B4-BE49-F238E27FC236}">
              <a16:creationId xmlns:a16="http://schemas.microsoft.com/office/drawing/2014/main" id="{90B2AB98-2AD8-44A6-93B4-26FFBC9A772A}"/>
            </a:ext>
            <a:ext uri="{147F2762-F138-4A5C-976F-8EAC2B608ADB}">
              <a16:predDERef xmlns:a16="http://schemas.microsoft.com/office/drawing/2014/main" pred="{247CD8B0-C82E-4B09-92C2-AA88AE2A1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361117</xdr:colOff>
      <xdr:row>23</xdr:row>
      <xdr:rowOff>64379</xdr:rowOff>
    </xdr:from>
    <xdr:to>
      <xdr:col>9</xdr:col>
      <xdr:colOff>276225</xdr:colOff>
      <xdr:row>33</xdr:row>
      <xdr:rowOff>38100</xdr:rowOff>
    </xdr:to>
    <xdr:pic>
      <xdr:nvPicPr>
        <xdr:cNvPr id="2" name="Picture 1">
          <a:extLst>
            <a:ext uri="{FF2B5EF4-FFF2-40B4-BE49-F238E27FC236}">
              <a16:creationId xmlns:a16="http://schemas.microsoft.com/office/drawing/2014/main" id="{15DE42FE-DB82-CA33-93C9-98E617BB08AC}"/>
            </a:ext>
          </a:extLst>
        </xdr:cNvPr>
        <xdr:cNvPicPr>
          <a:picLocks noChangeAspect="1"/>
        </xdr:cNvPicPr>
      </xdr:nvPicPr>
      <xdr:blipFill>
        <a:blip xmlns:r="http://schemas.openxmlformats.org/officeDocument/2006/relationships" r:embed="rId1"/>
        <a:stretch>
          <a:fillRect/>
        </a:stretch>
      </xdr:blipFill>
      <xdr:spPr>
        <a:xfrm>
          <a:off x="361117" y="4245854"/>
          <a:ext cx="5401508" cy="1783471"/>
        </a:xfrm>
        <a:prstGeom prst="rect">
          <a:avLst/>
        </a:prstGeom>
      </xdr:spPr>
    </xdr:pic>
    <xdr:clientData/>
  </xdr:twoCellAnchor>
  <xdr:twoCellAnchor editAs="oneCell">
    <xdr:from>
      <xdr:col>0</xdr:col>
      <xdr:colOff>114300</xdr:colOff>
      <xdr:row>14</xdr:row>
      <xdr:rowOff>113328</xdr:rowOff>
    </xdr:from>
    <xdr:to>
      <xdr:col>10</xdr:col>
      <xdr:colOff>220980</xdr:colOff>
      <xdr:row>23</xdr:row>
      <xdr:rowOff>0</xdr:rowOff>
    </xdr:to>
    <xdr:pic>
      <xdr:nvPicPr>
        <xdr:cNvPr id="3" name="Picture 2">
          <a:extLst>
            <a:ext uri="{FF2B5EF4-FFF2-40B4-BE49-F238E27FC236}">
              <a16:creationId xmlns:a16="http://schemas.microsoft.com/office/drawing/2014/main" id="{C7999785-E4AD-A320-5B89-5FC85AE47E44}"/>
            </a:ext>
          </a:extLst>
        </xdr:cNvPr>
        <xdr:cNvPicPr>
          <a:picLocks noChangeAspect="1"/>
        </xdr:cNvPicPr>
      </xdr:nvPicPr>
      <xdr:blipFill>
        <a:blip xmlns:r="http://schemas.openxmlformats.org/officeDocument/2006/relationships" r:embed="rId2"/>
        <a:stretch>
          <a:fillRect/>
        </a:stretch>
      </xdr:blipFill>
      <xdr:spPr>
        <a:xfrm>
          <a:off x="114300" y="2688888"/>
          <a:ext cx="6202680" cy="153259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itle24stakeholders.com/wp-content/uploads/2020/10/2022-T24-Final-CASE-Report_Reduce-Infiltration.pdf" TargetMode="External"/><Relationship Id="rId13" Type="http://schemas.openxmlformats.org/officeDocument/2006/relationships/hyperlink" Target="https://www.govinfo.gov/content/pkg/CFR-2024-title10-vol3/pdf/CFR-2024-title10-vol3-part431-subpartF.pdf" TargetMode="External"/><Relationship Id="rId18" Type="http://schemas.openxmlformats.org/officeDocument/2006/relationships/hyperlink" Target="https://www.ashrae.org/technical-resources/standards-and-guidelines/read-only-versions-of-ashrae-standards" TargetMode="External"/><Relationship Id="rId26" Type="http://schemas.openxmlformats.org/officeDocument/2006/relationships/drawing" Target="../drawings/drawing1.xml"/><Relationship Id="rId3" Type="http://schemas.openxmlformats.org/officeDocument/2006/relationships/hyperlink" Target="https://github.com/sound-data/DEER-Prototypes-EnergyPlus" TargetMode="External"/><Relationship Id="rId21" Type="http://schemas.openxmlformats.org/officeDocument/2006/relationships/hyperlink" Target="https://www.grainger.com/category/plumbing/water-heaters/gas-tank-water-heaters" TargetMode="External"/><Relationship Id="rId7" Type="http://schemas.openxmlformats.org/officeDocument/2006/relationships/hyperlink" Target="https://www.energy.ca.gov/publications/2023/2022-california-commercial-end-use-survey-ceus-final-report" TargetMode="External"/><Relationship Id="rId12" Type="http://schemas.openxmlformats.org/officeDocument/2006/relationships/hyperlink" Target="https://efiling.energy.ca.gov/GetDocument.aspx?tn=265693&amp;DocumentContentId=102545" TargetMode="External"/><Relationship Id="rId17" Type="http://schemas.openxmlformats.org/officeDocument/2006/relationships/hyperlink" Target="https://www.energy.ca.gov/publications/2025/2025-nonresidential-and-multifamily-alternative-calculation-method-reference" TargetMode="External"/><Relationship Id="rId25" Type="http://schemas.openxmlformats.org/officeDocument/2006/relationships/hyperlink" Target="https://www.energy.ca.gov/publications/2022/2022-nonresidential-and-multifamily-alternative-calculation-method-reference" TargetMode="External"/><Relationship Id="rId2" Type="http://schemas.openxmlformats.org/officeDocument/2006/relationships/hyperlink" Target="https://www.energycodes.gov/prototype-building-models" TargetMode="External"/><Relationship Id="rId16" Type="http://schemas.openxmlformats.org/officeDocument/2006/relationships/hyperlink" Target="https://www.energy.ca.gov/publications/2022/2022-nonresidential-and-multifamily-alternative-calculation-method-reference" TargetMode="External"/><Relationship Id="rId20" Type="http://schemas.openxmlformats.org/officeDocument/2006/relationships/hyperlink" Target="https://www.thefreelibrary.com/Determining+Vintage+Bins+for+Prototype+Development%3a+An+Analysis+of...-a0879271125" TargetMode="External"/><Relationship Id="rId1" Type="http://schemas.openxmlformats.org/officeDocument/2006/relationships/hyperlink" Target="https://bees.noresco.com/software2022.html" TargetMode="External"/><Relationship Id="rId6" Type="http://schemas.openxmlformats.org/officeDocument/2006/relationships/hyperlink" Target="https://www.eia.gov/consumption/commercial/data/2018/index.php?view=microdata" TargetMode="External"/><Relationship Id="rId11"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24" Type="http://schemas.openxmlformats.org/officeDocument/2006/relationships/hyperlink" Target="https://www.energy.ca.gov/publications/2025/2025-building-energy-efficiency-standards-residential-and-nonresidential" TargetMode="External"/><Relationship Id="rId5" Type="http://schemas.openxmlformats.org/officeDocument/2006/relationships/hyperlink" Target="https://data.openei.org/s3_viewer?bucket=oedi-data-lake&amp;prefix=nrel-pds-building-stock%2Fend-use-load-profiles-for-us-building-stock%2F2023%2Fcomstock_amy2018_release_2%2Fmetadata_and_annual_results%2Fby_state%2Fstate%3DCA%2F" TargetMode="External"/><Relationship Id="rId15" Type="http://schemas.openxmlformats.org/officeDocument/2006/relationships/hyperlink" Target="https://govt.westlaw.com/calregs/Document/I270DCA634B4011EFA8F7F119BAF97AD6?viewType=FullText&amp;originationContext=documenttoc&amp;transitionType=CategoryPageItem&amp;contextData=(sc.Default)" TargetMode="External"/><Relationship Id="rId23" Type="http://schemas.openxmlformats.org/officeDocument/2006/relationships/hyperlink" Target="https://codes.iccsafe.org/codes/united-states/california" TargetMode="External"/><Relationship Id="rId10" Type="http://schemas.openxmlformats.org/officeDocument/2006/relationships/hyperlink" Target="https://www.pnnl.gov/main/publications/external/technical_reports/PNNL-20405.pdf" TargetMode="External"/><Relationship Id="rId19" Type="http://schemas.openxmlformats.org/officeDocument/2006/relationships/hyperlink" Target="https://www.energystar.gov/productfinder/product/certified-commercial-water-heaters/results?fuel_filter=Gas&amp;markets_filter=United+States" TargetMode="External"/><Relationship Id="rId4" Type="http://schemas.openxmlformats.org/officeDocument/2006/relationships/hyperlink" Target="https://web.eecs.utk.edu/~jnew1/publications/2019_IBPSA_OpenStudioOffice.pdf" TargetMode="External"/><Relationship Id="rId9" Type="http://schemas.openxmlformats.org/officeDocument/2006/relationships/hyperlink" Target="https://title24stakeholders.com/wp-content/uploads/2016/10/T24-2019-CASE-Study-Results-Report-Outdoor-Sources_Final_with-Attachments.pdf" TargetMode="External"/><Relationship Id="rId14" Type="http://schemas.openxmlformats.org/officeDocument/2006/relationships/hyperlink" Target="https://publications.ibpsa.org/conference/paper/?id=simbuild2026_1372" TargetMode="External"/><Relationship Id="rId22" Type="http://schemas.openxmlformats.org/officeDocument/2006/relationships/hyperlink" Target="https://www.grainger.com/category/plumbing/water-heaters/electric-tank-water-heater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eb.eecs.utk.edu/~jnew1/presentations/2019_IBPSA_OpenStudioOffice.pdf" TargetMode="External"/><Relationship Id="rId1" Type="http://schemas.openxmlformats.org/officeDocument/2006/relationships/hyperlink" Target="https://web.eecs.utk.edu/~jnew1/publications/2019_IBPSA_OpenStudioOffice.pdf"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1"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 Id="rId1" Type="http://schemas.openxmlformats.org/officeDocument/2006/relationships/hyperlink" Target="https://www.pnnl.gov/main/publications/external/technical_reports/PNNL-20405.pdf" TargetMode="Externa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hyperlink" Target="https://carcglgov-my.sharepoint.com/Groups/CodesStds/Standards/California/2016-CEC-400-2015-037-CMF.pdf" TargetMode="External"/><Relationship Id="rId2" Type="http://schemas.openxmlformats.org/officeDocument/2006/relationships/hyperlink" Target="https://carcglgov-my.sharepoint.com/Groups/CodesStds/Standards/California/2016-CEC-400-2015-037-CMF.pdf" TargetMode="External"/><Relationship Id="rId1" Type="http://schemas.openxmlformats.org/officeDocument/2006/relationships/hyperlink" Target="https://carcglgov-my.sharepoint.com/Groups/CodesStds/Standards/California/2022%20Building%20Energy%20Efficiency%20Standards%20for%20Residential%20and%20Nonresidential%20Buildings.pdf" TargetMode="External"/><Relationship Id="rId5" Type="http://schemas.openxmlformats.org/officeDocument/2006/relationships/drawing" Target="../drawings/drawing5.xml"/><Relationship Id="rId4" Type="http://schemas.openxmlformats.org/officeDocument/2006/relationships/hyperlink" Target="https://carcglgov-my.sharepoint.com/Groups/CodesStds/Standards/California/2022%20Building%20Energy%20Efficiency%20Standards%20for%20Residential%20and%20Nonresidential%20Buildings.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P67"/>
  <sheetViews>
    <sheetView zoomScaleNormal="100" workbookViewId="0">
      <selection sqref="A1:C1"/>
    </sheetView>
  </sheetViews>
  <sheetFormatPr defaultColWidth="9.109375" defaultRowHeight="13.2"/>
  <cols>
    <col min="1" max="1" width="14.88671875" style="11" customWidth="1"/>
    <col min="2" max="2" width="88.44140625" style="11" customWidth="1"/>
    <col min="3" max="3" width="34.33203125" style="11" customWidth="1"/>
    <col min="4" max="4" width="9.109375" style="11"/>
    <col min="5" max="5" width="26.33203125" style="11" customWidth="1"/>
    <col min="6" max="6" width="12.109375" style="11" customWidth="1"/>
    <col min="7" max="7" width="10.109375" style="11" customWidth="1"/>
    <col min="8" max="8" width="9.6640625" style="11" bestFit="1" customWidth="1"/>
    <col min="9" max="9" width="11.44140625" style="11" customWidth="1"/>
    <col min="10" max="10" width="10.6640625" style="11" customWidth="1"/>
    <col min="11" max="11" width="9.109375" style="11"/>
    <col min="12" max="12" width="18.6640625" style="11" customWidth="1"/>
    <col min="13" max="13" width="11" style="11" customWidth="1"/>
    <col min="14" max="16384" width="9.109375" style="11"/>
  </cols>
  <sheetData>
    <row r="1" spans="1:6" ht="16.5" customHeight="1">
      <c r="A1" s="662" t="s">
        <v>0</v>
      </c>
      <c r="B1" s="662"/>
      <c r="C1" s="662"/>
    </row>
    <row r="2" spans="1:6">
      <c r="A2" s="665" t="s">
        <v>1</v>
      </c>
      <c r="B2" s="405" t="s">
        <v>2</v>
      </c>
      <c r="C2" s="551"/>
      <c r="D2" s="11" t="s">
        <v>3</v>
      </c>
    </row>
    <row r="3" spans="1:6">
      <c r="A3" s="665"/>
      <c r="B3" s="405" t="s">
        <v>4</v>
      </c>
      <c r="C3" s="404" t="s">
        <v>5</v>
      </c>
      <c r="D3" s="11" t="s">
        <v>3</v>
      </c>
    </row>
    <row r="4" spans="1:6">
      <c r="A4" s="665"/>
      <c r="B4" s="405" t="s">
        <v>6</v>
      </c>
      <c r="C4" s="404" t="s">
        <v>7</v>
      </c>
      <c r="D4" s="11" t="s">
        <v>3</v>
      </c>
    </row>
    <row r="5" spans="1:6">
      <c r="A5" s="665"/>
      <c r="B5" s="405" t="s">
        <v>8</v>
      </c>
      <c r="C5" s="404" t="s">
        <v>9</v>
      </c>
      <c r="D5" s="11" t="s">
        <v>3</v>
      </c>
    </row>
    <row r="6" spans="1:6">
      <c r="A6" s="665" t="s">
        <v>10</v>
      </c>
      <c r="B6" s="552" t="s">
        <v>11</v>
      </c>
      <c r="C6" s="404" t="s">
        <v>12</v>
      </c>
      <c r="D6" s="11" t="s">
        <v>3</v>
      </c>
    </row>
    <row r="7" spans="1:6">
      <c r="A7" s="665"/>
      <c r="B7" s="552" t="s">
        <v>13</v>
      </c>
      <c r="C7" s="404" t="s">
        <v>14</v>
      </c>
      <c r="D7" s="11" t="s">
        <v>3</v>
      </c>
    </row>
    <row r="8" spans="1:6">
      <c r="A8" s="665"/>
      <c r="B8" s="552" t="s">
        <v>15</v>
      </c>
      <c r="C8" s="404" t="s">
        <v>16</v>
      </c>
      <c r="D8" s="11" t="s">
        <v>3</v>
      </c>
    </row>
    <row r="9" spans="1:6">
      <c r="A9" s="665"/>
      <c r="B9" s="405" t="s">
        <v>17</v>
      </c>
      <c r="C9" s="404" t="s">
        <v>18</v>
      </c>
      <c r="D9" s="11" t="s">
        <v>3</v>
      </c>
    </row>
    <row r="10" spans="1:6">
      <c r="A10" s="665" t="s">
        <v>19</v>
      </c>
      <c r="B10" s="665" t="s">
        <v>20</v>
      </c>
      <c r="C10" s="404" t="s">
        <v>21</v>
      </c>
      <c r="D10" s="311">
        <v>2025</v>
      </c>
    </row>
    <row r="11" spans="1:6">
      <c r="A11" s="665"/>
      <c r="B11" s="665"/>
      <c r="C11" s="404" t="s">
        <v>22</v>
      </c>
      <c r="D11" s="11" t="s">
        <v>23</v>
      </c>
    </row>
    <row r="12" spans="1:6" ht="13.95" customHeight="1">
      <c r="A12" s="665"/>
      <c r="B12" s="405" t="s">
        <v>24</v>
      </c>
      <c r="C12" s="398" t="s">
        <v>25</v>
      </c>
      <c r="D12" s="11" t="s">
        <v>3</v>
      </c>
    </row>
    <row r="13" spans="1:6">
      <c r="A13" s="665"/>
      <c r="B13" s="405" t="s">
        <v>26</v>
      </c>
      <c r="C13" s="398" t="s">
        <v>27</v>
      </c>
      <c r="D13" s="397" t="s">
        <v>3</v>
      </c>
      <c r="E13" s="397"/>
      <c r="F13" s="397"/>
    </row>
    <row r="14" spans="1:6">
      <c r="A14" s="665"/>
      <c r="B14" s="405" t="s">
        <v>28</v>
      </c>
      <c r="C14" s="404" t="s">
        <v>29</v>
      </c>
      <c r="D14" s="11" t="s">
        <v>3</v>
      </c>
    </row>
    <row r="15" spans="1:6" ht="13.2" customHeight="1">
      <c r="A15" s="665"/>
      <c r="B15" s="405" t="s">
        <v>30</v>
      </c>
      <c r="C15" s="404" t="s">
        <v>31</v>
      </c>
      <c r="D15" s="11" t="s">
        <v>3</v>
      </c>
    </row>
    <row r="16" spans="1:6" ht="13.2" customHeight="1">
      <c r="A16" s="665"/>
      <c r="B16" s="405" t="s">
        <v>32</v>
      </c>
      <c r="C16" s="404" t="s">
        <v>33</v>
      </c>
      <c r="D16" s="11" t="s">
        <v>3</v>
      </c>
    </row>
    <row r="17" spans="1:5" ht="13.2" customHeight="1">
      <c r="A17" s="665"/>
      <c r="B17" s="405" t="s">
        <v>34</v>
      </c>
      <c r="C17" s="404" t="s">
        <v>31</v>
      </c>
      <c r="D17" s="11" t="s">
        <v>3</v>
      </c>
    </row>
    <row r="18" spans="1:5" ht="13.95" customHeight="1">
      <c r="A18" s="665"/>
      <c r="B18" s="553" t="s">
        <v>35</v>
      </c>
      <c r="C18" s="404" t="s">
        <v>36</v>
      </c>
      <c r="D18" s="11" t="s">
        <v>3</v>
      </c>
    </row>
    <row r="19" spans="1:5" ht="13.95" customHeight="1">
      <c r="A19" s="665"/>
      <c r="B19" s="405" t="s">
        <v>37</v>
      </c>
      <c r="C19" s="404" t="s">
        <v>38</v>
      </c>
      <c r="D19" s="11" t="s">
        <v>3</v>
      </c>
    </row>
    <row r="20" spans="1:5" ht="13.95" customHeight="1">
      <c r="A20" s="665"/>
      <c r="B20" s="405" t="s">
        <v>39</v>
      </c>
      <c r="C20" s="404" t="s">
        <v>40</v>
      </c>
      <c r="D20" s="11" t="s">
        <v>3</v>
      </c>
    </row>
    <row r="21" spans="1:5" ht="13.95" customHeight="1">
      <c r="A21" s="665"/>
      <c r="B21" s="405" t="s">
        <v>41</v>
      </c>
      <c r="C21" s="404" t="s">
        <v>42</v>
      </c>
      <c r="D21" s="11" t="s">
        <v>3</v>
      </c>
    </row>
    <row r="22" spans="1:5" ht="27.6" customHeight="1">
      <c r="A22" s="665"/>
      <c r="B22" s="554" t="s">
        <v>43</v>
      </c>
      <c r="C22" s="404" t="s">
        <v>44</v>
      </c>
      <c r="D22" s="11" t="s">
        <v>3</v>
      </c>
    </row>
    <row r="23" spans="1:5" ht="45" customHeight="1">
      <c r="A23" s="665"/>
      <c r="B23" s="554" t="s">
        <v>45</v>
      </c>
      <c r="C23" s="398" t="s">
        <v>46</v>
      </c>
      <c r="D23" s="11" t="s">
        <v>3</v>
      </c>
    </row>
    <row r="24" spans="1:5" ht="27" customHeight="1">
      <c r="A24" s="665"/>
      <c r="B24" s="554" t="s">
        <v>47</v>
      </c>
      <c r="C24" s="398" t="s">
        <v>48</v>
      </c>
      <c r="D24" s="11" t="s">
        <v>3</v>
      </c>
      <c r="E24" s="11" t="s">
        <v>3</v>
      </c>
    </row>
    <row r="25" spans="1:5">
      <c r="A25" s="665"/>
      <c r="B25" s="405" t="s">
        <v>49</v>
      </c>
      <c r="C25" s="404" t="s">
        <v>50</v>
      </c>
      <c r="D25" s="11" t="s">
        <v>3</v>
      </c>
      <c r="E25" s="11" t="s">
        <v>3</v>
      </c>
    </row>
    <row r="26" spans="1:5">
      <c r="A26" s="665"/>
      <c r="B26" s="405" t="s">
        <v>51</v>
      </c>
      <c r="C26" s="404" t="s">
        <v>52</v>
      </c>
      <c r="D26" s="11" t="s">
        <v>3</v>
      </c>
    </row>
    <row r="27" spans="1:5">
      <c r="A27" s="665"/>
      <c r="B27" s="405" t="s">
        <v>53</v>
      </c>
      <c r="C27" s="404" t="s">
        <v>54</v>
      </c>
      <c r="D27" s="11" t="s">
        <v>3</v>
      </c>
      <c r="E27" s="11" t="s">
        <v>3</v>
      </c>
    </row>
    <row r="28" spans="1:5">
      <c r="A28" s="665"/>
      <c r="B28" s="554"/>
      <c r="C28" s="398"/>
    </row>
    <row r="29" spans="1:5">
      <c r="A29" s="384"/>
      <c r="B29" s="384"/>
      <c r="C29" s="551"/>
      <c r="D29" s="11" t="s">
        <v>3</v>
      </c>
    </row>
    <row r="30" spans="1:5">
      <c r="A30" s="384"/>
      <c r="B30" s="384"/>
      <c r="C30" s="551"/>
    </row>
    <row r="31" spans="1:5" ht="15.6">
      <c r="A31" s="664" t="s">
        <v>55</v>
      </c>
      <c r="B31" s="664"/>
      <c r="C31" s="664"/>
    </row>
    <row r="32" spans="1:5">
      <c r="A32" s="384"/>
      <c r="B32" s="384"/>
      <c r="C32" s="551"/>
    </row>
    <row r="33" spans="1:8">
      <c r="A33" s="384"/>
      <c r="B33" s="384"/>
      <c r="C33" s="551"/>
    </row>
    <row r="34" spans="1:8">
      <c r="A34" s="384"/>
      <c r="B34" s="384"/>
      <c r="C34" s="551"/>
    </row>
    <row r="35" spans="1:8">
      <c r="A35" s="384"/>
      <c r="B35" s="384"/>
      <c r="C35" s="384"/>
      <c r="F35" s="18" t="s">
        <v>56</v>
      </c>
      <c r="G35" s="18" t="s">
        <v>57</v>
      </c>
      <c r="H35" s="18" t="s">
        <v>58</v>
      </c>
    </row>
    <row r="36" spans="1:8">
      <c r="A36" s="384"/>
      <c r="B36" s="384"/>
      <c r="C36" s="551"/>
      <c r="F36" s="18"/>
      <c r="G36" s="18"/>
      <c r="H36" s="18"/>
    </row>
    <row r="37" spans="1:8" ht="25.2" customHeight="1">
      <c r="A37" s="384"/>
      <c r="B37" s="384"/>
      <c r="C37" s="551"/>
      <c r="E37" s="19" t="s">
        <v>59</v>
      </c>
      <c r="F37" s="20">
        <v>0.46189629166831803</v>
      </c>
      <c r="G37" s="20">
        <v>0.53810370833168208</v>
      </c>
      <c r="H37" s="20">
        <v>0.12391054497812119</v>
      </c>
    </row>
    <row r="38" spans="1:8">
      <c r="A38" s="384"/>
      <c r="B38" s="384"/>
      <c r="C38" s="551"/>
    </row>
    <row r="39" spans="1:8">
      <c r="A39" s="384"/>
      <c r="B39" s="384"/>
      <c r="C39" s="551"/>
    </row>
    <row r="40" spans="1:8">
      <c r="A40" s="384"/>
      <c r="B40" s="384"/>
      <c r="C40" s="551"/>
    </row>
    <row r="41" spans="1:8">
      <c r="A41" s="384"/>
      <c r="B41" s="499" t="s">
        <v>60</v>
      </c>
      <c r="C41" s="551"/>
    </row>
    <row r="42" spans="1:8" ht="15.6">
      <c r="A42" s="664" t="s">
        <v>61</v>
      </c>
      <c r="B42" s="664"/>
      <c r="C42" s="664"/>
    </row>
    <row r="43" spans="1:8" ht="166.2" customHeight="1">
      <c r="A43" s="555" t="s">
        <v>62</v>
      </c>
      <c r="B43" s="666" t="s">
        <v>63</v>
      </c>
      <c r="C43" s="667"/>
    </row>
    <row r="44" spans="1:8" ht="69" customHeight="1">
      <c r="A44" s="506" t="s">
        <v>64</v>
      </c>
      <c r="B44" s="663" t="s">
        <v>65</v>
      </c>
      <c r="C44" s="663"/>
    </row>
    <row r="45" spans="1:8" ht="96" customHeight="1">
      <c r="A45" s="506" t="s">
        <v>66</v>
      </c>
      <c r="B45" s="663" t="s">
        <v>67</v>
      </c>
      <c r="C45" s="663"/>
    </row>
    <row r="46" spans="1:8" ht="99.6" customHeight="1">
      <c r="A46" s="506" t="s">
        <v>68</v>
      </c>
      <c r="B46" s="663" t="s">
        <v>69</v>
      </c>
      <c r="C46" s="663"/>
    </row>
    <row r="48" spans="1:8">
      <c r="B48" s="382"/>
    </row>
    <row r="49" spans="2:16">
      <c r="B49" s="384"/>
    </row>
    <row r="50" spans="2:16">
      <c r="B50" s="384"/>
    </row>
    <row r="51" spans="2:16">
      <c r="B51" s="382"/>
    </row>
    <row r="52" spans="2:16">
      <c r="B52" s="382"/>
    </row>
    <row r="55" spans="2:16" ht="14.4" customHeight="1">
      <c r="E55" s="14"/>
      <c r="F55" s="14"/>
      <c r="G55" s="14"/>
      <c r="H55" s="14"/>
      <c r="I55" s="14"/>
      <c r="J55" s="14"/>
      <c r="K55" s="14"/>
      <c r="L55" s="14"/>
      <c r="M55" s="14"/>
      <c r="N55" s="14"/>
    </row>
    <row r="56" spans="2:16">
      <c r="E56" s="14"/>
      <c r="F56" s="13"/>
      <c r="G56" s="13"/>
      <c r="H56" s="401"/>
      <c r="I56" s="13"/>
      <c r="J56" s="13"/>
      <c r="K56" s="401"/>
      <c r="L56" s="13"/>
      <c r="M56" s="13"/>
      <c r="N56" s="13"/>
      <c r="O56" s="55"/>
      <c r="P56" s="57"/>
    </row>
    <row r="57" spans="2:16">
      <c r="E57" s="453"/>
      <c r="F57" s="395"/>
      <c r="G57" s="395"/>
      <c r="H57" s="400"/>
      <c r="I57" s="395"/>
      <c r="J57" s="395"/>
      <c r="K57" s="395"/>
      <c r="L57" s="396"/>
      <c r="M57" s="395"/>
      <c r="N57" s="13"/>
      <c r="O57" s="55"/>
      <c r="P57" s="57"/>
    </row>
    <row r="58" spans="2:16">
      <c r="E58" s="453"/>
      <c r="F58" s="395"/>
      <c r="G58" s="395"/>
      <c r="H58" s="395"/>
      <c r="I58" s="395"/>
      <c r="J58" s="395"/>
      <c r="K58" s="395"/>
      <c r="L58" s="396"/>
      <c r="M58" s="395"/>
      <c r="N58" s="13"/>
      <c r="O58" s="264"/>
      <c r="P58" s="57"/>
    </row>
    <row r="59" spans="2:16">
      <c r="E59" s="453"/>
      <c r="F59" s="395"/>
      <c r="G59" s="395"/>
      <c r="H59" s="395"/>
      <c r="I59" s="395"/>
      <c r="J59" s="395"/>
      <c r="K59" s="395"/>
      <c r="L59" s="396"/>
      <c r="M59" s="395"/>
      <c r="N59" s="13"/>
      <c r="O59" s="55"/>
      <c r="P59" s="57"/>
    </row>
    <row r="60" spans="2:16">
      <c r="E60" s="453"/>
      <c r="F60" s="395"/>
      <c r="G60" s="395"/>
      <c r="H60" s="395"/>
      <c r="I60" s="395"/>
      <c r="J60" s="400"/>
      <c r="K60" s="395"/>
      <c r="L60" s="396"/>
      <c r="M60" s="396"/>
      <c r="N60" s="13"/>
      <c r="O60" s="264"/>
      <c r="P60" s="57"/>
    </row>
    <row r="61" spans="2:16">
      <c r="E61" s="453"/>
      <c r="F61" s="395"/>
      <c r="G61" s="395"/>
      <c r="H61" s="395"/>
      <c r="I61" s="395"/>
      <c r="J61" s="395"/>
      <c r="K61" s="395"/>
      <c r="L61" s="396"/>
      <c r="M61" s="395"/>
      <c r="N61" s="13"/>
      <c r="O61" s="55"/>
      <c r="P61" s="57"/>
    </row>
    <row r="62" spans="2:16">
      <c r="E62" s="453"/>
      <c r="F62" s="395"/>
      <c r="G62" s="395"/>
      <c r="H62" s="395"/>
      <c r="I62" s="395"/>
      <c r="J62" s="395"/>
      <c r="K62" s="395"/>
      <c r="L62" s="396"/>
      <c r="M62" s="395"/>
      <c r="N62" s="13"/>
      <c r="O62" s="55"/>
      <c r="P62" s="57"/>
    </row>
    <row r="63" spans="2:16">
      <c r="E63" s="453"/>
      <c r="F63" s="395"/>
      <c r="G63" s="395"/>
      <c r="H63" s="395"/>
      <c r="I63" s="395"/>
      <c r="J63" s="395"/>
      <c r="K63" s="395"/>
      <c r="L63" s="396"/>
      <c r="M63" s="396"/>
      <c r="N63" s="13"/>
      <c r="O63" s="55"/>
      <c r="P63" s="57"/>
    </row>
    <row r="64" spans="2:16">
      <c r="E64" s="453"/>
      <c r="F64" s="395"/>
      <c r="G64" s="395"/>
      <c r="H64" s="395"/>
      <c r="I64" s="395"/>
      <c r="J64" s="395"/>
      <c r="K64" s="395"/>
      <c r="L64" s="396"/>
      <c r="M64" s="396"/>
      <c r="N64" s="13"/>
      <c r="O64" s="55"/>
      <c r="P64" s="57"/>
    </row>
    <row r="65" spans="5:16">
      <c r="E65" s="453"/>
      <c r="F65" s="395"/>
      <c r="G65" s="395"/>
      <c r="H65" s="395"/>
      <c r="I65" s="395"/>
      <c r="J65" s="395"/>
      <c r="K65" s="395"/>
      <c r="L65" s="396"/>
      <c r="M65" s="396"/>
      <c r="N65" s="13"/>
      <c r="O65" s="55"/>
      <c r="P65" s="57"/>
    </row>
    <row r="66" spans="5:16">
      <c r="E66" s="453"/>
      <c r="F66" s="395"/>
      <c r="G66" s="395"/>
      <c r="H66" s="400"/>
      <c r="I66" s="395"/>
      <c r="J66" s="395"/>
      <c r="K66" s="395"/>
      <c r="L66" s="396"/>
      <c r="M66" s="395"/>
      <c r="N66" s="13"/>
    </row>
    <row r="67" spans="5:16">
      <c r="E67" s="453"/>
      <c r="F67" s="402"/>
      <c r="G67" s="402"/>
      <c r="H67" s="402"/>
      <c r="I67" s="402"/>
      <c r="J67" s="402"/>
      <c r="K67" s="402"/>
      <c r="L67" s="403"/>
      <c r="M67" s="395"/>
      <c r="N67" s="13"/>
    </row>
  </sheetData>
  <mergeCells count="12">
    <mergeCell ref="A1:C1"/>
    <mergeCell ref="B46:C46"/>
    <mergeCell ref="A42:C42"/>
    <mergeCell ref="A2:A5"/>
    <mergeCell ref="A31:C31"/>
    <mergeCell ref="B44:C44"/>
    <mergeCell ref="B45:C45"/>
    <mergeCell ref="A6:A9"/>
    <mergeCell ref="A10:A14"/>
    <mergeCell ref="A15:A28"/>
    <mergeCell ref="B43:C43"/>
    <mergeCell ref="B10:B11"/>
  </mergeCells>
  <hyperlinks>
    <hyperlink ref="C6" r:id="rId1" xr:uid="{C035E4F3-41F0-49C4-AA08-0A6444824FC8}"/>
    <hyperlink ref="C7" r:id="rId2" location="Commercial" xr:uid="{6E27FA63-4CB0-4156-A5A5-85E6C31F5946}"/>
    <hyperlink ref="C8" r:id="rId3" xr:uid="{8CBCEB5A-68D5-431B-A1E4-422B6EDB4FA9}"/>
    <hyperlink ref="C9" r:id="rId4" xr:uid="{192BBCEF-5112-42DA-8187-AA787B08555D}"/>
    <hyperlink ref="C5" r:id="rId5" xr:uid="{19AF5EF3-14A5-44AE-B730-140BF104272A}"/>
    <hyperlink ref="C4" r:id="rId6" xr:uid="{8ADA6228-A7BF-4E82-9D60-E20B0FF95F19}"/>
    <hyperlink ref="C3" r:id="rId7" xr:uid="{7ADAAC21-6BF3-4C55-B602-4E3B84FE2AAA}"/>
    <hyperlink ref="C18" r:id="rId8" xr:uid="{C363009F-2C9D-428F-9B52-9ED4C4ABFC8F}"/>
    <hyperlink ref="C19" r:id="rId9" xr:uid="{19FE9FCB-CBF1-4112-9657-4516F6105B3C}"/>
    <hyperlink ref="C20" r:id="rId10" xr:uid="{8A9DDE9A-4C9F-4CA2-88D3-D372F36B9A92}"/>
    <hyperlink ref="C21" r:id="rId11" xr:uid="{8DAAFE1A-6782-46AC-AA19-EF8672F55F58}"/>
    <hyperlink ref="C23" r:id="rId12" xr:uid="{5C338DB9-8B73-49EA-B509-C1A6B47839F1}"/>
    <hyperlink ref="C14" r:id="rId13" xr:uid="{0EEDD008-EC9F-492D-9B46-C9B295FA71E8}"/>
    <hyperlink ref="C24" r:id="rId14" xr:uid="{4B87D0E9-B7C6-4998-B536-02C8AE4630C6}"/>
    <hyperlink ref="C12" r:id="rId15" xr:uid="{1F579EA4-C8E6-49EF-8D28-80959CD6BC50}"/>
    <hyperlink ref="C15" r:id="rId16" xr:uid="{7EA31023-E5C0-4A1A-B49A-853853C22EFC}"/>
    <hyperlink ref="C16" r:id="rId17" xr:uid="{73BAB708-CE6B-4F59-ACB7-739747C824BD}"/>
    <hyperlink ref="C13" r:id="rId18" xr:uid="{43F37840-186F-48C1-A08D-6513D96DA07E}"/>
    <hyperlink ref="C25" r:id="rId19" xr:uid="{10F403BE-E242-459A-A58D-C83331108FB7}"/>
    <hyperlink ref="C22" r:id="rId20" xr:uid="{026D65C6-2FFE-4337-A248-7EB5958800C6}"/>
    <hyperlink ref="C26" r:id="rId21" xr:uid="{71F6298E-328E-4C8B-A1F2-83D6BEEA6752}"/>
    <hyperlink ref="C27" r:id="rId22" xr:uid="{F8658D0D-3AA2-4356-916C-541F4E8E780F}"/>
    <hyperlink ref="C11" r:id="rId23" xr:uid="{99A10631-C332-43AD-86CE-0D7BC190543E}"/>
    <hyperlink ref="C10" r:id="rId24" xr:uid="{A83DD2CA-579A-4284-9F68-B5208A04BDD9}"/>
    <hyperlink ref="C17" r:id="rId25" xr:uid="{5B5E18ED-44A8-4302-B837-D3669B799F19}"/>
  </hyperlinks>
  <pageMargins left="0.7" right="0.7" top="0.75" bottom="0.75" header="0.3" footer="0.3"/>
  <drawing r:id="rId2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4"/>
  <sheetViews>
    <sheetView tabSelected="1" zoomScaleNormal="100" workbookViewId="0">
      <selection sqref="A1:C1"/>
    </sheetView>
  </sheetViews>
  <sheetFormatPr defaultColWidth="9.109375" defaultRowHeight="13.8"/>
  <cols>
    <col min="1" max="1" width="25" style="9" customWidth="1"/>
    <col min="2" max="2" width="51.33203125" style="9" customWidth="1"/>
    <col min="3" max="3" width="51.6640625" style="9" customWidth="1"/>
    <col min="4" max="4" width="28.88671875" style="9" customWidth="1"/>
    <col min="5" max="5" width="38.33203125" style="9" customWidth="1"/>
    <col min="6" max="9" width="8.88671875" style="9" customWidth="1"/>
    <col min="10" max="16384" width="9.109375" style="9"/>
  </cols>
  <sheetData>
    <row r="1" spans="1:9" ht="17.399999999999999">
      <c r="A1" s="659" t="s">
        <v>70</v>
      </c>
      <c r="B1" s="659"/>
      <c r="C1" s="659"/>
      <c r="D1" s="21"/>
      <c r="E1" s="21"/>
      <c r="F1" s="21"/>
    </row>
    <row r="2" spans="1:9" ht="17.399999999999999">
      <c r="A2" s="660" t="s">
        <v>71</v>
      </c>
      <c r="B2" s="661"/>
      <c r="C2" s="661"/>
      <c r="D2" s="21"/>
      <c r="E2" s="21"/>
      <c r="F2" s="21"/>
    </row>
    <row r="3" spans="1:9" ht="23.4" customHeight="1">
      <c r="A3" s="496" t="s">
        <v>72</v>
      </c>
      <c r="B3" s="497" t="s">
        <v>73</v>
      </c>
      <c r="C3" s="498" t="s">
        <v>0</v>
      </c>
    </row>
    <row r="4" spans="1:9">
      <c r="A4" s="556" t="s">
        <v>74</v>
      </c>
      <c r="B4" s="316" t="s">
        <v>75</v>
      </c>
      <c r="C4" s="556"/>
    </row>
    <row r="5" spans="1:9">
      <c r="A5" s="556" t="s">
        <v>76</v>
      </c>
      <c r="B5" s="316" t="s">
        <v>77</v>
      </c>
      <c r="C5" s="556"/>
    </row>
    <row r="6" spans="1:9" ht="21.6" customHeight="1">
      <c r="A6" s="557" t="s">
        <v>78</v>
      </c>
      <c r="B6" s="558" t="s">
        <v>79</v>
      </c>
      <c r="C6" s="557"/>
    </row>
    <row r="7" spans="1:9" ht="82.5" customHeight="1">
      <c r="A7" s="556" t="s">
        <v>80</v>
      </c>
      <c r="B7" s="559" t="s">
        <v>81</v>
      </c>
      <c r="C7" s="560" t="s">
        <v>82</v>
      </c>
      <c r="D7" s="404"/>
      <c r="E7" s="420" t="s">
        <v>3</v>
      </c>
    </row>
    <row r="8" spans="1:9" ht="117" customHeight="1">
      <c r="A8" s="556" t="s">
        <v>83</v>
      </c>
      <c r="B8" s="316"/>
      <c r="C8" s="560" t="s">
        <v>84</v>
      </c>
      <c r="D8" s="398"/>
      <c r="E8" s="9" t="s">
        <v>3</v>
      </c>
      <c r="F8" s="9" t="s">
        <v>3</v>
      </c>
      <c r="I8" s="10"/>
    </row>
    <row r="9" spans="1:9">
      <c r="A9" s="561" t="s">
        <v>85</v>
      </c>
      <c r="B9" s="562" t="s">
        <v>86</v>
      </c>
      <c r="C9" s="556" t="s">
        <v>87</v>
      </c>
    </row>
    <row r="10" spans="1:9" ht="26.4">
      <c r="A10" s="561" t="s">
        <v>88</v>
      </c>
      <c r="B10" s="563">
        <v>1.5</v>
      </c>
      <c r="C10" s="560" t="s">
        <v>89</v>
      </c>
    </row>
    <row r="11" spans="1:9" ht="43.5" customHeight="1">
      <c r="A11" s="564" t="s">
        <v>90</v>
      </c>
      <c r="B11" s="316">
        <v>3</v>
      </c>
      <c r="C11" s="560" t="s">
        <v>91</v>
      </c>
    </row>
    <row r="12" spans="1:9" ht="24.75" customHeight="1">
      <c r="A12" s="564" t="s">
        <v>92</v>
      </c>
      <c r="B12" s="316" t="s">
        <v>93</v>
      </c>
      <c r="C12" s="560" t="s">
        <v>94</v>
      </c>
    </row>
    <row r="13" spans="1:9" ht="79.2">
      <c r="A13" s="561" t="s">
        <v>95</v>
      </c>
      <c r="B13" s="559" t="s">
        <v>96</v>
      </c>
      <c r="C13" s="560" t="s">
        <v>97</v>
      </c>
      <c r="D13" s="453" t="s">
        <v>98</v>
      </c>
    </row>
    <row r="14" spans="1:9" ht="26.4">
      <c r="A14" s="561" t="s">
        <v>99</v>
      </c>
      <c r="B14" s="565" t="s">
        <v>100</v>
      </c>
      <c r="C14" s="560" t="s">
        <v>89</v>
      </c>
    </row>
    <row r="15" spans="1:9" ht="26.4">
      <c r="A15" s="561" t="s">
        <v>101</v>
      </c>
      <c r="B15" s="559">
        <v>13</v>
      </c>
      <c r="C15" s="560" t="s">
        <v>102</v>
      </c>
    </row>
    <row r="16" spans="1:9" ht="26.4">
      <c r="A16" s="561" t="s">
        <v>103</v>
      </c>
      <c r="B16" s="559" t="s">
        <v>104</v>
      </c>
      <c r="C16" s="560" t="s">
        <v>89</v>
      </c>
    </row>
    <row r="17" spans="1:5" ht="26.4">
      <c r="A17" s="561" t="s">
        <v>105</v>
      </c>
      <c r="B17" s="559" t="s">
        <v>106</v>
      </c>
      <c r="C17" s="560" t="s">
        <v>89</v>
      </c>
    </row>
    <row r="20" spans="1:5" ht="14.4">
      <c r="A20" s="338"/>
      <c r="B20" s="338"/>
      <c r="C20" s="338"/>
      <c r="D20" s="338"/>
      <c r="E20" s="338"/>
    </row>
    <row r="21" spans="1:5" ht="14.4">
      <c r="A21" s="338"/>
      <c r="B21" s="338"/>
      <c r="C21" s="338"/>
      <c r="D21" s="338"/>
      <c r="E21" s="338"/>
    </row>
    <row r="22" spans="1:5" ht="14.4">
      <c r="A22" s="339"/>
      <c r="B22" s="339"/>
      <c r="C22" s="339"/>
      <c r="D22" s="339"/>
      <c r="E22" s="339"/>
    </row>
    <row r="23" spans="1:5" ht="11.25" customHeight="1">
      <c r="A23" s="338"/>
      <c r="B23" s="338"/>
      <c r="C23" s="338"/>
      <c r="D23" s="338"/>
      <c r="E23" s="338"/>
    </row>
    <row r="24" spans="1:5" ht="12" customHeight="1">
      <c r="A24" s="338"/>
      <c r="B24" s="338"/>
      <c r="C24" s="338"/>
      <c r="D24" s="338"/>
      <c r="E24" s="338"/>
    </row>
  </sheetData>
  <mergeCells count="2">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B77"/>
  <sheetViews>
    <sheetView zoomScale="70" zoomScaleNormal="70" workbookViewId="0">
      <selection sqref="A1:O1"/>
    </sheetView>
  </sheetViews>
  <sheetFormatPr defaultColWidth="8.88671875" defaultRowHeight="12.75" customHeight="1"/>
  <cols>
    <col min="1" max="1" width="36" style="14" customWidth="1"/>
    <col min="2" max="2" width="37.33203125" style="11" customWidth="1"/>
    <col min="3" max="3" width="39.44140625" style="11" customWidth="1"/>
    <col min="4" max="6" width="29.44140625" style="14" customWidth="1"/>
    <col min="7" max="7" width="19.6640625" style="14" customWidth="1"/>
    <col min="8" max="9" width="19.6640625" style="11" customWidth="1"/>
    <col min="10" max="10" width="13.6640625" style="11" customWidth="1"/>
    <col min="11" max="11" width="12.6640625" style="11" customWidth="1"/>
    <col min="12" max="12" width="11.88671875" style="11" customWidth="1"/>
    <col min="13" max="13" width="16.33203125" style="11" customWidth="1"/>
    <col min="14" max="14" width="33.6640625" style="11" customWidth="1"/>
    <col min="15" max="15" width="55.5546875" style="11" customWidth="1"/>
    <col min="16" max="16" width="10.44140625" style="11" customWidth="1"/>
    <col min="17" max="17" width="15.88671875" style="11" customWidth="1"/>
    <col min="18" max="18" width="43.33203125" style="11" customWidth="1"/>
    <col min="19" max="19" width="22.88671875" style="11" customWidth="1"/>
    <col min="20" max="20" width="10.109375" style="11" customWidth="1"/>
    <col min="21" max="21" width="12.44140625" style="11" customWidth="1"/>
    <col min="22" max="22" width="18.109375" style="11" customWidth="1"/>
    <col min="23" max="23" width="14.44140625" style="11" customWidth="1"/>
    <col min="24" max="24" width="22.88671875" style="11" customWidth="1"/>
    <col min="25" max="25" width="16.33203125" style="11" customWidth="1"/>
    <col min="26" max="26" width="6.6640625" style="11" bestFit="1" customWidth="1"/>
    <col min="27" max="31" width="17.109375" style="11" customWidth="1"/>
    <col min="32" max="16384" width="8.88671875" style="11"/>
  </cols>
  <sheetData>
    <row r="1" spans="1:25" ht="25.95" customHeight="1">
      <c r="A1" s="670" t="s">
        <v>107</v>
      </c>
      <c r="B1" s="670"/>
      <c r="C1" s="670"/>
      <c r="D1" s="670"/>
      <c r="E1" s="670"/>
      <c r="F1" s="670"/>
      <c r="G1" s="670"/>
      <c r="H1" s="670"/>
      <c r="I1" s="670"/>
      <c r="J1" s="670"/>
      <c r="K1" s="670"/>
      <c r="L1" s="670"/>
      <c r="M1" s="670"/>
      <c r="N1" s="670"/>
      <c r="O1" s="670"/>
      <c r="P1" s="127"/>
      <c r="Q1" s="668" t="s">
        <v>108</v>
      </c>
      <c r="R1" s="668"/>
      <c r="S1" s="668"/>
      <c r="T1" s="668"/>
      <c r="U1" s="668"/>
    </row>
    <row r="2" spans="1:25" ht="41.4" customHeight="1">
      <c r="A2" s="517" t="s">
        <v>109</v>
      </c>
      <c r="B2" s="522" t="s">
        <v>110</v>
      </c>
      <c r="C2" s="492" t="s">
        <v>111</v>
      </c>
      <c r="D2" s="516" t="s">
        <v>112</v>
      </c>
      <c r="E2" s="459" t="s">
        <v>113</v>
      </c>
      <c r="F2" s="459" t="s">
        <v>114</v>
      </c>
      <c r="G2" s="460" t="s">
        <v>115</v>
      </c>
      <c r="H2" s="239" t="s">
        <v>116</v>
      </c>
      <c r="I2" s="239" t="s">
        <v>117</v>
      </c>
      <c r="J2" s="522" t="s">
        <v>118</v>
      </c>
      <c r="K2" s="239" t="s">
        <v>119</v>
      </c>
      <c r="L2" s="239" t="s">
        <v>120</v>
      </c>
      <c r="M2" s="239" t="s">
        <v>121</v>
      </c>
      <c r="N2" s="461" t="s">
        <v>122</v>
      </c>
      <c r="O2" s="462" t="s">
        <v>61</v>
      </c>
      <c r="P2" s="128"/>
      <c r="Q2" s="387"/>
      <c r="R2" s="387" t="s">
        <v>3</v>
      </c>
      <c r="S2" s="387"/>
      <c r="T2" s="387"/>
      <c r="V2" s="121"/>
    </row>
    <row r="3" spans="1:25" ht="17.399999999999999" customHeight="1">
      <c r="A3" s="513" t="s">
        <v>71</v>
      </c>
      <c r="B3" s="493" t="s">
        <v>123</v>
      </c>
      <c r="C3" s="503" t="s">
        <v>124</v>
      </c>
      <c r="D3" s="303" t="s">
        <v>125</v>
      </c>
      <c r="E3" s="303" t="s">
        <v>126</v>
      </c>
      <c r="F3" s="303" t="s">
        <v>127</v>
      </c>
      <c r="G3" s="303" t="s">
        <v>128</v>
      </c>
      <c r="H3" s="24" t="s">
        <v>129</v>
      </c>
      <c r="I3" s="156">
        <f>J3/$J$57</f>
        <v>7.9864791444811969E-2</v>
      </c>
      <c r="J3" s="71">
        <v>4283</v>
      </c>
      <c r="K3" s="24">
        <f t="shared" ref="K3:K19" si="0">J3*9</f>
        <v>38547</v>
      </c>
      <c r="L3" s="24">
        <v>1</v>
      </c>
      <c r="M3" s="463">
        <f>IFERROR(N3*J3/1000,0)</f>
        <v>21.414999999999999</v>
      </c>
      <c r="N3" s="464">
        <v>5</v>
      </c>
      <c r="O3" s="465"/>
      <c r="P3" s="129"/>
      <c r="Q3" s="388"/>
      <c r="R3" s="389"/>
    </row>
    <row r="4" spans="1:25" ht="17.399999999999999" customHeight="1">
      <c r="A4" s="513" t="s">
        <v>71</v>
      </c>
      <c r="B4" s="493" t="s">
        <v>130</v>
      </c>
      <c r="C4" s="503" t="s">
        <v>124</v>
      </c>
      <c r="D4" s="303" t="s">
        <v>131</v>
      </c>
      <c r="E4" s="303" t="s">
        <v>126</v>
      </c>
      <c r="F4" s="303" t="s">
        <v>127</v>
      </c>
      <c r="G4" s="303" t="s">
        <v>128</v>
      </c>
      <c r="H4" s="24" t="s">
        <v>129</v>
      </c>
      <c r="I4" s="156">
        <f t="shared" ref="I4:I19" si="1">J4/$J$57</f>
        <v>4.2850403468275136E-2</v>
      </c>
      <c r="J4" s="71">
        <v>2297.9873200000002</v>
      </c>
      <c r="K4" s="24">
        <f t="shared" si="0"/>
        <v>20681.885880000002</v>
      </c>
      <c r="L4" s="24">
        <v>1</v>
      </c>
      <c r="M4" s="463">
        <f t="shared" ref="M4:M56" si="2">IFERROR(N4*J4/1000,0)</f>
        <v>11.4899366</v>
      </c>
      <c r="N4" s="464">
        <v>5</v>
      </c>
      <c r="O4" s="465"/>
      <c r="P4" s="129"/>
      <c r="R4" s="389"/>
    </row>
    <row r="5" spans="1:25" ht="17.399999999999999" customHeight="1">
      <c r="A5" s="513" t="s">
        <v>71</v>
      </c>
      <c r="B5" s="494" t="s">
        <v>132</v>
      </c>
      <c r="C5" s="503" t="s">
        <v>124</v>
      </c>
      <c r="D5" s="466" t="s">
        <v>133</v>
      </c>
      <c r="E5" s="303" t="s">
        <v>126</v>
      </c>
      <c r="F5" s="303" t="s">
        <v>127</v>
      </c>
      <c r="G5" s="303" t="s">
        <v>128</v>
      </c>
      <c r="H5" s="24" t="s">
        <v>129</v>
      </c>
      <c r="I5" s="156">
        <f t="shared" si="1"/>
        <v>3.0541078673583424E-2</v>
      </c>
      <c r="J5" s="71">
        <v>1637.8611599999999</v>
      </c>
      <c r="K5" s="24">
        <f t="shared" si="0"/>
        <v>14740.75044</v>
      </c>
      <c r="L5" s="24">
        <v>1</v>
      </c>
      <c r="M5" s="463">
        <f t="shared" si="2"/>
        <v>8.1893057999999996</v>
      </c>
      <c r="N5" s="464">
        <v>5</v>
      </c>
      <c r="O5" s="467"/>
      <c r="P5" s="130"/>
      <c r="Q5" s="389"/>
      <c r="R5" s="389"/>
    </row>
    <row r="6" spans="1:25" ht="17.399999999999999" customHeight="1">
      <c r="A6" s="513" t="s">
        <v>71</v>
      </c>
      <c r="B6" s="494" t="s">
        <v>134</v>
      </c>
      <c r="C6" s="503" t="s">
        <v>124</v>
      </c>
      <c r="D6" s="466" t="s">
        <v>135</v>
      </c>
      <c r="E6" s="303" t="s">
        <v>126</v>
      </c>
      <c r="F6" s="303" t="s">
        <v>127</v>
      </c>
      <c r="G6" s="303" t="s">
        <v>128</v>
      </c>
      <c r="H6" s="24" t="s">
        <v>129</v>
      </c>
      <c r="I6" s="156">
        <f t="shared" si="1"/>
        <v>3.0541078673583424E-2</v>
      </c>
      <c r="J6" s="71">
        <v>1637.8611599999999</v>
      </c>
      <c r="K6" s="24">
        <f t="shared" si="0"/>
        <v>14740.75044</v>
      </c>
      <c r="L6" s="24">
        <v>1</v>
      </c>
      <c r="M6" s="463">
        <f t="shared" si="2"/>
        <v>8.1893057999999996</v>
      </c>
      <c r="N6" s="464">
        <v>5</v>
      </c>
      <c r="O6" s="465"/>
      <c r="P6" s="130"/>
      <c r="Q6" s="389"/>
      <c r="R6" s="389"/>
    </row>
    <row r="7" spans="1:25" ht="17.399999999999999" customHeight="1">
      <c r="A7" s="513" t="s">
        <v>71</v>
      </c>
      <c r="B7" s="494" t="s">
        <v>136</v>
      </c>
      <c r="C7" s="503" t="s">
        <v>124</v>
      </c>
      <c r="D7" s="466" t="s">
        <v>137</v>
      </c>
      <c r="E7" s="303" t="s">
        <v>126</v>
      </c>
      <c r="F7" s="303" t="s">
        <v>127</v>
      </c>
      <c r="G7" s="303" t="s">
        <v>128</v>
      </c>
      <c r="H7" s="24" t="s">
        <v>129</v>
      </c>
      <c r="I7" s="156">
        <f t="shared" si="1"/>
        <v>2.2119125705444713E-2</v>
      </c>
      <c r="J7" s="71">
        <v>1186.20751</v>
      </c>
      <c r="K7" s="24">
        <f t="shared" si="0"/>
        <v>10675.86759</v>
      </c>
      <c r="L7" s="24">
        <v>1</v>
      </c>
      <c r="M7" s="463">
        <f t="shared" si="2"/>
        <v>5.9310375500000001</v>
      </c>
      <c r="N7" s="464">
        <v>5</v>
      </c>
      <c r="O7" s="465"/>
      <c r="P7" s="130"/>
      <c r="Q7" s="389"/>
      <c r="R7" s="389"/>
    </row>
    <row r="8" spans="1:25" ht="26.4">
      <c r="A8" s="513" t="s">
        <v>71</v>
      </c>
      <c r="B8" s="494" t="s">
        <v>138</v>
      </c>
      <c r="C8" s="503" t="s">
        <v>139</v>
      </c>
      <c r="D8" s="466" t="s">
        <v>137</v>
      </c>
      <c r="E8" s="303" t="s">
        <v>126</v>
      </c>
      <c r="F8" s="303" t="s">
        <v>127</v>
      </c>
      <c r="G8" s="466" t="s">
        <v>128</v>
      </c>
      <c r="H8" s="24" t="s">
        <v>129</v>
      </c>
      <c r="I8" s="156">
        <f t="shared" si="1"/>
        <v>2.073127776283042E-2</v>
      </c>
      <c r="J8" s="71">
        <v>1111.77981</v>
      </c>
      <c r="K8" s="24">
        <f t="shared" si="0"/>
        <v>10006.01829</v>
      </c>
      <c r="L8" s="24">
        <v>1</v>
      </c>
      <c r="M8" s="463">
        <f>IFERROR(N8*J8/1000,0)</f>
        <v>36.688733730000003</v>
      </c>
      <c r="N8" s="464">
        <v>33</v>
      </c>
      <c r="O8" s="468" t="s">
        <v>140</v>
      </c>
      <c r="P8" s="130"/>
      <c r="Q8" s="120"/>
      <c r="R8" s="389"/>
    </row>
    <row r="9" spans="1:25" ht="52.95" customHeight="1">
      <c r="A9" s="513" t="s">
        <v>71</v>
      </c>
      <c r="B9" s="494" t="s">
        <v>141</v>
      </c>
      <c r="C9" s="503" t="s">
        <v>142</v>
      </c>
      <c r="D9" s="469" t="s">
        <v>143</v>
      </c>
      <c r="E9" s="303" t="s">
        <v>126</v>
      </c>
      <c r="F9" s="303" t="s">
        <v>127</v>
      </c>
      <c r="G9" s="466" t="s">
        <v>128</v>
      </c>
      <c r="H9" s="24" t="s">
        <v>129</v>
      </c>
      <c r="I9" s="156">
        <f t="shared" si="1"/>
        <v>1.9750368436845831E-2</v>
      </c>
      <c r="J9" s="71">
        <v>1059.1754699999999</v>
      </c>
      <c r="K9" s="24">
        <f t="shared" si="0"/>
        <v>9532.5792299999994</v>
      </c>
      <c r="L9" s="24">
        <v>1</v>
      </c>
      <c r="M9" s="463">
        <f t="shared" si="2"/>
        <v>10.591754699999999</v>
      </c>
      <c r="N9" s="464">
        <v>10</v>
      </c>
      <c r="O9" s="470" t="s">
        <v>144</v>
      </c>
      <c r="P9" s="130"/>
      <c r="Q9" s="389"/>
      <c r="R9" s="389"/>
    </row>
    <row r="10" spans="1:25" ht="45.6" customHeight="1">
      <c r="A10" s="513" t="s">
        <v>71</v>
      </c>
      <c r="B10" s="494" t="s">
        <v>145</v>
      </c>
      <c r="C10" s="503" t="s">
        <v>146</v>
      </c>
      <c r="D10" s="469" t="s">
        <v>143</v>
      </c>
      <c r="E10" s="303" t="s">
        <v>126</v>
      </c>
      <c r="F10" s="303" t="s">
        <v>127</v>
      </c>
      <c r="G10" s="466" t="s">
        <v>128</v>
      </c>
      <c r="H10" s="24" t="s">
        <v>129</v>
      </c>
      <c r="I10" s="156">
        <f t="shared" si="1"/>
        <v>1.833284099983698E-2</v>
      </c>
      <c r="J10" s="71">
        <v>983.156114</v>
      </c>
      <c r="K10" s="24">
        <f t="shared" si="0"/>
        <v>8848.4050260000004</v>
      </c>
      <c r="L10" s="24">
        <v>1</v>
      </c>
      <c r="M10" s="463">
        <f t="shared" si="2"/>
        <v>0</v>
      </c>
      <c r="N10" s="471" t="s">
        <v>148</v>
      </c>
      <c r="O10" s="470" t="s">
        <v>149</v>
      </c>
      <c r="P10" s="130"/>
      <c r="Q10" s="389"/>
      <c r="R10" s="389"/>
    </row>
    <row r="11" spans="1:25" ht="19.2" customHeight="1">
      <c r="A11" s="513" t="s">
        <v>71</v>
      </c>
      <c r="B11" s="494" t="s">
        <v>150</v>
      </c>
      <c r="C11" s="503" t="s">
        <v>151</v>
      </c>
      <c r="D11" s="472" t="s">
        <v>143</v>
      </c>
      <c r="E11" s="303" t="s">
        <v>126</v>
      </c>
      <c r="F11" s="303" t="s">
        <v>127</v>
      </c>
      <c r="G11" s="303" t="s">
        <v>147</v>
      </c>
      <c r="H11" s="24" t="s">
        <v>129</v>
      </c>
      <c r="I11" s="156">
        <f t="shared" si="1"/>
        <v>6.663485999664309E-3</v>
      </c>
      <c r="J11" s="71">
        <v>357.35034200000001</v>
      </c>
      <c r="K11" s="24">
        <f t="shared" si="0"/>
        <v>3216.1530780000003</v>
      </c>
      <c r="L11" s="24">
        <v>1</v>
      </c>
      <c r="M11" s="463">
        <f t="shared" si="2"/>
        <v>0</v>
      </c>
      <c r="N11" s="471" t="s">
        <v>148</v>
      </c>
      <c r="O11" s="468" t="s">
        <v>152</v>
      </c>
      <c r="P11" s="130"/>
      <c r="Q11" s="389"/>
      <c r="R11" s="389"/>
    </row>
    <row r="12" spans="1:25" ht="19.2" customHeight="1">
      <c r="A12" s="513" t="s">
        <v>71</v>
      </c>
      <c r="B12" s="494" t="s">
        <v>153</v>
      </c>
      <c r="C12" s="503" t="s">
        <v>154</v>
      </c>
      <c r="D12" s="469" t="s">
        <v>143</v>
      </c>
      <c r="E12" s="303" t="s">
        <v>126</v>
      </c>
      <c r="F12" s="303" t="s">
        <v>127</v>
      </c>
      <c r="G12" s="303" t="s">
        <v>155</v>
      </c>
      <c r="H12" s="24" t="s">
        <v>129</v>
      </c>
      <c r="I12" s="156">
        <f t="shared" si="1"/>
        <v>3.3366309376435524E-3</v>
      </c>
      <c r="J12" s="71">
        <v>178.93730199999999</v>
      </c>
      <c r="K12" s="24">
        <f t="shared" si="0"/>
        <v>1610.435718</v>
      </c>
      <c r="L12" s="24">
        <v>1</v>
      </c>
      <c r="M12" s="463">
        <f t="shared" si="2"/>
        <v>0.26840595299999997</v>
      </c>
      <c r="N12" s="473">
        <v>1.5</v>
      </c>
      <c r="O12" s="468" t="s">
        <v>156</v>
      </c>
      <c r="P12" s="130"/>
      <c r="Q12" s="389"/>
      <c r="R12" s="389"/>
    </row>
    <row r="13" spans="1:25" ht="17.399999999999999" customHeight="1">
      <c r="A13" s="513" t="s">
        <v>71</v>
      </c>
      <c r="B13" s="494" t="s">
        <v>157</v>
      </c>
      <c r="C13" s="503" t="s">
        <v>158</v>
      </c>
      <c r="D13" s="469"/>
      <c r="E13" s="303"/>
      <c r="F13" s="303"/>
      <c r="G13" s="303" t="s">
        <v>128</v>
      </c>
      <c r="H13" s="24" t="s">
        <v>129</v>
      </c>
      <c r="I13" s="156">
        <f t="shared" si="1"/>
        <v>1.200074922527674E-2</v>
      </c>
      <c r="J13" s="71">
        <v>643.57782699999996</v>
      </c>
      <c r="K13" s="24">
        <f t="shared" si="0"/>
        <v>5792.2004429999997</v>
      </c>
      <c r="L13" s="24">
        <v>1</v>
      </c>
      <c r="M13" s="463">
        <f t="shared" si="2"/>
        <v>0</v>
      </c>
      <c r="N13" s="471" t="s">
        <v>148</v>
      </c>
      <c r="O13" s="468" t="s">
        <v>867</v>
      </c>
      <c r="P13" s="130"/>
      <c r="Q13" s="389"/>
      <c r="R13" s="389"/>
    </row>
    <row r="14" spans="1:25" ht="13.2">
      <c r="A14" s="513" t="s">
        <v>71</v>
      </c>
      <c r="B14" s="494" t="s">
        <v>159</v>
      </c>
      <c r="C14" s="503" t="s">
        <v>160</v>
      </c>
      <c r="D14" s="469" t="s">
        <v>143</v>
      </c>
      <c r="E14" s="303" t="s">
        <v>126</v>
      </c>
      <c r="F14" s="303" t="s">
        <v>127</v>
      </c>
      <c r="G14" s="303" t="s">
        <v>128</v>
      </c>
      <c r="H14" s="24" t="s">
        <v>129</v>
      </c>
      <c r="I14" s="156">
        <f t="shared" si="1"/>
        <v>4.3324822705770585E-3</v>
      </c>
      <c r="J14" s="71">
        <v>232.34295399999999</v>
      </c>
      <c r="K14" s="24">
        <f t="shared" si="0"/>
        <v>2091.0865859999999</v>
      </c>
      <c r="L14" s="24">
        <v>1</v>
      </c>
      <c r="M14" s="463">
        <f t="shared" si="2"/>
        <v>7.6673174819999996</v>
      </c>
      <c r="N14" s="471">
        <v>33</v>
      </c>
      <c r="O14" s="468" t="s">
        <v>161</v>
      </c>
      <c r="P14" s="130"/>
      <c r="Q14" s="390"/>
      <c r="Y14" s="14"/>
    </row>
    <row r="15" spans="1:25" ht="17.399999999999999" customHeight="1">
      <c r="A15" s="513" t="s">
        <v>71</v>
      </c>
      <c r="B15" s="494" t="s">
        <v>162</v>
      </c>
      <c r="C15" s="503" t="s">
        <v>163</v>
      </c>
      <c r="D15" s="469" t="s">
        <v>143</v>
      </c>
      <c r="E15" s="303" t="s">
        <v>126</v>
      </c>
      <c r="F15" s="303" t="s">
        <v>127</v>
      </c>
      <c r="G15" s="303" t="s">
        <v>147</v>
      </c>
      <c r="H15" s="24" t="s">
        <v>129</v>
      </c>
      <c r="I15" s="156">
        <f t="shared" si="1"/>
        <v>1.2332933669883925E-2</v>
      </c>
      <c r="J15" s="71">
        <v>661.39225999999996</v>
      </c>
      <c r="K15" s="24">
        <f t="shared" si="0"/>
        <v>5952.5303399999993</v>
      </c>
      <c r="L15" s="24">
        <v>1</v>
      </c>
      <c r="M15" s="463">
        <f t="shared" si="2"/>
        <v>0</v>
      </c>
      <c r="N15" s="471" t="s">
        <v>148</v>
      </c>
      <c r="O15" s="468" t="s">
        <v>152</v>
      </c>
      <c r="P15" s="130"/>
      <c r="Q15" s="358"/>
    </row>
    <row r="16" spans="1:25" ht="17.399999999999999" customHeight="1">
      <c r="A16" s="513" t="s">
        <v>71</v>
      </c>
      <c r="B16" s="494" t="s">
        <v>164</v>
      </c>
      <c r="C16" s="503" t="s">
        <v>165</v>
      </c>
      <c r="D16" s="303" t="s">
        <v>133</v>
      </c>
      <c r="E16" s="303" t="s">
        <v>126</v>
      </c>
      <c r="F16" s="303" t="s">
        <v>127</v>
      </c>
      <c r="G16" s="303" t="s">
        <v>128</v>
      </c>
      <c r="H16" s="24" t="s">
        <v>129</v>
      </c>
      <c r="I16" s="156">
        <f t="shared" si="1"/>
        <v>5.5940783174045277E-3</v>
      </c>
      <c r="J16" s="71">
        <v>300</v>
      </c>
      <c r="K16" s="24">
        <f t="shared" si="0"/>
        <v>2700</v>
      </c>
      <c r="L16" s="24">
        <v>1</v>
      </c>
      <c r="M16" s="463">
        <f t="shared" si="2"/>
        <v>1.5</v>
      </c>
      <c r="N16" s="471">
        <v>5</v>
      </c>
      <c r="O16" s="465"/>
      <c r="P16" s="129"/>
      <c r="Q16" s="358"/>
      <c r="R16" s="391" t="s">
        <v>166</v>
      </c>
      <c r="S16" s="392"/>
      <c r="T16" s="392"/>
      <c r="U16" s="392"/>
      <c r="V16" s="392"/>
      <c r="W16" s="393" t="s">
        <v>167</v>
      </c>
      <c r="X16" s="394"/>
    </row>
    <row r="17" spans="1:27" ht="22.95" customHeight="1">
      <c r="A17" s="513" t="s">
        <v>71</v>
      </c>
      <c r="B17" s="493" t="s">
        <v>168</v>
      </c>
      <c r="C17" s="503" t="s">
        <v>165</v>
      </c>
      <c r="D17" s="466" t="s">
        <v>131</v>
      </c>
      <c r="E17" s="303" t="s">
        <v>126</v>
      </c>
      <c r="F17" s="303" t="s">
        <v>127</v>
      </c>
      <c r="G17" s="303" t="s">
        <v>128</v>
      </c>
      <c r="H17" s="24" t="s">
        <v>129</v>
      </c>
      <c r="I17" s="156">
        <f t="shared" si="1"/>
        <v>9.3788899903097227E-3</v>
      </c>
      <c r="J17" s="71">
        <v>502.97239999999999</v>
      </c>
      <c r="K17" s="24">
        <f t="shared" si="0"/>
        <v>4526.7515999999996</v>
      </c>
      <c r="L17" s="24">
        <v>1</v>
      </c>
      <c r="M17" s="463">
        <f t="shared" si="2"/>
        <v>2.5148619999999999</v>
      </c>
      <c r="N17" s="471">
        <v>5</v>
      </c>
      <c r="O17" s="465"/>
      <c r="P17" s="129"/>
      <c r="Q17" s="566"/>
    </row>
    <row r="18" spans="1:27" ht="17.399999999999999" customHeight="1">
      <c r="A18" s="513" t="s">
        <v>71</v>
      </c>
      <c r="B18" s="493" t="s">
        <v>169</v>
      </c>
      <c r="C18" s="503" t="s">
        <v>165</v>
      </c>
      <c r="D18" s="466" t="s">
        <v>135</v>
      </c>
      <c r="E18" s="303" t="s">
        <v>126</v>
      </c>
      <c r="F18" s="303" t="s">
        <v>127</v>
      </c>
      <c r="G18" s="303" t="s">
        <v>128</v>
      </c>
      <c r="H18" s="24" t="s">
        <v>129</v>
      </c>
      <c r="I18" s="156">
        <f t="shared" si="1"/>
        <v>5.5793024918754904E-3</v>
      </c>
      <c r="J18" s="71">
        <v>299.20760000000001</v>
      </c>
      <c r="K18" s="24">
        <f t="shared" si="0"/>
        <v>2692.8684000000003</v>
      </c>
      <c r="L18" s="24">
        <v>1</v>
      </c>
      <c r="M18" s="463">
        <f t="shared" si="2"/>
        <v>1.496038</v>
      </c>
      <c r="N18" s="471">
        <v>5</v>
      </c>
      <c r="O18" s="465"/>
      <c r="P18" s="129"/>
      <c r="Q18" s="359"/>
    </row>
    <row r="19" spans="1:27" ht="17.399999999999999" customHeight="1">
      <c r="A19" s="513" t="s">
        <v>71</v>
      </c>
      <c r="B19" s="493" t="s">
        <v>170</v>
      </c>
      <c r="C19" s="503" t="s">
        <v>165</v>
      </c>
      <c r="D19" s="466" t="s">
        <v>137</v>
      </c>
      <c r="E19" s="303" t="s">
        <v>126</v>
      </c>
      <c r="F19" s="303" t="s">
        <v>127</v>
      </c>
      <c r="G19" s="303" t="s">
        <v>128</v>
      </c>
      <c r="H19" s="24" t="s">
        <v>129</v>
      </c>
      <c r="I19" s="156">
        <f t="shared" si="1"/>
        <v>9.3788899903097227E-3</v>
      </c>
      <c r="J19" s="71">
        <v>502.97239999999999</v>
      </c>
      <c r="K19" s="24">
        <f t="shared" si="0"/>
        <v>4526.7515999999996</v>
      </c>
      <c r="L19" s="24">
        <v>1</v>
      </c>
      <c r="M19" s="463">
        <f t="shared" si="2"/>
        <v>2.5148619999999999</v>
      </c>
      <c r="N19" s="471">
        <v>5</v>
      </c>
      <c r="O19" s="465"/>
      <c r="P19" s="313"/>
      <c r="R19" s="669" t="s">
        <v>171</v>
      </c>
      <c r="S19" s="669"/>
    </row>
    <row r="20" spans="1:27" ht="17.399999999999999" customHeight="1">
      <c r="A20" s="513" t="s">
        <v>71</v>
      </c>
      <c r="B20" s="493" t="s">
        <v>172</v>
      </c>
      <c r="C20" s="503" t="s">
        <v>173</v>
      </c>
      <c r="D20" s="466" t="s">
        <v>148</v>
      </c>
      <c r="E20" s="466" t="s">
        <v>148</v>
      </c>
      <c r="F20" s="466" t="s">
        <v>148</v>
      </c>
      <c r="G20" s="303" t="s">
        <v>128</v>
      </c>
      <c r="H20" s="24" t="s">
        <v>174</v>
      </c>
      <c r="I20" s="126"/>
      <c r="J20" s="71">
        <v>17875.932499999999</v>
      </c>
      <c r="K20" s="24">
        <f>J20*4</f>
        <v>71503.73</v>
      </c>
      <c r="L20" s="24">
        <v>1</v>
      </c>
      <c r="M20" s="463">
        <f t="shared" si="2"/>
        <v>0</v>
      </c>
      <c r="N20" s="464" t="s">
        <v>148</v>
      </c>
      <c r="O20" s="474"/>
      <c r="P20" s="105"/>
      <c r="R20" s="488" t="s">
        <v>175</v>
      </c>
      <c r="S20" s="488" t="s">
        <v>176</v>
      </c>
    </row>
    <row r="21" spans="1:27" ht="13.2">
      <c r="A21" s="495" t="s">
        <v>71</v>
      </c>
      <c r="B21" s="495" t="str">
        <f>LEFT(B3,LEN(B3)-1)&amp;"M"</f>
        <v>Open_Office_Core_FloorM</v>
      </c>
      <c r="C21" s="385" t="s">
        <v>124</v>
      </c>
      <c r="D21" s="135" t="s">
        <v>125</v>
      </c>
      <c r="E21" s="135" t="s">
        <v>177</v>
      </c>
      <c r="F21" s="135" t="s">
        <v>178</v>
      </c>
      <c r="G21" s="135" t="s">
        <v>128</v>
      </c>
      <c r="H21" s="133" t="str">
        <f t="shared" ref="H21:H38" si="3">H3</f>
        <v>Yes</v>
      </c>
      <c r="I21" s="134">
        <f t="shared" ref="I21:I37" si="4">J21/$J$57</f>
        <v>7.9864791444811969E-2</v>
      </c>
      <c r="J21" s="135">
        <v>4283</v>
      </c>
      <c r="K21" s="135">
        <f t="shared" ref="K21:L38" si="5">K3</f>
        <v>38547</v>
      </c>
      <c r="L21" s="135">
        <f t="shared" si="5"/>
        <v>1</v>
      </c>
      <c r="M21" s="475">
        <f t="shared" si="2"/>
        <v>21.414999999999999</v>
      </c>
      <c r="N21" s="306">
        <f t="shared" ref="N21" si="6">N3</f>
        <v>5</v>
      </c>
      <c r="O21" s="476"/>
      <c r="P21" s="131"/>
      <c r="R21" s="508" t="s">
        <v>124</v>
      </c>
      <c r="S21" s="489">
        <f>SUM(I3:I7)+SUM(I21:I25)+SUM(I39:I43)</f>
        <v>0.61774943389709602</v>
      </c>
    </row>
    <row r="22" spans="1:27" ht="26.4">
      <c r="A22" s="495" t="s">
        <v>71</v>
      </c>
      <c r="B22" s="495" t="str">
        <f t="shared" ref="B22:B38" si="7">LEFT(B4,LEN(B4)-1)&amp;"M"</f>
        <v>Open_Office_N_FloorM</v>
      </c>
      <c r="C22" s="385" t="s">
        <v>124</v>
      </c>
      <c r="D22" s="135" t="s">
        <v>131</v>
      </c>
      <c r="E22" s="135" t="s">
        <v>177</v>
      </c>
      <c r="F22" s="135" t="s">
        <v>178</v>
      </c>
      <c r="G22" s="135" t="s">
        <v>128</v>
      </c>
      <c r="H22" s="133" t="str">
        <f t="shared" si="3"/>
        <v>Yes</v>
      </c>
      <c r="I22" s="134">
        <f t="shared" si="4"/>
        <v>4.2850403468275136E-2</v>
      </c>
      <c r="J22" s="135">
        <v>2297.9873200000002</v>
      </c>
      <c r="K22" s="135">
        <f t="shared" si="5"/>
        <v>20681.885880000002</v>
      </c>
      <c r="L22" s="135">
        <f t="shared" si="5"/>
        <v>1</v>
      </c>
      <c r="M22" s="475">
        <f t="shared" si="2"/>
        <v>11.4899366</v>
      </c>
      <c r="N22" s="306">
        <f t="shared" ref="N22" si="8">N4</f>
        <v>5</v>
      </c>
      <c r="O22" s="477"/>
      <c r="R22" s="508" t="s">
        <v>139</v>
      </c>
      <c r="S22" s="489">
        <f>I8+I26+I44</f>
        <v>6.2193833288491263E-2</v>
      </c>
    </row>
    <row r="23" spans="1:27" ht="13.2">
      <c r="A23" s="495" t="s">
        <v>71</v>
      </c>
      <c r="B23" s="495" t="str">
        <f t="shared" si="7"/>
        <v>Enclosed_Office_W_FloorM</v>
      </c>
      <c r="C23" s="385" t="s">
        <v>124</v>
      </c>
      <c r="D23" s="135" t="s">
        <v>133</v>
      </c>
      <c r="E23" s="135" t="s">
        <v>177</v>
      </c>
      <c r="F23" s="135" t="s">
        <v>178</v>
      </c>
      <c r="G23" s="135" t="s">
        <v>128</v>
      </c>
      <c r="H23" s="133" t="str">
        <f t="shared" si="3"/>
        <v>Yes</v>
      </c>
      <c r="I23" s="134">
        <f t="shared" si="4"/>
        <v>3.0541078673583424E-2</v>
      </c>
      <c r="J23" s="135">
        <v>1637.8611599999999</v>
      </c>
      <c r="K23" s="135">
        <f t="shared" si="5"/>
        <v>14740.75044</v>
      </c>
      <c r="L23" s="135">
        <f t="shared" si="5"/>
        <v>1</v>
      </c>
      <c r="M23" s="475">
        <f t="shared" si="2"/>
        <v>8.1893057999999996</v>
      </c>
      <c r="N23" s="306">
        <f t="shared" ref="N23" si="9">N5</f>
        <v>5</v>
      </c>
      <c r="O23" s="477"/>
      <c r="P23" s="122"/>
      <c r="R23" s="508" t="s">
        <v>142</v>
      </c>
      <c r="S23" s="489">
        <f>I9+I27+I45</f>
        <v>5.9251105310537497E-2</v>
      </c>
    </row>
    <row r="24" spans="1:27" ht="13.2">
      <c r="A24" s="495" t="s">
        <v>71</v>
      </c>
      <c r="B24" s="495" t="s">
        <v>179</v>
      </c>
      <c r="C24" s="385" t="s">
        <v>124</v>
      </c>
      <c r="D24" s="135" t="s">
        <v>135</v>
      </c>
      <c r="E24" s="135" t="s">
        <v>177</v>
      </c>
      <c r="F24" s="135" t="s">
        <v>178</v>
      </c>
      <c r="G24" s="135" t="s">
        <v>128</v>
      </c>
      <c r="H24" s="133" t="str">
        <f t="shared" si="3"/>
        <v>Yes</v>
      </c>
      <c r="I24" s="134">
        <f t="shared" si="4"/>
        <v>3.0541078673583424E-2</v>
      </c>
      <c r="J24" s="135">
        <v>1637.8611599999999</v>
      </c>
      <c r="K24" s="135">
        <f t="shared" si="5"/>
        <v>14740.75044</v>
      </c>
      <c r="L24" s="135">
        <f t="shared" si="5"/>
        <v>1</v>
      </c>
      <c r="M24" s="475">
        <f t="shared" si="2"/>
        <v>8.1893057999999996</v>
      </c>
      <c r="N24" s="306">
        <f t="shared" ref="N24" si="10">N6</f>
        <v>5</v>
      </c>
      <c r="O24" s="477"/>
      <c r="P24" s="122"/>
      <c r="R24" s="508" t="s">
        <v>146</v>
      </c>
      <c r="S24" s="489">
        <f>I10+I46+I28</f>
        <v>5.499852299951094E-2</v>
      </c>
    </row>
    <row r="25" spans="1:27" ht="13.2">
      <c r="A25" s="495" t="s">
        <v>71</v>
      </c>
      <c r="B25" s="495" t="str">
        <f t="shared" si="7"/>
        <v>Open_Office_S_FloorM</v>
      </c>
      <c r="C25" s="385" t="s">
        <v>124</v>
      </c>
      <c r="D25" s="135" t="s">
        <v>137</v>
      </c>
      <c r="E25" s="135" t="s">
        <v>177</v>
      </c>
      <c r="F25" s="135" t="s">
        <v>178</v>
      </c>
      <c r="G25" s="135" t="s">
        <v>128</v>
      </c>
      <c r="H25" s="133" t="str">
        <f t="shared" si="3"/>
        <v>Yes</v>
      </c>
      <c r="I25" s="134">
        <f t="shared" si="4"/>
        <v>2.2119125705444713E-2</v>
      </c>
      <c r="J25" s="135">
        <v>1186.20751</v>
      </c>
      <c r="K25" s="135">
        <f t="shared" si="5"/>
        <v>10675.86759</v>
      </c>
      <c r="L25" s="135">
        <f t="shared" si="5"/>
        <v>1</v>
      </c>
      <c r="M25" s="475">
        <f t="shared" si="2"/>
        <v>5.9310375500000001</v>
      </c>
      <c r="N25" s="306">
        <f t="shared" ref="N25" si="11">N7</f>
        <v>5</v>
      </c>
      <c r="O25" s="477"/>
      <c r="P25" s="122"/>
      <c r="R25" s="508" t="s">
        <v>151</v>
      </c>
      <c r="S25" s="489">
        <f>I11+I29+I47</f>
        <v>1.9990457998992926E-2</v>
      </c>
    </row>
    <row r="26" spans="1:27" ht="26.4">
      <c r="A26" s="495" t="s">
        <v>71</v>
      </c>
      <c r="B26" s="495" t="str">
        <f t="shared" si="7"/>
        <v>Conference_FloorM</v>
      </c>
      <c r="C26" s="385" t="s">
        <v>139</v>
      </c>
      <c r="D26" s="135" t="s">
        <v>137</v>
      </c>
      <c r="E26" s="135" t="s">
        <v>177</v>
      </c>
      <c r="F26" s="135" t="s">
        <v>178</v>
      </c>
      <c r="G26" s="135" t="s">
        <v>128</v>
      </c>
      <c r="H26" s="133" t="str">
        <f t="shared" si="3"/>
        <v>Yes</v>
      </c>
      <c r="I26" s="134">
        <f t="shared" si="4"/>
        <v>2.073127776283042E-2</v>
      </c>
      <c r="J26" s="135">
        <v>1111.77981</v>
      </c>
      <c r="K26" s="135">
        <f t="shared" si="5"/>
        <v>10006.01829</v>
      </c>
      <c r="L26" s="135">
        <f t="shared" si="5"/>
        <v>1</v>
      </c>
      <c r="M26" s="475">
        <f t="shared" si="2"/>
        <v>36.688733730000003</v>
      </c>
      <c r="N26" s="306">
        <f t="shared" ref="N26" si="12">N8</f>
        <v>33</v>
      </c>
      <c r="O26" s="477"/>
      <c r="P26" s="122"/>
      <c r="R26" s="508" t="s">
        <v>154</v>
      </c>
      <c r="S26" s="489">
        <f>I12+I30+I48</f>
        <v>1.0009892812930656E-2</v>
      </c>
    </row>
    <row r="27" spans="1:27" ht="79.2">
      <c r="A27" s="495" t="s">
        <v>71</v>
      </c>
      <c r="B27" s="495" t="s">
        <v>180</v>
      </c>
      <c r="C27" s="135" t="s">
        <v>160</v>
      </c>
      <c r="D27" s="135" t="s">
        <v>143</v>
      </c>
      <c r="E27" s="135" t="s">
        <v>177</v>
      </c>
      <c r="F27" s="135" t="s">
        <v>178</v>
      </c>
      <c r="G27" s="135" t="s">
        <v>128</v>
      </c>
      <c r="H27" s="133" t="str">
        <f t="shared" si="3"/>
        <v>Yes</v>
      </c>
      <c r="I27" s="134">
        <f t="shared" si="4"/>
        <v>1.9750368436845831E-2</v>
      </c>
      <c r="J27" s="135">
        <v>1059.1754699999999</v>
      </c>
      <c r="K27" s="135">
        <f t="shared" si="5"/>
        <v>9532.5792299999994</v>
      </c>
      <c r="L27" s="135">
        <f t="shared" si="5"/>
        <v>1</v>
      </c>
      <c r="M27" s="475">
        <f>IFERROR(N27*J27/1000,0)</f>
        <v>15.887632049999999</v>
      </c>
      <c r="N27" s="306">
        <v>15</v>
      </c>
      <c r="O27" s="478" t="s">
        <v>181</v>
      </c>
      <c r="P27" s="123"/>
      <c r="R27" s="508" t="s">
        <v>158</v>
      </c>
      <c r="S27" s="489">
        <f>I13+I31+I49</f>
        <v>3.6002247675830219E-2</v>
      </c>
    </row>
    <row r="28" spans="1:27" ht="13.2">
      <c r="A28" s="495" t="s">
        <v>71</v>
      </c>
      <c r="B28" s="495" t="str">
        <f t="shared" si="7"/>
        <v>Storage_FloorM</v>
      </c>
      <c r="C28" s="385" t="s">
        <v>146</v>
      </c>
      <c r="D28" s="135" t="s">
        <v>143</v>
      </c>
      <c r="E28" s="135" t="s">
        <v>177</v>
      </c>
      <c r="F28" s="135" t="s">
        <v>178</v>
      </c>
      <c r="G28" s="135" t="s">
        <v>128</v>
      </c>
      <c r="H28" s="133" t="str">
        <f t="shared" si="3"/>
        <v>Yes</v>
      </c>
      <c r="I28" s="134">
        <f t="shared" si="4"/>
        <v>1.833284099983698E-2</v>
      </c>
      <c r="J28" s="135">
        <v>983.156114</v>
      </c>
      <c r="K28" s="135">
        <f t="shared" si="5"/>
        <v>8848.4050260000004</v>
      </c>
      <c r="L28" s="135">
        <f t="shared" si="5"/>
        <v>1</v>
      </c>
      <c r="M28" s="475">
        <f t="shared" si="2"/>
        <v>0</v>
      </c>
      <c r="N28" s="306" t="str">
        <f t="shared" ref="N28" si="13">N10</f>
        <v>-</v>
      </c>
      <c r="O28" s="478" t="s">
        <v>152</v>
      </c>
      <c r="P28" s="125"/>
      <c r="R28" s="508" t="s">
        <v>160</v>
      </c>
      <c r="S28" s="489">
        <f>I14+I50+I32</f>
        <v>1.2997446811731175E-2</v>
      </c>
      <c r="W28" s="405"/>
    </row>
    <row r="29" spans="1:27" ht="13.2">
      <c r="A29" s="495" t="s">
        <v>71</v>
      </c>
      <c r="B29" s="495" t="str">
        <f t="shared" si="7"/>
        <v>Mechanical/Electrical_FloorM</v>
      </c>
      <c r="C29" s="385" t="s">
        <v>151</v>
      </c>
      <c r="D29" s="135" t="s">
        <v>143</v>
      </c>
      <c r="E29" s="135" t="s">
        <v>177</v>
      </c>
      <c r="F29" s="135" t="s">
        <v>178</v>
      </c>
      <c r="G29" s="135" t="s">
        <v>147</v>
      </c>
      <c r="H29" s="133" t="str">
        <f>H11</f>
        <v>Yes</v>
      </c>
      <c r="I29" s="134">
        <f t="shared" si="4"/>
        <v>6.663485999664309E-3</v>
      </c>
      <c r="J29" s="135">
        <v>357.35034200000001</v>
      </c>
      <c r="K29" s="135">
        <f t="shared" si="5"/>
        <v>3216.1530780000003</v>
      </c>
      <c r="L29" s="135">
        <f t="shared" si="5"/>
        <v>1</v>
      </c>
      <c r="M29" s="475">
        <f t="shared" si="2"/>
        <v>0</v>
      </c>
      <c r="N29" s="306" t="str">
        <f t="shared" ref="N29" si="14">N11</f>
        <v>-</v>
      </c>
      <c r="O29" s="479" t="s">
        <v>152</v>
      </c>
      <c r="P29" s="124"/>
      <c r="R29" s="508" t="s">
        <v>163</v>
      </c>
      <c r="S29" s="489">
        <f>I15+I33+I51</f>
        <v>3.6998801009651777E-2</v>
      </c>
      <c r="W29" s="405"/>
    </row>
    <row r="30" spans="1:27" ht="13.2">
      <c r="A30" s="495" t="s">
        <v>71</v>
      </c>
      <c r="B30" s="495" t="str">
        <f t="shared" si="7"/>
        <v>IT-Room_FloorM</v>
      </c>
      <c r="C30" s="385" t="s">
        <v>154</v>
      </c>
      <c r="D30" s="135" t="s">
        <v>143</v>
      </c>
      <c r="E30" s="135" t="s">
        <v>177</v>
      </c>
      <c r="F30" s="135" t="s">
        <v>178</v>
      </c>
      <c r="G30" s="135" t="s">
        <v>155</v>
      </c>
      <c r="H30" s="133" t="str">
        <f t="shared" si="3"/>
        <v>Yes</v>
      </c>
      <c r="I30" s="134">
        <f t="shared" si="4"/>
        <v>3.3366309376435524E-3</v>
      </c>
      <c r="J30" s="135">
        <v>178.93730199999999</v>
      </c>
      <c r="K30" s="135">
        <f t="shared" si="5"/>
        <v>1610.435718</v>
      </c>
      <c r="L30" s="135">
        <f t="shared" si="5"/>
        <v>1</v>
      </c>
      <c r="M30" s="475">
        <f t="shared" si="2"/>
        <v>0.26840595299999997</v>
      </c>
      <c r="N30" s="480">
        <f t="shared" ref="N30" si="15">N12</f>
        <v>1.5</v>
      </c>
      <c r="O30" s="468" t="s">
        <v>156</v>
      </c>
      <c r="P30" s="124"/>
      <c r="R30" s="508" t="s">
        <v>165</v>
      </c>
      <c r="S30" s="489">
        <f>SUM(I16:I19)+SUM(I34:I37)+SUM(I52:I55)</f>
        <v>8.9808258195227419E-2</v>
      </c>
      <c r="W30" s="405"/>
    </row>
    <row r="31" spans="1:27" ht="13.2">
      <c r="A31" s="495" t="s">
        <v>71</v>
      </c>
      <c r="B31" s="495" t="str">
        <f t="shared" si="7"/>
        <v>Restroom_FloorM</v>
      </c>
      <c r="C31" s="385" t="s">
        <v>158</v>
      </c>
      <c r="D31" s="135"/>
      <c r="E31" s="135"/>
      <c r="F31" s="135"/>
      <c r="G31" s="135" t="s">
        <v>128</v>
      </c>
      <c r="H31" s="133" t="s">
        <v>129</v>
      </c>
      <c r="I31" s="134">
        <f t="shared" si="4"/>
        <v>1.200074922527674E-2</v>
      </c>
      <c r="J31" s="135">
        <v>643.57782699999996</v>
      </c>
      <c r="K31" s="135">
        <f t="shared" si="5"/>
        <v>5792.2004429999997</v>
      </c>
      <c r="L31" s="135">
        <f t="shared" si="5"/>
        <v>1</v>
      </c>
      <c r="M31" s="475">
        <f t="shared" si="2"/>
        <v>0</v>
      </c>
      <c r="N31" s="306" t="str">
        <f t="shared" ref="N31" si="16">N13</f>
        <v>-</v>
      </c>
      <c r="O31" s="468" t="s">
        <v>867</v>
      </c>
      <c r="P31" s="124"/>
      <c r="R31" s="490" t="s">
        <v>182</v>
      </c>
      <c r="S31" s="491">
        <f>SUM(B67:D76)</f>
        <v>0</v>
      </c>
      <c r="V31" s="405"/>
      <c r="W31" s="405"/>
    </row>
    <row r="32" spans="1:27" ht="30.75" customHeight="1">
      <c r="A32" s="495" t="s">
        <v>71</v>
      </c>
      <c r="B32" s="495" t="str">
        <f>LEFT(B14,LEN(B14)-1)&amp;"M"</f>
        <v>BreakRoom/Kitchenette_FloorM</v>
      </c>
      <c r="C32" s="385" t="s">
        <v>160</v>
      </c>
      <c r="D32" s="135" t="s">
        <v>143</v>
      </c>
      <c r="E32" s="135" t="s">
        <v>177</v>
      </c>
      <c r="F32" s="135" t="s">
        <v>178</v>
      </c>
      <c r="G32" s="135" t="s">
        <v>128</v>
      </c>
      <c r="H32" s="133" t="str">
        <f t="shared" si="3"/>
        <v>Yes</v>
      </c>
      <c r="I32" s="134">
        <f t="shared" si="4"/>
        <v>4.3324822705770585E-3</v>
      </c>
      <c r="J32" s="135">
        <v>232.34295399999999</v>
      </c>
      <c r="K32" s="135">
        <f t="shared" si="5"/>
        <v>2091.0865859999999</v>
      </c>
      <c r="L32" s="135">
        <f t="shared" si="5"/>
        <v>1</v>
      </c>
      <c r="M32" s="475">
        <f t="shared" si="2"/>
        <v>7.6673174819999996</v>
      </c>
      <c r="N32" s="306">
        <v>33</v>
      </c>
      <c r="O32" s="479" t="s">
        <v>161</v>
      </c>
      <c r="P32" s="124"/>
      <c r="V32" s="14"/>
      <c r="W32" s="14"/>
      <c r="X32" s="14"/>
      <c r="Y32" s="360"/>
      <c r="Z32" s="14"/>
      <c r="AA32" s="14"/>
    </row>
    <row r="33" spans="1:28" ht="17.399999999999999" customHeight="1">
      <c r="A33" s="495" t="s">
        <v>71</v>
      </c>
      <c r="B33" s="495" t="str">
        <f>LEFT(B15,LEN(B15)-1)&amp;"M"</f>
        <v>Stairway_FloorM</v>
      </c>
      <c r="C33" s="385" t="s">
        <v>163</v>
      </c>
      <c r="D33" s="135" t="s">
        <v>143</v>
      </c>
      <c r="E33" s="135" t="s">
        <v>177</v>
      </c>
      <c r="F33" s="135" t="s">
        <v>178</v>
      </c>
      <c r="G33" s="135" t="s">
        <v>147</v>
      </c>
      <c r="H33" s="133" t="str">
        <f t="shared" si="3"/>
        <v>Yes</v>
      </c>
      <c r="I33" s="134">
        <f t="shared" si="4"/>
        <v>1.2332933669883925E-2</v>
      </c>
      <c r="J33" s="135">
        <v>661.39225999999996</v>
      </c>
      <c r="K33" s="135">
        <f t="shared" si="5"/>
        <v>5952.5303399999993</v>
      </c>
      <c r="L33" s="135">
        <f t="shared" si="5"/>
        <v>1</v>
      </c>
      <c r="M33" s="475">
        <f t="shared" si="2"/>
        <v>0</v>
      </c>
      <c r="N33" s="306" t="str">
        <f t="shared" ref="N33" si="17">N15</f>
        <v>-</v>
      </c>
      <c r="O33" s="481"/>
      <c r="P33" s="124"/>
      <c r="R33" s="115"/>
      <c r="U33" s="118"/>
      <c r="V33" s="119"/>
      <c r="W33" s="119"/>
      <c r="X33" s="56"/>
    </row>
    <row r="34" spans="1:28" ht="17.399999999999999" customHeight="1">
      <c r="A34" s="495" t="s">
        <v>71</v>
      </c>
      <c r="B34" s="495" t="str">
        <f t="shared" si="7"/>
        <v>Corridor_W_FloorM</v>
      </c>
      <c r="C34" s="385" t="s">
        <v>165</v>
      </c>
      <c r="D34" s="135" t="s">
        <v>133</v>
      </c>
      <c r="E34" s="135" t="s">
        <v>177</v>
      </c>
      <c r="F34" s="135" t="s">
        <v>178</v>
      </c>
      <c r="G34" s="135" t="s">
        <v>128</v>
      </c>
      <c r="H34" s="133" t="str">
        <f t="shared" si="3"/>
        <v>Yes</v>
      </c>
      <c r="I34" s="134">
        <f t="shared" si="4"/>
        <v>5.5940783174045277E-3</v>
      </c>
      <c r="J34" s="135">
        <v>300</v>
      </c>
      <c r="K34" s="135">
        <f t="shared" si="5"/>
        <v>2700</v>
      </c>
      <c r="L34" s="135">
        <f t="shared" si="5"/>
        <v>1</v>
      </c>
      <c r="M34" s="475">
        <f t="shared" si="2"/>
        <v>1.5</v>
      </c>
      <c r="N34" s="306">
        <f t="shared" ref="N34" si="18">N16</f>
        <v>5</v>
      </c>
      <c r="O34" s="481"/>
      <c r="P34" s="124"/>
      <c r="R34" s="115"/>
      <c r="U34" s="118"/>
      <c r="V34" s="119"/>
      <c r="W34" s="119"/>
      <c r="X34" s="56"/>
      <c r="AB34"/>
    </row>
    <row r="35" spans="1:28" ht="17.399999999999999" customHeight="1">
      <c r="A35" s="495" t="s">
        <v>71</v>
      </c>
      <c r="B35" s="495" t="str">
        <f t="shared" si="7"/>
        <v>Corridor_N_FloorM</v>
      </c>
      <c r="C35" s="385" t="s">
        <v>165</v>
      </c>
      <c r="D35" s="135" t="s">
        <v>131</v>
      </c>
      <c r="E35" s="135" t="s">
        <v>177</v>
      </c>
      <c r="F35" s="135" t="s">
        <v>178</v>
      </c>
      <c r="G35" s="135" t="s">
        <v>128</v>
      </c>
      <c r="H35" s="133" t="str">
        <f t="shared" si="3"/>
        <v>Yes</v>
      </c>
      <c r="I35" s="134">
        <f t="shared" si="4"/>
        <v>9.3788899903097227E-3</v>
      </c>
      <c r="J35" s="135">
        <v>502.97239999999999</v>
      </c>
      <c r="K35" s="135">
        <f t="shared" si="5"/>
        <v>4526.7515999999996</v>
      </c>
      <c r="L35" s="135">
        <f t="shared" si="5"/>
        <v>1</v>
      </c>
      <c r="M35" s="475">
        <f t="shared" si="2"/>
        <v>2.5148619999999999</v>
      </c>
      <c r="N35" s="306">
        <f t="shared" ref="N35" si="19">N17</f>
        <v>5</v>
      </c>
      <c r="O35" s="481"/>
      <c r="P35" s="124"/>
      <c r="R35" s="115"/>
      <c r="U35" s="118"/>
      <c r="V35" s="119"/>
      <c r="W35" s="119"/>
      <c r="X35" s="56"/>
    </row>
    <row r="36" spans="1:28" ht="17.399999999999999" customHeight="1">
      <c r="A36" s="495" t="s">
        <v>71</v>
      </c>
      <c r="B36" s="495" t="str">
        <f t="shared" si="7"/>
        <v>Corridor_E_FloorM</v>
      </c>
      <c r="C36" s="385" t="s">
        <v>165</v>
      </c>
      <c r="D36" s="135" t="s">
        <v>135</v>
      </c>
      <c r="E36" s="135" t="s">
        <v>177</v>
      </c>
      <c r="F36" s="135" t="s">
        <v>178</v>
      </c>
      <c r="G36" s="135" t="s">
        <v>128</v>
      </c>
      <c r="H36" s="133" t="str">
        <f t="shared" si="3"/>
        <v>Yes</v>
      </c>
      <c r="I36" s="134">
        <f t="shared" si="4"/>
        <v>5.5793024918754904E-3</v>
      </c>
      <c r="J36" s="135">
        <v>299.20760000000001</v>
      </c>
      <c r="K36" s="135">
        <f t="shared" si="5"/>
        <v>2692.8684000000003</v>
      </c>
      <c r="L36" s="135">
        <f t="shared" si="5"/>
        <v>1</v>
      </c>
      <c r="M36" s="475">
        <f t="shared" si="2"/>
        <v>1.496038</v>
      </c>
      <c r="N36" s="306">
        <f t="shared" ref="N36" si="20">N18</f>
        <v>5</v>
      </c>
      <c r="O36" s="481"/>
      <c r="Q36" s="304"/>
      <c r="R36" s="304"/>
      <c r="S36" s="304"/>
      <c r="T36" s="304"/>
      <c r="U36" s="118"/>
      <c r="V36" s="119"/>
      <c r="W36" s="119"/>
      <c r="X36" s="56"/>
    </row>
    <row r="37" spans="1:28" ht="32.25" customHeight="1">
      <c r="A37" s="495" t="s">
        <v>71</v>
      </c>
      <c r="B37" s="495" t="str">
        <f t="shared" si="7"/>
        <v>Corridor_S_FloorM</v>
      </c>
      <c r="C37" s="385" t="s">
        <v>165</v>
      </c>
      <c r="D37" s="135" t="s">
        <v>137</v>
      </c>
      <c r="E37" s="135" t="s">
        <v>177</v>
      </c>
      <c r="F37" s="135" t="s">
        <v>178</v>
      </c>
      <c r="G37" s="135" t="s">
        <v>128</v>
      </c>
      <c r="H37" s="133" t="str">
        <f t="shared" si="3"/>
        <v>Yes</v>
      </c>
      <c r="I37" s="134">
        <f t="shared" si="4"/>
        <v>9.3788899903097227E-3</v>
      </c>
      <c r="J37" s="135">
        <v>502.97239999999999</v>
      </c>
      <c r="K37" s="135">
        <f t="shared" si="5"/>
        <v>4526.7515999999996</v>
      </c>
      <c r="L37" s="135">
        <f t="shared" si="5"/>
        <v>1</v>
      </c>
      <c r="M37" s="475">
        <f t="shared" si="2"/>
        <v>2.5148619999999999</v>
      </c>
      <c r="N37" s="306">
        <f t="shared" ref="N37" si="21">N19</f>
        <v>5</v>
      </c>
      <c r="O37" s="477"/>
      <c r="P37" s="122"/>
      <c r="Q37" s="305"/>
      <c r="R37" s="115"/>
      <c r="U37" s="119"/>
      <c r="V37" s="567"/>
      <c r="X37" s="56"/>
    </row>
    <row r="38" spans="1:28" ht="19.5" customHeight="1">
      <c r="A38" s="495" t="s">
        <v>71</v>
      </c>
      <c r="B38" s="495" t="str">
        <f t="shared" si="7"/>
        <v>Plenum_FloorM</v>
      </c>
      <c r="C38" s="385" t="s">
        <v>173</v>
      </c>
      <c r="D38" s="135" t="s">
        <v>148</v>
      </c>
      <c r="E38" s="135" t="s">
        <v>148</v>
      </c>
      <c r="F38" s="135" t="s">
        <v>148</v>
      </c>
      <c r="G38" s="135" t="s">
        <v>128</v>
      </c>
      <c r="H38" s="133" t="str">
        <f t="shared" si="3"/>
        <v>No</v>
      </c>
      <c r="I38" s="134"/>
      <c r="J38" s="135">
        <v>17875.932499999999</v>
      </c>
      <c r="K38" s="135">
        <f t="shared" si="5"/>
        <v>71503.73</v>
      </c>
      <c r="L38" s="135">
        <f t="shared" si="5"/>
        <v>1</v>
      </c>
      <c r="M38" s="475">
        <f t="shared" si="2"/>
        <v>0</v>
      </c>
      <c r="N38" s="306" t="str">
        <f t="shared" ref="N38" si="22">N20</f>
        <v>-</v>
      </c>
      <c r="O38" s="477"/>
      <c r="P38" s="122"/>
      <c r="Q38" s="568"/>
      <c r="R38" s="115"/>
      <c r="X38" s="56"/>
    </row>
    <row r="39" spans="1:28" ht="21.75" customHeight="1">
      <c r="A39" s="513" t="s">
        <v>71</v>
      </c>
      <c r="B39" s="493" t="str">
        <f>LEFT(B3,LEN(B3)-1)&amp;"T"</f>
        <v>Open_Office_Core_FloorT</v>
      </c>
      <c r="C39" s="503" t="s">
        <v>124</v>
      </c>
      <c r="D39" s="303" t="s">
        <v>125</v>
      </c>
      <c r="E39" s="303" t="s">
        <v>183</v>
      </c>
      <c r="F39" s="303" t="s">
        <v>184</v>
      </c>
      <c r="G39" s="303" t="s">
        <v>128</v>
      </c>
      <c r="H39" s="24" t="str">
        <f t="shared" ref="H39:H46" si="23">H3</f>
        <v>Yes</v>
      </c>
      <c r="I39" s="156">
        <f t="shared" ref="I39:I55" si="24">J39/$J$57</f>
        <v>7.9864791444811969E-2</v>
      </c>
      <c r="J39" s="71">
        <v>4283</v>
      </c>
      <c r="K39" s="24">
        <f t="shared" ref="K39:L46" si="25">K3</f>
        <v>38547</v>
      </c>
      <c r="L39" s="24">
        <f t="shared" si="25"/>
        <v>1</v>
      </c>
      <c r="M39" s="463">
        <f t="shared" si="2"/>
        <v>21.414999999999999</v>
      </c>
      <c r="N39" s="307">
        <f t="shared" ref="N39" si="26">N3</f>
        <v>5</v>
      </c>
      <c r="O39" s="477"/>
      <c r="P39" s="122"/>
      <c r="Q39" s="309"/>
      <c r="R39" s="115"/>
    </row>
    <row r="40" spans="1:28" ht="17.399999999999999" customHeight="1">
      <c r="A40" s="513" t="s">
        <v>71</v>
      </c>
      <c r="B40" s="493" t="str">
        <f t="shared" ref="B40:B46" si="27">LEFT(B4,LEN(B4)-1)&amp;"T"</f>
        <v>Open_Office_N_FloorT</v>
      </c>
      <c r="C40" s="503" t="s">
        <v>124</v>
      </c>
      <c r="D40" s="303" t="s">
        <v>131</v>
      </c>
      <c r="E40" s="303" t="s">
        <v>183</v>
      </c>
      <c r="F40" s="303" t="s">
        <v>184</v>
      </c>
      <c r="G40" s="303" t="s">
        <v>128</v>
      </c>
      <c r="H40" s="24" t="str">
        <f t="shared" si="23"/>
        <v>Yes</v>
      </c>
      <c r="I40" s="156">
        <f t="shared" si="24"/>
        <v>4.2850403468275136E-2</v>
      </c>
      <c r="J40" s="71">
        <v>2297.9873200000002</v>
      </c>
      <c r="K40" s="24">
        <f t="shared" si="25"/>
        <v>20681.885880000002</v>
      </c>
      <c r="L40" s="24">
        <f t="shared" si="25"/>
        <v>1</v>
      </c>
      <c r="M40" s="463">
        <f t="shared" si="2"/>
        <v>11.4899366</v>
      </c>
      <c r="N40" s="307">
        <f t="shared" ref="N40" si="28">N4</f>
        <v>5</v>
      </c>
      <c r="O40" s="477"/>
      <c r="P40" s="122"/>
      <c r="R40" s="115"/>
    </row>
    <row r="41" spans="1:28" ht="17.399999999999999" customHeight="1">
      <c r="A41" s="513" t="s">
        <v>71</v>
      </c>
      <c r="B41" s="493" t="str">
        <f t="shared" si="27"/>
        <v>Enclosed_Office_W_FloorT</v>
      </c>
      <c r="C41" s="503" t="s">
        <v>124</v>
      </c>
      <c r="D41" s="466" t="s">
        <v>133</v>
      </c>
      <c r="E41" s="303" t="s">
        <v>183</v>
      </c>
      <c r="F41" s="303" t="s">
        <v>184</v>
      </c>
      <c r="G41" s="303" t="s">
        <v>128</v>
      </c>
      <c r="H41" s="24" t="str">
        <f t="shared" si="23"/>
        <v>Yes</v>
      </c>
      <c r="I41" s="156">
        <f t="shared" si="24"/>
        <v>3.0541078673583424E-2</v>
      </c>
      <c r="J41" s="71">
        <v>1637.8611599999999</v>
      </c>
      <c r="K41" s="24">
        <f t="shared" si="25"/>
        <v>14740.75044</v>
      </c>
      <c r="L41" s="24">
        <f t="shared" si="25"/>
        <v>1</v>
      </c>
      <c r="M41" s="463">
        <f t="shared" si="2"/>
        <v>8.1893057999999996</v>
      </c>
      <c r="N41" s="307">
        <f t="shared" ref="N41" si="29">N5</f>
        <v>5</v>
      </c>
      <c r="O41" s="477"/>
      <c r="P41" s="122"/>
    </row>
    <row r="42" spans="1:28" ht="17.399999999999999" customHeight="1">
      <c r="A42" s="513" t="s">
        <v>71</v>
      </c>
      <c r="B42" s="493" t="str">
        <f t="shared" si="27"/>
        <v>Enclosed_Office_E_FloorT</v>
      </c>
      <c r="C42" s="503" t="s">
        <v>124</v>
      </c>
      <c r="D42" s="466" t="s">
        <v>135</v>
      </c>
      <c r="E42" s="303" t="s">
        <v>183</v>
      </c>
      <c r="F42" s="303" t="s">
        <v>184</v>
      </c>
      <c r="G42" s="303" t="s">
        <v>128</v>
      </c>
      <c r="H42" s="24" t="str">
        <f t="shared" si="23"/>
        <v>Yes</v>
      </c>
      <c r="I42" s="156">
        <f t="shared" si="24"/>
        <v>3.0541078673583424E-2</v>
      </c>
      <c r="J42" s="71">
        <v>1637.8611599999999</v>
      </c>
      <c r="K42" s="24">
        <f t="shared" si="25"/>
        <v>14740.75044</v>
      </c>
      <c r="L42" s="24">
        <f t="shared" si="25"/>
        <v>1</v>
      </c>
      <c r="M42" s="463">
        <f t="shared" si="2"/>
        <v>8.1893057999999996</v>
      </c>
      <c r="N42" s="307">
        <f t="shared" ref="N42" si="30">N6</f>
        <v>5</v>
      </c>
      <c r="O42" s="477"/>
    </row>
    <row r="43" spans="1:28" ht="17.399999999999999" customHeight="1">
      <c r="A43" s="513" t="s">
        <v>71</v>
      </c>
      <c r="B43" s="493" t="str">
        <f t="shared" si="27"/>
        <v>Open_Office_S_FloorT</v>
      </c>
      <c r="C43" s="503" t="s">
        <v>124</v>
      </c>
      <c r="D43" s="466" t="s">
        <v>137</v>
      </c>
      <c r="E43" s="303" t="s">
        <v>183</v>
      </c>
      <c r="F43" s="303" t="s">
        <v>184</v>
      </c>
      <c r="G43" s="303" t="s">
        <v>128</v>
      </c>
      <c r="H43" s="24" t="str">
        <f t="shared" si="23"/>
        <v>Yes</v>
      </c>
      <c r="I43" s="156">
        <f t="shared" si="24"/>
        <v>2.2119125705444713E-2</v>
      </c>
      <c r="J43" s="71">
        <v>1186.20751</v>
      </c>
      <c r="K43" s="24">
        <f t="shared" si="25"/>
        <v>10675.86759</v>
      </c>
      <c r="L43" s="24">
        <f t="shared" si="25"/>
        <v>1</v>
      </c>
      <c r="M43" s="463">
        <f t="shared" si="2"/>
        <v>5.9310375500000001</v>
      </c>
      <c r="N43" s="307">
        <f t="shared" ref="N43" si="31">N7</f>
        <v>5</v>
      </c>
      <c r="O43" s="477"/>
      <c r="P43" s="122"/>
    </row>
    <row r="44" spans="1:28" ht="26.4">
      <c r="A44" s="513" t="s">
        <v>71</v>
      </c>
      <c r="B44" s="493" t="str">
        <f t="shared" si="27"/>
        <v>Conference_FloorT</v>
      </c>
      <c r="C44" s="503" t="s">
        <v>139</v>
      </c>
      <c r="D44" s="303" t="s">
        <v>137</v>
      </c>
      <c r="E44" s="303" t="s">
        <v>183</v>
      </c>
      <c r="F44" s="303" t="s">
        <v>184</v>
      </c>
      <c r="G44" s="303" t="s">
        <v>128</v>
      </c>
      <c r="H44" s="24" t="str">
        <f t="shared" si="23"/>
        <v>Yes</v>
      </c>
      <c r="I44" s="156">
        <f t="shared" si="24"/>
        <v>2.073127776283042E-2</v>
      </c>
      <c r="J44" s="71">
        <v>1111.77981</v>
      </c>
      <c r="K44" s="24">
        <f t="shared" si="25"/>
        <v>10006.01829</v>
      </c>
      <c r="L44" s="24">
        <f t="shared" si="25"/>
        <v>1</v>
      </c>
      <c r="M44" s="463">
        <f t="shared" si="2"/>
        <v>36.688733730000003</v>
      </c>
      <c r="N44" s="307">
        <f t="shared" ref="N44" si="32">N8</f>
        <v>33</v>
      </c>
      <c r="O44" s="477"/>
    </row>
    <row r="45" spans="1:28" ht="88.2" customHeight="1">
      <c r="A45" s="513" t="s">
        <v>71</v>
      </c>
      <c r="B45" s="493" t="s">
        <v>185</v>
      </c>
      <c r="C45" s="503" t="s">
        <v>160</v>
      </c>
      <c r="D45" s="303" t="s">
        <v>143</v>
      </c>
      <c r="E45" s="303" t="s">
        <v>183</v>
      </c>
      <c r="F45" s="303" t="s">
        <v>184</v>
      </c>
      <c r="G45" s="303" t="s">
        <v>128</v>
      </c>
      <c r="H45" s="24" t="str">
        <f t="shared" si="23"/>
        <v>Yes</v>
      </c>
      <c r="I45" s="156">
        <f t="shared" si="24"/>
        <v>1.9750368436845831E-2</v>
      </c>
      <c r="J45" s="71">
        <v>1059.1754699999999</v>
      </c>
      <c r="K45" s="24">
        <f t="shared" si="25"/>
        <v>9532.5792299999994</v>
      </c>
      <c r="L45" s="24">
        <f t="shared" si="25"/>
        <v>1</v>
      </c>
      <c r="M45" s="463">
        <f t="shared" si="2"/>
        <v>15.887632049999999</v>
      </c>
      <c r="N45" s="307">
        <v>15</v>
      </c>
      <c r="O45" s="478" t="s">
        <v>186</v>
      </c>
      <c r="P45" s="123"/>
    </row>
    <row r="46" spans="1:28" ht="27.75" customHeight="1">
      <c r="A46" s="513" t="s">
        <v>71</v>
      </c>
      <c r="B46" s="493" t="str">
        <f t="shared" si="27"/>
        <v>Storage_FloorT</v>
      </c>
      <c r="C46" s="503" t="s">
        <v>146</v>
      </c>
      <c r="D46" s="303" t="s">
        <v>143</v>
      </c>
      <c r="E46" s="303" t="s">
        <v>183</v>
      </c>
      <c r="F46" s="303" t="s">
        <v>184</v>
      </c>
      <c r="G46" s="303" t="s">
        <v>128</v>
      </c>
      <c r="H46" s="24" t="str">
        <f t="shared" si="23"/>
        <v>Yes</v>
      </c>
      <c r="I46" s="156">
        <f t="shared" si="24"/>
        <v>1.833284099983698E-2</v>
      </c>
      <c r="J46" s="71">
        <v>983.156114</v>
      </c>
      <c r="K46" s="24">
        <f t="shared" si="25"/>
        <v>8848.4050260000004</v>
      </c>
      <c r="L46" s="24">
        <f t="shared" si="25"/>
        <v>1</v>
      </c>
      <c r="M46" s="463">
        <f t="shared" si="2"/>
        <v>0</v>
      </c>
      <c r="N46" s="307" t="str">
        <f t="shared" ref="N46" si="33">N10</f>
        <v>-</v>
      </c>
      <c r="O46" s="478" t="s">
        <v>152</v>
      </c>
      <c r="P46" s="125"/>
    </row>
    <row r="47" spans="1:28" ht="17.399999999999999" customHeight="1">
      <c r="A47" s="513" t="s">
        <v>71</v>
      </c>
      <c r="B47" s="493" t="str">
        <f t="shared" ref="B47:B56" si="34">LEFT(B11,LEN(B11)-1)&amp;"T"</f>
        <v>Mechanical/Electrical_FloorT</v>
      </c>
      <c r="C47" s="503" t="s">
        <v>151</v>
      </c>
      <c r="D47" s="303" t="s">
        <v>143</v>
      </c>
      <c r="E47" s="303" t="s">
        <v>183</v>
      </c>
      <c r="F47" s="303" t="s">
        <v>184</v>
      </c>
      <c r="G47" s="303" t="s">
        <v>147</v>
      </c>
      <c r="H47" s="24" t="str">
        <f t="shared" ref="H47:H56" si="35">H11</f>
        <v>Yes</v>
      </c>
      <c r="I47" s="156">
        <f t="shared" si="24"/>
        <v>6.663485999664309E-3</v>
      </c>
      <c r="J47" s="71">
        <v>357.35034200000001</v>
      </c>
      <c r="K47" s="24">
        <f t="shared" ref="K47:L56" si="36">K11</f>
        <v>3216.1530780000003</v>
      </c>
      <c r="L47" s="24">
        <f t="shared" si="36"/>
        <v>1</v>
      </c>
      <c r="M47" s="463">
        <f t="shared" si="2"/>
        <v>0</v>
      </c>
      <c r="N47" s="307" t="str">
        <f t="shared" ref="N47" si="37">N11</f>
        <v>-</v>
      </c>
      <c r="O47" s="479" t="s">
        <v>152</v>
      </c>
      <c r="P47" s="124"/>
    </row>
    <row r="48" spans="1:28" ht="17.399999999999999" customHeight="1">
      <c r="A48" s="513" t="s">
        <v>71</v>
      </c>
      <c r="B48" s="493" t="str">
        <f t="shared" si="34"/>
        <v>IT-Room_FloorT</v>
      </c>
      <c r="C48" s="503" t="s">
        <v>154</v>
      </c>
      <c r="D48" s="303" t="s">
        <v>143</v>
      </c>
      <c r="E48" s="303" t="s">
        <v>183</v>
      </c>
      <c r="F48" s="303" t="s">
        <v>184</v>
      </c>
      <c r="G48" s="303" t="s">
        <v>155</v>
      </c>
      <c r="H48" s="24" t="str">
        <f t="shared" si="35"/>
        <v>Yes</v>
      </c>
      <c r="I48" s="156">
        <f t="shared" si="24"/>
        <v>3.3366309376435524E-3</v>
      </c>
      <c r="J48" s="71">
        <v>178.93730199999999</v>
      </c>
      <c r="K48" s="24">
        <f t="shared" si="36"/>
        <v>1610.435718</v>
      </c>
      <c r="L48" s="24">
        <f t="shared" si="36"/>
        <v>1</v>
      </c>
      <c r="M48" s="463">
        <f t="shared" si="2"/>
        <v>0.26840595299999997</v>
      </c>
      <c r="N48" s="482">
        <f t="shared" ref="N48" si="38">N12</f>
        <v>1.5</v>
      </c>
      <c r="O48" s="468" t="s">
        <v>156</v>
      </c>
      <c r="P48" s="124"/>
    </row>
    <row r="49" spans="1:20" ht="17.399999999999999" customHeight="1">
      <c r="A49" s="513" t="s">
        <v>71</v>
      </c>
      <c r="B49" s="493" t="str">
        <f t="shared" si="34"/>
        <v>Restroom_FloorT</v>
      </c>
      <c r="C49" s="503" t="s">
        <v>158</v>
      </c>
      <c r="D49" s="303"/>
      <c r="E49" s="303"/>
      <c r="F49" s="303"/>
      <c r="G49" s="303" t="s">
        <v>128</v>
      </c>
      <c r="H49" s="24" t="str">
        <f t="shared" si="35"/>
        <v>Yes</v>
      </c>
      <c r="I49" s="156">
        <f t="shared" si="24"/>
        <v>1.200074922527674E-2</v>
      </c>
      <c r="J49" s="71">
        <v>643.57782699999996</v>
      </c>
      <c r="K49" s="24">
        <f t="shared" si="36"/>
        <v>5792.2004429999997</v>
      </c>
      <c r="L49" s="24">
        <f t="shared" si="36"/>
        <v>1</v>
      </c>
      <c r="M49" s="463">
        <f t="shared" si="2"/>
        <v>0</v>
      </c>
      <c r="N49" s="307" t="str">
        <f t="shared" ref="N49" si="39">N13</f>
        <v>-</v>
      </c>
      <c r="O49" s="468" t="s">
        <v>867</v>
      </c>
      <c r="P49" s="124"/>
    </row>
    <row r="50" spans="1:20" ht="17.399999999999999" customHeight="1">
      <c r="A50" s="513" t="s">
        <v>71</v>
      </c>
      <c r="B50" s="493" t="str">
        <f t="shared" si="34"/>
        <v>BreakRoom/Kitchenette_FloorT</v>
      </c>
      <c r="C50" s="503" t="s">
        <v>160</v>
      </c>
      <c r="D50" s="303" t="s">
        <v>143</v>
      </c>
      <c r="E50" s="303" t="s">
        <v>183</v>
      </c>
      <c r="F50" s="303" t="s">
        <v>184</v>
      </c>
      <c r="G50" s="303" t="s">
        <v>128</v>
      </c>
      <c r="H50" s="24" t="str">
        <f t="shared" si="35"/>
        <v>Yes</v>
      </c>
      <c r="I50" s="156">
        <f t="shared" si="24"/>
        <v>4.3324822705770585E-3</v>
      </c>
      <c r="J50" s="71">
        <v>232.34295399999999</v>
      </c>
      <c r="K50" s="24">
        <f t="shared" si="36"/>
        <v>2091.0865859999999</v>
      </c>
      <c r="L50" s="24">
        <f t="shared" si="36"/>
        <v>1</v>
      </c>
      <c r="M50" s="463">
        <f t="shared" si="2"/>
        <v>7.6673174819999996</v>
      </c>
      <c r="N50" s="482">
        <f t="shared" ref="N50" si="40">N14</f>
        <v>33</v>
      </c>
      <c r="O50" s="479" t="s">
        <v>161</v>
      </c>
      <c r="P50" s="124"/>
    </row>
    <row r="51" spans="1:20" ht="17.399999999999999" customHeight="1">
      <c r="A51" s="513" t="s">
        <v>71</v>
      </c>
      <c r="B51" s="493" t="str">
        <f t="shared" si="34"/>
        <v>Stairway_FloorT</v>
      </c>
      <c r="C51" s="503" t="s">
        <v>163</v>
      </c>
      <c r="D51" s="303" t="s">
        <v>143</v>
      </c>
      <c r="E51" s="303" t="s">
        <v>183</v>
      </c>
      <c r="F51" s="303" t="s">
        <v>184</v>
      </c>
      <c r="G51" s="303" t="s">
        <v>147</v>
      </c>
      <c r="H51" s="24" t="str">
        <f t="shared" si="35"/>
        <v>Yes</v>
      </c>
      <c r="I51" s="156">
        <f t="shared" si="24"/>
        <v>1.2332933669883925E-2</v>
      </c>
      <c r="J51" s="71">
        <v>661.39225999999996</v>
      </c>
      <c r="K51" s="24">
        <f t="shared" si="36"/>
        <v>5952.5303399999993</v>
      </c>
      <c r="L51" s="24">
        <f t="shared" si="36"/>
        <v>1</v>
      </c>
      <c r="M51" s="463">
        <f t="shared" si="2"/>
        <v>0</v>
      </c>
      <c r="N51" s="307" t="str">
        <f t="shared" ref="N51" si="41">N15</f>
        <v>-</v>
      </c>
      <c r="O51" s="479" t="s">
        <v>152</v>
      </c>
      <c r="P51" s="124"/>
    </row>
    <row r="52" spans="1:20" ht="17.399999999999999" customHeight="1">
      <c r="A52" s="513" t="s">
        <v>71</v>
      </c>
      <c r="B52" s="493" t="str">
        <f t="shared" si="34"/>
        <v>Corridor_W_FloorT</v>
      </c>
      <c r="C52" s="503" t="s">
        <v>165</v>
      </c>
      <c r="D52" s="303" t="s">
        <v>133</v>
      </c>
      <c r="E52" s="303" t="s">
        <v>183</v>
      </c>
      <c r="F52" s="303" t="s">
        <v>184</v>
      </c>
      <c r="G52" s="303" t="s">
        <v>128</v>
      </c>
      <c r="H52" s="24" t="str">
        <f t="shared" si="35"/>
        <v>Yes</v>
      </c>
      <c r="I52" s="156">
        <f t="shared" si="24"/>
        <v>5.5940783174045277E-3</v>
      </c>
      <c r="J52" s="71">
        <v>300</v>
      </c>
      <c r="K52" s="24">
        <f t="shared" si="36"/>
        <v>2700</v>
      </c>
      <c r="L52" s="24">
        <f t="shared" si="36"/>
        <v>1</v>
      </c>
      <c r="M52" s="463">
        <f t="shared" si="2"/>
        <v>1.5</v>
      </c>
      <c r="N52" s="307">
        <f t="shared" ref="N52" si="42">N16</f>
        <v>5</v>
      </c>
      <c r="O52" s="481"/>
      <c r="P52" s="124"/>
    </row>
    <row r="53" spans="1:20" ht="17.399999999999999" customHeight="1">
      <c r="A53" s="513" t="s">
        <v>71</v>
      </c>
      <c r="B53" s="493" t="str">
        <f t="shared" si="34"/>
        <v>Corridor_N_FloorT</v>
      </c>
      <c r="C53" s="503" t="s">
        <v>165</v>
      </c>
      <c r="D53" s="466" t="s">
        <v>131</v>
      </c>
      <c r="E53" s="303" t="s">
        <v>183</v>
      </c>
      <c r="F53" s="303" t="s">
        <v>184</v>
      </c>
      <c r="G53" s="303" t="s">
        <v>128</v>
      </c>
      <c r="H53" s="24" t="str">
        <f t="shared" si="35"/>
        <v>Yes</v>
      </c>
      <c r="I53" s="156">
        <f t="shared" si="24"/>
        <v>9.3788899903097227E-3</v>
      </c>
      <c r="J53" s="71">
        <v>502.97239999999999</v>
      </c>
      <c r="K53" s="24">
        <f t="shared" si="36"/>
        <v>4526.7515999999996</v>
      </c>
      <c r="L53" s="24">
        <f t="shared" si="36"/>
        <v>1</v>
      </c>
      <c r="M53" s="463">
        <f t="shared" si="2"/>
        <v>2.5148619999999999</v>
      </c>
      <c r="N53" s="307">
        <f t="shared" ref="N53" si="43">N17</f>
        <v>5</v>
      </c>
      <c r="O53" s="481"/>
      <c r="P53" s="124"/>
    </row>
    <row r="54" spans="1:20" ht="17.399999999999999" customHeight="1">
      <c r="A54" s="513" t="s">
        <v>71</v>
      </c>
      <c r="B54" s="493" t="str">
        <f t="shared" si="34"/>
        <v>Corridor_E_FloorT</v>
      </c>
      <c r="C54" s="503" t="s">
        <v>165</v>
      </c>
      <c r="D54" s="466" t="s">
        <v>135</v>
      </c>
      <c r="E54" s="303" t="s">
        <v>183</v>
      </c>
      <c r="F54" s="303" t="s">
        <v>184</v>
      </c>
      <c r="G54" s="303" t="s">
        <v>128</v>
      </c>
      <c r="H54" s="24" t="str">
        <f t="shared" si="35"/>
        <v>Yes</v>
      </c>
      <c r="I54" s="156">
        <f t="shared" si="24"/>
        <v>5.5940783174045277E-3</v>
      </c>
      <c r="J54" s="71">
        <v>300</v>
      </c>
      <c r="K54" s="24">
        <f t="shared" si="36"/>
        <v>2692.8684000000003</v>
      </c>
      <c r="L54" s="24">
        <f t="shared" si="36"/>
        <v>1</v>
      </c>
      <c r="M54" s="463">
        <f t="shared" si="2"/>
        <v>1.5</v>
      </c>
      <c r="N54" s="307">
        <f t="shared" ref="N54" si="44">N18</f>
        <v>5</v>
      </c>
      <c r="O54" s="481"/>
      <c r="P54" s="124"/>
      <c r="R54" s="115"/>
    </row>
    <row r="55" spans="1:20" ht="17.399999999999999" customHeight="1">
      <c r="A55" s="513" t="s">
        <v>71</v>
      </c>
      <c r="B55" s="493" t="str">
        <f t="shared" si="34"/>
        <v>Corridor_S_FloorT</v>
      </c>
      <c r="C55" s="503" t="s">
        <v>165</v>
      </c>
      <c r="D55" s="466" t="s">
        <v>137</v>
      </c>
      <c r="E55" s="303" t="s">
        <v>183</v>
      </c>
      <c r="F55" s="303" t="s">
        <v>184</v>
      </c>
      <c r="G55" s="303" t="s">
        <v>128</v>
      </c>
      <c r="H55" s="24" t="str">
        <f t="shared" si="35"/>
        <v>Yes</v>
      </c>
      <c r="I55" s="156">
        <f t="shared" si="24"/>
        <v>9.3788899903097227E-3</v>
      </c>
      <c r="J55" s="71">
        <v>502.97239999999999</v>
      </c>
      <c r="K55" s="24">
        <f t="shared" si="36"/>
        <v>4526.7515999999996</v>
      </c>
      <c r="L55" s="24">
        <f t="shared" si="36"/>
        <v>1</v>
      </c>
      <c r="M55" s="463">
        <f t="shared" si="2"/>
        <v>2.5148619999999999</v>
      </c>
      <c r="N55" s="307">
        <f t="shared" ref="N55" si="45">N19</f>
        <v>5</v>
      </c>
      <c r="O55" s="477"/>
      <c r="P55" s="122"/>
      <c r="R55" s="115"/>
    </row>
    <row r="56" spans="1:20" ht="17.399999999999999" customHeight="1">
      <c r="A56" s="513" t="s">
        <v>71</v>
      </c>
      <c r="B56" s="493" t="str">
        <f t="shared" si="34"/>
        <v>Plenum_FloorT</v>
      </c>
      <c r="C56" s="503" t="s">
        <v>173</v>
      </c>
      <c r="D56" s="303" t="s">
        <v>148</v>
      </c>
      <c r="E56" s="303" t="s">
        <v>148</v>
      </c>
      <c r="F56" s="303" t="s">
        <v>148</v>
      </c>
      <c r="G56" s="303" t="s">
        <v>128</v>
      </c>
      <c r="H56" s="24" t="str">
        <f t="shared" si="35"/>
        <v>No</v>
      </c>
      <c r="I56" s="126"/>
      <c r="J56" s="71">
        <v>17875.932499999999</v>
      </c>
      <c r="K56" s="24">
        <f t="shared" si="36"/>
        <v>71503.73</v>
      </c>
      <c r="L56" s="136">
        <f t="shared" si="36"/>
        <v>1</v>
      </c>
      <c r="M56" s="463">
        <f t="shared" si="2"/>
        <v>0</v>
      </c>
      <c r="N56" s="308" t="str">
        <f t="shared" ref="N56" si="46">N20</f>
        <v>-</v>
      </c>
      <c r="O56" s="477"/>
      <c r="P56" s="122"/>
      <c r="R56" s="115"/>
    </row>
    <row r="57" spans="1:20" ht="39.6">
      <c r="A57" s="485" t="s">
        <v>187</v>
      </c>
      <c r="B57" s="494" t="s">
        <v>188</v>
      </c>
      <c r="C57" s="494" t="s">
        <v>189</v>
      </c>
      <c r="D57" s="466" t="s">
        <v>190</v>
      </c>
      <c r="E57" s="466" t="s">
        <v>191</v>
      </c>
      <c r="F57" s="466" t="s">
        <v>192</v>
      </c>
      <c r="G57" s="483" t="s">
        <v>193</v>
      </c>
      <c r="H57" s="483" t="s">
        <v>194</v>
      </c>
      <c r="I57" s="484">
        <f>SUM(I3:I56)</f>
        <v>0.99999999999999989</v>
      </c>
      <c r="J57" s="485">
        <f>SUM(J3:J56)-J56*3</f>
        <v>53628.137287000005</v>
      </c>
      <c r="K57" s="486">
        <f>SUM(K4:K56)</f>
        <v>658610.29398299986</v>
      </c>
      <c r="L57" s="483"/>
      <c r="M57" s="487"/>
      <c r="N57" s="464"/>
      <c r="O57" s="477"/>
      <c r="P57" s="122"/>
      <c r="R57" s="115"/>
    </row>
    <row r="58" spans="1:20" ht="14.4">
      <c r="K58" s="27"/>
      <c r="L58" s="27"/>
      <c r="M58" s="341"/>
      <c r="N58" s="122"/>
      <c r="O58" s="122"/>
      <c r="P58" s="27"/>
      <c r="Q58" s="27"/>
      <c r="R58" s="114"/>
      <c r="S58" s="114"/>
    </row>
    <row r="59" spans="1:20" ht="13.2">
      <c r="G59" s="67"/>
      <c r="H59" s="12"/>
      <c r="I59" s="12"/>
      <c r="J59" s="12"/>
      <c r="K59" s="28"/>
      <c r="N59" s="27"/>
      <c r="O59" s="27"/>
      <c r="P59" s="27"/>
      <c r="Q59" s="27"/>
      <c r="R59" s="27"/>
      <c r="S59" s="27"/>
    </row>
    <row r="60" spans="1:20" ht="14.4" customHeight="1">
      <c r="B60" s="383" t="s">
        <v>195</v>
      </c>
      <c r="G60" s="68"/>
      <c r="H60" s="17"/>
      <c r="I60" s="17"/>
      <c r="K60" s="27"/>
      <c r="L60" s="28"/>
      <c r="M60" s="27"/>
      <c r="N60" s="27"/>
      <c r="O60" s="27"/>
      <c r="P60" s="27"/>
      <c r="Q60" s="27"/>
      <c r="R60" s="27"/>
      <c r="S60" s="27"/>
    </row>
    <row r="61" spans="1:20" ht="13.2">
      <c r="B61" s="17" t="s">
        <v>18</v>
      </c>
      <c r="G61" s="167"/>
      <c r="H61" s="29"/>
      <c r="I61" s="29"/>
      <c r="K61" s="27"/>
      <c r="L61" s="27"/>
      <c r="M61" s="27"/>
      <c r="N61" s="27"/>
      <c r="O61" s="27"/>
      <c r="P61" s="27"/>
      <c r="Q61" s="27"/>
      <c r="R61" s="27"/>
      <c r="S61" s="27"/>
    </row>
    <row r="62" spans="1:20" ht="13.2">
      <c r="B62" s="29" t="s">
        <v>196</v>
      </c>
      <c r="D62" s="500"/>
      <c r="E62" s="500"/>
      <c r="F62" s="500"/>
      <c r="G62" s="312"/>
      <c r="H62" s="27"/>
      <c r="I62" s="27"/>
      <c r="K62" s="27"/>
      <c r="L62" s="27"/>
      <c r="M62" s="27"/>
      <c r="N62" s="27"/>
      <c r="O62" s="27"/>
      <c r="P62" s="27"/>
      <c r="Q62" s="27"/>
      <c r="R62" s="27"/>
      <c r="S62" s="27"/>
    </row>
    <row r="63" spans="1:20" ht="13.2">
      <c r="D63" s="500"/>
      <c r="E63" s="500"/>
      <c r="F63" s="500"/>
      <c r="G63" s="312"/>
      <c r="H63" s="27"/>
      <c r="I63" s="27"/>
      <c r="K63" s="27"/>
      <c r="L63" s="27"/>
      <c r="M63" s="27"/>
      <c r="N63" s="27"/>
      <c r="O63" s="27"/>
      <c r="P63" s="27"/>
      <c r="Q63" s="27"/>
      <c r="R63" s="112"/>
      <c r="S63" s="112"/>
      <c r="T63" s="54"/>
    </row>
    <row r="64" spans="1:20" ht="13.2">
      <c r="K64" s="27"/>
      <c r="L64" s="27"/>
      <c r="M64" s="27"/>
      <c r="N64" s="27"/>
      <c r="O64" s="27"/>
      <c r="P64" s="27"/>
      <c r="Q64" s="27"/>
      <c r="R64" s="113"/>
      <c r="S64" s="113"/>
    </row>
    <row r="65" spans="4:17" ht="13.2">
      <c r="D65" s="11"/>
      <c r="E65" s="11"/>
      <c r="F65" s="11"/>
      <c r="G65" s="11"/>
      <c r="I65" s="27"/>
      <c r="J65" s="27"/>
      <c r="K65" s="27"/>
      <c r="L65" s="27"/>
      <c r="M65" s="27"/>
      <c r="N65" s="27"/>
      <c r="O65" s="27"/>
      <c r="P65" s="27"/>
      <c r="Q65" s="27"/>
    </row>
    <row r="66" spans="4:17" ht="12.75" customHeight="1">
      <c r="D66" s="11"/>
      <c r="E66" s="11"/>
      <c r="F66" s="11"/>
      <c r="G66" s="11"/>
    </row>
    <row r="67" spans="4:17" ht="13.2">
      <c r="D67" s="11"/>
      <c r="E67" s="11"/>
      <c r="F67" s="11"/>
      <c r="G67" s="11"/>
    </row>
    <row r="68" spans="4:17" ht="13.2">
      <c r="D68" s="11"/>
      <c r="E68" s="11"/>
      <c r="F68" s="11"/>
      <c r="G68" s="11"/>
    </row>
    <row r="69" spans="4:17" ht="13.2">
      <c r="D69" s="11"/>
      <c r="E69" s="11"/>
      <c r="F69" s="11"/>
      <c r="G69" s="11"/>
    </row>
    <row r="70" spans="4:17" ht="13.2">
      <c r="D70" s="11"/>
      <c r="E70" s="11"/>
      <c r="F70" s="11"/>
      <c r="G70" s="11"/>
    </row>
    <row r="71" spans="4:17" ht="13.2">
      <c r="D71" s="11"/>
      <c r="E71" s="11"/>
      <c r="F71" s="11"/>
      <c r="G71" s="11"/>
    </row>
    <row r="72" spans="4:17" ht="13.2">
      <c r="D72" s="11"/>
      <c r="E72" s="11"/>
      <c r="F72" s="11"/>
      <c r="G72" s="11"/>
    </row>
    <row r="73" spans="4:17" ht="13.2">
      <c r="D73" s="11"/>
      <c r="E73" s="11"/>
      <c r="F73" s="11"/>
      <c r="G73" s="11"/>
    </row>
    <row r="74" spans="4:17" ht="13.2">
      <c r="D74" s="11"/>
      <c r="E74" s="11"/>
      <c r="F74" s="11"/>
      <c r="G74" s="11"/>
    </row>
    <row r="75" spans="4:17" ht="13.2">
      <c r="D75" s="11"/>
      <c r="E75" s="11"/>
      <c r="F75" s="11"/>
      <c r="G75" s="11"/>
    </row>
    <row r="76" spans="4:17" ht="13.2">
      <c r="D76" s="11"/>
      <c r="E76" s="11"/>
      <c r="F76" s="11"/>
      <c r="G76" s="11"/>
    </row>
    <row r="77" spans="4:17" ht="13.2">
      <c r="D77" s="11"/>
      <c r="E77" s="11"/>
      <c r="F77" s="11"/>
      <c r="G77" s="11"/>
    </row>
  </sheetData>
  <mergeCells count="3">
    <mergeCell ref="Q1:U1"/>
    <mergeCell ref="R19:S19"/>
    <mergeCell ref="A1:O1"/>
  </mergeCells>
  <phoneticPr fontId="4" type="noConversion"/>
  <dataValidations count="1">
    <dataValidation allowBlank="1" showInputMessage="1" showErrorMessage="1" sqref="R20:R31 V32:X32 S29:S31 V31:W31 W28:W30" xr:uid="{6566FD39-3B1A-4058-B270-7CD182EFD8C4}"/>
  </dataValidations>
  <hyperlinks>
    <hyperlink ref="B61" r:id="rId1" xr:uid="{58518BC6-E4B2-4912-A8F5-29F636272C9A}"/>
    <hyperlink ref="B62" r:id="rId2" xr:uid="{2EFE29EA-585B-4F90-8184-3D129F20D938}"/>
  </hyperlinks>
  <pageMargins left="0.7" right="0.7" top="0.75" bottom="0.75" header="0.3" footer="0.3"/>
  <pageSetup orientation="portrait" r:id="rId3"/>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7D9922EA-2D65-4EE8-BAD1-5885A9C56A21}">
          <x14:formula1>
            <xm:f>Data!$A$2:$A$201</xm:f>
          </x14:formula1>
          <xm:sqref>C3:C56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Y72"/>
  <sheetViews>
    <sheetView zoomScale="85" zoomScaleNormal="85" workbookViewId="0">
      <selection sqref="A1:X1"/>
    </sheetView>
  </sheetViews>
  <sheetFormatPr defaultRowHeight="14.4"/>
  <cols>
    <col min="1" max="1" width="15.44140625" customWidth="1"/>
    <col min="2" max="2" width="15.33203125" style="2" customWidth="1"/>
    <col min="3" max="3" width="24.5546875" customWidth="1"/>
    <col min="4" max="4" width="44.5546875" customWidth="1"/>
    <col min="5" max="5" width="13.33203125" customWidth="1"/>
    <col min="6" max="6" width="15.5546875" customWidth="1"/>
    <col min="7" max="7" width="21.44140625" style="1" customWidth="1"/>
    <col min="8" max="8" width="47.109375" customWidth="1"/>
    <col min="9" max="11" width="7" customWidth="1"/>
    <col min="12" max="12" width="6.6640625" customWidth="1"/>
    <col min="13" max="24" width="7" customWidth="1"/>
    <col min="25" max="25" width="14.33203125" customWidth="1"/>
    <col min="26" max="26" width="26.88671875" customWidth="1"/>
    <col min="27" max="27" width="12.44140625" customWidth="1"/>
    <col min="32" max="32" width="11.44140625" customWidth="1"/>
    <col min="34" max="34" width="13.6640625" customWidth="1"/>
  </cols>
  <sheetData>
    <row r="1" spans="1:25" ht="31.95" customHeight="1">
      <c r="A1" s="674" t="s">
        <v>197</v>
      </c>
      <c r="B1" s="674"/>
      <c r="C1" s="674"/>
      <c r="D1" s="674"/>
      <c r="E1" s="674"/>
      <c r="F1" s="674"/>
      <c r="G1" s="674"/>
      <c r="H1" s="674"/>
      <c r="I1" s="674"/>
      <c r="J1" s="674"/>
      <c r="K1" s="674"/>
      <c r="L1" s="674"/>
      <c r="M1" s="674"/>
      <c r="N1" s="674"/>
      <c r="O1" s="674"/>
      <c r="P1" s="674"/>
      <c r="Q1" s="674"/>
      <c r="R1" s="674"/>
      <c r="S1" s="674"/>
      <c r="T1" s="674"/>
      <c r="U1" s="674"/>
      <c r="V1" s="674"/>
      <c r="W1" s="674"/>
      <c r="X1" s="674"/>
      <c r="Y1" s="315"/>
    </row>
    <row r="2" spans="1:25" ht="26.4">
      <c r="A2" s="441" t="s">
        <v>198</v>
      </c>
      <c r="B2" s="441" t="s">
        <v>10</v>
      </c>
      <c r="C2" s="441" t="s">
        <v>199</v>
      </c>
      <c r="D2" s="441" t="s">
        <v>200</v>
      </c>
      <c r="E2" s="516" t="s">
        <v>201</v>
      </c>
      <c r="F2" s="441" t="s">
        <v>202</v>
      </c>
      <c r="G2" s="442" t="s">
        <v>203</v>
      </c>
      <c r="H2" s="441" t="s">
        <v>61</v>
      </c>
      <c r="I2" s="441" t="s">
        <v>204</v>
      </c>
      <c r="J2" s="441" t="s">
        <v>205</v>
      </c>
      <c r="K2" s="441" t="s">
        <v>206</v>
      </c>
      <c r="L2" s="441" t="s">
        <v>207</v>
      </c>
      <c r="M2" s="441" t="s">
        <v>208</v>
      </c>
      <c r="N2" s="441" t="s">
        <v>209</v>
      </c>
      <c r="O2" s="441" t="s">
        <v>210</v>
      </c>
      <c r="P2" s="441" t="s">
        <v>211</v>
      </c>
      <c r="Q2" s="441" t="s">
        <v>212</v>
      </c>
      <c r="R2" s="441" t="s">
        <v>213</v>
      </c>
      <c r="S2" s="441" t="s">
        <v>214</v>
      </c>
      <c r="T2" s="441" t="s">
        <v>215</v>
      </c>
      <c r="U2" s="441" t="s">
        <v>216</v>
      </c>
      <c r="V2" s="441" t="s">
        <v>217</v>
      </c>
      <c r="W2" s="441" t="s">
        <v>218</v>
      </c>
      <c r="X2" s="441" t="s">
        <v>219</v>
      </c>
      <c r="Y2" s="314"/>
    </row>
    <row r="3" spans="1:25">
      <c r="A3" s="676" t="s">
        <v>220</v>
      </c>
      <c r="B3" s="676" t="s">
        <v>71</v>
      </c>
      <c r="C3" s="675" t="s">
        <v>221</v>
      </c>
      <c r="D3" s="675" t="s">
        <v>222</v>
      </c>
      <c r="E3" s="676" t="s">
        <v>223</v>
      </c>
      <c r="F3" s="504" t="s">
        <v>224</v>
      </c>
      <c r="G3" s="504" t="s">
        <v>225</v>
      </c>
      <c r="H3" s="443" t="s">
        <v>226</v>
      </c>
      <c r="I3" s="443">
        <v>0.35199999999999998</v>
      </c>
      <c r="J3" s="443">
        <v>0.35199999999999998</v>
      </c>
      <c r="K3" s="443">
        <v>0.35199999999999998</v>
      </c>
      <c r="L3" s="443">
        <v>0.35199999999999998</v>
      </c>
      <c r="M3" s="443">
        <v>0.35199999999999998</v>
      </c>
      <c r="N3" s="443">
        <v>0.35199999999999998</v>
      </c>
      <c r="O3" s="443">
        <v>0.35199999999999998</v>
      </c>
      <c r="P3" s="443">
        <v>0.35199999999999998</v>
      </c>
      <c r="Q3" s="443">
        <v>0.35199999999999998</v>
      </c>
      <c r="R3" s="443">
        <v>0.35199999999999998</v>
      </c>
      <c r="S3" s="443">
        <v>0.35199999999999998</v>
      </c>
      <c r="T3" s="443">
        <v>0.35199999999999998</v>
      </c>
      <c r="U3" s="443">
        <v>0.35199999999999998</v>
      </c>
      <c r="V3" s="443">
        <v>0.35199999999999998</v>
      </c>
      <c r="W3" s="443">
        <v>0.35199999999999998</v>
      </c>
      <c r="X3" s="443">
        <v>0.35199999999999998</v>
      </c>
    </row>
    <row r="4" spans="1:25" ht="26.4">
      <c r="A4" s="676"/>
      <c r="B4" s="676"/>
      <c r="C4" s="675"/>
      <c r="D4" s="675"/>
      <c r="E4" s="676"/>
      <c r="F4" s="458" t="s">
        <v>227</v>
      </c>
      <c r="G4" s="458">
        <v>1986</v>
      </c>
      <c r="H4" s="444" t="s">
        <v>228</v>
      </c>
      <c r="I4" s="445">
        <f>1/6.63</f>
        <v>0.15082956259426847</v>
      </c>
      <c r="J4" s="445">
        <f>1/6.35</f>
        <v>0.15748031496062992</v>
      </c>
      <c r="K4" s="445">
        <f>1/6.35</f>
        <v>0.15748031496062992</v>
      </c>
      <c r="L4" s="445">
        <f>1/6.96</f>
        <v>0.14367816091954022</v>
      </c>
      <c r="M4" s="445">
        <f>1/6.96</f>
        <v>0.14367816091954022</v>
      </c>
      <c r="N4" s="445">
        <f>1/4.62</f>
        <v>0.21645021645021645</v>
      </c>
      <c r="O4" s="445">
        <f t="shared" ref="O4:R4" si="0">1/4.62</f>
        <v>0.21645021645021645</v>
      </c>
      <c r="P4" s="445">
        <f t="shared" si="0"/>
        <v>0.21645021645021645</v>
      </c>
      <c r="Q4" s="445">
        <f t="shared" si="0"/>
        <v>0.21645021645021645</v>
      </c>
      <c r="R4" s="445">
        <f t="shared" si="0"/>
        <v>0.21645021645021645</v>
      </c>
      <c r="S4" s="445">
        <f>1/5.37</f>
        <v>0.18621973929236499</v>
      </c>
      <c r="T4" s="445">
        <f t="shared" ref="T4:U4" si="1">1/5.37</f>
        <v>0.18621973929236499</v>
      </c>
      <c r="U4" s="445">
        <f t="shared" si="1"/>
        <v>0.18621973929236499</v>
      </c>
      <c r="V4" s="445">
        <f>1/6.3</f>
        <v>0.15873015873015872</v>
      </c>
      <c r="W4" s="445">
        <f>1/6.3</f>
        <v>0.15873015873015872</v>
      </c>
      <c r="X4" s="445">
        <f>1/6.63</f>
        <v>0.15082956259426847</v>
      </c>
      <c r="Y4" s="3"/>
    </row>
    <row r="5" spans="1:25">
      <c r="A5" s="676"/>
      <c r="B5" s="676"/>
      <c r="C5" s="675"/>
      <c r="D5" s="675"/>
      <c r="E5" s="676"/>
      <c r="F5" s="504" t="s">
        <v>229</v>
      </c>
      <c r="G5" s="504">
        <v>2001</v>
      </c>
      <c r="H5" s="504" t="s">
        <v>230</v>
      </c>
      <c r="I5" s="446">
        <v>0.182</v>
      </c>
      <c r="J5" s="446">
        <v>0.182</v>
      </c>
      <c r="K5" s="446">
        <v>0.189</v>
      </c>
      <c r="L5" s="446">
        <v>0.189</v>
      </c>
      <c r="M5" s="446">
        <v>0.189</v>
      </c>
      <c r="N5" s="446">
        <v>0.189</v>
      </c>
      <c r="O5" s="446">
        <v>0.189</v>
      </c>
      <c r="P5" s="446">
        <v>0.189</v>
      </c>
      <c r="Q5" s="446">
        <v>0.189</v>
      </c>
      <c r="R5" s="446">
        <v>0.182</v>
      </c>
      <c r="S5" s="446">
        <v>0.182</v>
      </c>
      <c r="T5" s="446">
        <v>0.182</v>
      </c>
      <c r="U5" s="446">
        <v>0.182</v>
      </c>
      <c r="V5" s="446">
        <v>0.182</v>
      </c>
      <c r="W5" s="446">
        <v>0.182</v>
      </c>
      <c r="X5" s="446">
        <v>0.182</v>
      </c>
      <c r="Y5" s="3"/>
    </row>
    <row r="6" spans="1:25">
      <c r="A6" s="676"/>
      <c r="B6" s="676"/>
      <c r="C6" s="675"/>
      <c r="D6" s="675"/>
      <c r="E6" s="676"/>
      <c r="F6" s="447" t="s">
        <v>231</v>
      </c>
      <c r="G6" s="447">
        <v>2013</v>
      </c>
      <c r="H6" s="447" t="s">
        <v>232</v>
      </c>
      <c r="I6" s="447">
        <v>9.8000000000000004E-2</v>
      </c>
      <c r="J6" s="447">
        <v>6.2E-2</v>
      </c>
      <c r="K6" s="447">
        <v>8.2000000000000003E-2</v>
      </c>
      <c r="L6" s="447">
        <v>6.2E-2</v>
      </c>
      <c r="M6" s="447">
        <v>6.2E-2</v>
      </c>
      <c r="N6" s="447">
        <v>9.8000000000000004E-2</v>
      </c>
      <c r="O6" s="447">
        <v>9.8000000000000004E-2</v>
      </c>
      <c r="P6" s="447">
        <v>6.2E-2</v>
      </c>
      <c r="Q6" s="447">
        <v>6.2E-2</v>
      </c>
      <c r="R6" s="447">
        <v>6.2E-2</v>
      </c>
      <c r="S6" s="447">
        <v>6.2E-2</v>
      </c>
      <c r="T6" s="447">
        <v>6.2E-2</v>
      </c>
      <c r="U6" s="447">
        <v>6.2E-2</v>
      </c>
      <c r="V6" s="447">
        <v>6.2E-2</v>
      </c>
      <c r="W6" s="447">
        <v>6.2E-2</v>
      </c>
      <c r="X6" s="447">
        <v>6.2E-2</v>
      </c>
      <c r="Y6" s="3"/>
    </row>
    <row r="7" spans="1:25">
      <c r="A7" s="676"/>
      <c r="B7" s="676"/>
      <c r="C7" s="675"/>
      <c r="D7" s="675"/>
      <c r="E7" s="676"/>
      <c r="F7" s="448" t="s">
        <v>234</v>
      </c>
      <c r="G7" s="448">
        <v>2025</v>
      </c>
      <c r="H7" s="448" t="s">
        <v>235</v>
      </c>
      <c r="I7" s="448">
        <v>0.06</v>
      </c>
      <c r="J7" s="448">
        <v>5.5E-2</v>
      </c>
      <c r="K7" s="448">
        <v>7.0999999999999994E-2</v>
      </c>
      <c r="L7" s="448">
        <v>5.5E-2</v>
      </c>
      <c r="M7" s="448">
        <v>5.5E-2</v>
      </c>
      <c r="N7" s="448">
        <v>0.06</v>
      </c>
      <c r="O7" s="448">
        <v>0.06</v>
      </c>
      <c r="P7" s="448">
        <v>5.5E-2</v>
      </c>
      <c r="Q7" s="448">
        <v>5.5E-2</v>
      </c>
      <c r="R7" s="448">
        <v>5.5E-2</v>
      </c>
      <c r="S7" s="448">
        <v>5.5E-2</v>
      </c>
      <c r="T7" s="448">
        <v>5.5E-2</v>
      </c>
      <c r="U7" s="448">
        <v>5.5E-2</v>
      </c>
      <c r="V7" s="448">
        <v>5.5E-2</v>
      </c>
      <c r="W7" s="448">
        <v>5.5E-2</v>
      </c>
      <c r="X7" s="448">
        <v>5.5E-2</v>
      </c>
      <c r="Y7" s="3"/>
    </row>
    <row r="8" spans="1:25">
      <c r="A8" s="676" t="s">
        <v>236</v>
      </c>
      <c r="B8" s="676" t="s">
        <v>71</v>
      </c>
      <c r="C8" s="675" t="s">
        <v>237</v>
      </c>
      <c r="D8" s="675" t="s">
        <v>238</v>
      </c>
      <c r="E8" s="676" t="s">
        <v>223</v>
      </c>
      <c r="F8" s="504" t="s">
        <v>224</v>
      </c>
      <c r="G8" s="504" t="s">
        <v>225</v>
      </c>
      <c r="H8" s="503" t="s">
        <v>239</v>
      </c>
      <c r="I8" s="504">
        <v>5.7000000000000002E-2</v>
      </c>
      <c r="J8" s="504">
        <v>5.7000000000000002E-2</v>
      </c>
      <c r="K8" s="504">
        <v>5.7000000000000002E-2</v>
      </c>
      <c r="L8" s="504">
        <v>5.7000000000000002E-2</v>
      </c>
      <c r="M8" s="504">
        <v>5.7000000000000002E-2</v>
      </c>
      <c r="N8" s="504">
        <v>7.8E-2</v>
      </c>
      <c r="O8" s="504">
        <v>7.8E-2</v>
      </c>
      <c r="P8" s="504">
        <v>7.8E-2</v>
      </c>
      <c r="Q8" s="504">
        <v>7.8E-2</v>
      </c>
      <c r="R8" s="504">
        <v>7.8E-2</v>
      </c>
      <c r="S8" s="504">
        <v>5.7000000000000002E-2</v>
      </c>
      <c r="T8" s="504">
        <v>5.7000000000000002E-2</v>
      </c>
      <c r="U8" s="504">
        <v>5.7000000000000002E-2</v>
      </c>
      <c r="V8" s="504">
        <v>5.7000000000000002E-2</v>
      </c>
      <c r="W8" s="504">
        <v>5.7000000000000002E-2</v>
      </c>
      <c r="X8" s="504">
        <v>5.7000000000000002E-2</v>
      </c>
      <c r="Y8" s="3"/>
    </row>
    <row r="9" spans="1:25">
      <c r="A9" s="676"/>
      <c r="B9" s="676"/>
      <c r="C9" s="675"/>
      <c r="D9" s="675"/>
      <c r="E9" s="676"/>
      <c r="F9" s="504" t="s">
        <v>227</v>
      </c>
      <c r="G9" s="504">
        <v>1992</v>
      </c>
      <c r="H9" s="503" t="s">
        <v>239</v>
      </c>
      <c r="I9" s="449">
        <v>5.7000000000000002E-2</v>
      </c>
      <c r="J9" s="449">
        <v>5.7000000000000002E-2</v>
      </c>
      <c r="K9" s="449">
        <v>5.7000000000000002E-2</v>
      </c>
      <c r="L9" s="449">
        <v>5.7000000000000002E-2</v>
      </c>
      <c r="M9" s="449">
        <v>5.7000000000000002E-2</v>
      </c>
      <c r="N9" s="449">
        <v>7.8E-2</v>
      </c>
      <c r="O9" s="449">
        <v>7.8E-2</v>
      </c>
      <c r="P9" s="449">
        <v>7.8E-2</v>
      </c>
      <c r="Q9" s="449">
        <v>7.8E-2</v>
      </c>
      <c r="R9" s="449">
        <v>7.8E-2</v>
      </c>
      <c r="S9" s="449">
        <v>5.7000000000000002E-2</v>
      </c>
      <c r="T9" s="449">
        <v>5.7000000000000002E-2</v>
      </c>
      <c r="U9" s="449">
        <v>5.7000000000000002E-2</v>
      </c>
      <c r="V9" s="449">
        <v>5.7000000000000002E-2</v>
      </c>
      <c r="W9" s="449">
        <v>5.7000000000000002E-2</v>
      </c>
      <c r="X9" s="449">
        <v>5.7000000000000002E-2</v>
      </c>
      <c r="Y9" s="3"/>
    </row>
    <row r="10" spans="1:25">
      <c r="A10" s="676"/>
      <c r="B10" s="676"/>
      <c r="C10" s="675"/>
      <c r="D10" s="675"/>
      <c r="E10" s="676"/>
      <c r="F10" s="446" t="s">
        <v>229</v>
      </c>
      <c r="G10" s="446">
        <v>2001</v>
      </c>
      <c r="H10" s="446" t="s">
        <v>230</v>
      </c>
      <c r="I10" s="446">
        <v>5.7000000000000002E-2</v>
      </c>
      <c r="J10" s="446">
        <v>5.7000000000000002E-2</v>
      </c>
      <c r="K10" s="446">
        <v>5.7000000000000002E-2</v>
      </c>
      <c r="L10" s="446">
        <v>5.7000000000000002E-2</v>
      </c>
      <c r="M10" s="446">
        <v>5.7000000000000002E-2</v>
      </c>
      <c r="N10" s="446">
        <v>7.8E-2</v>
      </c>
      <c r="O10" s="446">
        <v>7.8E-2</v>
      </c>
      <c r="P10" s="446">
        <v>7.8E-2</v>
      </c>
      <c r="Q10" s="446">
        <v>7.8E-2</v>
      </c>
      <c r="R10" s="446">
        <v>5.7000000000000002E-2</v>
      </c>
      <c r="S10" s="446">
        <v>5.7000000000000002E-2</v>
      </c>
      <c r="T10" s="446">
        <v>5.7000000000000002E-2</v>
      </c>
      <c r="U10" s="446">
        <v>5.7000000000000002E-2</v>
      </c>
      <c r="V10" s="446">
        <v>5.7000000000000002E-2</v>
      </c>
      <c r="W10" s="446">
        <v>5.7000000000000002E-2</v>
      </c>
      <c r="X10" s="446">
        <v>5.7000000000000002E-2</v>
      </c>
      <c r="Y10" s="3"/>
    </row>
    <row r="11" spans="1:25">
      <c r="A11" s="676"/>
      <c r="B11" s="676"/>
      <c r="C11" s="675"/>
      <c r="D11" s="675"/>
      <c r="E11" s="676"/>
      <c r="F11" s="447" t="s">
        <v>231</v>
      </c>
      <c r="G11" s="447">
        <v>2013</v>
      </c>
      <c r="H11" s="447" t="s">
        <v>232</v>
      </c>
      <c r="I11" s="447">
        <v>4.9000000000000002E-2</v>
      </c>
      <c r="J11" s="447">
        <v>3.9E-2</v>
      </c>
      <c r="K11" s="447">
        <v>3.9E-2</v>
      </c>
      <c r="L11" s="447">
        <v>3.9E-2</v>
      </c>
      <c r="M11" s="447">
        <v>4.9000000000000002E-2</v>
      </c>
      <c r="N11" s="447">
        <v>7.4999999999999997E-2</v>
      </c>
      <c r="O11" s="447">
        <v>6.7000000000000004E-2</v>
      </c>
      <c r="P11" s="447">
        <v>6.7000000000000004E-2</v>
      </c>
      <c r="Q11" s="447">
        <v>3.9E-2</v>
      </c>
      <c r="R11" s="447">
        <v>3.9E-2</v>
      </c>
      <c r="S11" s="447">
        <v>3.9E-2</v>
      </c>
      <c r="T11" s="447">
        <v>3.9E-2</v>
      </c>
      <c r="U11" s="447">
        <v>3.9E-2</v>
      </c>
      <c r="V11" s="447">
        <v>3.9E-2</v>
      </c>
      <c r="W11" s="447">
        <v>3.9E-2</v>
      </c>
      <c r="X11" s="447">
        <v>3.9E-2</v>
      </c>
      <c r="Y11" s="3"/>
    </row>
    <row r="12" spans="1:25">
      <c r="A12" s="676"/>
      <c r="B12" s="676"/>
      <c r="C12" s="675"/>
      <c r="D12" s="675"/>
      <c r="E12" s="676"/>
      <c r="F12" s="448" t="s">
        <v>234</v>
      </c>
      <c r="G12" s="448">
        <v>2025</v>
      </c>
      <c r="H12" s="448" t="s">
        <v>235</v>
      </c>
      <c r="I12" s="448">
        <v>2.8000000000000001E-2</v>
      </c>
      <c r="J12" s="448">
        <v>2.8000000000000001E-2</v>
      </c>
      <c r="K12" s="448">
        <v>2.8000000000000001E-2</v>
      </c>
      <c r="L12" s="448">
        <v>2.8000000000000001E-2</v>
      </c>
      <c r="M12" s="448">
        <v>2.8000000000000001E-2</v>
      </c>
      <c r="N12" s="448">
        <v>4.7E-2</v>
      </c>
      <c r="O12" s="448">
        <v>4.7E-2</v>
      </c>
      <c r="P12" s="448">
        <v>4.7E-2</v>
      </c>
      <c r="Q12" s="448">
        <v>2.8000000000000001E-2</v>
      </c>
      <c r="R12" s="448">
        <v>2.8000000000000001E-2</v>
      </c>
      <c r="S12" s="448">
        <v>2.8000000000000001E-2</v>
      </c>
      <c r="T12" s="448">
        <v>2.8000000000000001E-2</v>
      </c>
      <c r="U12" s="448">
        <v>2.8000000000000001E-2</v>
      </c>
      <c r="V12" s="448">
        <v>2.8000000000000001E-2</v>
      </c>
      <c r="W12" s="448">
        <v>2.8000000000000001E-2</v>
      </c>
      <c r="X12" s="448">
        <v>2.8000000000000001E-2</v>
      </c>
      <c r="Y12" s="3"/>
    </row>
    <row r="13" spans="1:25" ht="22.5" customHeight="1">
      <c r="A13" s="676" t="s">
        <v>240</v>
      </c>
      <c r="B13" s="676" t="s">
        <v>71</v>
      </c>
      <c r="C13" s="675" t="s">
        <v>241</v>
      </c>
      <c r="D13" s="675" t="s">
        <v>242</v>
      </c>
      <c r="E13" s="676" t="s">
        <v>223</v>
      </c>
      <c r="F13" s="504" t="s">
        <v>224</v>
      </c>
      <c r="G13" s="504" t="s">
        <v>225</v>
      </c>
      <c r="H13" s="675" t="s">
        <v>243</v>
      </c>
      <c r="I13" s="450">
        <f>1.12*0.5+I$16*0.5</f>
        <v>0.74</v>
      </c>
      <c r="J13" s="450">
        <f t="shared" ref="J13:X14" si="2">1.12*0.5+J$16*0.5</f>
        <v>0.74</v>
      </c>
      <c r="K13" s="450">
        <f t="shared" si="2"/>
        <v>0.74</v>
      </c>
      <c r="L13" s="450">
        <f t="shared" si="2"/>
        <v>0.74</v>
      </c>
      <c r="M13" s="450">
        <f t="shared" si="2"/>
        <v>0.74</v>
      </c>
      <c r="N13" s="450">
        <f t="shared" si="2"/>
        <v>0.74</v>
      </c>
      <c r="O13" s="450">
        <f t="shared" si="2"/>
        <v>0.74</v>
      </c>
      <c r="P13" s="450">
        <f t="shared" si="2"/>
        <v>0.74</v>
      </c>
      <c r="Q13" s="450">
        <f t="shared" si="2"/>
        <v>0.74</v>
      </c>
      <c r="R13" s="450">
        <f t="shared" si="2"/>
        <v>0.74</v>
      </c>
      <c r="S13" s="450">
        <f t="shared" si="2"/>
        <v>0.74</v>
      </c>
      <c r="T13" s="450">
        <f t="shared" si="2"/>
        <v>0.74</v>
      </c>
      <c r="U13" s="450">
        <f t="shared" si="2"/>
        <v>0.74</v>
      </c>
      <c r="V13" s="450">
        <f t="shared" si="2"/>
        <v>0.74</v>
      </c>
      <c r="W13" s="450">
        <f t="shared" si="2"/>
        <v>0.74</v>
      </c>
      <c r="X13" s="450">
        <f t="shared" si="2"/>
        <v>0.74</v>
      </c>
      <c r="Y13" s="3"/>
    </row>
    <row r="14" spans="1:25" ht="21" customHeight="1">
      <c r="A14" s="676"/>
      <c r="B14" s="676"/>
      <c r="C14" s="675"/>
      <c r="D14" s="675"/>
      <c r="E14" s="676"/>
      <c r="F14" s="504" t="s">
        <v>227</v>
      </c>
      <c r="G14" s="449" t="s">
        <v>225</v>
      </c>
      <c r="H14" s="675"/>
      <c r="I14" s="451">
        <f>1.12*0.5+I$16*0.5</f>
        <v>0.74</v>
      </c>
      <c r="J14" s="451">
        <f t="shared" si="2"/>
        <v>0.74</v>
      </c>
      <c r="K14" s="451">
        <f t="shared" si="2"/>
        <v>0.74</v>
      </c>
      <c r="L14" s="451">
        <f t="shared" si="2"/>
        <v>0.74</v>
      </c>
      <c r="M14" s="451">
        <f t="shared" si="2"/>
        <v>0.74</v>
      </c>
      <c r="N14" s="451">
        <f t="shared" si="2"/>
        <v>0.74</v>
      </c>
      <c r="O14" s="451">
        <f t="shared" si="2"/>
        <v>0.74</v>
      </c>
      <c r="P14" s="451">
        <f t="shared" si="2"/>
        <v>0.74</v>
      </c>
      <c r="Q14" s="451">
        <f t="shared" si="2"/>
        <v>0.74</v>
      </c>
      <c r="R14" s="451">
        <f t="shared" si="2"/>
        <v>0.74</v>
      </c>
      <c r="S14" s="451">
        <f t="shared" si="2"/>
        <v>0.74</v>
      </c>
      <c r="T14" s="451">
        <f t="shared" si="2"/>
        <v>0.74</v>
      </c>
      <c r="U14" s="451">
        <f t="shared" si="2"/>
        <v>0.74</v>
      </c>
      <c r="V14" s="451">
        <f t="shared" si="2"/>
        <v>0.74</v>
      </c>
      <c r="W14" s="451">
        <f t="shared" si="2"/>
        <v>0.74</v>
      </c>
      <c r="X14" s="451">
        <f t="shared" si="2"/>
        <v>0.74</v>
      </c>
      <c r="Y14" s="3"/>
    </row>
    <row r="15" spans="1:25">
      <c r="A15" s="676"/>
      <c r="B15" s="676"/>
      <c r="C15" s="675"/>
      <c r="D15" s="675" t="s">
        <v>244</v>
      </c>
      <c r="E15" s="676"/>
      <c r="F15" s="446" t="s">
        <v>229</v>
      </c>
      <c r="G15" s="446">
        <v>2001</v>
      </c>
      <c r="H15" s="446" t="s">
        <v>230</v>
      </c>
      <c r="I15" s="446">
        <v>0.49</v>
      </c>
      <c r="J15" s="446">
        <v>0.49</v>
      </c>
      <c r="K15" s="446">
        <v>0.81</v>
      </c>
      <c r="L15" s="446">
        <v>0.81</v>
      </c>
      <c r="M15" s="446">
        <v>0.81</v>
      </c>
      <c r="N15" s="446">
        <v>0.81</v>
      </c>
      <c r="O15" s="446">
        <v>0.81</v>
      </c>
      <c r="P15" s="446">
        <v>0.81</v>
      </c>
      <c r="Q15" s="446">
        <v>0.81</v>
      </c>
      <c r="R15" s="446">
        <v>0.49</v>
      </c>
      <c r="S15" s="446">
        <v>0.49</v>
      </c>
      <c r="T15" s="446">
        <v>0.49</v>
      </c>
      <c r="U15" s="446">
        <v>0.49</v>
      </c>
      <c r="V15" s="446">
        <v>0.49</v>
      </c>
      <c r="W15" s="446">
        <v>0.49</v>
      </c>
      <c r="X15" s="446">
        <v>0.49</v>
      </c>
      <c r="Y15" s="3"/>
    </row>
    <row r="16" spans="1:25">
      <c r="A16" s="676"/>
      <c r="B16" s="676"/>
      <c r="C16" s="675"/>
      <c r="D16" s="675"/>
      <c r="E16" s="676"/>
      <c r="F16" s="447" t="s">
        <v>231</v>
      </c>
      <c r="G16" s="447">
        <v>2013</v>
      </c>
      <c r="H16" s="447" t="s">
        <v>232</v>
      </c>
      <c r="I16" s="447">
        <v>0.36</v>
      </c>
      <c r="J16" s="447">
        <v>0.36</v>
      </c>
      <c r="K16" s="447">
        <v>0.36</v>
      </c>
      <c r="L16" s="447">
        <v>0.36</v>
      </c>
      <c r="M16" s="447">
        <v>0.36</v>
      </c>
      <c r="N16" s="447">
        <v>0.36</v>
      </c>
      <c r="O16" s="447">
        <v>0.36</v>
      </c>
      <c r="P16" s="447">
        <v>0.36</v>
      </c>
      <c r="Q16" s="447">
        <v>0.36</v>
      </c>
      <c r="R16" s="447">
        <v>0.36</v>
      </c>
      <c r="S16" s="447">
        <v>0.36</v>
      </c>
      <c r="T16" s="447">
        <v>0.36</v>
      </c>
      <c r="U16" s="447">
        <v>0.36</v>
      </c>
      <c r="V16" s="447">
        <v>0.36</v>
      </c>
      <c r="W16" s="447">
        <v>0.36</v>
      </c>
      <c r="X16" s="447">
        <v>0.36</v>
      </c>
      <c r="Y16" s="3"/>
    </row>
    <row r="17" spans="1:25">
      <c r="A17" s="676"/>
      <c r="B17" s="676"/>
      <c r="C17" s="675"/>
      <c r="D17" s="675"/>
      <c r="E17" s="676"/>
      <c r="F17" s="448" t="s">
        <v>234</v>
      </c>
      <c r="G17" s="448">
        <v>2025</v>
      </c>
      <c r="H17" s="448" t="s">
        <v>235</v>
      </c>
      <c r="I17" s="448">
        <v>0.36</v>
      </c>
      <c r="J17" s="448">
        <v>0.36</v>
      </c>
      <c r="K17" s="448">
        <v>0.36</v>
      </c>
      <c r="L17" s="448">
        <v>0.36</v>
      </c>
      <c r="M17" s="448">
        <v>0.36</v>
      </c>
      <c r="N17" s="448">
        <v>0.36</v>
      </c>
      <c r="O17" s="448">
        <v>0.36</v>
      </c>
      <c r="P17" s="448">
        <v>0.36</v>
      </c>
      <c r="Q17" s="448">
        <v>0.34</v>
      </c>
      <c r="R17" s="448">
        <v>0.36</v>
      </c>
      <c r="S17" s="448">
        <v>0.34</v>
      </c>
      <c r="T17" s="448">
        <v>0.34</v>
      </c>
      <c r="U17" s="448">
        <v>0.34</v>
      </c>
      <c r="V17" s="448">
        <v>0.34</v>
      </c>
      <c r="W17" s="448">
        <v>0.34</v>
      </c>
      <c r="X17" s="448">
        <v>0.36</v>
      </c>
      <c r="Y17" s="3"/>
    </row>
    <row r="18" spans="1:25" ht="18.75" customHeight="1">
      <c r="A18" s="676"/>
      <c r="B18" s="676" t="s">
        <v>71</v>
      </c>
      <c r="C18" s="675" t="s">
        <v>241</v>
      </c>
      <c r="D18" s="675" t="s">
        <v>245</v>
      </c>
      <c r="E18" s="676" t="s">
        <v>246</v>
      </c>
      <c r="F18" s="504" t="s">
        <v>224</v>
      </c>
      <c r="G18" s="504" t="s">
        <v>225</v>
      </c>
      <c r="H18" s="675" t="s">
        <v>247</v>
      </c>
      <c r="I18" s="450">
        <f t="shared" ref="I18:X18" si="3">0.79*0.5+I$20*0.5</f>
        <v>0.61</v>
      </c>
      <c r="J18" s="450">
        <f t="shared" si="3"/>
        <v>0.55000000000000004</v>
      </c>
      <c r="K18" s="450">
        <f t="shared" si="3"/>
        <v>0.6</v>
      </c>
      <c r="L18" s="450">
        <f t="shared" si="3"/>
        <v>0.6</v>
      </c>
      <c r="M18" s="450">
        <f t="shared" si="3"/>
        <v>0.6</v>
      </c>
      <c r="N18" s="450">
        <f t="shared" si="3"/>
        <v>0.56500000000000006</v>
      </c>
      <c r="O18" s="450">
        <f t="shared" si="3"/>
        <v>0.56500000000000006</v>
      </c>
      <c r="P18" s="450">
        <f t="shared" si="3"/>
        <v>0.56500000000000006</v>
      </c>
      <c r="Q18" s="450">
        <f t="shared" si="3"/>
        <v>0.56500000000000006</v>
      </c>
      <c r="R18" s="450">
        <f t="shared" si="3"/>
        <v>0.55000000000000004</v>
      </c>
      <c r="S18" s="450">
        <f t="shared" si="3"/>
        <v>0.55000000000000004</v>
      </c>
      <c r="T18" s="450">
        <f t="shared" si="3"/>
        <v>0.55000000000000004</v>
      </c>
      <c r="U18" s="450">
        <f t="shared" si="3"/>
        <v>0.55000000000000004</v>
      </c>
      <c r="V18" s="450">
        <f t="shared" si="3"/>
        <v>0.55000000000000004</v>
      </c>
      <c r="W18" s="450">
        <f t="shared" si="3"/>
        <v>0.55000000000000004</v>
      </c>
      <c r="X18" s="450">
        <f t="shared" si="3"/>
        <v>0.61</v>
      </c>
      <c r="Y18" s="3"/>
    </row>
    <row r="19" spans="1:25" ht="20.25" customHeight="1">
      <c r="A19" s="676"/>
      <c r="B19" s="676"/>
      <c r="C19" s="675"/>
      <c r="D19" s="675"/>
      <c r="E19" s="676"/>
      <c r="F19" s="504" t="s">
        <v>227</v>
      </c>
      <c r="G19" s="449" t="s">
        <v>225</v>
      </c>
      <c r="H19" s="675"/>
      <c r="I19" s="451">
        <f>I18</f>
        <v>0.61</v>
      </c>
      <c r="J19" s="451">
        <f t="shared" ref="J19:X19" si="4">J18</f>
        <v>0.55000000000000004</v>
      </c>
      <c r="K19" s="451">
        <f t="shared" si="4"/>
        <v>0.6</v>
      </c>
      <c r="L19" s="451">
        <f t="shared" si="4"/>
        <v>0.6</v>
      </c>
      <c r="M19" s="451">
        <f t="shared" si="4"/>
        <v>0.6</v>
      </c>
      <c r="N19" s="451">
        <f t="shared" si="4"/>
        <v>0.56500000000000006</v>
      </c>
      <c r="O19" s="451">
        <f t="shared" si="4"/>
        <v>0.56500000000000006</v>
      </c>
      <c r="P19" s="451">
        <f t="shared" si="4"/>
        <v>0.56500000000000006</v>
      </c>
      <c r="Q19" s="451">
        <f t="shared" si="4"/>
        <v>0.56500000000000006</v>
      </c>
      <c r="R19" s="451">
        <f t="shared" si="4"/>
        <v>0.55000000000000004</v>
      </c>
      <c r="S19" s="451">
        <f t="shared" si="4"/>
        <v>0.55000000000000004</v>
      </c>
      <c r="T19" s="451">
        <f t="shared" si="4"/>
        <v>0.55000000000000004</v>
      </c>
      <c r="U19" s="451">
        <f t="shared" si="4"/>
        <v>0.55000000000000004</v>
      </c>
      <c r="V19" s="451">
        <f t="shared" si="4"/>
        <v>0.55000000000000004</v>
      </c>
      <c r="W19" s="451">
        <f t="shared" si="4"/>
        <v>0.55000000000000004</v>
      </c>
      <c r="X19" s="451">
        <f t="shared" si="4"/>
        <v>0.61</v>
      </c>
      <c r="Y19" s="3"/>
    </row>
    <row r="20" spans="1:25" ht="15" customHeight="1">
      <c r="A20" s="676"/>
      <c r="B20" s="676"/>
      <c r="C20" s="675"/>
      <c r="D20" s="676" t="s">
        <v>244</v>
      </c>
      <c r="E20" s="676"/>
      <c r="F20" s="446" t="s">
        <v>229</v>
      </c>
      <c r="G20" s="446">
        <v>2001</v>
      </c>
      <c r="H20" s="452" t="s">
        <v>248</v>
      </c>
      <c r="I20" s="446">
        <v>0.43</v>
      </c>
      <c r="J20" s="446">
        <v>0.31</v>
      </c>
      <c r="K20" s="446">
        <v>0.41</v>
      </c>
      <c r="L20" s="446">
        <v>0.41</v>
      </c>
      <c r="M20" s="446">
        <v>0.41</v>
      </c>
      <c r="N20" s="446">
        <v>0.34</v>
      </c>
      <c r="O20" s="446">
        <v>0.34</v>
      </c>
      <c r="P20" s="446">
        <v>0.34</v>
      </c>
      <c r="Q20" s="446">
        <v>0.34</v>
      </c>
      <c r="R20" s="446">
        <v>0.31</v>
      </c>
      <c r="S20" s="446">
        <v>0.31</v>
      </c>
      <c r="T20" s="446">
        <v>0.31</v>
      </c>
      <c r="U20" s="446">
        <v>0.31</v>
      </c>
      <c r="V20" s="446">
        <v>0.31</v>
      </c>
      <c r="W20" s="446">
        <v>0.31</v>
      </c>
      <c r="X20" s="446">
        <v>0.43</v>
      </c>
      <c r="Y20" s="3"/>
    </row>
    <row r="21" spans="1:25">
      <c r="A21" s="676"/>
      <c r="B21" s="676"/>
      <c r="C21" s="675"/>
      <c r="D21" s="676"/>
      <c r="E21" s="676"/>
      <c r="F21" s="447" t="s">
        <v>231</v>
      </c>
      <c r="G21" s="447">
        <v>2013</v>
      </c>
      <c r="H21" s="447" t="s">
        <v>232</v>
      </c>
      <c r="I21" s="447">
        <v>0.25</v>
      </c>
      <c r="J21" s="447">
        <v>0.25</v>
      </c>
      <c r="K21" s="447">
        <v>0.25</v>
      </c>
      <c r="L21" s="447">
        <v>0.25</v>
      </c>
      <c r="M21" s="447">
        <v>0.25</v>
      </c>
      <c r="N21" s="447">
        <v>0.25</v>
      </c>
      <c r="O21" s="447">
        <v>0.25</v>
      </c>
      <c r="P21" s="447">
        <v>0.25</v>
      </c>
      <c r="Q21" s="447">
        <v>0.25</v>
      </c>
      <c r="R21" s="447">
        <v>0.25</v>
      </c>
      <c r="S21" s="447">
        <v>0.25</v>
      </c>
      <c r="T21" s="447">
        <v>0.25</v>
      </c>
      <c r="U21" s="447">
        <v>0.25</v>
      </c>
      <c r="V21" s="447">
        <v>0.25</v>
      </c>
      <c r="W21" s="447">
        <v>0.25</v>
      </c>
      <c r="X21" s="447">
        <v>0.25</v>
      </c>
      <c r="Y21" s="3"/>
    </row>
    <row r="22" spans="1:25">
      <c r="A22" s="676"/>
      <c r="B22" s="676"/>
      <c r="C22" s="675"/>
      <c r="D22" s="676"/>
      <c r="E22" s="676"/>
      <c r="F22" s="448" t="s">
        <v>234</v>
      </c>
      <c r="G22" s="448">
        <v>2025</v>
      </c>
      <c r="H22" s="448" t="s">
        <v>235</v>
      </c>
      <c r="I22" s="448">
        <v>0.25</v>
      </c>
      <c r="J22" s="448">
        <v>0.25</v>
      </c>
      <c r="K22" s="448">
        <v>0.25</v>
      </c>
      <c r="L22" s="448">
        <v>0.25</v>
      </c>
      <c r="M22" s="448">
        <v>0.25</v>
      </c>
      <c r="N22" s="448">
        <v>0.25</v>
      </c>
      <c r="O22" s="448">
        <v>0.25</v>
      </c>
      <c r="P22" s="448">
        <v>0.25</v>
      </c>
      <c r="Q22" s="448">
        <v>0.22</v>
      </c>
      <c r="R22" s="448">
        <v>0.25</v>
      </c>
      <c r="S22" s="448">
        <v>0.22</v>
      </c>
      <c r="T22" s="448">
        <v>0.22</v>
      </c>
      <c r="U22" s="448">
        <v>0.22</v>
      </c>
      <c r="V22" s="448">
        <v>0.22</v>
      </c>
      <c r="W22" s="448">
        <v>0.22</v>
      </c>
      <c r="X22" s="448">
        <v>0.25</v>
      </c>
      <c r="Y22" s="3"/>
    </row>
    <row r="23" spans="1:25" ht="15" customHeight="1">
      <c r="E23" s="454"/>
      <c r="F23" s="454"/>
      <c r="G23" s="455"/>
      <c r="H23" s="454"/>
      <c r="I23" s="454"/>
      <c r="J23" s="454"/>
      <c r="K23" s="454"/>
      <c r="L23" s="454"/>
      <c r="M23" s="454"/>
      <c r="N23" s="454"/>
      <c r="O23" s="454"/>
      <c r="P23" s="454"/>
      <c r="Q23" s="454"/>
      <c r="R23" s="454"/>
      <c r="S23" s="454"/>
      <c r="T23" s="454"/>
      <c r="U23" s="454"/>
      <c r="V23" s="454"/>
      <c r="W23" s="454"/>
      <c r="X23" s="454"/>
    </row>
    <row r="24" spans="1:25" ht="23.4" customHeight="1">
      <c r="C24" s="688" t="s">
        <v>249</v>
      </c>
      <c r="D24" s="688"/>
      <c r="E24" s="688"/>
      <c r="F24" s="688"/>
      <c r="G24" s="688"/>
      <c r="H24" s="688"/>
      <c r="I24" s="688"/>
      <c r="J24" s="688"/>
      <c r="K24" s="688"/>
      <c r="L24" s="688"/>
      <c r="M24" s="688"/>
      <c r="N24" s="688"/>
      <c r="O24" s="688"/>
      <c r="P24" s="688"/>
      <c r="Q24" s="688"/>
      <c r="R24" s="688"/>
      <c r="S24" s="688"/>
      <c r="T24" s="688"/>
      <c r="U24" s="688"/>
      <c r="V24" s="688"/>
      <c r="W24" s="688"/>
      <c r="X24" s="688"/>
    </row>
    <row r="25" spans="1:25" ht="45" customHeight="1">
      <c r="C25" s="456"/>
      <c r="D25" s="456" t="s">
        <v>109</v>
      </c>
      <c r="E25" s="456" t="s">
        <v>250</v>
      </c>
      <c r="F25" s="65" t="s">
        <v>202</v>
      </c>
      <c r="G25" s="166" t="s">
        <v>251</v>
      </c>
      <c r="H25" s="166" t="s">
        <v>252</v>
      </c>
      <c r="I25" s="685" t="s">
        <v>253</v>
      </c>
      <c r="J25" s="686"/>
      <c r="K25" s="686"/>
      <c r="L25" s="686"/>
      <c r="M25" s="686"/>
      <c r="N25" s="686"/>
      <c r="O25" s="686"/>
      <c r="P25" s="686"/>
      <c r="Q25" s="686"/>
      <c r="R25" s="686"/>
      <c r="S25" s="686"/>
      <c r="T25" s="686"/>
      <c r="U25" s="686"/>
      <c r="V25" s="686"/>
      <c r="W25" s="686"/>
      <c r="X25" s="687"/>
    </row>
    <row r="26" spans="1:25" ht="15" customHeight="1">
      <c r="C26" s="671" t="s">
        <v>249</v>
      </c>
      <c r="D26" s="671" t="s">
        <v>71</v>
      </c>
      <c r="E26" s="671"/>
      <c r="F26" s="47" t="s">
        <v>224</v>
      </c>
      <c r="G26" s="47">
        <v>1.1000000000000001</v>
      </c>
      <c r="H26" s="457" t="s">
        <v>254</v>
      </c>
      <c r="I26" s="689">
        <v>0.33019999999999999</v>
      </c>
      <c r="J26" s="690"/>
      <c r="K26" s="690"/>
      <c r="L26" s="690"/>
      <c r="M26" s="690"/>
      <c r="N26" s="690"/>
      <c r="O26" s="690"/>
      <c r="P26" s="690"/>
      <c r="Q26" s="690"/>
      <c r="R26" s="690"/>
      <c r="S26" s="690"/>
      <c r="T26" s="690"/>
      <c r="U26" s="690"/>
      <c r="V26" s="690"/>
      <c r="W26" s="690"/>
      <c r="X26" s="691"/>
    </row>
    <row r="27" spans="1:25" ht="15" customHeight="1">
      <c r="C27" s="672"/>
      <c r="D27" s="672"/>
      <c r="E27" s="672"/>
      <c r="F27" s="47" t="s">
        <v>227</v>
      </c>
      <c r="G27" s="47">
        <v>1.1000000000000001</v>
      </c>
      <c r="H27" s="457" t="s">
        <v>254</v>
      </c>
      <c r="I27" s="689">
        <v>0.33019999999999999</v>
      </c>
      <c r="J27" s="690"/>
      <c r="K27" s="690"/>
      <c r="L27" s="690"/>
      <c r="M27" s="690"/>
      <c r="N27" s="690"/>
      <c r="O27" s="690"/>
      <c r="P27" s="690"/>
      <c r="Q27" s="690"/>
      <c r="R27" s="690"/>
      <c r="S27" s="690"/>
      <c r="T27" s="690"/>
      <c r="U27" s="690"/>
      <c r="V27" s="690"/>
      <c r="W27" s="690"/>
      <c r="X27" s="691"/>
    </row>
    <row r="28" spans="1:25" ht="15" customHeight="1">
      <c r="C28" s="672"/>
      <c r="D28" s="672"/>
      <c r="E28" s="672"/>
      <c r="F28" s="47" t="s">
        <v>229</v>
      </c>
      <c r="G28" s="47">
        <v>1.1000000000000001</v>
      </c>
      <c r="H28" s="457" t="s">
        <v>254</v>
      </c>
      <c r="I28" s="689">
        <v>0.33019999999999999</v>
      </c>
      <c r="J28" s="690"/>
      <c r="K28" s="690"/>
      <c r="L28" s="690"/>
      <c r="M28" s="690"/>
      <c r="N28" s="690"/>
      <c r="O28" s="690"/>
      <c r="P28" s="690"/>
      <c r="Q28" s="690"/>
      <c r="R28" s="690"/>
      <c r="S28" s="690"/>
      <c r="T28" s="690"/>
      <c r="U28" s="690"/>
      <c r="V28" s="690"/>
      <c r="W28" s="690"/>
      <c r="X28" s="691"/>
    </row>
    <row r="29" spans="1:25" ht="26.4">
      <c r="C29" s="672"/>
      <c r="D29" s="672"/>
      <c r="E29" s="672"/>
      <c r="F29" s="47" t="s">
        <v>231</v>
      </c>
      <c r="G29" s="47" t="s">
        <v>255</v>
      </c>
      <c r="H29" s="53" t="s">
        <v>256</v>
      </c>
      <c r="I29" s="692">
        <v>0.30209999999999998</v>
      </c>
      <c r="J29" s="693"/>
      <c r="K29" s="693"/>
      <c r="L29" s="693"/>
      <c r="M29" s="693"/>
      <c r="N29" s="693"/>
      <c r="O29" s="693"/>
      <c r="P29" s="693"/>
      <c r="Q29" s="693"/>
      <c r="R29" s="693"/>
      <c r="S29" s="693"/>
      <c r="T29" s="693"/>
      <c r="U29" s="693"/>
      <c r="V29" s="693"/>
      <c r="W29" s="693"/>
      <c r="X29" s="694"/>
    </row>
    <row r="30" spans="1:25" ht="26.4">
      <c r="C30" s="673"/>
      <c r="D30" s="673"/>
      <c r="E30" s="673"/>
      <c r="F30" s="47" t="s">
        <v>234</v>
      </c>
      <c r="G30" s="47" t="s">
        <v>257</v>
      </c>
      <c r="H30" s="658" t="s">
        <v>258</v>
      </c>
      <c r="I30" s="695">
        <v>0.18010000000000001</v>
      </c>
      <c r="J30" s="695"/>
      <c r="K30" s="695"/>
      <c r="L30" s="695"/>
      <c r="M30" s="695"/>
      <c r="N30" s="695"/>
      <c r="O30" s="695"/>
      <c r="P30" s="695"/>
      <c r="Q30" s="695"/>
      <c r="R30" s="695"/>
      <c r="S30" s="695"/>
      <c r="T30" s="695"/>
      <c r="U30" s="695"/>
      <c r="V30" s="695"/>
      <c r="W30" s="695"/>
      <c r="X30" s="695"/>
    </row>
    <row r="31" spans="1:25" ht="15" customHeight="1">
      <c r="E31" s="681" t="s">
        <v>42</v>
      </c>
      <c r="F31" s="681"/>
      <c r="G31" s="681"/>
      <c r="H31" s="681"/>
      <c r="I31" s="682"/>
      <c r="J31" s="682"/>
      <c r="K31" s="682"/>
      <c r="L31" s="682"/>
      <c r="M31" s="682"/>
      <c r="N31" s="682"/>
      <c r="O31" s="682"/>
      <c r="P31" s="682"/>
      <c r="Q31" s="682"/>
      <c r="R31" s="682"/>
      <c r="S31" s="682"/>
      <c r="T31" s="682"/>
      <c r="U31" s="682"/>
      <c r="V31" s="682"/>
      <c r="W31" s="682"/>
      <c r="X31" s="682"/>
    </row>
    <row r="32" spans="1:25" ht="27" customHeight="1">
      <c r="E32" s="683" t="s">
        <v>259</v>
      </c>
      <c r="F32" s="683"/>
      <c r="G32" s="683"/>
      <c r="H32" s="683"/>
      <c r="I32" s="683"/>
      <c r="J32" s="683"/>
      <c r="K32" s="683"/>
      <c r="L32" s="683"/>
      <c r="M32" s="683"/>
      <c r="N32" s="683"/>
      <c r="O32" s="683"/>
      <c r="P32" s="683"/>
      <c r="Q32" s="683"/>
      <c r="R32" s="683"/>
      <c r="S32" s="683"/>
      <c r="T32" s="683"/>
      <c r="U32" s="683"/>
      <c r="V32" s="683"/>
      <c r="W32" s="683"/>
      <c r="X32" s="683"/>
    </row>
    <row r="33" spans="1:24" ht="40.950000000000003" customHeight="1">
      <c r="E33" s="684" t="s">
        <v>260</v>
      </c>
      <c r="F33" s="684"/>
      <c r="G33" s="684"/>
      <c r="H33" s="684"/>
      <c r="I33" s="684"/>
      <c r="J33" s="684"/>
      <c r="K33" s="684"/>
      <c r="L33" s="684"/>
      <c r="M33" s="684"/>
      <c r="N33" s="684"/>
      <c r="O33" s="684"/>
      <c r="P33" s="684"/>
      <c r="Q33" s="684"/>
      <c r="R33" s="684"/>
      <c r="S33" s="684"/>
      <c r="T33" s="684"/>
      <c r="U33" s="684"/>
      <c r="V33" s="684"/>
      <c r="W33" s="684"/>
      <c r="X33" s="684"/>
    </row>
    <row r="34" spans="1:24" ht="15" customHeight="1"/>
    <row r="35" spans="1:24" ht="18" customHeight="1">
      <c r="A35" s="679" t="s">
        <v>261</v>
      </c>
      <c r="B35" s="679"/>
      <c r="C35" s="679"/>
      <c r="D35" s="679"/>
      <c r="E35" s="116"/>
      <c r="F35" s="5"/>
      <c r="G35" s="5"/>
      <c r="H35" s="155"/>
      <c r="I35" s="505"/>
      <c r="J35" s="505"/>
      <c r="K35" s="505"/>
      <c r="L35" s="505"/>
      <c r="M35" s="505"/>
      <c r="N35" s="505"/>
      <c r="O35" s="505"/>
      <c r="P35" s="505"/>
      <c r="Q35" s="505"/>
      <c r="R35" s="505"/>
      <c r="S35" s="505"/>
      <c r="T35" s="505"/>
      <c r="U35" s="505"/>
      <c r="V35" s="505"/>
      <c r="W35" s="505"/>
      <c r="X35" s="505"/>
    </row>
    <row r="36" spans="1:24">
      <c r="A36" s="680" t="s">
        <v>262</v>
      </c>
      <c r="B36" s="680"/>
      <c r="C36" s="680"/>
      <c r="D36" s="680"/>
      <c r="E36" s="680"/>
      <c r="F36" s="680"/>
      <c r="G36" s="680"/>
      <c r="H36" s="680"/>
    </row>
    <row r="37" spans="1:24">
      <c r="A37" s="680" t="s">
        <v>263</v>
      </c>
      <c r="B37" s="680"/>
      <c r="C37" s="680"/>
      <c r="D37" s="680"/>
      <c r="E37" s="680"/>
      <c r="F37" s="680"/>
      <c r="G37" s="680"/>
      <c r="H37" s="680"/>
    </row>
    <row r="38" spans="1:24">
      <c r="A38" s="677" t="s">
        <v>264</v>
      </c>
      <c r="B38" s="677"/>
      <c r="C38" s="677"/>
      <c r="D38" s="677"/>
      <c r="E38" s="677"/>
      <c r="F38" s="677"/>
      <c r="G38" s="677"/>
      <c r="H38" s="677"/>
    </row>
    <row r="39" spans="1:24">
      <c r="A39" s="677" t="s">
        <v>265</v>
      </c>
      <c r="B39" s="677"/>
      <c r="C39" s="677"/>
      <c r="D39" s="677"/>
      <c r="E39" s="677"/>
      <c r="F39" s="677"/>
      <c r="G39" s="677"/>
      <c r="H39" s="677"/>
    </row>
    <row r="40" spans="1:24">
      <c r="A40" s="677" t="s">
        <v>266</v>
      </c>
      <c r="B40" s="677"/>
      <c r="C40" s="677"/>
      <c r="D40" s="677"/>
      <c r="E40" s="677"/>
      <c r="F40" s="677"/>
      <c r="G40" s="677"/>
      <c r="H40" s="677"/>
    </row>
    <row r="41" spans="1:24">
      <c r="A41" s="678" t="s">
        <v>267</v>
      </c>
      <c r="B41" s="678"/>
      <c r="C41" s="678"/>
      <c r="D41" s="678"/>
      <c r="E41" s="678"/>
      <c r="F41" s="678"/>
      <c r="G41" s="678"/>
      <c r="H41" s="678"/>
    </row>
    <row r="42" spans="1:24" ht="29.4" customHeight="1">
      <c r="A42" s="677" t="s">
        <v>268</v>
      </c>
      <c r="B42" s="677"/>
      <c r="C42" s="677"/>
      <c r="D42" s="677"/>
      <c r="E42" s="677"/>
      <c r="F42" s="677"/>
      <c r="G42" s="677"/>
      <c r="H42" s="677"/>
    </row>
    <row r="43" spans="1:24" ht="13.95" customHeight="1">
      <c r="A43" s="3"/>
      <c r="B43" s="3"/>
      <c r="C43" s="3"/>
      <c r="D43" s="3"/>
      <c r="E43" s="3"/>
      <c r="F43" s="3"/>
      <c r="G43" s="3"/>
      <c r="H43" s="3"/>
    </row>
    <row r="44" spans="1:24">
      <c r="B44"/>
      <c r="G44"/>
    </row>
    <row r="45" spans="1:24">
      <c r="B45"/>
      <c r="G45"/>
    </row>
    <row r="46" spans="1:24">
      <c r="B46"/>
      <c r="G46"/>
    </row>
    <row r="47" spans="1:24">
      <c r="B47"/>
      <c r="G47"/>
    </row>
    <row r="48" spans="1:24">
      <c r="B48"/>
      <c r="G48"/>
    </row>
    <row r="49" spans="2:7">
      <c r="B49"/>
      <c r="G49"/>
    </row>
    <row r="50" spans="2:7">
      <c r="B50"/>
      <c r="G50"/>
    </row>
    <row r="51" spans="2:7">
      <c r="B51"/>
      <c r="G51"/>
    </row>
    <row r="52" spans="2:7">
      <c r="B52"/>
      <c r="G52"/>
    </row>
    <row r="53" spans="2:7">
      <c r="B53"/>
      <c r="G53"/>
    </row>
    <row r="54" spans="2:7">
      <c r="B54"/>
      <c r="G54"/>
    </row>
    <row r="55" spans="2:7">
      <c r="B55"/>
      <c r="G55"/>
    </row>
    <row r="56" spans="2:7">
      <c r="B56"/>
      <c r="G56"/>
    </row>
    <row r="57" spans="2:7" ht="15" customHeight="1">
      <c r="B57"/>
      <c r="G57"/>
    </row>
    <row r="58" spans="2:7" ht="15" customHeight="1">
      <c r="B58"/>
      <c r="G58"/>
    </row>
    <row r="59" spans="2:7" ht="15" customHeight="1">
      <c r="B59"/>
      <c r="G59"/>
    </row>
    <row r="60" spans="2:7">
      <c r="B60"/>
      <c r="G60"/>
    </row>
    <row r="61" spans="2:7">
      <c r="B61"/>
      <c r="G61"/>
    </row>
    <row r="62" spans="2:7">
      <c r="B62"/>
      <c r="G62"/>
    </row>
    <row r="63" spans="2:7">
      <c r="B63"/>
      <c r="G63"/>
    </row>
    <row r="64" spans="2:7">
      <c r="B64"/>
      <c r="G64"/>
    </row>
    <row r="65" spans="2:7">
      <c r="B65"/>
      <c r="G65"/>
    </row>
    <row r="66" spans="2:7">
      <c r="B66"/>
      <c r="G66"/>
    </row>
    <row r="67" spans="2:7">
      <c r="B67"/>
      <c r="G67"/>
    </row>
    <row r="68" spans="2:7">
      <c r="B68"/>
      <c r="G68"/>
    </row>
    <row r="69" spans="2:7">
      <c r="B69"/>
      <c r="G69"/>
    </row>
    <row r="70" spans="2:7">
      <c r="B70"/>
      <c r="G70"/>
    </row>
    <row r="71" spans="2:7">
      <c r="B71"/>
      <c r="G71"/>
    </row>
    <row r="72" spans="2:7">
      <c r="B72"/>
      <c r="G72"/>
    </row>
  </sheetData>
  <autoFilter ref="A2:Y22" xr:uid="{6F3093AA-CE58-48DD-B4C9-82527CB4498E}"/>
  <mergeCells count="45">
    <mergeCell ref="I26:X26"/>
    <mergeCell ref="I27:X27"/>
    <mergeCell ref="I28:X28"/>
    <mergeCell ref="I29:X29"/>
    <mergeCell ref="I30:X30"/>
    <mergeCell ref="B3:B7"/>
    <mergeCell ref="A42:H42"/>
    <mergeCell ref="A41:H41"/>
    <mergeCell ref="A35:D35"/>
    <mergeCell ref="A36:H36"/>
    <mergeCell ref="A37:H37"/>
    <mergeCell ref="A38:H38"/>
    <mergeCell ref="A40:H40"/>
    <mergeCell ref="A39:H39"/>
    <mergeCell ref="E31:X31"/>
    <mergeCell ref="E32:X32"/>
    <mergeCell ref="E33:X33"/>
    <mergeCell ref="I25:X25"/>
    <mergeCell ref="C26:C30"/>
    <mergeCell ref="D26:D30"/>
    <mergeCell ref="C24:X24"/>
    <mergeCell ref="H18:H19"/>
    <mergeCell ref="D15:D17"/>
    <mergeCell ref="D13:D14"/>
    <mergeCell ref="D3:D7"/>
    <mergeCell ref="C3:C7"/>
    <mergeCell ref="C8:C12"/>
    <mergeCell ref="D8:D12"/>
    <mergeCell ref="E13:E17"/>
    <mergeCell ref="E26:E30"/>
    <mergeCell ref="A1:X1"/>
    <mergeCell ref="D18:D19"/>
    <mergeCell ref="C18:C22"/>
    <mergeCell ref="E18:E22"/>
    <mergeCell ref="A13:A22"/>
    <mergeCell ref="B18:B22"/>
    <mergeCell ref="B13:B17"/>
    <mergeCell ref="D20:D22"/>
    <mergeCell ref="A8:A12"/>
    <mergeCell ref="C13:C17"/>
    <mergeCell ref="E3:E7"/>
    <mergeCell ref="E8:E12"/>
    <mergeCell ref="B8:B12"/>
    <mergeCell ref="A3:A7"/>
    <mergeCell ref="H13:H14"/>
  </mergeCells>
  <phoneticPr fontId="4" type="noConversion"/>
  <hyperlinks>
    <hyperlink ref="H26" r:id="rId1" xr:uid="{05F65E3E-0E8A-4211-874B-7C4073D6926E}"/>
    <hyperlink ref="E31" r:id="rId2"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77AB4A8A-4736-484F-A755-8143C6480D4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Y45"/>
  <sheetViews>
    <sheetView zoomScale="70" zoomScaleNormal="70" workbookViewId="0">
      <selection sqref="A1:G1"/>
    </sheetView>
  </sheetViews>
  <sheetFormatPr defaultColWidth="8.88671875" defaultRowHeight="12.75" customHeight="1"/>
  <cols>
    <col min="1" max="1" width="26" style="11" customWidth="1"/>
    <col min="2" max="2" width="34.5546875" style="11" customWidth="1"/>
    <col min="3" max="3" width="25.33203125" style="11" customWidth="1"/>
    <col min="4" max="4" width="37.5546875" style="11" customWidth="1"/>
    <col min="5" max="5" width="38.88671875" style="11" customWidth="1"/>
    <col min="6" max="6" width="48.5546875" style="11" customWidth="1"/>
    <col min="7" max="7" width="43" style="11" customWidth="1"/>
    <col min="8" max="8" width="35.5546875" style="11" customWidth="1"/>
    <col min="9" max="9" width="44" style="11" customWidth="1"/>
    <col min="10" max="10" width="35.6640625" style="11" customWidth="1"/>
    <col min="11" max="11" width="20.5546875" style="11" customWidth="1"/>
    <col min="12" max="12" width="14.109375" style="11" customWidth="1"/>
    <col min="13" max="13" width="17.33203125" style="11" customWidth="1"/>
    <col min="14" max="14" width="19.88671875" style="11" customWidth="1"/>
    <col min="15" max="15" width="18.44140625" style="11" customWidth="1"/>
    <col min="16" max="16" width="18.88671875" style="11" customWidth="1"/>
    <col min="17" max="17" width="40.6640625" style="11" customWidth="1"/>
    <col min="18" max="18" width="45.44140625" style="11" customWidth="1"/>
    <col min="19" max="23" width="15.109375" style="11" customWidth="1"/>
    <col min="24" max="24" width="14.6640625" style="11" customWidth="1"/>
    <col min="25" max="25" width="13.5546875" style="11" customWidth="1"/>
    <col min="26" max="26" width="15.6640625" style="11" customWidth="1"/>
    <col min="27" max="33" width="11" style="11" customWidth="1"/>
    <col min="34" max="42" width="6.5546875" style="11" customWidth="1"/>
    <col min="43" max="43" width="8.88671875" style="11" customWidth="1"/>
    <col min="44" max="16384" width="8.88671875" style="11"/>
  </cols>
  <sheetData>
    <row r="1" spans="1:16" ht="27" customHeight="1">
      <c r="A1" s="700" t="s">
        <v>269</v>
      </c>
      <c r="B1" s="700"/>
      <c r="C1" s="700"/>
      <c r="D1" s="700"/>
      <c r="E1" s="700"/>
      <c r="F1" s="700"/>
      <c r="G1" s="700"/>
      <c r="H1" s="315"/>
      <c r="I1" s="330" t="s">
        <v>270</v>
      </c>
      <c r="K1" s="384"/>
      <c r="L1" s="384"/>
      <c r="M1" s="384"/>
      <c r="N1" s="330"/>
      <c r="O1" s="384"/>
    </row>
    <row r="2" spans="1:16" ht="19.2" customHeight="1">
      <c r="A2" s="154" t="s">
        <v>202</v>
      </c>
      <c r="B2" s="154" t="s">
        <v>110</v>
      </c>
      <c r="C2" s="154" t="s">
        <v>271</v>
      </c>
      <c r="D2" s="154" t="s">
        <v>272</v>
      </c>
      <c r="E2" s="154" t="s">
        <v>273</v>
      </c>
      <c r="F2" s="69" t="s">
        <v>274</v>
      </c>
      <c r="G2" s="154" t="s">
        <v>252</v>
      </c>
      <c r="I2" s="405"/>
      <c r="J2" s="550"/>
      <c r="K2" s="550"/>
      <c r="L2"/>
      <c r="M2" s="550"/>
      <c r="N2" s="550"/>
      <c r="O2" s="384"/>
      <c r="P2" s="567"/>
    </row>
    <row r="3" spans="1:16" ht="62.4" customHeight="1">
      <c r="A3" s="701" t="s">
        <v>275</v>
      </c>
      <c r="B3" s="508" t="s">
        <v>276</v>
      </c>
      <c r="C3" s="508" t="s">
        <v>277</v>
      </c>
      <c r="D3" s="409" t="s">
        <v>278</v>
      </c>
      <c r="E3" s="508" t="s">
        <v>279</v>
      </c>
      <c r="F3" s="515" t="s">
        <v>280</v>
      </c>
      <c r="G3" s="513" t="s">
        <v>281</v>
      </c>
      <c r="H3" s="14"/>
      <c r="I3" s="384"/>
      <c r="J3"/>
      <c r="K3" s="138"/>
      <c r="L3" s="550"/>
      <c r="M3" s="550"/>
      <c r="N3" s="550"/>
      <c r="O3" s="384"/>
    </row>
    <row r="4" spans="1:16" ht="51" customHeight="1">
      <c r="A4" s="701"/>
      <c r="B4" s="515" t="s">
        <v>282</v>
      </c>
      <c r="C4" s="515" t="s">
        <v>148</v>
      </c>
      <c r="D4" s="515" t="s">
        <v>283</v>
      </c>
      <c r="E4" s="515" t="s">
        <v>284</v>
      </c>
      <c r="F4" s="515" t="s">
        <v>285</v>
      </c>
      <c r="G4" s="439" t="s">
        <v>286</v>
      </c>
      <c r="I4" s="384"/>
      <c r="J4" s="554"/>
      <c r="K4" s="554"/>
      <c r="L4" s="554"/>
      <c r="M4" s="554"/>
      <c r="N4" s="554"/>
      <c r="O4" s="384"/>
    </row>
    <row r="5" spans="1:16" ht="63.75" customHeight="1">
      <c r="A5" s="702" t="s">
        <v>287</v>
      </c>
      <c r="B5" s="508" t="s">
        <v>276</v>
      </c>
      <c r="C5" s="508" t="s">
        <v>288</v>
      </c>
      <c r="D5" s="508" t="s">
        <v>288</v>
      </c>
      <c r="E5" s="508" t="s">
        <v>288</v>
      </c>
      <c r="F5" s="515" t="s">
        <v>289</v>
      </c>
      <c r="G5" s="513" t="s">
        <v>290</v>
      </c>
      <c r="I5" s="384"/>
      <c r="J5" s="384"/>
      <c r="K5" s="384"/>
      <c r="L5" s="384"/>
      <c r="M5" s="384"/>
      <c r="N5" s="384"/>
      <c r="O5" s="384"/>
    </row>
    <row r="6" spans="1:16" ht="29.25" customHeight="1">
      <c r="A6" s="703"/>
      <c r="B6" s="439" t="s">
        <v>282</v>
      </c>
      <c r="C6" s="439" t="s">
        <v>148</v>
      </c>
      <c r="D6" s="515" t="s">
        <v>291</v>
      </c>
      <c r="E6" s="439" t="s">
        <v>284</v>
      </c>
      <c r="F6" s="439" t="s">
        <v>285</v>
      </c>
      <c r="G6" s="439" t="s">
        <v>292</v>
      </c>
      <c r="I6" s="384"/>
      <c r="J6" s="384"/>
      <c r="K6" s="384"/>
      <c r="L6" s="384"/>
      <c r="M6" s="384"/>
      <c r="N6" s="384"/>
      <c r="O6" s="384"/>
    </row>
    <row r="7" spans="1:16" ht="23.4" customHeight="1">
      <c r="A7" s="453"/>
      <c r="B7" s="13"/>
      <c r="C7" s="13"/>
      <c r="D7" s="13"/>
      <c r="E7" s="13"/>
      <c r="F7" s="13"/>
      <c r="G7" s="13"/>
      <c r="I7" s="384"/>
      <c r="J7" s="384"/>
      <c r="K7" s="384"/>
      <c r="L7" s="384"/>
      <c r="M7" s="384"/>
      <c r="N7" s="384"/>
      <c r="O7" s="384"/>
    </row>
    <row r="8" spans="1:16" ht="23.4" customHeight="1">
      <c r="A8" s="453"/>
      <c r="B8" s="13"/>
      <c r="C8" s="13"/>
      <c r="D8" s="13"/>
      <c r="E8" s="13"/>
      <c r="F8" s="13"/>
      <c r="G8" s="13"/>
      <c r="M8" s="569"/>
      <c r="N8" s="384"/>
      <c r="O8" s="384"/>
    </row>
    <row r="9" spans="1:16" ht="25.2" customHeight="1">
      <c r="A9" s="453"/>
      <c r="B9" s="13"/>
      <c r="C9" s="13"/>
      <c r="D9" s="13"/>
      <c r="E9" s="13"/>
      <c r="F9" s="13"/>
      <c r="G9" s="13"/>
      <c r="I9" s="570" t="s">
        <v>166</v>
      </c>
      <c r="J9" s="421"/>
      <c r="K9" s="571" t="s">
        <v>167</v>
      </c>
    </row>
    <row r="10" spans="1:16" ht="48" customHeight="1">
      <c r="A10" s="696" t="s">
        <v>293</v>
      </c>
      <c r="B10" s="697"/>
      <c r="C10" s="697"/>
      <c r="D10" s="697"/>
      <c r="E10" s="697"/>
      <c r="F10" s="697"/>
      <c r="G10" s="698"/>
    </row>
    <row r="11" spans="1:16" ht="58.5" customHeight="1">
      <c r="A11" s="326" t="s">
        <v>202</v>
      </c>
      <c r="B11" s="521" t="s">
        <v>294</v>
      </c>
      <c r="C11" s="65" t="s">
        <v>295</v>
      </c>
      <c r="D11" s="572" t="s">
        <v>296</v>
      </c>
      <c r="E11" s="52" t="s">
        <v>271</v>
      </c>
      <c r="F11" s="52" t="s">
        <v>272</v>
      </c>
      <c r="G11" s="327" t="s">
        <v>252</v>
      </c>
    </row>
    <row r="12" spans="1:16" ht="17.399999999999999" customHeight="1">
      <c r="A12" s="328" t="s">
        <v>224</v>
      </c>
      <c r="B12" s="671" t="s">
        <v>297</v>
      </c>
      <c r="C12" s="671">
        <v>2008</v>
      </c>
      <c r="D12" s="704" t="s">
        <v>298</v>
      </c>
      <c r="E12" s="712" t="s">
        <v>299</v>
      </c>
      <c r="F12" s="704" t="s">
        <v>300</v>
      </c>
      <c r="G12" s="709" t="s">
        <v>301</v>
      </c>
      <c r="H12" s="699"/>
    </row>
    <row r="13" spans="1:16" ht="52.2" customHeight="1">
      <c r="A13" s="328" t="s">
        <v>227</v>
      </c>
      <c r="B13" s="673"/>
      <c r="C13" s="673"/>
      <c r="D13" s="705"/>
      <c r="E13" s="673"/>
      <c r="F13" s="705"/>
      <c r="G13" s="710"/>
      <c r="H13" s="699"/>
    </row>
    <row r="14" spans="1:16" ht="53.25" customHeight="1">
      <c r="A14" s="510" t="s">
        <v>229</v>
      </c>
      <c r="B14" s="414" t="s">
        <v>302</v>
      </c>
      <c r="C14" s="501">
        <v>2008</v>
      </c>
      <c r="D14" s="413" t="s">
        <v>298</v>
      </c>
      <c r="E14" s="502" t="s">
        <v>299</v>
      </c>
      <c r="F14" s="412" t="s">
        <v>300</v>
      </c>
      <c r="G14" s="711"/>
      <c r="H14" s="507"/>
    </row>
    <row r="15" spans="1:16" ht="72" customHeight="1">
      <c r="A15" s="510" t="s">
        <v>231</v>
      </c>
      <c r="B15" s="414" t="s">
        <v>302</v>
      </c>
      <c r="C15" s="509">
        <v>2013</v>
      </c>
      <c r="D15" s="412" t="s">
        <v>303</v>
      </c>
      <c r="E15" s="310" t="s">
        <v>304</v>
      </c>
      <c r="F15" s="410" t="s">
        <v>305</v>
      </c>
      <c r="G15" s="411" t="s">
        <v>306</v>
      </c>
      <c r="H15" s="507"/>
    </row>
    <row r="16" spans="1:16" ht="19.5" customHeight="1">
      <c r="A16" s="706" t="s">
        <v>287</v>
      </c>
      <c r="B16" s="671" t="s">
        <v>288</v>
      </c>
      <c r="C16" s="671">
        <v>2025</v>
      </c>
      <c r="D16" s="704" t="s">
        <v>307</v>
      </c>
      <c r="E16" s="704" t="s">
        <v>308</v>
      </c>
      <c r="F16" s="704" t="s">
        <v>309</v>
      </c>
      <c r="G16" s="729" t="s">
        <v>310</v>
      </c>
      <c r="H16" s="699"/>
    </row>
    <row r="17" spans="1:13" ht="48" customHeight="1">
      <c r="A17" s="707"/>
      <c r="B17" s="708"/>
      <c r="C17" s="708"/>
      <c r="D17" s="718"/>
      <c r="E17" s="718"/>
      <c r="F17" s="718"/>
      <c r="G17" s="730"/>
      <c r="H17" s="699"/>
    </row>
    <row r="18" spans="1:13" ht="13.2" customHeight="1">
      <c r="A18" s="67"/>
      <c r="B18" s="14"/>
      <c r="C18" s="14"/>
      <c r="D18" s="14"/>
      <c r="E18" s="66"/>
      <c r="F18" s="14"/>
      <c r="G18" s="14"/>
    </row>
    <row r="19" spans="1:13" ht="13.2" customHeight="1">
      <c r="A19" s="14"/>
      <c r="G19" s="14"/>
    </row>
    <row r="20" spans="1:13" ht="13.2"/>
    <row r="21" spans="1:13" ht="18.600000000000001" customHeight="1">
      <c r="A21" s="14"/>
      <c r="E21" s="56"/>
      <c r="F21" s="14"/>
      <c r="G21" s="14"/>
      <c r="M21" s="168"/>
    </row>
    <row r="22" spans="1:13" ht="22.95" customHeight="1">
      <c r="A22" s="726" t="s">
        <v>311</v>
      </c>
      <c r="B22" s="727"/>
      <c r="C22" s="727"/>
      <c r="D22" s="727"/>
      <c r="E22" s="727"/>
      <c r="F22" s="727"/>
      <c r="G22" s="727"/>
      <c r="H22" s="727"/>
      <c r="I22" s="728"/>
      <c r="K22" s="317"/>
    </row>
    <row r="23" spans="1:13" ht="48.6" customHeight="1">
      <c r="A23" s="435" t="s">
        <v>202</v>
      </c>
      <c r="B23" s="518" t="s">
        <v>312</v>
      </c>
      <c r="C23" s="518" t="s">
        <v>313</v>
      </c>
      <c r="D23" s="437" t="s">
        <v>314</v>
      </c>
      <c r="E23" s="437" t="s">
        <v>315</v>
      </c>
      <c r="F23" s="437" t="s">
        <v>316</v>
      </c>
      <c r="G23" s="437" t="s">
        <v>317</v>
      </c>
      <c r="H23" s="436" t="s">
        <v>318</v>
      </c>
      <c r="I23" s="318" t="s">
        <v>319</v>
      </c>
    </row>
    <row r="24" spans="1:13" ht="51.6" customHeight="1">
      <c r="A24" s="713" t="s">
        <v>233</v>
      </c>
      <c r="B24" s="717" t="s">
        <v>320</v>
      </c>
      <c r="C24" s="511" t="s">
        <v>321</v>
      </c>
      <c r="D24" s="511">
        <v>2.5</v>
      </c>
      <c r="E24" s="511">
        <v>0.65</v>
      </c>
      <c r="F24" s="722" t="s">
        <v>322</v>
      </c>
      <c r="G24" s="719" t="s">
        <v>323</v>
      </c>
      <c r="H24" s="725" t="s">
        <v>324</v>
      </c>
      <c r="I24" s="714"/>
      <c r="J24" s="433" t="s">
        <v>325</v>
      </c>
    </row>
    <row r="25" spans="1:13" ht="36" customHeight="1">
      <c r="A25" s="713"/>
      <c r="B25" s="717"/>
      <c r="C25" s="511" t="s">
        <v>326</v>
      </c>
      <c r="D25" s="163">
        <v>4.09</v>
      </c>
      <c r="E25" s="511">
        <v>0.65</v>
      </c>
      <c r="F25" s="723"/>
      <c r="G25" s="720"/>
      <c r="H25" s="725"/>
      <c r="I25" s="715"/>
    </row>
    <row r="26" spans="1:13" ht="36" customHeight="1">
      <c r="A26" s="713"/>
      <c r="B26" s="717"/>
      <c r="C26" s="511" t="s">
        <v>327</v>
      </c>
      <c r="D26" s="511">
        <v>5.58</v>
      </c>
      <c r="E26" s="511">
        <v>0.65</v>
      </c>
      <c r="F26" s="724"/>
      <c r="G26" s="721"/>
      <c r="H26" s="725"/>
      <c r="I26" s="716"/>
    </row>
    <row r="27" spans="1:13" ht="21" customHeight="1">
      <c r="A27" s="430" t="s">
        <v>328</v>
      </c>
      <c r="B27" s="427"/>
      <c r="C27" s="431"/>
      <c r="D27" s="319"/>
      <c r="E27" s="431"/>
      <c r="F27" s="432"/>
      <c r="G27" s="428"/>
      <c r="H27" s="429"/>
      <c r="I27" s="419"/>
    </row>
    <row r="28" spans="1:13" ht="17.399999999999999" customHeight="1">
      <c r="A28" s="430" t="s">
        <v>329</v>
      </c>
      <c r="B28" s="319"/>
      <c r="C28" s="319"/>
      <c r="D28" s="319"/>
      <c r="E28" s="319"/>
      <c r="F28" s="319"/>
      <c r="G28" s="319"/>
      <c r="H28" s="319"/>
      <c r="I28" s="320"/>
    </row>
    <row r="29" spans="1:13" ht="167.4" customHeight="1">
      <c r="A29" s="321" t="s">
        <v>287</v>
      </c>
      <c r="B29" s="322" t="s">
        <v>330</v>
      </c>
      <c r="C29" s="438" t="s">
        <v>331</v>
      </c>
      <c r="D29" s="399">
        <f>G29*(0.855*E29)/746*6356</f>
        <v>1.6572673592493294</v>
      </c>
      <c r="E29" s="323">
        <v>0.65</v>
      </c>
      <c r="F29" s="418" t="s">
        <v>332</v>
      </c>
      <c r="G29" s="324">
        <v>0.35</v>
      </c>
      <c r="H29" s="406" t="s">
        <v>333</v>
      </c>
      <c r="I29" s="325" t="s">
        <v>334</v>
      </c>
    </row>
    <row r="30" spans="1:13" ht="13.95" customHeight="1">
      <c r="A30" s="415"/>
      <c r="B30" s="425"/>
      <c r="C30" s="434"/>
      <c r="D30" s="384" t="s">
        <v>335</v>
      </c>
      <c r="E30" s="405"/>
      <c r="F30" s="573"/>
    </row>
    <row r="31" spans="1:13" ht="13.95" customHeight="1">
      <c r="A31" s="426"/>
      <c r="D31" s="407"/>
      <c r="E31" s="14"/>
      <c r="F31" s="14"/>
    </row>
    <row r="32" spans="1:13" ht="13.95" customHeight="1">
      <c r="D32" s="407"/>
      <c r="E32" s="14"/>
      <c r="F32" s="408"/>
    </row>
    <row r="33" spans="1:25" ht="13.95" customHeight="1"/>
    <row r="34" spans="1:25" ht="13.95" customHeight="1">
      <c r="A34" s="14"/>
      <c r="B34" s="453"/>
      <c r="D34" s="573"/>
    </row>
    <row r="35" spans="1:25" ht="13.95" customHeight="1">
      <c r="D35" s="574"/>
    </row>
    <row r="36" spans="1:25" ht="13.95" customHeight="1">
      <c r="A36" s="17"/>
    </row>
    <row r="37" spans="1:25" ht="13.95" customHeight="1">
      <c r="D37" s="422"/>
    </row>
    <row r="38" spans="1:25" ht="13.95" customHeight="1"/>
    <row r="39" spans="1:25" ht="13.95" customHeight="1"/>
    <row r="40" spans="1:25" ht="13.95" customHeight="1"/>
    <row r="41" spans="1:25" ht="13.95" customHeight="1">
      <c r="B41" s="311" t="s">
        <v>336</v>
      </c>
      <c r="E41" s="423" t="s">
        <v>337</v>
      </c>
    </row>
    <row r="42" spans="1:25" ht="13.95" customHeight="1"/>
    <row r="43" spans="1:25" ht="13.2">
      <c r="W43" s="55"/>
      <c r="X43" s="64"/>
    </row>
    <row r="44" spans="1:25" ht="13.2">
      <c r="X44" s="55"/>
      <c r="Y44" s="64"/>
    </row>
    <row r="45" spans="1:25" ht="13.2">
      <c r="X45" s="55"/>
      <c r="Y45" s="64"/>
    </row>
  </sheetData>
  <mergeCells count="26">
    <mergeCell ref="A24:A26"/>
    <mergeCell ref="I24:I26"/>
    <mergeCell ref="B24:B26"/>
    <mergeCell ref="F16:F17"/>
    <mergeCell ref="G24:G26"/>
    <mergeCell ref="F24:F26"/>
    <mergeCell ref="H24:H26"/>
    <mergeCell ref="A22:I22"/>
    <mergeCell ref="G16:G17"/>
    <mergeCell ref="B16:B17"/>
    <mergeCell ref="D16:D17"/>
    <mergeCell ref="E16:E17"/>
    <mergeCell ref="A10:G10"/>
    <mergeCell ref="H12:H13"/>
    <mergeCell ref="H16:H17"/>
    <mergeCell ref="A1:G1"/>
    <mergeCell ref="A3:A4"/>
    <mergeCell ref="A5:A6"/>
    <mergeCell ref="D12:D13"/>
    <mergeCell ref="F12:F13"/>
    <mergeCell ref="B12:B13"/>
    <mergeCell ref="A16:A17"/>
    <mergeCell ref="C16:C17"/>
    <mergeCell ref="G12:G14"/>
    <mergeCell ref="C12:C13"/>
    <mergeCell ref="E12:E13"/>
  </mergeCells>
  <phoneticPr fontId="4" type="noConversion"/>
  <hyperlinks>
    <hyperlink ref="B24" r:id="rId1" display="PNNL 90 1-2010_TSD_Final 5-23-2011_Final.docx" xr:uid="{B7AE0ADC-7B1E-4F90-A51B-538A93F94267}"/>
    <hyperlink ref="J24" r:id="rId2" display="PNNL 20405, 2010, Table 5.12" xr:uid="{F8C1725F-651D-4504-956E-C015027CCC6A}"/>
  </hyperlinks>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D84A2-BD0E-4834-9878-DAB6480C4786}">
  <sheetPr codeName="Sheet9"/>
  <dimension ref="A1:S20"/>
  <sheetViews>
    <sheetView workbookViewId="0">
      <selection sqref="A1:S1"/>
    </sheetView>
  </sheetViews>
  <sheetFormatPr defaultRowHeight="15" customHeight="1"/>
  <cols>
    <col min="1" max="1" width="29.6640625" customWidth="1"/>
    <col min="2" max="2" width="38.44140625" customWidth="1"/>
    <col min="19" max="19" width="36.33203125" customWidth="1"/>
  </cols>
  <sheetData>
    <row r="1" spans="1:19" ht="24" customHeight="1">
      <c r="A1" s="731" t="s">
        <v>338</v>
      </c>
      <c r="B1" s="731"/>
      <c r="C1" s="731"/>
      <c r="D1" s="731"/>
      <c r="E1" s="731"/>
      <c r="F1" s="731"/>
      <c r="G1" s="731"/>
      <c r="H1" s="731"/>
      <c r="I1" s="731"/>
      <c r="J1" s="731"/>
      <c r="K1" s="731"/>
      <c r="L1" s="731"/>
      <c r="M1" s="731"/>
      <c r="N1" s="731"/>
      <c r="O1" s="731"/>
      <c r="P1" s="731"/>
      <c r="Q1" s="731"/>
      <c r="R1" s="731"/>
      <c r="S1" s="731"/>
    </row>
    <row r="2" spans="1:19" ht="22.2" customHeight="1">
      <c r="A2" s="137" t="s">
        <v>339</v>
      </c>
      <c r="B2" s="169" t="s">
        <v>340</v>
      </c>
      <c r="C2" s="170" t="s">
        <v>204</v>
      </c>
      <c r="D2" s="170" t="s">
        <v>205</v>
      </c>
      <c r="E2" s="170" t="s">
        <v>206</v>
      </c>
      <c r="F2" s="170" t="s">
        <v>207</v>
      </c>
      <c r="G2" s="170" t="s">
        <v>208</v>
      </c>
      <c r="H2" s="170" t="s">
        <v>209</v>
      </c>
      <c r="I2" s="170" t="s">
        <v>210</v>
      </c>
      <c r="J2" s="170" t="s">
        <v>211</v>
      </c>
      <c r="K2" s="170" t="s">
        <v>212</v>
      </c>
      <c r="L2" s="170" t="s">
        <v>213</v>
      </c>
      <c r="M2" s="170" t="s">
        <v>214</v>
      </c>
      <c r="N2" s="170" t="s">
        <v>215</v>
      </c>
      <c r="O2" s="170" t="s">
        <v>216</v>
      </c>
      <c r="P2" s="170" t="s">
        <v>217</v>
      </c>
      <c r="Q2" s="170" t="s">
        <v>218</v>
      </c>
      <c r="R2" s="170" t="s">
        <v>219</v>
      </c>
      <c r="S2" s="153" t="s">
        <v>252</v>
      </c>
    </row>
    <row r="3" spans="1:19" ht="22.2" customHeight="1">
      <c r="A3" s="732" t="s">
        <v>869</v>
      </c>
      <c r="B3" s="439" t="s">
        <v>341</v>
      </c>
      <c r="C3" s="439">
        <v>70</v>
      </c>
      <c r="D3" s="439">
        <v>70</v>
      </c>
      <c r="E3" s="439">
        <v>70</v>
      </c>
      <c r="F3" s="439">
        <v>70</v>
      </c>
      <c r="G3" s="439">
        <v>70</v>
      </c>
      <c r="H3" s="439">
        <v>70</v>
      </c>
      <c r="I3" s="439">
        <v>70</v>
      </c>
      <c r="J3" s="439">
        <v>70</v>
      </c>
      <c r="K3" s="439">
        <v>70</v>
      </c>
      <c r="L3" s="439">
        <v>70</v>
      </c>
      <c r="M3" s="439">
        <v>70</v>
      </c>
      <c r="N3" s="439">
        <v>70</v>
      </c>
      <c r="O3" s="439">
        <v>70</v>
      </c>
      <c r="P3" s="439">
        <v>70</v>
      </c>
      <c r="Q3" s="439">
        <v>70</v>
      </c>
      <c r="R3" s="439">
        <v>70</v>
      </c>
      <c r="S3" s="736" t="s">
        <v>342</v>
      </c>
    </row>
    <row r="4" spans="1:19" ht="22.2" customHeight="1">
      <c r="A4" s="733"/>
      <c r="B4" s="439" t="s">
        <v>343</v>
      </c>
      <c r="C4" s="439">
        <v>60</v>
      </c>
      <c r="D4" s="439">
        <v>60</v>
      </c>
      <c r="E4" s="439">
        <v>60</v>
      </c>
      <c r="F4" s="439">
        <v>60</v>
      </c>
      <c r="G4" s="439">
        <v>60</v>
      </c>
      <c r="H4" s="439">
        <v>60</v>
      </c>
      <c r="I4" s="439">
        <v>60</v>
      </c>
      <c r="J4" s="439">
        <v>60</v>
      </c>
      <c r="K4" s="439">
        <v>60</v>
      </c>
      <c r="L4" s="439">
        <v>60</v>
      </c>
      <c r="M4" s="439">
        <v>60</v>
      </c>
      <c r="N4" s="439">
        <v>60</v>
      </c>
      <c r="O4" s="439">
        <v>60</v>
      </c>
      <c r="P4" s="439">
        <v>60</v>
      </c>
      <c r="Q4" s="439">
        <v>60</v>
      </c>
      <c r="R4" s="439">
        <v>60</v>
      </c>
      <c r="S4" s="736"/>
    </row>
    <row r="5" spans="1:19" ht="22.2" customHeight="1">
      <c r="A5" s="733"/>
      <c r="B5" s="439" t="s">
        <v>344</v>
      </c>
      <c r="C5" s="439">
        <v>75</v>
      </c>
      <c r="D5" s="439">
        <v>75</v>
      </c>
      <c r="E5" s="439">
        <v>75</v>
      </c>
      <c r="F5" s="439">
        <v>75</v>
      </c>
      <c r="G5" s="439">
        <v>75</v>
      </c>
      <c r="H5" s="439">
        <v>75</v>
      </c>
      <c r="I5" s="439">
        <v>75</v>
      </c>
      <c r="J5" s="439">
        <v>75</v>
      </c>
      <c r="K5" s="439">
        <v>75</v>
      </c>
      <c r="L5" s="439">
        <v>75</v>
      </c>
      <c r="M5" s="439">
        <v>75</v>
      </c>
      <c r="N5" s="439">
        <v>75</v>
      </c>
      <c r="O5" s="439">
        <v>75</v>
      </c>
      <c r="P5" s="439">
        <v>75</v>
      </c>
      <c r="Q5" s="439">
        <v>75</v>
      </c>
      <c r="R5" s="439">
        <v>75</v>
      </c>
      <c r="S5" s="736"/>
    </row>
    <row r="6" spans="1:19" ht="22.2" customHeight="1">
      <c r="A6" s="733"/>
      <c r="B6" s="439" t="s">
        <v>345</v>
      </c>
      <c r="C6" s="513">
        <v>85</v>
      </c>
      <c r="D6" s="513">
        <v>85</v>
      </c>
      <c r="E6" s="513">
        <v>85</v>
      </c>
      <c r="F6" s="513">
        <v>85</v>
      </c>
      <c r="G6" s="513">
        <v>85</v>
      </c>
      <c r="H6" s="513">
        <v>85</v>
      </c>
      <c r="I6" s="513">
        <v>85</v>
      </c>
      <c r="J6" s="513">
        <v>85</v>
      </c>
      <c r="K6" s="513">
        <v>85</v>
      </c>
      <c r="L6" s="513">
        <v>85</v>
      </c>
      <c r="M6" s="513">
        <v>85</v>
      </c>
      <c r="N6" s="513">
        <v>85</v>
      </c>
      <c r="O6" s="513">
        <v>85</v>
      </c>
      <c r="P6" s="513">
        <v>85</v>
      </c>
      <c r="Q6" s="513">
        <v>85</v>
      </c>
      <c r="R6" s="513">
        <v>85</v>
      </c>
      <c r="S6" s="736"/>
    </row>
    <row r="7" spans="1:19" ht="22.2" customHeight="1">
      <c r="A7" s="734" t="s">
        <v>868</v>
      </c>
      <c r="B7" s="439" t="s">
        <v>346</v>
      </c>
      <c r="C7" s="439">
        <v>60</v>
      </c>
      <c r="D7" s="439">
        <v>60</v>
      </c>
      <c r="E7" s="439">
        <v>60</v>
      </c>
      <c r="F7" s="439">
        <v>60</v>
      </c>
      <c r="G7" s="439">
        <v>60</v>
      </c>
      <c r="H7" s="439">
        <v>60</v>
      </c>
      <c r="I7" s="439">
        <v>60</v>
      </c>
      <c r="J7" s="439">
        <v>60</v>
      </c>
      <c r="K7" s="439">
        <v>60</v>
      </c>
      <c r="L7" s="439">
        <v>60</v>
      </c>
      <c r="M7" s="439">
        <v>60</v>
      </c>
      <c r="N7" s="439">
        <v>60</v>
      </c>
      <c r="O7" s="439">
        <v>60</v>
      </c>
      <c r="P7" s="439">
        <v>60</v>
      </c>
      <c r="Q7" s="439">
        <v>60</v>
      </c>
      <c r="R7" s="439">
        <v>60</v>
      </c>
      <c r="S7" s="744" t="s">
        <v>347</v>
      </c>
    </row>
    <row r="8" spans="1:19" ht="22.2" customHeight="1">
      <c r="A8" s="735"/>
      <c r="B8" s="439" t="s">
        <v>348</v>
      </c>
      <c r="C8" s="439">
        <v>60</v>
      </c>
      <c r="D8" s="439">
        <v>60</v>
      </c>
      <c r="E8" s="439">
        <v>60</v>
      </c>
      <c r="F8" s="439">
        <v>60</v>
      </c>
      <c r="G8" s="439">
        <v>60</v>
      </c>
      <c r="H8" s="439">
        <v>60</v>
      </c>
      <c r="I8" s="439">
        <v>60</v>
      </c>
      <c r="J8" s="439">
        <v>60</v>
      </c>
      <c r="K8" s="439">
        <v>60</v>
      </c>
      <c r="L8" s="439">
        <v>60</v>
      </c>
      <c r="M8" s="439">
        <v>60</v>
      </c>
      <c r="N8" s="439">
        <v>60</v>
      </c>
      <c r="O8" s="439">
        <v>60</v>
      </c>
      <c r="P8" s="439">
        <v>60</v>
      </c>
      <c r="Q8" s="439">
        <v>60</v>
      </c>
      <c r="R8" s="439">
        <v>60</v>
      </c>
      <c r="S8" s="744"/>
    </row>
    <row r="9" spans="1:19" ht="22.2" customHeight="1">
      <c r="A9" s="735"/>
      <c r="B9" s="439" t="s">
        <v>344</v>
      </c>
      <c r="C9" s="439">
        <v>85</v>
      </c>
      <c r="D9" s="439">
        <v>85</v>
      </c>
      <c r="E9" s="439">
        <v>85</v>
      </c>
      <c r="F9" s="439">
        <v>85</v>
      </c>
      <c r="G9" s="439">
        <v>85</v>
      </c>
      <c r="H9" s="439">
        <v>85</v>
      </c>
      <c r="I9" s="439">
        <v>85</v>
      </c>
      <c r="J9" s="439">
        <v>85</v>
      </c>
      <c r="K9" s="439">
        <v>85</v>
      </c>
      <c r="L9" s="439">
        <v>85</v>
      </c>
      <c r="M9" s="439">
        <v>85</v>
      </c>
      <c r="N9" s="439">
        <v>85</v>
      </c>
      <c r="O9" s="439">
        <v>85</v>
      </c>
      <c r="P9" s="439">
        <v>85</v>
      </c>
      <c r="Q9" s="439">
        <v>85</v>
      </c>
      <c r="R9" s="439">
        <v>85</v>
      </c>
      <c r="S9" s="744"/>
    </row>
    <row r="10" spans="1:19" ht="22.2" customHeight="1">
      <c r="A10" s="735"/>
      <c r="B10" s="440" t="s">
        <v>349</v>
      </c>
      <c r="C10" s="440">
        <v>85</v>
      </c>
      <c r="D10" s="440">
        <v>85</v>
      </c>
      <c r="E10" s="440">
        <v>85</v>
      </c>
      <c r="F10" s="440">
        <v>85</v>
      </c>
      <c r="G10" s="440">
        <v>85</v>
      </c>
      <c r="H10" s="440">
        <v>85</v>
      </c>
      <c r="I10" s="440">
        <v>85</v>
      </c>
      <c r="J10" s="440">
        <v>85</v>
      </c>
      <c r="K10" s="440">
        <v>85</v>
      </c>
      <c r="L10" s="440">
        <v>85</v>
      </c>
      <c r="M10" s="440">
        <v>85</v>
      </c>
      <c r="N10" s="440">
        <v>85</v>
      </c>
      <c r="O10" s="440">
        <v>85</v>
      </c>
      <c r="P10" s="440">
        <v>85</v>
      </c>
      <c r="Q10" s="440">
        <v>85</v>
      </c>
      <c r="R10" s="440">
        <v>85</v>
      </c>
      <c r="S10" s="745"/>
    </row>
    <row r="11" spans="1:19" ht="22.2" customHeight="1">
      <c r="A11" s="738" t="s">
        <v>350</v>
      </c>
      <c r="B11" s="316" t="s">
        <v>351</v>
      </c>
      <c r="C11" s="316">
        <v>80</v>
      </c>
      <c r="D11" s="316">
        <v>80</v>
      </c>
      <c r="E11" s="316">
        <v>80</v>
      </c>
      <c r="F11" s="316">
        <v>80</v>
      </c>
      <c r="G11" s="316">
        <v>80</v>
      </c>
      <c r="H11" s="316">
        <v>80</v>
      </c>
      <c r="I11" s="316">
        <v>80</v>
      </c>
      <c r="J11" s="316">
        <v>80</v>
      </c>
      <c r="K11" s="316">
        <v>80</v>
      </c>
      <c r="L11" s="316">
        <v>80</v>
      </c>
      <c r="M11" s="316">
        <v>80</v>
      </c>
      <c r="N11" s="316">
        <v>80</v>
      </c>
      <c r="O11" s="316">
        <v>80</v>
      </c>
      <c r="P11" s="316">
        <v>80</v>
      </c>
      <c r="Q11" s="316">
        <v>80</v>
      </c>
      <c r="R11" s="316">
        <v>80</v>
      </c>
      <c r="S11" s="738" t="s">
        <v>352</v>
      </c>
    </row>
    <row r="12" spans="1:19" ht="22.2" customHeight="1">
      <c r="A12" s="739"/>
      <c r="B12" s="316" t="s">
        <v>353</v>
      </c>
      <c r="C12" s="740" t="s">
        <v>354</v>
      </c>
      <c r="D12" s="741"/>
      <c r="E12" s="741"/>
      <c r="F12" s="741"/>
      <c r="G12" s="741"/>
      <c r="H12" s="741"/>
      <c r="I12" s="741"/>
      <c r="J12" s="741"/>
      <c r="K12" s="741"/>
      <c r="L12" s="741"/>
      <c r="M12" s="741"/>
      <c r="N12" s="741"/>
      <c r="O12" s="741"/>
      <c r="P12" s="741"/>
      <c r="Q12" s="741"/>
      <c r="R12" s="742"/>
      <c r="S12" s="739"/>
    </row>
    <row r="13" spans="1:19" ht="14.4">
      <c r="B13" s="138"/>
      <c r="C13" s="743"/>
      <c r="D13" s="743"/>
      <c r="E13" s="743"/>
      <c r="F13" s="743"/>
      <c r="G13" s="743"/>
      <c r="H13" s="743"/>
      <c r="I13" s="743"/>
      <c r="J13" s="743"/>
      <c r="K13" s="743"/>
      <c r="L13" s="743"/>
      <c r="M13" s="743"/>
      <c r="N13" s="743"/>
      <c r="O13" s="743"/>
      <c r="P13" s="743"/>
      <c r="Q13" s="743"/>
      <c r="R13" s="743"/>
    </row>
    <row r="14" spans="1:19" ht="14.4">
      <c r="B14" s="138"/>
      <c r="C14" s="138"/>
      <c r="D14" s="138"/>
      <c r="E14" s="138"/>
      <c r="F14" s="138"/>
      <c r="G14" s="138"/>
      <c r="H14" s="138"/>
      <c r="I14" s="138"/>
      <c r="J14" s="138"/>
      <c r="K14" s="138"/>
      <c r="L14" s="138"/>
      <c r="M14" s="138"/>
      <c r="N14" s="138"/>
      <c r="O14" s="138"/>
      <c r="P14" s="138"/>
      <c r="Q14" s="138"/>
      <c r="R14" s="138"/>
    </row>
    <row r="15" spans="1:19" ht="24.6" customHeight="1">
      <c r="B15" s="737" t="s">
        <v>355</v>
      </c>
      <c r="C15" s="737"/>
      <c r="D15" s="737"/>
      <c r="E15" s="737"/>
      <c r="F15" s="737"/>
      <c r="G15" s="737"/>
      <c r="H15" s="737"/>
      <c r="I15" s="737"/>
      <c r="J15" s="737"/>
      <c r="K15" s="737"/>
      <c r="L15" s="737"/>
      <c r="M15" s="737"/>
      <c r="N15" s="737"/>
      <c r="O15" s="737"/>
      <c r="P15" s="737"/>
      <c r="Q15" s="737"/>
      <c r="R15" s="737"/>
    </row>
    <row r="16" spans="1:19" ht="15" customHeight="1">
      <c r="B16" s="514"/>
      <c r="C16" s="514"/>
      <c r="D16" s="514"/>
      <c r="E16" s="514"/>
      <c r="F16" s="514"/>
      <c r="G16" s="514"/>
      <c r="H16" s="514"/>
      <c r="I16" s="514"/>
      <c r="J16" s="514"/>
      <c r="K16" s="514"/>
      <c r="L16" s="514"/>
      <c r="M16" s="514"/>
      <c r="N16" s="514"/>
      <c r="O16" s="514"/>
      <c r="P16" s="514"/>
      <c r="Q16" s="514"/>
      <c r="R16" s="514"/>
    </row>
    <row r="17" spans="2:18" ht="15" customHeight="1">
      <c r="B17" s="514"/>
      <c r="C17" s="514"/>
      <c r="D17" s="514"/>
      <c r="E17" s="514"/>
      <c r="F17" s="514"/>
      <c r="G17" s="514"/>
      <c r="H17" s="514"/>
      <c r="I17" s="514"/>
      <c r="J17" s="514"/>
      <c r="K17" s="514"/>
      <c r="L17" s="514"/>
      <c r="M17" s="514"/>
      <c r="N17" s="514"/>
      <c r="O17" s="514"/>
      <c r="P17" s="514"/>
      <c r="Q17" s="514"/>
      <c r="R17" s="514"/>
    </row>
    <row r="18" spans="2:18" ht="15" customHeight="1">
      <c r="B18" s="514"/>
      <c r="C18" s="514"/>
      <c r="D18" s="514"/>
      <c r="E18" s="514"/>
      <c r="F18" s="514"/>
      <c r="G18" s="514"/>
      <c r="H18" s="514"/>
      <c r="I18" s="514"/>
      <c r="J18" s="514"/>
      <c r="K18" s="514"/>
      <c r="L18" s="514"/>
      <c r="M18" s="514"/>
      <c r="N18" s="514"/>
      <c r="O18" s="514"/>
      <c r="P18" s="514"/>
      <c r="Q18" s="514"/>
      <c r="R18" s="514"/>
    </row>
    <row r="19" spans="2:18" ht="15" customHeight="1">
      <c r="B19" s="514"/>
      <c r="C19" s="514"/>
      <c r="D19" s="514"/>
      <c r="E19" s="514"/>
      <c r="F19" s="514"/>
      <c r="G19" s="514"/>
      <c r="H19" s="514"/>
      <c r="I19" s="514"/>
      <c r="J19" s="514"/>
      <c r="K19" s="514"/>
      <c r="L19" s="514"/>
      <c r="M19" s="514"/>
      <c r="N19" s="514"/>
      <c r="O19" s="514"/>
      <c r="P19" s="514"/>
      <c r="Q19" s="514"/>
      <c r="R19" s="514"/>
    </row>
    <row r="20" spans="2:18" ht="15" customHeight="1">
      <c r="B20" s="514"/>
      <c r="C20" s="514"/>
      <c r="D20" s="514"/>
      <c r="E20" s="514"/>
      <c r="F20" s="514"/>
      <c r="G20" s="514"/>
      <c r="H20" s="514"/>
      <c r="I20" s="514"/>
      <c r="J20" s="514"/>
      <c r="K20" s="514"/>
      <c r="L20" s="514"/>
      <c r="M20" s="514"/>
      <c r="N20" s="514"/>
      <c r="O20" s="514"/>
      <c r="P20" s="514"/>
      <c r="Q20" s="514"/>
      <c r="R20" s="514"/>
    </row>
  </sheetData>
  <mergeCells count="10">
    <mergeCell ref="A1:S1"/>
    <mergeCell ref="A3:A6"/>
    <mergeCell ref="A7:A10"/>
    <mergeCell ref="S3:S6"/>
    <mergeCell ref="B15:R15"/>
    <mergeCell ref="A11:A12"/>
    <mergeCell ref="S11:S12"/>
    <mergeCell ref="C12:R12"/>
    <mergeCell ref="C13:R13"/>
    <mergeCell ref="S7:S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M64"/>
  <sheetViews>
    <sheetView zoomScaleNormal="100" workbookViewId="0">
      <selection sqref="A1:K1"/>
    </sheetView>
  </sheetViews>
  <sheetFormatPr defaultRowHeight="14.4"/>
  <cols>
    <col min="1" max="1" width="24.6640625" customWidth="1"/>
    <col min="2" max="5" width="20.109375" customWidth="1"/>
    <col min="6" max="6" width="22.44140625" customWidth="1"/>
    <col min="7" max="10" width="20.109375" customWidth="1"/>
    <col min="11" max="11" width="56.6640625" customWidth="1"/>
    <col min="12" max="12" width="13.88671875" customWidth="1"/>
    <col min="13" max="13" width="23.33203125" bestFit="1" customWidth="1"/>
    <col min="14" max="14" width="13.88671875" customWidth="1"/>
    <col min="15" max="15" width="12.33203125" customWidth="1"/>
    <col min="16" max="16" width="13.88671875" customWidth="1"/>
    <col min="17" max="17" width="11.6640625" customWidth="1"/>
    <col min="18" max="18" width="13.88671875" customWidth="1"/>
    <col min="19" max="19" width="12.33203125" customWidth="1"/>
    <col min="20" max="20" width="13.88671875" customWidth="1"/>
    <col min="21" max="21" width="12.33203125" customWidth="1"/>
    <col min="22" max="22" width="13.88671875" customWidth="1"/>
    <col min="23" max="23" width="11.6640625" customWidth="1"/>
    <col min="24" max="24" width="10.88671875" customWidth="1"/>
    <col min="25" max="25" width="10.6640625" customWidth="1"/>
    <col min="27" max="31" width="11.109375" customWidth="1"/>
  </cols>
  <sheetData>
    <row r="1" spans="1:13" ht="24.6" customHeight="1">
      <c r="A1" s="674" t="s">
        <v>356</v>
      </c>
      <c r="B1" s="674"/>
      <c r="C1" s="674"/>
      <c r="D1" s="674"/>
      <c r="E1" s="674"/>
      <c r="F1" s="674"/>
      <c r="G1" s="674"/>
      <c r="H1" s="674"/>
      <c r="I1" s="674"/>
      <c r="J1" s="674"/>
      <c r="K1" s="674"/>
      <c r="L1" s="3"/>
    </row>
    <row r="2" spans="1:13" ht="58.2" customHeight="1">
      <c r="A2" s="518" t="s">
        <v>357</v>
      </c>
      <c r="B2" s="171" t="s">
        <v>121</v>
      </c>
      <c r="C2" s="172" t="s">
        <v>358</v>
      </c>
      <c r="D2" s="517" t="s">
        <v>359</v>
      </c>
      <c r="E2" s="517" t="s">
        <v>360</v>
      </c>
      <c r="F2" s="517" t="s">
        <v>361</v>
      </c>
      <c r="G2" s="517" t="s">
        <v>362</v>
      </c>
      <c r="H2" s="517" t="s">
        <v>363</v>
      </c>
      <c r="I2" s="517" t="s">
        <v>364</v>
      </c>
      <c r="J2" s="518" t="s">
        <v>365</v>
      </c>
      <c r="K2" s="518" t="s">
        <v>319</v>
      </c>
      <c r="L2" s="7"/>
    </row>
    <row r="3" spans="1:13" ht="15" customHeight="1">
      <c r="A3" s="8" t="str">
        <f>Zones!B3</f>
        <v>Open_Office_Core_FloorG</v>
      </c>
      <c r="B3" s="173">
        <f>Zones!M3</f>
        <v>21.414999999999999</v>
      </c>
      <c r="C3" s="174">
        <f>Zones!J3</f>
        <v>4283</v>
      </c>
      <c r="D3" s="47">
        <v>15</v>
      </c>
      <c r="E3" s="47">
        <v>0.15</v>
      </c>
      <c r="F3" s="47"/>
      <c r="G3" s="251">
        <f>B3*D3</f>
        <v>321.22499999999997</v>
      </c>
      <c r="H3" s="251">
        <f>C3*E3</f>
        <v>642.44999999999993</v>
      </c>
      <c r="I3" s="47">
        <f>F3</f>
        <v>0</v>
      </c>
      <c r="J3" s="257">
        <f>MAX(G3,H3,I3)</f>
        <v>642.44999999999993</v>
      </c>
      <c r="K3" s="416" t="s">
        <v>366</v>
      </c>
    </row>
    <row r="4" spans="1:13" ht="15" customHeight="1">
      <c r="A4" s="8" t="str">
        <f>Zones!B4</f>
        <v>Open_Office_N_FloorG</v>
      </c>
      <c r="B4" s="8">
        <f>Zones!M4</f>
        <v>11.4899366</v>
      </c>
      <c r="C4" s="175">
        <f>Zones!J4</f>
        <v>2297.9873200000002</v>
      </c>
      <c r="D4" s="47">
        <v>15</v>
      </c>
      <c r="E4" s="47">
        <v>0.15</v>
      </c>
      <c r="F4" s="47"/>
      <c r="G4" s="257">
        <f t="shared" ref="G4:G55" si="0">B4*D4</f>
        <v>172.34904900000001</v>
      </c>
      <c r="H4" s="257">
        <f t="shared" ref="H4:H55" si="1">C4*E4</f>
        <v>344.69809800000002</v>
      </c>
      <c r="I4" s="47">
        <f t="shared" ref="I4:I56" si="2">F4</f>
        <v>0</v>
      </c>
      <c r="J4" s="257">
        <f t="shared" ref="J4:J56" si="3">MAX(G4,H4,I4)</f>
        <v>344.69809800000002</v>
      </c>
      <c r="K4" s="416" t="s">
        <v>366</v>
      </c>
    </row>
    <row r="5" spans="1:13" ht="15" customHeight="1">
      <c r="A5" s="8" t="str">
        <f>Zones!B5</f>
        <v>Enclosed_Office_W_FloorG</v>
      </c>
      <c r="B5" s="8">
        <f>Zones!M5</f>
        <v>8.1893057999999996</v>
      </c>
      <c r="C5" s="175">
        <f>Zones!J5</f>
        <v>1637.8611599999999</v>
      </c>
      <c r="D5" s="47">
        <v>15</v>
      </c>
      <c r="E5" s="47">
        <v>0.15</v>
      </c>
      <c r="F5" s="47"/>
      <c r="G5" s="257">
        <f t="shared" si="0"/>
        <v>122.83958699999999</v>
      </c>
      <c r="H5" s="257">
        <f t="shared" si="1"/>
        <v>245.67917399999999</v>
      </c>
      <c r="I5" s="47">
        <f t="shared" si="2"/>
        <v>0</v>
      </c>
      <c r="J5" s="257">
        <f t="shared" si="3"/>
        <v>245.67917399999999</v>
      </c>
      <c r="K5" s="416" t="s">
        <v>366</v>
      </c>
      <c r="M5" s="6"/>
    </row>
    <row r="6" spans="1:13" ht="15" customHeight="1">
      <c r="A6" s="8" t="str">
        <f>Zones!B6</f>
        <v>Enclosed_Office_E_FloorG</v>
      </c>
      <c r="B6" s="8">
        <f>Zones!M6</f>
        <v>8.1893057999999996</v>
      </c>
      <c r="C6" s="175">
        <f>Zones!J6</f>
        <v>1637.8611599999999</v>
      </c>
      <c r="D6" s="47">
        <v>15</v>
      </c>
      <c r="E6" s="47">
        <v>0.15</v>
      </c>
      <c r="F6" s="47"/>
      <c r="G6" s="257">
        <f t="shared" si="0"/>
        <v>122.83958699999999</v>
      </c>
      <c r="H6" s="257">
        <f t="shared" si="1"/>
        <v>245.67917399999999</v>
      </c>
      <c r="I6" s="47">
        <f t="shared" si="2"/>
        <v>0</v>
      </c>
      <c r="J6" s="257">
        <f t="shared" si="3"/>
        <v>245.67917399999999</v>
      </c>
      <c r="K6" s="416" t="s">
        <v>366</v>
      </c>
    </row>
    <row r="7" spans="1:13" ht="15" customHeight="1">
      <c r="A7" s="8" t="str">
        <f>Zones!B7</f>
        <v>Open_Office_S_FloorG</v>
      </c>
      <c r="B7" s="8">
        <f>Zones!M7</f>
        <v>5.9310375500000001</v>
      </c>
      <c r="C7" s="175">
        <f>Zones!J7</f>
        <v>1186.20751</v>
      </c>
      <c r="D7" s="47">
        <v>15</v>
      </c>
      <c r="E7" s="47">
        <v>0.15</v>
      </c>
      <c r="F7" s="47"/>
      <c r="G7" s="257">
        <f t="shared" si="0"/>
        <v>88.965563250000002</v>
      </c>
      <c r="H7" s="257">
        <f t="shared" si="1"/>
        <v>177.93112649999998</v>
      </c>
      <c r="I7" s="47">
        <f t="shared" si="2"/>
        <v>0</v>
      </c>
      <c r="J7" s="257">
        <f t="shared" si="3"/>
        <v>177.93112649999998</v>
      </c>
      <c r="K7" s="416" t="s">
        <v>366</v>
      </c>
    </row>
    <row r="8" spans="1:13" ht="15" customHeight="1">
      <c r="A8" s="8" t="str">
        <f>Zones!B8</f>
        <v>Conference_FloorG</v>
      </c>
      <c r="B8" s="8">
        <f>Zones!M8</f>
        <v>36.688733730000003</v>
      </c>
      <c r="C8" s="175">
        <f>Zones!J8</f>
        <v>1111.77981</v>
      </c>
      <c r="D8" s="47">
        <v>15</v>
      </c>
      <c r="E8" s="47">
        <v>0.15</v>
      </c>
      <c r="F8" s="47"/>
      <c r="G8" s="257">
        <f t="shared" si="0"/>
        <v>550.33100595000008</v>
      </c>
      <c r="H8" s="257">
        <f t="shared" si="1"/>
        <v>166.76697149999998</v>
      </c>
      <c r="I8" s="47">
        <f t="shared" si="2"/>
        <v>0</v>
      </c>
      <c r="J8" s="257">
        <f t="shared" si="3"/>
        <v>550.33100595000008</v>
      </c>
      <c r="K8" s="416" t="s">
        <v>367</v>
      </c>
    </row>
    <row r="9" spans="1:13" ht="15" customHeight="1">
      <c r="A9" s="8" t="str">
        <f>Zones!B9</f>
        <v>Lobby_FloorG</v>
      </c>
      <c r="B9" s="8">
        <f>Zones!M9</f>
        <v>10.591754699999999</v>
      </c>
      <c r="C9" s="175">
        <f>Zones!J9</f>
        <v>1059.1754699999999</v>
      </c>
      <c r="D9" s="47">
        <v>15</v>
      </c>
      <c r="E9" s="47">
        <v>0.15</v>
      </c>
      <c r="F9" s="47"/>
      <c r="G9" s="257">
        <f t="shared" si="0"/>
        <v>158.87632049999999</v>
      </c>
      <c r="H9" s="257">
        <f t="shared" si="1"/>
        <v>158.87632049999999</v>
      </c>
      <c r="I9" s="47">
        <f t="shared" si="2"/>
        <v>0</v>
      </c>
      <c r="J9" s="257">
        <f t="shared" si="3"/>
        <v>158.87632049999999</v>
      </c>
      <c r="K9" s="417" t="s">
        <v>368</v>
      </c>
    </row>
    <row r="10" spans="1:13" ht="31.5" customHeight="1">
      <c r="A10" s="8" t="str">
        <f>Zones!B10</f>
        <v>Storage_FloorG</v>
      </c>
      <c r="B10" s="8">
        <f>Zones!M10</f>
        <v>0</v>
      </c>
      <c r="C10" s="175">
        <f>Zones!J10</f>
        <v>983.156114</v>
      </c>
      <c r="D10" s="47">
        <v>15</v>
      </c>
      <c r="E10" s="47">
        <v>0.15</v>
      </c>
      <c r="F10" s="47"/>
      <c r="G10" s="257"/>
      <c r="H10" s="257">
        <f t="shared" si="1"/>
        <v>147.47341710000001</v>
      </c>
      <c r="I10" s="47">
        <f t="shared" si="2"/>
        <v>0</v>
      </c>
      <c r="J10" s="257">
        <f t="shared" si="3"/>
        <v>147.47341710000001</v>
      </c>
      <c r="K10" s="416" t="s">
        <v>369</v>
      </c>
    </row>
    <row r="11" spans="1:13" ht="15" customHeight="1">
      <c r="A11" s="8" t="str">
        <f>Zones!B11</f>
        <v>Mechanical/Electrical_FloorG</v>
      </c>
      <c r="B11" s="8">
        <f>Zones!M11</f>
        <v>0</v>
      </c>
      <c r="C11" s="175">
        <f>Zones!J11</f>
        <v>357.35034200000001</v>
      </c>
      <c r="D11" s="47">
        <v>15</v>
      </c>
      <c r="E11" s="47">
        <v>0.15</v>
      </c>
      <c r="F11" s="47"/>
      <c r="G11" s="257"/>
      <c r="H11" s="257">
        <f t="shared" si="1"/>
        <v>53.602551300000002</v>
      </c>
      <c r="I11" s="47">
        <f t="shared" si="2"/>
        <v>0</v>
      </c>
      <c r="J11" s="257">
        <f t="shared" si="3"/>
        <v>53.602551300000002</v>
      </c>
      <c r="K11" s="417" t="s">
        <v>370</v>
      </c>
    </row>
    <row r="12" spans="1:13" ht="15" customHeight="1">
      <c r="A12" s="8" t="str">
        <f>Zones!B12</f>
        <v>IT-Room_FloorG</v>
      </c>
      <c r="B12" s="8">
        <f>Zones!M12</f>
        <v>0.26840595299999997</v>
      </c>
      <c r="C12" s="175">
        <f>Zones!J12</f>
        <v>178.93730199999999</v>
      </c>
      <c r="D12" s="47">
        <v>15</v>
      </c>
      <c r="E12" s="47">
        <v>0.15</v>
      </c>
      <c r="F12" s="47"/>
      <c r="G12" s="257"/>
      <c r="H12" s="257">
        <f t="shared" si="1"/>
        <v>26.840595299999997</v>
      </c>
      <c r="I12" s="47">
        <f t="shared" si="2"/>
        <v>0</v>
      </c>
      <c r="J12" s="257">
        <f t="shared" si="3"/>
        <v>26.840595299999997</v>
      </c>
      <c r="K12" s="417" t="s">
        <v>371</v>
      </c>
    </row>
    <row r="13" spans="1:13" ht="15" customHeight="1">
      <c r="A13" s="8" t="str">
        <f>Zones!B13</f>
        <v>Restroom_FloorG</v>
      </c>
      <c r="B13" s="8">
        <f>Zones!M13</f>
        <v>0</v>
      </c>
      <c r="C13" s="175">
        <f>Zones!J13</f>
        <v>643.57782699999996</v>
      </c>
      <c r="D13" s="47">
        <v>15</v>
      </c>
      <c r="E13" s="47">
        <v>0.15</v>
      </c>
      <c r="F13" s="310" t="s">
        <v>372</v>
      </c>
      <c r="G13" s="257"/>
      <c r="H13" s="257">
        <f t="shared" si="1"/>
        <v>96.536674049999988</v>
      </c>
      <c r="I13" s="310">
        <f>4*50</f>
        <v>200</v>
      </c>
      <c r="J13" s="257">
        <f t="shared" si="3"/>
        <v>200</v>
      </c>
      <c r="K13" s="417" t="s">
        <v>373</v>
      </c>
    </row>
    <row r="14" spans="1:13" ht="15" customHeight="1">
      <c r="A14" s="8" t="str">
        <f>Zones!B14</f>
        <v>BreakRoom/Kitchenette_FloorG</v>
      </c>
      <c r="B14" s="8">
        <f>Zones!M14</f>
        <v>7.6673174819999996</v>
      </c>
      <c r="C14" s="175">
        <f>Zones!J14</f>
        <v>232.34295399999999</v>
      </c>
      <c r="D14" s="47">
        <v>15</v>
      </c>
      <c r="E14" s="47">
        <v>0.15</v>
      </c>
      <c r="F14" s="47"/>
      <c r="G14" s="257">
        <f t="shared" si="0"/>
        <v>115.00976222999999</v>
      </c>
      <c r="H14" s="257">
        <f t="shared" si="1"/>
        <v>34.851443099999997</v>
      </c>
      <c r="I14" s="47">
        <f t="shared" si="2"/>
        <v>0</v>
      </c>
      <c r="J14" s="257">
        <f t="shared" si="3"/>
        <v>115.00976222999999</v>
      </c>
      <c r="K14" s="417" t="s">
        <v>374</v>
      </c>
    </row>
    <row r="15" spans="1:13" ht="15" customHeight="1">
      <c r="A15" s="8" t="str">
        <f>Zones!B15</f>
        <v>Stairway_FloorG</v>
      </c>
      <c r="B15" s="8">
        <f>Zones!M15</f>
        <v>0</v>
      </c>
      <c r="C15" s="175">
        <f>Zones!J15</f>
        <v>661.39225999999996</v>
      </c>
      <c r="D15" s="47">
        <v>15</v>
      </c>
      <c r="E15" s="47">
        <v>0.15</v>
      </c>
      <c r="F15" s="47"/>
      <c r="G15" s="257"/>
      <c r="H15" s="257">
        <f t="shared" si="1"/>
        <v>99.208838999999998</v>
      </c>
      <c r="I15" s="47">
        <f t="shared" si="2"/>
        <v>0</v>
      </c>
      <c r="J15" s="257">
        <f t="shared" si="3"/>
        <v>99.208838999999998</v>
      </c>
      <c r="K15" s="417" t="s">
        <v>370</v>
      </c>
    </row>
    <row r="16" spans="1:13" ht="15" customHeight="1">
      <c r="A16" s="8" t="str">
        <f>Zones!B16</f>
        <v>Corridor_W_FloorG</v>
      </c>
      <c r="B16" s="8">
        <f>Zones!M16</f>
        <v>1.5</v>
      </c>
      <c r="C16" s="175">
        <f>Zones!J16</f>
        <v>300</v>
      </c>
      <c r="D16" s="47">
        <v>15</v>
      </c>
      <c r="E16" s="47">
        <v>0.15</v>
      </c>
      <c r="F16" s="47"/>
      <c r="G16" s="257">
        <f t="shared" si="0"/>
        <v>22.5</v>
      </c>
      <c r="H16" s="257">
        <f t="shared" si="1"/>
        <v>45</v>
      </c>
      <c r="I16" s="47">
        <f t="shared" si="2"/>
        <v>0</v>
      </c>
      <c r="J16" s="257">
        <f t="shared" si="3"/>
        <v>45</v>
      </c>
      <c r="K16" s="417" t="s">
        <v>375</v>
      </c>
    </row>
    <row r="17" spans="1:11" ht="15" customHeight="1">
      <c r="A17" s="8" t="str">
        <f>Zones!B17</f>
        <v>Corridor_N_FloorG</v>
      </c>
      <c r="B17" s="8">
        <f>Zones!M17</f>
        <v>2.5148619999999999</v>
      </c>
      <c r="C17" s="175">
        <f>Zones!J17</f>
        <v>502.97239999999999</v>
      </c>
      <c r="D17" s="47">
        <v>15</v>
      </c>
      <c r="E17" s="47">
        <v>0.15</v>
      </c>
      <c r="F17" s="47"/>
      <c r="G17" s="257">
        <f t="shared" si="0"/>
        <v>37.722929999999998</v>
      </c>
      <c r="H17" s="257">
        <f t="shared" si="1"/>
        <v>75.445859999999996</v>
      </c>
      <c r="I17" s="47">
        <f t="shared" si="2"/>
        <v>0</v>
      </c>
      <c r="J17" s="257">
        <f t="shared" si="3"/>
        <v>75.445859999999996</v>
      </c>
      <c r="K17" s="417" t="s">
        <v>375</v>
      </c>
    </row>
    <row r="18" spans="1:11" ht="15" customHeight="1">
      <c r="A18" s="8" t="str">
        <f>Zones!B18</f>
        <v>Corridor_E_FloorG</v>
      </c>
      <c r="B18" s="8">
        <f>Zones!M18</f>
        <v>1.496038</v>
      </c>
      <c r="C18" s="175">
        <f>Zones!J18</f>
        <v>299.20760000000001</v>
      </c>
      <c r="D18" s="47">
        <v>15</v>
      </c>
      <c r="E18" s="47">
        <v>0.15</v>
      </c>
      <c r="F18" s="47"/>
      <c r="G18" s="257">
        <f t="shared" si="0"/>
        <v>22.440570000000001</v>
      </c>
      <c r="H18" s="257">
        <f t="shared" si="1"/>
        <v>44.881140000000002</v>
      </c>
      <c r="I18" s="47">
        <f t="shared" si="2"/>
        <v>0</v>
      </c>
      <c r="J18" s="257">
        <f t="shared" si="3"/>
        <v>44.881140000000002</v>
      </c>
      <c r="K18" s="417" t="s">
        <v>375</v>
      </c>
    </row>
    <row r="19" spans="1:11" ht="15" customHeight="1">
      <c r="A19" s="8" t="str">
        <f>Zones!B19</f>
        <v>Corridor_S_FloorG</v>
      </c>
      <c r="B19" s="8">
        <f>Zones!M19</f>
        <v>2.5148619999999999</v>
      </c>
      <c r="C19" s="175">
        <f>Zones!J19</f>
        <v>502.97239999999999</v>
      </c>
      <c r="D19" s="47">
        <v>15</v>
      </c>
      <c r="E19" s="47">
        <v>0.15</v>
      </c>
      <c r="F19" s="47"/>
      <c r="G19" s="257">
        <f t="shared" si="0"/>
        <v>37.722929999999998</v>
      </c>
      <c r="H19" s="257">
        <f t="shared" si="1"/>
        <v>75.445859999999996</v>
      </c>
      <c r="I19" s="47">
        <f t="shared" si="2"/>
        <v>0</v>
      </c>
      <c r="J19" s="257">
        <f t="shared" si="3"/>
        <v>75.445859999999996</v>
      </c>
      <c r="K19" s="417" t="s">
        <v>375</v>
      </c>
    </row>
    <row r="20" spans="1:11" ht="15" customHeight="1">
      <c r="A20" s="132" t="str">
        <f>Zones!B20</f>
        <v>Plenum_FloorG</v>
      </c>
      <c r="B20" s="132">
        <f>Zones!M20</f>
        <v>0</v>
      </c>
      <c r="C20" s="176">
        <f>Zones!J20</f>
        <v>17875.932499999999</v>
      </c>
      <c r="D20" s="256"/>
      <c r="E20" s="256" t="s">
        <v>148</v>
      </c>
      <c r="F20" s="256"/>
      <c r="G20" s="258"/>
      <c r="H20" s="258"/>
      <c r="I20" s="256">
        <f t="shared" si="2"/>
        <v>0</v>
      </c>
      <c r="J20" s="258">
        <f t="shared" si="3"/>
        <v>0</v>
      </c>
      <c r="K20" s="417" t="s">
        <v>148</v>
      </c>
    </row>
    <row r="21" spans="1:11" ht="15" customHeight="1">
      <c r="A21" s="132" t="str">
        <f>Zones!B21</f>
        <v>Open_Office_Core_FloorM</v>
      </c>
      <c r="B21" s="132">
        <f>Zones!M21</f>
        <v>21.414999999999999</v>
      </c>
      <c r="C21" s="176">
        <f>Zones!J21</f>
        <v>4283</v>
      </c>
      <c r="D21" s="256">
        <f>D3</f>
        <v>15</v>
      </c>
      <c r="E21" s="256">
        <f>E3</f>
        <v>0.15</v>
      </c>
      <c r="F21" s="256"/>
      <c r="G21" s="258">
        <f t="shared" si="0"/>
        <v>321.22499999999997</v>
      </c>
      <c r="H21" s="258">
        <f t="shared" si="1"/>
        <v>642.44999999999993</v>
      </c>
      <c r="I21" s="256">
        <f t="shared" si="2"/>
        <v>0</v>
      </c>
      <c r="J21" s="258">
        <f t="shared" si="3"/>
        <v>642.44999999999993</v>
      </c>
      <c r="K21" s="416" t="s">
        <v>366</v>
      </c>
    </row>
    <row r="22" spans="1:11" ht="15" customHeight="1">
      <c r="A22" s="132" t="str">
        <f>Zones!B22</f>
        <v>Open_Office_N_FloorM</v>
      </c>
      <c r="B22" s="132">
        <f>Zones!M22</f>
        <v>11.4899366</v>
      </c>
      <c r="C22" s="176">
        <f>Zones!J22</f>
        <v>2297.9873200000002</v>
      </c>
      <c r="D22" s="256">
        <f t="shared" ref="D22:E22" si="4">D4</f>
        <v>15</v>
      </c>
      <c r="E22" s="256">
        <f t="shared" si="4"/>
        <v>0.15</v>
      </c>
      <c r="F22" s="256"/>
      <c r="G22" s="258">
        <f t="shared" si="0"/>
        <v>172.34904900000001</v>
      </c>
      <c r="H22" s="258">
        <f t="shared" si="1"/>
        <v>344.69809800000002</v>
      </c>
      <c r="I22" s="256">
        <f t="shared" si="2"/>
        <v>0</v>
      </c>
      <c r="J22" s="258">
        <f t="shared" si="3"/>
        <v>344.69809800000002</v>
      </c>
      <c r="K22" s="416" t="s">
        <v>366</v>
      </c>
    </row>
    <row r="23" spans="1:11" ht="15" customHeight="1">
      <c r="A23" s="132" t="str">
        <f>Zones!B23</f>
        <v>Enclosed_Office_W_FloorM</v>
      </c>
      <c r="B23" s="132">
        <f>Zones!M23</f>
        <v>8.1893057999999996</v>
      </c>
      <c r="C23" s="176">
        <f>Zones!J23</f>
        <v>1637.8611599999999</v>
      </c>
      <c r="D23" s="256">
        <f t="shared" ref="D23:E23" si="5">D5</f>
        <v>15</v>
      </c>
      <c r="E23" s="256">
        <f t="shared" si="5"/>
        <v>0.15</v>
      </c>
      <c r="F23" s="256"/>
      <c r="G23" s="258">
        <f t="shared" si="0"/>
        <v>122.83958699999999</v>
      </c>
      <c r="H23" s="258">
        <f t="shared" si="1"/>
        <v>245.67917399999999</v>
      </c>
      <c r="I23" s="256">
        <f t="shared" si="2"/>
        <v>0</v>
      </c>
      <c r="J23" s="258">
        <f t="shared" si="3"/>
        <v>245.67917399999999</v>
      </c>
      <c r="K23" s="416" t="s">
        <v>366</v>
      </c>
    </row>
    <row r="24" spans="1:11" ht="15" customHeight="1">
      <c r="A24" s="132" t="str">
        <f>Zones!B24</f>
        <v>Enclosed_Office_E_FloorM</v>
      </c>
      <c r="B24" s="132">
        <f>Zones!M24</f>
        <v>8.1893057999999996</v>
      </c>
      <c r="C24" s="176">
        <f>Zones!J24</f>
        <v>1637.8611599999999</v>
      </c>
      <c r="D24" s="256">
        <f t="shared" ref="D24:E24" si="6">D6</f>
        <v>15</v>
      </c>
      <c r="E24" s="256">
        <f t="shared" si="6"/>
        <v>0.15</v>
      </c>
      <c r="F24" s="256"/>
      <c r="G24" s="258">
        <f t="shared" si="0"/>
        <v>122.83958699999999</v>
      </c>
      <c r="H24" s="258">
        <f t="shared" si="1"/>
        <v>245.67917399999999</v>
      </c>
      <c r="I24" s="256">
        <f t="shared" si="2"/>
        <v>0</v>
      </c>
      <c r="J24" s="258">
        <f t="shared" si="3"/>
        <v>245.67917399999999</v>
      </c>
      <c r="K24" s="416" t="s">
        <v>366</v>
      </c>
    </row>
    <row r="25" spans="1:11" ht="15" customHeight="1">
      <c r="A25" s="132" t="str">
        <f>Zones!B25</f>
        <v>Open_Office_S_FloorM</v>
      </c>
      <c r="B25" s="132">
        <f>Zones!M25</f>
        <v>5.9310375500000001</v>
      </c>
      <c r="C25" s="176">
        <f>Zones!J25</f>
        <v>1186.20751</v>
      </c>
      <c r="D25" s="256">
        <f t="shared" ref="D25:E25" si="7">D7</f>
        <v>15</v>
      </c>
      <c r="E25" s="256">
        <f t="shared" si="7"/>
        <v>0.15</v>
      </c>
      <c r="F25" s="256"/>
      <c r="G25" s="258">
        <f t="shared" si="0"/>
        <v>88.965563250000002</v>
      </c>
      <c r="H25" s="258">
        <f t="shared" si="1"/>
        <v>177.93112649999998</v>
      </c>
      <c r="I25" s="256">
        <f t="shared" si="2"/>
        <v>0</v>
      </c>
      <c r="J25" s="258">
        <f t="shared" si="3"/>
        <v>177.93112649999998</v>
      </c>
      <c r="K25" s="416" t="s">
        <v>366</v>
      </c>
    </row>
    <row r="26" spans="1:11" ht="15" customHeight="1">
      <c r="A26" s="132" t="str">
        <f>Zones!B26</f>
        <v>Conference_FloorM</v>
      </c>
      <c r="B26" s="132">
        <f>Zones!M26</f>
        <v>36.688733730000003</v>
      </c>
      <c r="C26" s="176">
        <f>Zones!J26</f>
        <v>1111.77981</v>
      </c>
      <c r="D26" s="256">
        <f t="shared" ref="D26:E26" si="8">D8</f>
        <v>15</v>
      </c>
      <c r="E26" s="256">
        <f t="shared" si="8"/>
        <v>0.15</v>
      </c>
      <c r="F26" s="256"/>
      <c r="G26" s="258">
        <f t="shared" si="0"/>
        <v>550.33100595000008</v>
      </c>
      <c r="H26" s="258">
        <f t="shared" si="1"/>
        <v>166.76697149999998</v>
      </c>
      <c r="I26" s="256">
        <f t="shared" si="2"/>
        <v>0</v>
      </c>
      <c r="J26" s="258">
        <f t="shared" si="3"/>
        <v>550.33100595000008</v>
      </c>
      <c r="K26" s="416" t="s">
        <v>367</v>
      </c>
    </row>
    <row r="27" spans="1:11" ht="15" customHeight="1">
      <c r="A27" s="132" t="str">
        <f>Zones!B27</f>
        <v>Lounge_FloorM</v>
      </c>
      <c r="B27" s="132">
        <f>Zones!M27</f>
        <v>15.887632049999999</v>
      </c>
      <c r="C27" s="176">
        <f>Zones!J27</f>
        <v>1059.1754699999999</v>
      </c>
      <c r="D27" s="256">
        <f t="shared" ref="D27:E27" si="9">D9</f>
        <v>15</v>
      </c>
      <c r="E27" s="256">
        <f t="shared" si="9"/>
        <v>0.15</v>
      </c>
      <c r="F27" s="256"/>
      <c r="G27" s="258">
        <f t="shared" si="0"/>
        <v>238.31448074999997</v>
      </c>
      <c r="H27" s="258">
        <f t="shared" si="1"/>
        <v>158.87632049999999</v>
      </c>
      <c r="I27" s="256">
        <f t="shared" si="2"/>
        <v>0</v>
      </c>
      <c r="J27" s="258">
        <f t="shared" si="3"/>
        <v>238.31448074999997</v>
      </c>
      <c r="K27" s="417" t="s">
        <v>376</v>
      </c>
    </row>
    <row r="28" spans="1:11" ht="26.25" customHeight="1">
      <c r="A28" s="132" t="str">
        <f>Zones!B28</f>
        <v>Storage_FloorM</v>
      </c>
      <c r="B28" s="132">
        <f>Zones!M28</f>
        <v>0</v>
      </c>
      <c r="C28" s="176">
        <f>Zones!J28</f>
        <v>983.156114</v>
      </c>
      <c r="D28" s="256">
        <f t="shared" ref="D28:E28" si="10">D10</f>
        <v>15</v>
      </c>
      <c r="E28" s="256">
        <f t="shared" si="10"/>
        <v>0.15</v>
      </c>
      <c r="F28" s="256"/>
      <c r="G28" s="258"/>
      <c r="H28" s="258">
        <f t="shared" si="1"/>
        <v>147.47341710000001</v>
      </c>
      <c r="I28" s="256">
        <f t="shared" si="2"/>
        <v>0</v>
      </c>
      <c r="J28" s="258">
        <f t="shared" si="3"/>
        <v>147.47341710000001</v>
      </c>
      <c r="K28" s="416" t="s">
        <v>369</v>
      </c>
    </row>
    <row r="29" spans="1:11" ht="15" customHeight="1">
      <c r="A29" s="132" t="str">
        <f>Zones!B29</f>
        <v>Mechanical/Electrical_FloorM</v>
      </c>
      <c r="B29" s="132">
        <f>Zones!M29</f>
        <v>0</v>
      </c>
      <c r="C29" s="176">
        <f>Zones!J29</f>
        <v>357.35034200000001</v>
      </c>
      <c r="D29" s="256">
        <f t="shared" ref="D29:E29" si="11">D11</f>
        <v>15</v>
      </c>
      <c r="E29" s="256">
        <f t="shared" si="11"/>
        <v>0.15</v>
      </c>
      <c r="F29" s="256"/>
      <c r="G29" s="258"/>
      <c r="H29" s="258">
        <f t="shared" si="1"/>
        <v>53.602551300000002</v>
      </c>
      <c r="I29" s="256">
        <f t="shared" si="2"/>
        <v>0</v>
      </c>
      <c r="J29" s="258">
        <f t="shared" si="3"/>
        <v>53.602551300000002</v>
      </c>
      <c r="K29" s="417" t="s">
        <v>370</v>
      </c>
    </row>
    <row r="30" spans="1:11" ht="15" customHeight="1">
      <c r="A30" s="132" t="str">
        <f>Zones!B30</f>
        <v>IT-Room_FloorM</v>
      </c>
      <c r="B30" s="132">
        <f>Zones!M30</f>
        <v>0.26840595299999997</v>
      </c>
      <c r="C30" s="176">
        <f>Zones!J30</f>
        <v>178.93730199999999</v>
      </c>
      <c r="D30" s="256">
        <f t="shared" ref="D30:E30" si="12">D12</f>
        <v>15</v>
      </c>
      <c r="E30" s="256">
        <f t="shared" si="12"/>
        <v>0.15</v>
      </c>
      <c r="F30" s="256"/>
      <c r="G30" s="258"/>
      <c r="H30" s="258">
        <f t="shared" si="1"/>
        <v>26.840595299999997</v>
      </c>
      <c r="I30" s="256">
        <f t="shared" si="2"/>
        <v>0</v>
      </c>
      <c r="J30" s="258">
        <f t="shared" si="3"/>
        <v>26.840595299999997</v>
      </c>
      <c r="K30" s="417" t="s">
        <v>371</v>
      </c>
    </row>
    <row r="31" spans="1:11" ht="15" customHeight="1">
      <c r="A31" s="132" t="str">
        <f>Zones!B31</f>
        <v>Restroom_FloorM</v>
      </c>
      <c r="B31" s="132">
        <f>Zones!M31</f>
        <v>0</v>
      </c>
      <c r="C31" s="176">
        <f>Zones!J31</f>
        <v>643.57782699999996</v>
      </c>
      <c r="D31" s="256">
        <f t="shared" ref="D31:E31" si="13">D13</f>
        <v>15</v>
      </c>
      <c r="E31" s="256">
        <f t="shared" si="13"/>
        <v>0.15</v>
      </c>
      <c r="F31" s="256" t="s">
        <v>377</v>
      </c>
      <c r="G31" s="258"/>
      <c r="H31" s="258">
        <f t="shared" si="1"/>
        <v>96.536674049999988</v>
      </c>
      <c r="I31" s="424">
        <f>4*50</f>
        <v>200</v>
      </c>
      <c r="J31" s="258">
        <f t="shared" si="3"/>
        <v>200</v>
      </c>
      <c r="K31" s="417" t="s">
        <v>370</v>
      </c>
    </row>
    <row r="32" spans="1:11" ht="15" customHeight="1">
      <c r="A32" s="132" t="str">
        <f>Zones!B32</f>
        <v>BreakRoom/Kitchenette_FloorM</v>
      </c>
      <c r="B32" s="132">
        <f>Zones!M32</f>
        <v>7.6673174819999996</v>
      </c>
      <c r="C32" s="176">
        <f>Zones!J32</f>
        <v>232.34295399999999</v>
      </c>
      <c r="D32" s="256">
        <f t="shared" ref="D32:E32" si="14">D14</f>
        <v>15</v>
      </c>
      <c r="E32" s="256">
        <f t="shared" si="14"/>
        <v>0.15</v>
      </c>
      <c r="F32" s="256"/>
      <c r="G32" s="258">
        <f t="shared" si="0"/>
        <v>115.00976222999999</v>
      </c>
      <c r="H32" s="258">
        <f t="shared" si="1"/>
        <v>34.851443099999997</v>
      </c>
      <c r="I32" s="256">
        <f t="shared" si="2"/>
        <v>0</v>
      </c>
      <c r="J32" s="258">
        <f t="shared" si="3"/>
        <v>115.00976222999999</v>
      </c>
      <c r="K32" s="417" t="s">
        <v>374</v>
      </c>
    </row>
    <row r="33" spans="1:11" ht="15" customHeight="1">
      <c r="A33" s="132" t="str">
        <f>Zones!B33</f>
        <v>Stairway_FloorM</v>
      </c>
      <c r="B33" s="132">
        <f>Zones!M33</f>
        <v>0</v>
      </c>
      <c r="C33" s="176">
        <f>Zones!J33</f>
        <v>661.39225999999996</v>
      </c>
      <c r="D33" s="256">
        <f t="shared" ref="D33:E33" si="15">D15</f>
        <v>15</v>
      </c>
      <c r="E33" s="256">
        <f t="shared" si="15"/>
        <v>0.15</v>
      </c>
      <c r="F33" s="256"/>
      <c r="G33" s="258"/>
      <c r="H33" s="258">
        <f t="shared" si="1"/>
        <v>99.208838999999998</v>
      </c>
      <c r="I33" s="256">
        <f t="shared" si="2"/>
        <v>0</v>
      </c>
      <c r="J33" s="258">
        <f t="shared" si="3"/>
        <v>99.208838999999998</v>
      </c>
      <c r="K33" s="417" t="s">
        <v>370</v>
      </c>
    </row>
    <row r="34" spans="1:11" ht="15" customHeight="1">
      <c r="A34" s="132" t="str">
        <f>Zones!B34</f>
        <v>Corridor_W_FloorM</v>
      </c>
      <c r="B34" s="132">
        <f>Zones!M34</f>
        <v>1.5</v>
      </c>
      <c r="C34" s="176">
        <f>Zones!J34</f>
        <v>300</v>
      </c>
      <c r="D34" s="256">
        <f t="shared" ref="D34:E34" si="16">D16</f>
        <v>15</v>
      </c>
      <c r="E34" s="256">
        <f t="shared" si="16"/>
        <v>0.15</v>
      </c>
      <c r="F34" s="256"/>
      <c r="G34" s="258">
        <f t="shared" si="0"/>
        <v>22.5</v>
      </c>
      <c r="H34" s="258">
        <f t="shared" si="1"/>
        <v>45</v>
      </c>
      <c r="I34" s="256">
        <f t="shared" si="2"/>
        <v>0</v>
      </c>
      <c r="J34" s="258">
        <f t="shared" si="3"/>
        <v>45</v>
      </c>
      <c r="K34" s="417" t="s">
        <v>375</v>
      </c>
    </row>
    <row r="35" spans="1:11" ht="15" customHeight="1">
      <c r="A35" s="132" t="str">
        <f>Zones!B35</f>
        <v>Corridor_N_FloorM</v>
      </c>
      <c r="B35" s="132">
        <f>Zones!M35</f>
        <v>2.5148619999999999</v>
      </c>
      <c r="C35" s="176">
        <f>Zones!J35</f>
        <v>502.97239999999999</v>
      </c>
      <c r="D35" s="256">
        <f t="shared" ref="D35:E35" si="17">D17</f>
        <v>15</v>
      </c>
      <c r="E35" s="256">
        <f t="shared" si="17"/>
        <v>0.15</v>
      </c>
      <c r="F35" s="256"/>
      <c r="G35" s="258">
        <f t="shared" si="0"/>
        <v>37.722929999999998</v>
      </c>
      <c r="H35" s="258">
        <f t="shared" si="1"/>
        <v>75.445859999999996</v>
      </c>
      <c r="I35" s="256">
        <f t="shared" si="2"/>
        <v>0</v>
      </c>
      <c r="J35" s="258">
        <f t="shared" si="3"/>
        <v>75.445859999999996</v>
      </c>
      <c r="K35" s="417" t="s">
        <v>375</v>
      </c>
    </row>
    <row r="36" spans="1:11" ht="15" customHeight="1">
      <c r="A36" s="132" t="str">
        <f>Zones!B36</f>
        <v>Corridor_E_FloorM</v>
      </c>
      <c r="B36" s="132">
        <f>Zones!M36</f>
        <v>1.496038</v>
      </c>
      <c r="C36" s="176">
        <f>Zones!J36</f>
        <v>299.20760000000001</v>
      </c>
      <c r="D36" s="256">
        <f t="shared" ref="D36:E36" si="18">D18</f>
        <v>15</v>
      </c>
      <c r="E36" s="256">
        <f t="shared" si="18"/>
        <v>0.15</v>
      </c>
      <c r="F36" s="256"/>
      <c r="G36" s="258">
        <f t="shared" si="0"/>
        <v>22.440570000000001</v>
      </c>
      <c r="H36" s="258">
        <f t="shared" si="1"/>
        <v>44.881140000000002</v>
      </c>
      <c r="I36" s="256">
        <f t="shared" si="2"/>
        <v>0</v>
      </c>
      <c r="J36" s="258">
        <f t="shared" si="3"/>
        <v>44.881140000000002</v>
      </c>
      <c r="K36" s="417" t="s">
        <v>375</v>
      </c>
    </row>
    <row r="37" spans="1:11" ht="15" customHeight="1">
      <c r="A37" s="132" t="str">
        <f>Zones!B37</f>
        <v>Corridor_S_FloorM</v>
      </c>
      <c r="B37" s="132">
        <f>Zones!M37</f>
        <v>2.5148619999999999</v>
      </c>
      <c r="C37" s="176">
        <f>Zones!J37</f>
        <v>502.97239999999999</v>
      </c>
      <c r="D37" s="256">
        <f t="shared" ref="D37:E37" si="19">D19</f>
        <v>15</v>
      </c>
      <c r="E37" s="256">
        <f t="shared" si="19"/>
        <v>0.15</v>
      </c>
      <c r="F37" s="256"/>
      <c r="G37" s="258">
        <f t="shared" si="0"/>
        <v>37.722929999999998</v>
      </c>
      <c r="H37" s="258">
        <f t="shared" si="1"/>
        <v>75.445859999999996</v>
      </c>
      <c r="I37" s="256">
        <f t="shared" si="2"/>
        <v>0</v>
      </c>
      <c r="J37" s="258">
        <f t="shared" si="3"/>
        <v>75.445859999999996</v>
      </c>
      <c r="K37" s="417" t="s">
        <v>375</v>
      </c>
    </row>
    <row r="38" spans="1:11" ht="15" customHeight="1">
      <c r="A38" s="132" t="str">
        <f>Zones!B38</f>
        <v>Plenum_FloorM</v>
      </c>
      <c r="B38" s="132">
        <f>Zones!M38</f>
        <v>0</v>
      </c>
      <c r="C38" s="176">
        <f>Zones!J38</f>
        <v>17875.932499999999</v>
      </c>
      <c r="D38" s="256">
        <f t="shared" ref="D38:E38" si="20">D20</f>
        <v>0</v>
      </c>
      <c r="E38" s="256" t="str">
        <f t="shared" si="20"/>
        <v>-</v>
      </c>
      <c r="F38" s="256"/>
      <c r="G38" s="258"/>
      <c r="H38" s="258"/>
      <c r="I38" s="256">
        <f t="shared" si="2"/>
        <v>0</v>
      </c>
      <c r="J38" s="258">
        <f t="shared" si="3"/>
        <v>0</v>
      </c>
      <c r="K38" s="417" t="s">
        <v>148</v>
      </c>
    </row>
    <row r="39" spans="1:11" ht="15" customHeight="1">
      <c r="A39" s="8" t="str">
        <f>Zones!B39</f>
        <v>Open_Office_Core_FloorT</v>
      </c>
      <c r="B39" s="8">
        <f>Zones!M39</f>
        <v>21.414999999999999</v>
      </c>
      <c r="C39" s="175">
        <f>Zones!J39</f>
        <v>4283</v>
      </c>
      <c r="D39" s="47">
        <f>D3</f>
        <v>15</v>
      </c>
      <c r="E39" s="47">
        <f t="shared" ref="E39" si="21">E3</f>
        <v>0.15</v>
      </c>
      <c r="F39" s="47"/>
      <c r="G39" s="257">
        <f t="shared" si="0"/>
        <v>321.22499999999997</v>
      </c>
      <c r="H39" s="257">
        <f t="shared" si="1"/>
        <v>642.44999999999993</v>
      </c>
      <c r="I39" s="47">
        <f t="shared" si="2"/>
        <v>0</v>
      </c>
      <c r="J39" s="257">
        <f t="shared" si="3"/>
        <v>642.44999999999993</v>
      </c>
      <c r="K39" s="416" t="s">
        <v>366</v>
      </c>
    </row>
    <row r="40" spans="1:11" ht="15" customHeight="1">
      <c r="A40" s="8" t="str">
        <f>Zones!B40</f>
        <v>Open_Office_N_FloorT</v>
      </c>
      <c r="B40" s="8">
        <f>Zones!M40</f>
        <v>11.4899366</v>
      </c>
      <c r="C40" s="175">
        <f>Zones!J40</f>
        <v>2297.9873200000002</v>
      </c>
      <c r="D40" s="47">
        <f t="shared" ref="D40:E40" si="22">D4</f>
        <v>15</v>
      </c>
      <c r="E40" s="47">
        <f t="shared" si="22"/>
        <v>0.15</v>
      </c>
      <c r="F40" s="47"/>
      <c r="G40" s="257">
        <f t="shared" si="0"/>
        <v>172.34904900000001</v>
      </c>
      <c r="H40" s="257">
        <f t="shared" si="1"/>
        <v>344.69809800000002</v>
      </c>
      <c r="I40" s="47">
        <f t="shared" si="2"/>
        <v>0</v>
      </c>
      <c r="J40" s="257">
        <f t="shared" si="3"/>
        <v>344.69809800000002</v>
      </c>
      <c r="K40" s="416" t="s">
        <v>366</v>
      </c>
    </row>
    <row r="41" spans="1:11" ht="15" customHeight="1">
      <c r="A41" s="8" t="str">
        <f>Zones!B41</f>
        <v>Enclosed_Office_W_FloorT</v>
      </c>
      <c r="B41" s="8">
        <f>Zones!M41</f>
        <v>8.1893057999999996</v>
      </c>
      <c r="C41" s="175">
        <f>Zones!J41</f>
        <v>1637.8611599999999</v>
      </c>
      <c r="D41" s="47">
        <f t="shared" ref="D41:E41" si="23">D5</f>
        <v>15</v>
      </c>
      <c r="E41" s="47">
        <f t="shared" si="23"/>
        <v>0.15</v>
      </c>
      <c r="F41" s="47"/>
      <c r="G41" s="257">
        <f t="shared" si="0"/>
        <v>122.83958699999999</v>
      </c>
      <c r="H41" s="257">
        <f t="shared" si="1"/>
        <v>245.67917399999999</v>
      </c>
      <c r="I41" s="47">
        <f t="shared" si="2"/>
        <v>0</v>
      </c>
      <c r="J41" s="257">
        <f t="shared" si="3"/>
        <v>245.67917399999999</v>
      </c>
      <c r="K41" s="416" t="s">
        <v>366</v>
      </c>
    </row>
    <row r="42" spans="1:11" ht="15" customHeight="1">
      <c r="A42" s="8" t="str">
        <f>Zones!B42</f>
        <v>Enclosed_Office_E_FloorT</v>
      </c>
      <c r="B42" s="8">
        <f>Zones!M42</f>
        <v>8.1893057999999996</v>
      </c>
      <c r="C42" s="175">
        <f>Zones!J42</f>
        <v>1637.8611599999999</v>
      </c>
      <c r="D42" s="47">
        <f t="shared" ref="D42:E42" si="24">D6</f>
        <v>15</v>
      </c>
      <c r="E42" s="47">
        <f t="shared" si="24"/>
        <v>0.15</v>
      </c>
      <c r="F42" s="47"/>
      <c r="G42" s="257">
        <f t="shared" si="0"/>
        <v>122.83958699999999</v>
      </c>
      <c r="H42" s="257">
        <f t="shared" si="1"/>
        <v>245.67917399999999</v>
      </c>
      <c r="I42" s="47">
        <f t="shared" si="2"/>
        <v>0</v>
      </c>
      <c r="J42" s="257">
        <f t="shared" si="3"/>
        <v>245.67917399999999</v>
      </c>
      <c r="K42" s="416" t="s">
        <v>366</v>
      </c>
    </row>
    <row r="43" spans="1:11" ht="15" customHeight="1">
      <c r="A43" s="8" t="str">
        <f>Zones!B43</f>
        <v>Open_Office_S_FloorT</v>
      </c>
      <c r="B43" s="8">
        <f>Zones!M43</f>
        <v>5.9310375500000001</v>
      </c>
      <c r="C43" s="175">
        <f>Zones!J43</f>
        <v>1186.20751</v>
      </c>
      <c r="D43" s="47">
        <f t="shared" ref="D43:E43" si="25">D7</f>
        <v>15</v>
      </c>
      <c r="E43" s="47">
        <f t="shared" si="25"/>
        <v>0.15</v>
      </c>
      <c r="F43" s="47"/>
      <c r="G43" s="257">
        <f t="shared" si="0"/>
        <v>88.965563250000002</v>
      </c>
      <c r="H43" s="257">
        <f t="shared" si="1"/>
        <v>177.93112649999998</v>
      </c>
      <c r="I43" s="47">
        <f t="shared" si="2"/>
        <v>0</v>
      </c>
      <c r="J43" s="257">
        <f t="shared" si="3"/>
        <v>177.93112649999998</v>
      </c>
      <c r="K43" s="416" t="s">
        <v>366</v>
      </c>
    </row>
    <row r="44" spans="1:11" ht="15" customHeight="1">
      <c r="A44" s="8" t="str">
        <f>Zones!B44</f>
        <v>Conference_FloorT</v>
      </c>
      <c r="B44" s="8">
        <f>Zones!M44</f>
        <v>36.688733730000003</v>
      </c>
      <c r="C44" s="175">
        <f>Zones!J44</f>
        <v>1111.77981</v>
      </c>
      <c r="D44" s="47">
        <f t="shared" ref="D44:E44" si="26">D8</f>
        <v>15</v>
      </c>
      <c r="E44" s="47">
        <f t="shared" si="26"/>
        <v>0.15</v>
      </c>
      <c r="F44" s="47"/>
      <c r="G44" s="257">
        <f t="shared" si="0"/>
        <v>550.33100595000008</v>
      </c>
      <c r="H44" s="257">
        <f t="shared" si="1"/>
        <v>166.76697149999998</v>
      </c>
      <c r="I44" s="47">
        <f t="shared" si="2"/>
        <v>0</v>
      </c>
      <c r="J44" s="257">
        <f t="shared" si="3"/>
        <v>550.33100595000008</v>
      </c>
      <c r="K44" s="416" t="s">
        <v>367</v>
      </c>
    </row>
    <row r="45" spans="1:11" ht="15" customHeight="1">
      <c r="A45" s="8" t="str">
        <f>Zones!B45</f>
        <v>Lounge_FloorT</v>
      </c>
      <c r="B45" s="8">
        <f>Zones!M45</f>
        <v>15.887632049999999</v>
      </c>
      <c r="C45" s="175">
        <f>Zones!J45</f>
        <v>1059.1754699999999</v>
      </c>
      <c r="D45" s="47">
        <f t="shared" ref="D45:E45" si="27">D9</f>
        <v>15</v>
      </c>
      <c r="E45" s="47">
        <f t="shared" si="27"/>
        <v>0.15</v>
      </c>
      <c r="F45" s="47"/>
      <c r="G45" s="257">
        <f t="shared" si="0"/>
        <v>238.31448074999997</v>
      </c>
      <c r="H45" s="257">
        <f t="shared" si="1"/>
        <v>158.87632049999999</v>
      </c>
      <c r="I45" s="47">
        <f t="shared" si="2"/>
        <v>0</v>
      </c>
      <c r="J45" s="257">
        <f t="shared" si="3"/>
        <v>238.31448074999997</v>
      </c>
      <c r="K45" s="417" t="s">
        <v>376</v>
      </c>
    </row>
    <row r="46" spans="1:11" ht="27.75" customHeight="1">
      <c r="A46" s="8" t="str">
        <f>Zones!B46</f>
        <v>Storage_FloorT</v>
      </c>
      <c r="B46" s="8">
        <f>Zones!M46</f>
        <v>0</v>
      </c>
      <c r="C46" s="175">
        <f>Zones!J46</f>
        <v>983.156114</v>
      </c>
      <c r="D46" s="47">
        <f t="shared" ref="D46:E46" si="28">D10</f>
        <v>15</v>
      </c>
      <c r="E46" s="47">
        <f t="shared" si="28"/>
        <v>0.15</v>
      </c>
      <c r="F46" s="47"/>
      <c r="G46" s="257"/>
      <c r="H46" s="257">
        <f t="shared" si="1"/>
        <v>147.47341710000001</v>
      </c>
      <c r="I46" s="47">
        <f t="shared" si="2"/>
        <v>0</v>
      </c>
      <c r="J46" s="257">
        <f t="shared" si="3"/>
        <v>147.47341710000001</v>
      </c>
      <c r="K46" s="416" t="s">
        <v>369</v>
      </c>
    </row>
    <row r="47" spans="1:11" ht="15" customHeight="1">
      <c r="A47" s="8" t="str">
        <f>Zones!B47</f>
        <v>Mechanical/Electrical_FloorT</v>
      </c>
      <c r="B47" s="8">
        <f>Zones!M47</f>
        <v>0</v>
      </c>
      <c r="C47" s="175">
        <f>Zones!J47</f>
        <v>357.35034200000001</v>
      </c>
      <c r="D47" s="47">
        <f t="shared" ref="D47:E47" si="29">D11</f>
        <v>15</v>
      </c>
      <c r="E47" s="47">
        <f t="shared" si="29"/>
        <v>0.15</v>
      </c>
      <c r="F47" s="47"/>
      <c r="G47" s="257"/>
      <c r="H47" s="257">
        <f t="shared" si="1"/>
        <v>53.602551300000002</v>
      </c>
      <c r="I47" s="47">
        <f t="shared" si="2"/>
        <v>0</v>
      </c>
      <c r="J47" s="257">
        <f t="shared" si="3"/>
        <v>53.602551300000002</v>
      </c>
      <c r="K47" s="417" t="s">
        <v>370</v>
      </c>
    </row>
    <row r="48" spans="1:11" ht="15" customHeight="1">
      <c r="A48" s="8" t="str">
        <f>Zones!B48</f>
        <v>IT-Room_FloorT</v>
      </c>
      <c r="B48" s="8">
        <f>Zones!M48</f>
        <v>0.26840595299999997</v>
      </c>
      <c r="C48" s="175">
        <f>Zones!J48</f>
        <v>178.93730199999999</v>
      </c>
      <c r="D48" s="47">
        <f t="shared" ref="D48:E48" si="30">D12</f>
        <v>15</v>
      </c>
      <c r="E48" s="47">
        <f t="shared" si="30"/>
        <v>0.15</v>
      </c>
      <c r="F48" s="47"/>
      <c r="G48" s="257"/>
      <c r="H48" s="257">
        <f t="shared" si="1"/>
        <v>26.840595299999997</v>
      </c>
      <c r="I48" s="47">
        <f t="shared" si="2"/>
        <v>0</v>
      </c>
      <c r="J48" s="257">
        <f t="shared" si="3"/>
        <v>26.840595299999997</v>
      </c>
      <c r="K48" s="417" t="s">
        <v>371</v>
      </c>
    </row>
    <row r="49" spans="1:11" ht="15" customHeight="1">
      <c r="A49" s="8" t="str">
        <f>Zones!B49</f>
        <v>Restroom_FloorT</v>
      </c>
      <c r="B49" s="8">
        <f>Zones!M49</f>
        <v>0</v>
      </c>
      <c r="C49" s="175">
        <f>Zones!J49</f>
        <v>643.57782699999996</v>
      </c>
      <c r="D49" s="47">
        <f t="shared" ref="D49:E49" si="31">D13</f>
        <v>15</v>
      </c>
      <c r="E49" s="47">
        <f t="shared" si="31"/>
        <v>0.15</v>
      </c>
      <c r="F49" s="47" t="s">
        <v>378</v>
      </c>
      <c r="G49" s="257"/>
      <c r="H49" s="257">
        <f t="shared" si="1"/>
        <v>96.536674049999988</v>
      </c>
      <c r="I49" s="310">
        <f>4*50</f>
        <v>200</v>
      </c>
      <c r="J49" s="257">
        <f t="shared" si="3"/>
        <v>200</v>
      </c>
      <c r="K49" s="417" t="s">
        <v>370</v>
      </c>
    </row>
    <row r="50" spans="1:11" ht="15" customHeight="1">
      <c r="A50" s="8" t="str">
        <f>Zones!B50</f>
        <v>BreakRoom/Kitchenette_FloorT</v>
      </c>
      <c r="B50" s="8">
        <f>Zones!M50</f>
        <v>7.6673174819999996</v>
      </c>
      <c r="C50" s="175">
        <f>Zones!J50</f>
        <v>232.34295399999999</v>
      </c>
      <c r="D50" s="47">
        <f t="shared" ref="D50:E50" si="32">D14</f>
        <v>15</v>
      </c>
      <c r="E50" s="47">
        <f t="shared" si="32"/>
        <v>0.15</v>
      </c>
      <c r="F50" s="47"/>
      <c r="G50" s="257">
        <f t="shared" si="0"/>
        <v>115.00976222999999</v>
      </c>
      <c r="H50" s="257">
        <f t="shared" si="1"/>
        <v>34.851443099999997</v>
      </c>
      <c r="I50" s="47">
        <f t="shared" si="2"/>
        <v>0</v>
      </c>
      <c r="J50" s="257">
        <f t="shared" si="3"/>
        <v>115.00976222999999</v>
      </c>
      <c r="K50" s="417" t="s">
        <v>374</v>
      </c>
    </row>
    <row r="51" spans="1:11" ht="15" customHeight="1">
      <c r="A51" s="8" t="str">
        <f>Zones!B51</f>
        <v>Stairway_FloorT</v>
      </c>
      <c r="B51" s="8">
        <f>Zones!M51</f>
        <v>0</v>
      </c>
      <c r="C51" s="175">
        <f>Zones!J51</f>
        <v>661.39225999999996</v>
      </c>
      <c r="D51" s="47">
        <f t="shared" ref="D51:E51" si="33">D15</f>
        <v>15</v>
      </c>
      <c r="E51" s="47">
        <f t="shared" si="33"/>
        <v>0.15</v>
      </c>
      <c r="F51" s="47"/>
      <c r="G51" s="257"/>
      <c r="H51" s="257">
        <f t="shared" si="1"/>
        <v>99.208838999999998</v>
      </c>
      <c r="I51" s="47">
        <f t="shared" si="2"/>
        <v>0</v>
      </c>
      <c r="J51" s="257">
        <f t="shared" si="3"/>
        <v>99.208838999999998</v>
      </c>
      <c r="K51" s="417" t="s">
        <v>370</v>
      </c>
    </row>
    <row r="52" spans="1:11" ht="15" customHeight="1">
      <c r="A52" s="8" t="str">
        <f>Zones!B52</f>
        <v>Corridor_W_FloorT</v>
      </c>
      <c r="B52" s="8">
        <f>Zones!M52</f>
        <v>1.5</v>
      </c>
      <c r="C52" s="175">
        <f>Zones!J52</f>
        <v>300</v>
      </c>
      <c r="D52" s="47">
        <f t="shared" ref="D52:E52" si="34">D16</f>
        <v>15</v>
      </c>
      <c r="E52" s="47">
        <f t="shared" si="34"/>
        <v>0.15</v>
      </c>
      <c r="F52" s="47"/>
      <c r="G52" s="257">
        <f t="shared" si="0"/>
        <v>22.5</v>
      </c>
      <c r="H52" s="257">
        <f t="shared" si="1"/>
        <v>45</v>
      </c>
      <c r="I52" s="47">
        <f t="shared" si="2"/>
        <v>0</v>
      </c>
      <c r="J52" s="257">
        <f t="shared" si="3"/>
        <v>45</v>
      </c>
      <c r="K52" s="417" t="s">
        <v>375</v>
      </c>
    </row>
    <row r="53" spans="1:11" ht="15" customHeight="1">
      <c r="A53" s="8" t="str">
        <f>Zones!B53</f>
        <v>Corridor_N_FloorT</v>
      </c>
      <c r="B53" s="8">
        <f>Zones!M53</f>
        <v>2.5148619999999999</v>
      </c>
      <c r="C53" s="175">
        <f>Zones!J53</f>
        <v>502.97239999999999</v>
      </c>
      <c r="D53" s="47">
        <f t="shared" ref="D53:E53" si="35">D17</f>
        <v>15</v>
      </c>
      <c r="E53" s="47">
        <f t="shared" si="35"/>
        <v>0.15</v>
      </c>
      <c r="F53" s="47"/>
      <c r="G53" s="257">
        <f t="shared" si="0"/>
        <v>37.722929999999998</v>
      </c>
      <c r="H53" s="257">
        <f t="shared" si="1"/>
        <v>75.445859999999996</v>
      </c>
      <c r="I53" s="47">
        <f t="shared" si="2"/>
        <v>0</v>
      </c>
      <c r="J53" s="257">
        <f t="shared" si="3"/>
        <v>75.445859999999996</v>
      </c>
      <c r="K53" s="417" t="s">
        <v>375</v>
      </c>
    </row>
    <row r="54" spans="1:11" ht="15" customHeight="1">
      <c r="A54" s="8" t="str">
        <f>Zones!B54</f>
        <v>Corridor_E_FloorT</v>
      </c>
      <c r="B54" s="8">
        <f>Zones!M54</f>
        <v>1.5</v>
      </c>
      <c r="C54" s="175">
        <f>Zones!J54</f>
        <v>300</v>
      </c>
      <c r="D54" s="47">
        <f t="shared" ref="D54:E54" si="36">D18</f>
        <v>15</v>
      </c>
      <c r="E54" s="47">
        <f t="shared" si="36"/>
        <v>0.15</v>
      </c>
      <c r="F54" s="47"/>
      <c r="G54" s="257">
        <f t="shared" si="0"/>
        <v>22.5</v>
      </c>
      <c r="H54" s="257">
        <f t="shared" si="1"/>
        <v>45</v>
      </c>
      <c r="I54" s="47">
        <f t="shared" si="2"/>
        <v>0</v>
      </c>
      <c r="J54" s="257">
        <f t="shared" si="3"/>
        <v>45</v>
      </c>
      <c r="K54" s="417" t="s">
        <v>375</v>
      </c>
    </row>
    <row r="55" spans="1:11" ht="15" customHeight="1">
      <c r="A55" s="8" t="str">
        <f>Zones!B55</f>
        <v>Corridor_S_FloorT</v>
      </c>
      <c r="B55" s="8">
        <f>Zones!M55</f>
        <v>2.5148619999999999</v>
      </c>
      <c r="C55" s="175">
        <f>Zones!J55</f>
        <v>502.97239999999999</v>
      </c>
      <c r="D55" s="47">
        <f t="shared" ref="D55:E55" si="37">D19</f>
        <v>15</v>
      </c>
      <c r="E55" s="47">
        <f t="shared" si="37"/>
        <v>0.15</v>
      </c>
      <c r="F55" s="47"/>
      <c r="G55" s="257">
        <f t="shared" si="0"/>
        <v>37.722929999999998</v>
      </c>
      <c r="H55" s="257">
        <f t="shared" si="1"/>
        <v>75.445859999999996</v>
      </c>
      <c r="I55" s="47">
        <f t="shared" si="2"/>
        <v>0</v>
      </c>
      <c r="J55" s="257">
        <f t="shared" si="3"/>
        <v>75.445859999999996</v>
      </c>
      <c r="K55" s="417" t="s">
        <v>375</v>
      </c>
    </row>
    <row r="56" spans="1:11" ht="15" customHeight="1">
      <c r="A56" s="8" t="str">
        <f>Zones!B56</f>
        <v>Plenum_FloorT</v>
      </c>
      <c r="B56" s="8">
        <f>Zones!M56</f>
        <v>0</v>
      </c>
      <c r="C56" s="175">
        <f>Zones!J56</f>
        <v>17875.932499999999</v>
      </c>
      <c r="D56" s="47">
        <f t="shared" ref="D56:E56" si="38">D20</f>
        <v>0</v>
      </c>
      <c r="E56" s="47" t="str">
        <f t="shared" si="38"/>
        <v>-</v>
      </c>
      <c r="F56" s="47"/>
      <c r="G56" s="257"/>
      <c r="H56" s="257"/>
      <c r="I56" s="47">
        <f t="shared" si="2"/>
        <v>0</v>
      </c>
      <c r="J56" s="257">
        <f t="shared" si="3"/>
        <v>0</v>
      </c>
      <c r="K56" s="417" t="s">
        <v>148</v>
      </c>
    </row>
    <row r="57" spans="1:11">
      <c r="A57" s="259"/>
      <c r="B57" s="259"/>
      <c r="C57" s="259"/>
      <c r="D57" s="259"/>
      <c r="E57" s="259"/>
      <c r="F57" s="259"/>
      <c r="G57" s="259"/>
      <c r="H57" s="259"/>
      <c r="I57" s="259"/>
      <c r="J57" s="259"/>
      <c r="K57" s="259"/>
    </row>
    <row r="58" spans="1:11">
      <c r="A58" s="259" t="s">
        <v>379</v>
      </c>
      <c r="B58" s="259"/>
      <c r="C58" s="259"/>
      <c r="D58" s="259"/>
      <c r="E58" s="259"/>
      <c r="F58" s="259"/>
      <c r="G58" s="259"/>
      <c r="H58" s="259"/>
      <c r="I58" s="259"/>
      <c r="J58" s="259"/>
      <c r="K58" s="259"/>
    </row>
    <row r="59" spans="1:11">
      <c r="A59" s="259"/>
      <c r="B59" s="259"/>
      <c r="C59" s="259"/>
      <c r="D59" s="259"/>
      <c r="E59" s="259"/>
      <c r="F59" s="259"/>
      <c r="G59" s="259"/>
      <c r="H59" s="259"/>
      <c r="I59" s="259"/>
      <c r="J59" s="259"/>
      <c r="K59" s="259"/>
    </row>
    <row r="60" spans="1:11">
      <c r="A60" s="259"/>
      <c r="B60" s="259"/>
      <c r="C60" s="259"/>
      <c r="D60" s="259"/>
      <c r="E60" s="259"/>
      <c r="F60" s="259"/>
      <c r="G60" s="259"/>
      <c r="H60" s="259"/>
      <c r="I60" s="259"/>
      <c r="J60" s="259"/>
      <c r="K60" s="259"/>
    </row>
    <row r="64" spans="1:11" ht="15.6">
      <c r="K64" s="4"/>
    </row>
  </sheetData>
  <mergeCells count="1">
    <mergeCell ref="A1:K1"/>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6F9F2-6CC5-44EB-820B-CDF4FE4DCCC5}">
  <dimension ref="A1:AM146"/>
  <sheetViews>
    <sheetView zoomScale="85" zoomScaleNormal="85" workbookViewId="0">
      <selection sqref="A1:G1"/>
    </sheetView>
  </sheetViews>
  <sheetFormatPr defaultColWidth="8.88671875" defaultRowHeight="13.2"/>
  <cols>
    <col min="1" max="1" width="33.6640625" style="11" customWidth="1"/>
    <col min="2" max="4" width="22.5546875" style="11" customWidth="1"/>
    <col min="5" max="5" width="32.33203125" style="11" customWidth="1"/>
    <col min="6" max="6" width="33.33203125" style="11" customWidth="1"/>
    <col min="7" max="7" width="34.5546875" style="11" customWidth="1"/>
    <col min="8" max="8" width="13.44140625" style="11" customWidth="1"/>
    <col min="9" max="9" width="28.6640625" style="11" customWidth="1"/>
    <col min="10" max="10" width="14.44140625" style="11" customWidth="1"/>
    <col min="11" max="13" width="15.109375" style="11" customWidth="1"/>
    <col min="14" max="14" width="12.33203125" style="11" customWidth="1"/>
    <col min="15" max="15" width="13.33203125" style="11" customWidth="1"/>
    <col min="16" max="16" width="15.109375" style="11" customWidth="1"/>
    <col min="17" max="17" width="11" style="11" customWidth="1"/>
    <col min="18" max="21" width="15.109375" style="11" customWidth="1"/>
    <col min="22" max="22" width="7.6640625" style="11" hidden="1" customWidth="1"/>
    <col min="23" max="23" width="12.44140625" style="11" hidden="1" customWidth="1"/>
    <col min="24" max="39" width="6.5546875" style="11" hidden="1" customWidth="1"/>
    <col min="40" max="40" width="15.109375" style="11" customWidth="1"/>
    <col min="41" max="41" width="11.109375" style="11" customWidth="1"/>
    <col min="42" max="42" width="6.109375" style="11" customWidth="1"/>
    <col min="43" max="46" width="4.88671875" style="11" customWidth="1"/>
    <col min="47" max="47" width="6.109375" style="11" customWidth="1"/>
    <col min="48" max="62" width="4.88671875" style="11" customWidth="1"/>
    <col min="63" max="16384" width="8.88671875" style="11"/>
  </cols>
  <sheetData>
    <row r="1" spans="1:9" ht="24" customHeight="1">
      <c r="A1" s="700" t="s">
        <v>380</v>
      </c>
      <c r="B1" s="700"/>
      <c r="C1" s="700"/>
      <c r="D1" s="700"/>
      <c r="E1" s="700"/>
      <c r="F1" s="700"/>
      <c r="G1" s="700"/>
      <c r="H1"/>
    </row>
    <row r="2" spans="1:9" ht="22.2" customHeight="1">
      <c r="A2" s="137" t="s">
        <v>202</v>
      </c>
      <c r="B2" s="137" t="s">
        <v>381</v>
      </c>
      <c r="C2" s="137" t="s">
        <v>382</v>
      </c>
      <c r="D2" s="527" t="s">
        <v>383</v>
      </c>
      <c r="E2" s="137" t="s">
        <v>384</v>
      </c>
      <c r="F2" s="137" t="s">
        <v>385</v>
      </c>
      <c r="G2" s="137" t="s">
        <v>252</v>
      </c>
      <c r="H2"/>
    </row>
    <row r="3" spans="1:9" s="288" customFormat="1" ht="47.25" customHeight="1">
      <c r="A3" s="410" t="s">
        <v>275</v>
      </c>
      <c r="B3" s="410" t="s">
        <v>386</v>
      </c>
      <c r="C3" s="410">
        <v>0.8</v>
      </c>
      <c r="D3" s="575">
        <v>1</v>
      </c>
      <c r="E3" s="576" t="str">
        <f>"See table below for CZ-specific values: "&amp;A73&amp;", Storage Volume column (col F)"</f>
        <v>See table below for CZ-specific values: Climate Zone Water Heater Sizing and Loss Coefficients, Storage Volume column (col F)</v>
      </c>
      <c r="F3" s="577" t="str">
        <f>"See table below: "&amp;A73&amp;", Standby Loss column (col G)"</f>
        <v>See table below: Climate Zone Water Heater Sizing and Loss Coefficients, Standby Loss column (col G)</v>
      </c>
      <c r="G3" s="559" t="str">
        <f>"See table below for sources: "&amp;A73</f>
        <v>See table below for sources: Climate Zone Water Heater Sizing and Loss Coefficients</v>
      </c>
      <c r="H3" s="138"/>
      <c r="I3" s="384"/>
    </row>
    <row r="4" spans="1:9" s="288" customFormat="1" ht="49.5" customHeight="1">
      <c r="A4" s="410" t="s">
        <v>287</v>
      </c>
      <c r="B4" s="410" t="s">
        <v>386</v>
      </c>
      <c r="C4" s="410">
        <v>0.8</v>
      </c>
      <c r="D4" s="575">
        <v>1</v>
      </c>
      <c r="E4" s="576" t="str">
        <f>E3</f>
        <v>See table below for CZ-specific values: Climate Zone Water Heater Sizing and Loss Coefficients, Storage Volume column (col F)</v>
      </c>
      <c r="F4" s="576" t="str">
        <f>F3</f>
        <v>See table below: Climate Zone Water Heater Sizing and Loss Coefficients, Standby Loss column (col G)</v>
      </c>
      <c r="G4" s="559" t="str">
        <f>G3</f>
        <v>See table below for sources: Climate Zone Water Heater Sizing and Loss Coefficients</v>
      </c>
      <c r="H4" s="138"/>
      <c r="I4" s="384"/>
    </row>
    <row r="5" spans="1:9" ht="14.4" customHeight="1">
      <c r="A5" s="312"/>
      <c r="B5" s="312"/>
      <c r="C5" s="312"/>
      <c r="D5" s="312"/>
      <c r="E5" s="312"/>
      <c r="F5" s="312"/>
    </row>
    <row r="6" spans="1:9" ht="14.4" customHeight="1">
      <c r="A6" s="312"/>
      <c r="B6" s="312"/>
      <c r="C6" s="312"/>
      <c r="D6" s="312"/>
      <c r="E6" s="312"/>
      <c r="F6" s="312"/>
    </row>
    <row r="7" spans="1:9" ht="13.2" customHeight="1">
      <c r="A7" s="312"/>
      <c r="B7" s="312"/>
      <c r="C7" s="312"/>
      <c r="D7" s="312"/>
      <c r="E7" s="312"/>
      <c r="F7" s="312"/>
    </row>
    <row r="8" spans="1:9" ht="18" customHeight="1">
      <c r="A8" s="674" t="s">
        <v>387</v>
      </c>
      <c r="B8" s="674"/>
      <c r="C8" s="674"/>
      <c r="D8" s="674"/>
      <c r="E8" s="674"/>
      <c r="F8" s="674"/>
      <c r="G8" s="674"/>
      <c r="H8" s="674"/>
      <c r="I8" s="674"/>
    </row>
    <row r="9" spans="1:9" ht="52.8">
      <c r="A9" s="185" t="s">
        <v>388</v>
      </c>
      <c r="B9" s="177" t="s">
        <v>389</v>
      </c>
      <c r="C9" s="177" t="s">
        <v>390</v>
      </c>
      <c r="D9" s="177"/>
      <c r="E9" s="177" t="s">
        <v>121</v>
      </c>
      <c r="F9" s="177" t="s">
        <v>391</v>
      </c>
      <c r="G9" s="177" t="s">
        <v>392</v>
      </c>
      <c r="H9" s="177" t="s">
        <v>393</v>
      </c>
      <c r="I9" s="177" t="s">
        <v>319</v>
      </c>
    </row>
    <row r="10" spans="1:9" ht="48" customHeight="1">
      <c r="A10" s="178" t="str">
        <f>Zones!B3</f>
        <v>Open_Office_Core_FloorG</v>
      </c>
      <c r="B10" s="179" t="s">
        <v>394</v>
      </c>
      <c r="C10" s="180">
        <f>Zones!J3*Zones!L3</f>
        <v>4283</v>
      </c>
      <c r="D10" s="180"/>
      <c r="E10" s="181">
        <f>Zones!M3*Zones!L3</f>
        <v>21.414999999999999</v>
      </c>
      <c r="F10" s="182">
        <v>0.18</v>
      </c>
      <c r="G10" s="181">
        <f>E10*F10</f>
        <v>3.8546999999999998</v>
      </c>
      <c r="H10" s="183">
        <f>G10/60</f>
        <v>6.4244999999999997E-2</v>
      </c>
      <c r="I10" s="765" t="s">
        <v>395</v>
      </c>
    </row>
    <row r="11" spans="1:9" ht="16.2" customHeight="1">
      <c r="A11" s="178" t="str">
        <f>Zones!B4</f>
        <v>Open_Office_N_FloorG</v>
      </c>
      <c r="B11" s="179" t="s">
        <v>394</v>
      </c>
      <c r="C11" s="180">
        <f>Zones!J4*Zones!L4</f>
        <v>2297.9873200000002</v>
      </c>
      <c r="D11" s="180"/>
      <c r="E11" s="181">
        <f>Zones!M4*Zones!L4</f>
        <v>11.4899366</v>
      </c>
      <c r="F11" s="182">
        <v>0.18</v>
      </c>
      <c r="G11" s="181">
        <f t="shared" ref="G11:G63" si="0">E11*F11</f>
        <v>2.0681885879999999</v>
      </c>
      <c r="H11" s="183">
        <f t="shared" ref="H11:H63" si="1">G11/60</f>
        <v>3.4469809800000001E-2</v>
      </c>
      <c r="I11" s="766"/>
    </row>
    <row r="12" spans="1:9" ht="13.2" customHeight="1">
      <c r="A12" s="178" t="str">
        <f>Zones!B5</f>
        <v>Enclosed_Office_W_FloorG</v>
      </c>
      <c r="B12" s="179" t="s">
        <v>394</v>
      </c>
      <c r="C12" s="180">
        <f>Zones!J5*Zones!L5</f>
        <v>1637.8611599999999</v>
      </c>
      <c r="D12" s="180"/>
      <c r="E12" s="181">
        <f>Zones!M5*Zones!L5</f>
        <v>8.1893057999999996</v>
      </c>
      <c r="F12" s="182">
        <v>0.18</v>
      </c>
      <c r="G12" s="181">
        <f t="shared" si="0"/>
        <v>1.4740750439999999</v>
      </c>
      <c r="H12" s="183">
        <f t="shared" si="1"/>
        <v>2.4567917399999997E-2</v>
      </c>
      <c r="I12" s="766"/>
    </row>
    <row r="13" spans="1:9" ht="13.2" customHeight="1">
      <c r="A13" s="178" t="str">
        <f>Zones!B6</f>
        <v>Enclosed_Office_E_FloorG</v>
      </c>
      <c r="B13" s="179" t="s">
        <v>394</v>
      </c>
      <c r="C13" s="180">
        <f>Zones!J6*Zones!L6</f>
        <v>1637.8611599999999</v>
      </c>
      <c r="D13" s="180"/>
      <c r="E13" s="181">
        <f>Zones!M6*Zones!L6</f>
        <v>8.1893057999999996</v>
      </c>
      <c r="F13" s="182">
        <v>0.18</v>
      </c>
      <c r="G13" s="181">
        <f t="shared" si="0"/>
        <v>1.4740750439999999</v>
      </c>
      <c r="H13" s="183">
        <f>G13/60</f>
        <v>2.4567917399999997E-2</v>
      </c>
      <c r="I13" s="766"/>
    </row>
    <row r="14" spans="1:9" ht="13.2" customHeight="1">
      <c r="A14" s="178" t="str">
        <f>Zones!B7</f>
        <v>Open_Office_S_FloorG</v>
      </c>
      <c r="B14" s="179" t="s">
        <v>394</v>
      </c>
      <c r="C14" s="180">
        <f>Zones!J7*Zones!L7</f>
        <v>1186.20751</v>
      </c>
      <c r="D14" s="180"/>
      <c r="E14" s="181">
        <f>Zones!M7*Zones!L7</f>
        <v>5.9310375500000001</v>
      </c>
      <c r="F14" s="182">
        <v>0.18</v>
      </c>
      <c r="G14" s="181">
        <f t="shared" si="0"/>
        <v>1.0675867589999999</v>
      </c>
      <c r="H14" s="183">
        <f t="shared" si="1"/>
        <v>1.7793112649999998E-2</v>
      </c>
      <c r="I14" s="766"/>
    </row>
    <row r="15" spans="1:9" ht="13.2" customHeight="1">
      <c r="A15" s="178" t="str">
        <f>Zones!B8</f>
        <v>Conference_FloorG</v>
      </c>
      <c r="B15" s="179" t="s">
        <v>394</v>
      </c>
      <c r="C15" s="180">
        <f>Zones!J8*Zones!L8</f>
        <v>1111.77981</v>
      </c>
      <c r="D15" s="180"/>
      <c r="E15" s="181">
        <f>Zones!M8*Zones!L8</f>
        <v>36.688733730000003</v>
      </c>
      <c r="F15" s="184">
        <v>0.09</v>
      </c>
      <c r="G15" s="181">
        <f t="shared" si="0"/>
        <v>3.3019860357000002</v>
      </c>
      <c r="H15" s="183">
        <f t="shared" si="1"/>
        <v>5.5033100595000002E-2</v>
      </c>
      <c r="I15" s="766"/>
    </row>
    <row r="16" spans="1:9" ht="13.2" customHeight="1">
      <c r="A16" s="178" t="str">
        <f>Zones!B9</f>
        <v>Lobby_FloorG</v>
      </c>
      <c r="B16" s="179" t="s">
        <v>386</v>
      </c>
      <c r="C16" s="180">
        <f>Zones!J9*Zones!L9</f>
        <v>1059.1754699999999</v>
      </c>
      <c r="D16" s="180"/>
      <c r="E16" s="181">
        <f>Zones!M9*Zones!L9</f>
        <v>10.591754699999999</v>
      </c>
      <c r="F16" s="184">
        <v>0.09</v>
      </c>
      <c r="G16" s="181">
        <f t="shared" si="0"/>
        <v>0.9532579229999999</v>
      </c>
      <c r="H16" s="183">
        <f t="shared" si="1"/>
        <v>1.5887632049999999E-2</v>
      </c>
      <c r="I16" s="766"/>
    </row>
    <row r="17" spans="1:9" ht="13.2" customHeight="1">
      <c r="A17" s="178" t="str">
        <f>Zones!B10</f>
        <v>Storage_FloorG</v>
      </c>
      <c r="B17" s="179" t="s">
        <v>394</v>
      </c>
      <c r="C17" s="180">
        <f>Zones!J10*Zones!L10</f>
        <v>983.156114</v>
      </c>
      <c r="D17" s="180"/>
      <c r="E17" s="181"/>
      <c r="F17" s="184">
        <v>0</v>
      </c>
      <c r="G17" s="181">
        <f t="shared" si="0"/>
        <v>0</v>
      </c>
      <c r="H17" s="183">
        <f t="shared" si="1"/>
        <v>0</v>
      </c>
      <c r="I17" s="766"/>
    </row>
    <row r="18" spans="1:9">
      <c r="A18" s="178" t="str">
        <f>Zones!B11</f>
        <v>Mechanical/Electrical_FloorG</v>
      </c>
      <c r="B18" s="179" t="s">
        <v>394</v>
      </c>
      <c r="C18" s="180">
        <f>Zones!J11*Zones!L11</f>
        <v>357.35034200000001</v>
      </c>
      <c r="D18" s="180"/>
      <c r="E18" s="181"/>
      <c r="F18" s="184">
        <v>0.18</v>
      </c>
      <c r="G18" s="181">
        <f t="shared" si="0"/>
        <v>0</v>
      </c>
      <c r="H18" s="183">
        <f t="shared" si="1"/>
        <v>0</v>
      </c>
      <c r="I18" s="766"/>
    </row>
    <row r="19" spans="1:9" ht="13.2" customHeight="1">
      <c r="A19" s="178" t="str">
        <f>Zones!B12</f>
        <v>IT-Room_FloorG</v>
      </c>
      <c r="B19" s="179" t="s">
        <v>394</v>
      </c>
      <c r="C19" s="180">
        <f>Zones!J12*Zones!L12</f>
        <v>178.93730199999999</v>
      </c>
      <c r="D19" s="180"/>
      <c r="E19" s="181"/>
      <c r="F19" s="184">
        <v>0.18</v>
      </c>
      <c r="G19" s="181">
        <f t="shared" si="0"/>
        <v>0</v>
      </c>
      <c r="H19" s="183">
        <f t="shared" si="1"/>
        <v>0</v>
      </c>
      <c r="I19" s="766"/>
    </row>
    <row r="20" spans="1:9" ht="13.2" customHeight="1">
      <c r="A20" s="178" t="str">
        <f>Zones!B13</f>
        <v>Restroom_FloorG</v>
      </c>
      <c r="B20" s="179" t="s">
        <v>386</v>
      </c>
      <c r="C20" s="180">
        <f>Zones!J13*Zones!L13</f>
        <v>643.57782699999996</v>
      </c>
      <c r="D20" s="180"/>
      <c r="E20" s="181"/>
      <c r="F20" s="182">
        <v>0</v>
      </c>
      <c r="G20" s="181">
        <f t="shared" si="0"/>
        <v>0</v>
      </c>
      <c r="H20" s="183">
        <f t="shared" si="1"/>
        <v>0</v>
      </c>
      <c r="I20" s="766"/>
    </row>
    <row r="21" spans="1:9">
      <c r="A21" s="178" t="str">
        <f>Zones!B14</f>
        <v>BreakRoom/Kitchenette_FloorG</v>
      </c>
      <c r="B21" s="179" t="s">
        <v>386</v>
      </c>
      <c r="C21" s="180">
        <f>Zones!J14*Zones!L14</f>
        <v>232.34295399999999</v>
      </c>
      <c r="D21" s="180"/>
      <c r="E21" s="181">
        <f>Zones!M14*Zones!L14</f>
        <v>7.6673174819999996</v>
      </c>
      <c r="F21" s="340">
        <v>0.57799999999999996</v>
      </c>
      <c r="G21" s="181">
        <f t="shared" si="0"/>
        <v>4.4317095045959993</v>
      </c>
      <c r="H21" s="183">
        <f t="shared" si="1"/>
        <v>7.3861825076599982E-2</v>
      </c>
      <c r="I21" s="766"/>
    </row>
    <row r="22" spans="1:9" ht="13.2" customHeight="1">
      <c r="A22" s="178" t="str">
        <f>Zones!B15</f>
        <v>Stairway_FloorG</v>
      </c>
      <c r="B22" s="179" t="s">
        <v>394</v>
      </c>
      <c r="C22" s="180">
        <f>Zones!J15*Zones!L15</f>
        <v>661.39225999999996</v>
      </c>
      <c r="D22" s="180"/>
      <c r="E22" s="181"/>
      <c r="F22" s="184">
        <v>0</v>
      </c>
      <c r="G22" s="181">
        <f t="shared" si="0"/>
        <v>0</v>
      </c>
      <c r="H22" s="183">
        <f t="shared" si="1"/>
        <v>0</v>
      </c>
      <c r="I22" s="766"/>
    </row>
    <row r="23" spans="1:9" ht="13.2" customHeight="1">
      <c r="A23" s="178" t="str">
        <f>Zones!B16</f>
        <v>Corridor_W_FloorG</v>
      </c>
      <c r="B23" s="179" t="s">
        <v>394</v>
      </c>
      <c r="C23" s="180">
        <f>Zones!J16*Zones!L16</f>
        <v>300</v>
      </c>
      <c r="D23" s="180"/>
      <c r="E23" s="181">
        <f>Zones!M16*Zones!L16</f>
        <v>1.5</v>
      </c>
      <c r="F23" s="184">
        <v>0</v>
      </c>
      <c r="G23" s="181">
        <f t="shared" si="0"/>
        <v>0</v>
      </c>
      <c r="H23" s="183">
        <f t="shared" si="1"/>
        <v>0</v>
      </c>
      <c r="I23" s="766"/>
    </row>
    <row r="24" spans="1:9" ht="13.2" customHeight="1">
      <c r="A24" s="178" t="str">
        <f>Zones!B17</f>
        <v>Corridor_N_FloorG</v>
      </c>
      <c r="B24" s="179" t="s">
        <v>394</v>
      </c>
      <c r="C24" s="180">
        <f>Zones!J17*Zones!L17</f>
        <v>502.97239999999999</v>
      </c>
      <c r="D24" s="180"/>
      <c r="E24" s="181">
        <f>Zones!M17*Zones!L17</f>
        <v>2.5148619999999999</v>
      </c>
      <c r="F24" s="183">
        <v>0</v>
      </c>
      <c r="G24" s="181">
        <f t="shared" si="0"/>
        <v>0</v>
      </c>
      <c r="H24" s="183">
        <f t="shared" si="1"/>
        <v>0</v>
      </c>
      <c r="I24" s="766"/>
    </row>
    <row r="25" spans="1:9" ht="13.2" customHeight="1">
      <c r="A25" s="178" t="str">
        <f>Zones!B18</f>
        <v>Corridor_E_FloorG</v>
      </c>
      <c r="B25" s="179" t="s">
        <v>394</v>
      </c>
      <c r="C25" s="180">
        <f>Zones!J18*Zones!L18</f>
        <v>299.20760000000001</v>
      </c>
      <c r="D25" s="180"/>
      <c r="E25" s="181">
        <f>Zones!M18*Zones!L18</f>
        <v>1.496038</v>
      </c>
      <c r="F25" s="184">
        <v>0</v>
      </c>
      <c r="G25" s="181">
        <f t="shared" si="0"/>
        <v>0</v>
      </c>
      <c r="H25" s="183">
        <f t="shared" si="1"/>
        <v>0</v>
      </c>
      <c r="I25" s="766"/>
    </row>
    <row r="26" spans="1:9" ht="13.2" customHeight="1">
      <c r="A26" s="178" t="str">
        <f>Zones!B19</f>
        <v>Corridor_S_FloorG</v>
      </c>
      <c r="B26" s="179" t="s">
        <v>394</v>
      </c>
      <c r="C26" s="180">
        <f>Zones!J19*Zones!L19</f>
        <v>502.97239999999999</v>
      </c>
      <c r="D26" s="180"/>
      <c r="E26" s="181">
        <f>Zones!M19*Zones!L19</f>
        <v>2.5148619999999999</v>
      </c>
      <c r="F26" s="184">
        <v>0</v>
      </c>
      <c r="G26" s="181">
        <f t="shared" si="0"/>
        <v>0</v>
      </c>
      <c r="H26" s="183">
        <f t="shared" si="1"/>
        <v>0</v>
      </c>
      <c r="I26" s="766"/>
    </row>
    <row r="27" spans="1:9" ht="13.2" customHeight="1">
      <c r="A27" s="178" t="str">
        <f>Zones!B20</f>
        <v>Plenum_FloorG</v>
      </c>
      <c r="B27" s="179"/>
      <c r="C27" s="180">
        <f>Zones!J20*Zones!L20</f>
        <v>17875.932499999999</v>
      </c>
      <c r="D27" s="180"/>
      <c r="E27" s="181"/>
      <c r="F27" s="184">
        <v>0</v>
      </c>
      <c r="G27" s="181">
        <f t="shared" si="0"/>
        <v>0</v>
      </c>
      <c r="H27" s="183">
        <f t="shared" si="1"/>
        <v>0</v>
      </c>
      <c r="I27" s="766"/>
    </row>
    <row r="28" spans="1:9" ht="13.2" customHeight="1">
      <c r="A28" s="178" t="str">
        <f>Zones!B21</f>
        <v>Open_Office_Core_FloorM</v>
      </c>
      <c r="B28" s="179" t="s">
        <v>394</v>
      </c>
      <c r="C28" s="180">
        <f>Zones!J21*Zones!L21</f>
        <v>4283</v>
      </c>
      <c r="D28" s="180"/>
      <c r="E28" s="181">
        <f>Zones!M21*Zones!L21</f>
        <v>21.414999999999999</v>
      </c>
      <c r="F28" s="184">
        <v>0.18</v>
      </c>
      <c r="G28" s="181">
        <f t="shared" si="0"/>
        <v>3.8546999999999998</v>
      </c>
      <c r="H28" s="183">
        <f t="shared" si="1"/>
        <v>6.4244999999999997E-2</v>
      </c>
      <c r="I28" s="766"/>
    </row>
    <row r="29" spans="1:9" ht="13.2" customHeight="1">
      <c r="A29" s="178" t="str">
        <f>Zones!B22</f>
        <v>Open_Office_N_FloorM</v>
      </c>
      <c r="B29" s="179" t="s">
        <v>394</v>
      </c>
      <c r="C29" s="180">
        <f>Zones!J22*Zones!L22</f>
        <v>2297.9873200000002</v>
      </c>
      <c r="D29" s="180"/>
      <c r="E29" s="181">
        <f>Zones!M22*Zones!L22</f>
        <v>11.4899366</v>
      </c>
      <c r="F29" s="184">
        <v>0.18</v>
      </c>
      <c r="G29" s="181">
        <f t="shared" si="0"/>
        <v>2.0681885879999999</v>
      </c>
      <c r="H29" s="183">
        <f t="shared" si="1"/>
        <v>3.4469809800000001E-2</v>
      </c>
      <c r="I29" s="766"/>
    </row>
    <row r="30" spans="1:9" ht="13.2" customHeight="1">
      <c r="A30" s="178" t="str">
        <f>Zones!B23</f>
        <v>Enclosed_Office_W_FloorM</v>
      </c>
      <c r="B30" s="179" t="s">
        <v>394</v>
      </c>
      <c r="C30" s="180">
        <f>Zones!J23*Zones!L23</f>
        <v>1637.8611599999999</v>
      </c>
      <c r="D30" s="180"/>
      <c r="E30" s="181">
        <f>Zones!M23*Zones!L23</f>
        <v>8.1893057999999996</v>
      </c>
      <c r="F30" s="184">
        <v>0.18</v>
      </c>
      <c r="G30" s="181">
        <f t="shared" si="0"/>
        <v>1.4740750439999999</v>
      </c>
      <c r="H30" s="183">
        <f t="shared" si="1"/>
        <v>2.4567917399999997E-2</v>
      </c>
      <c r="I30" s="766"/>
    </row>
    <row r="31" spans="1:9" ht="13.2" customHeight="1">
      <c r="A31" s="178" t="str">
        <f>Zones!B24</f>
        <v>Enclosed_Office_E_FloorM</v>
      </c>
      <c r="B31" s="179" t="s">
        <v>394</v>
      </c>
      <c r="C31" s="180">
        <f>Zones!J24*Zones!L24</f>
        <v>1637.8611599999999</v>
      </c>
      <c r="D31" s="180"/>
      <c r="E31" s="181">
        <f>Zones!M24*Zones!L24</f>
        <v>8.1893057999999996</v>
      </c>
      <c r="F31" s="184">
        <v>0.18</v>
      </c>
      <c r="G31" s="181">
        <f t="shared" si="0"/>
        <v>1.4740750439999999</v>
      </c>
      <c r="H31" s="183">
        <f t="shared" si="1"/>
        <v>2.4567917399999997E-2</v>
      </c>
      <c r="I31" s="766"/>
    </row>
    <row r="32" spans="1:9" ht="13.2" customHeight="1">
      <c r="A32" s="178" t="str">
        <f>Zones!B25</f>
        <v>Open_Office_S_FloorM</v>
      </c>
      <c r="B32" s="179" t="s">
        <v>394</v>
      </c>
      <c r="C32" s="180">
        <f>Zones!J25*Zones!L25</f>
        <v>1186.20751</v>
      </c>
      <c r="D32" s="180"/>
      <c r="E32" s="181">
        <f>Zones!M25*Zones!L25</f>
        <v>5.9310375500000001</v>
      </c>
      <c r="F32" s="182">
        <v>0.18</v>
      </c>
      <c r="G32" s="181">
        <f t="shared" si="0"/>
        <v>1.0675867589999999</v>
      </c>
      <c r="H32" s="183">
        <f t="shared" si="1"/>
        <v>1.7793112649999998E-2</v>
      </c>
      <c r="I32" s="766"/>
    </row>
    <row r="33" spans="1:9" ht="13.2" customHeight="1">
      <c r="A33" s="178" t="str">
        <f>Zones!B26</f>
        <v>Conference_FloorM</v>
      </c>
      <c r="B33" s="179" t="s">
        <v>394</v>
      </c>
      <c r="C33" s="180">
        <f>Zones!J26*Zones!L26</f>
        <v>1111.77981</v>
      </c>
      <c r="D33" s="180"/>
      <c r="E33" s="181">
        <f>Zones!M26*Zones!L26</f>
        <v>36.688733730000003</v>
      </c>
      <c r="F33" s="184">
        <v>0.09</v>
      </c>
      <c r="G33" s="181">
        <f t="shared" si="0"/>
        <v>3.3019860357000002</v>
      </c>
      <c r="H33" s="183">
        <f t="shared" si="1"/>
        <v>5.5033100595000002E-2</v>
      </c>
      <c r="I33" s="766"/>
    </row>
    <row r="34" spans="1:9" ht="13.2" customHeight="1">
      <c r="A34" s="178" t="str">
        <f>Zones!B27</f>
        <v>Lounge_FloorM</v>
      </c>
      <c r="B34" s="179" t="s">
        <v>386</v>
      </c>
      <c r="C34" s="180">
        <f>Zones!J27*Zones!L27</f>
        <v>1059.1754699999999</v>
      </c>
      <c r="D34" s="180"/>
      <c r="E34" s="181">
        <f>Zones!M27*Zones!L27</f>
        <v>15.887632049999999</v>
      </c>
      <c r="F34" s="184">
        <v>0.09</v>
      </c>
      <c r="G34" s="181">
        <f t="shared" si="0"/>
        <v>1.4298868844999999</v>
      </c>
      <c r="H34" s="183">
        <f t="shared" si="1"/>
        <v>2.3831448074999997E-2</v>
      </c>
      <c r="I34" s="766"/>
    </row>
    <row r="35" spans="1:9" ht="13.2" customHeight="1">
      <c r="A35" s="178" t="str">
        <f>Zones!B28</f>
        <v>Storage_FloorM</v>
      </c>
      <c r="B35" s="179" t="s">
        <v>148</v>
      </c>
      <c r="C35" s="180">
        <f>Zones!J28*Zones!L28</f>
        <v>983.156114</v>
      </c>
      <c r="D35" s="180"/>
      <c r="E35" s="181"/>
      <c r="F35" s="184">
        <v>0</v>
      </c>
      <c r="G35" s="181">
        <f t="shared" si="0"/>
        <v>0</v>
      </c>
      <c r="H35" s="183">
        <f t="shared" si="1"/>
        <v>0</v>
      </c>
      <c r="I35" s="766"/>
    </row>
    <row r="36" spans="1:9">
      <c r="A36" s="178" t="str">
        <f>Zones!B29</f>
        <v>Mechanical/Electrical_FloorM</v>
      </c>
      <c r="B36" s="179" t="s">
        <v>394</v>
      </c>
      <c r="C36" s="180">
        <f>Zones!J29*Zones!L29</f>
        <v>357.35034200000001</v>
      </c>
      <c r="D36" s="180"/>
      <c r="E36" s="181"/>
      <c r="F36" s="184">
        <v>0.18</v>
      </c>
      <c r="G36" s="181">
        <f t="shared" si="0"/>
        <v>0</v>
      </c>
      <c r="H36" s="183">
        <f t="shared" si="1"/>
        <v>0</v>
      </c>
      <c r="I36" s="766"/>
    </row>
    <row r="37" spans="1:9" ht="13.2" customHeight="1">
      <c r="A37" s="178" t="str">
        <f>Zones!B30</f>
        <v>IT-Room_FloorM</v>
      </c>
      <c r="B37" s="179" t="s">
        <v>394</v>
      </c>
      <c r="C37" s="180">
        <f>Zones!J30*Zones!L30</f>
        <v>178.93730199999999</v>
      </c>
      <c r="D37" s="180"/>
      <c r="E37" s="181"/>
      <c r="F37" s="184">
        <v>0.18</v>
      </c>
      <c r="G37" s="181">
        <f t="shared" si="0"/>
        <v>0</v>
      </c>
      <c r="H37" s="183">
        <f t="shared" si="1"/>
        <v>0</v>
      </c>
      <c r="I37" s="766"/>
    </row>
    <row r="38" spans="1:9" ht="13.2" customHeight="1">
      <c r="A38" s="178" t="str">
        <f>Zones!B31</f>
        <v>Restroom_FloorM</v>
      </c>
      <c r="B38" s="179" t="s">
        <v>386</v>
      </c>
      <c r="C38" s="180">
        <f>Zones!J31*Zones!L31</f>
        <v>643.57782699999996</v>
      </c>
      <c r="D38" s="180"/>
      <c r="E38" s="181"/>
      <c r="F38" s="184">
        <v>0</v>
      </c>
      <c r="G38" s="181">
        <f t="shared" si="0"/>
        <v>0</v>
      </c>
      <c r="H38" s="183">
        <f t="shared" si="1"/>
        <v>0</v>
      </c>
      <c r="I38" s="766"/>
    </row>
    <row r="39" spans="1:9">
      <c r="A39" s="178" t="str">
        <f>Zones!B32</f>
        <v>BreakRoom/Kitchenette_FloorM</v>
      </c>
      <c r="B39" s="179" t="s">
        <v>386</v>
      </c>
      <c r="C39" s="180">
        <f>Zones!J32*Zones!L32</f>
        <v>232.34295399999999</v>
      </c>
      <c r="D39" s="180"/>
      <c r="E39" s="181">
        <f>Zones!M32*Zones!L32</f>
        <v>7.6673174819999996</v>
      </c>
      <c r="F39" s="340">
        <v>0.57799999999999996</v>
      </c>
      <c r="G39" s="181">
        <f t="shared" si="0"/>
        <v>4.4317095045959993</v>
      </c>
      <c r="H39" s="183">
        <f t="shared" si="1"/>
        <v>7.3861825076599982E-2</v>
      </c>
      <c r="I39" s="766"/>
    </row>
    <row r="40" spans="1:9">
      <c r="A40" s="178" t="str">
        <f>Zones!B33</f>
        <v>Stairway_FloorM</v>
      </c>
      <c r="B40" s="578" t="s">
        <v>394</v>
      </c>
      <c r="C40" s="180">
        <f>Zones!J33*Zones!L33</f>
        <v>661.39225999999996</v>
      </c>
      <c r="D40" s="180"/>
      <c r="E40" s="181"/>
      <c r="F40" s="184">
        <v>0</v>
      </c>
      <c r="G40" s="181">
        <f t="shared" si="0"/>
        <v>0</v>
      </c>
      <c r="H40" s="183">
        <f t="shared" si="1"/>
        <v>0</v>
      </c>
      <c r="I40" s="766"/>
    </row>
    <row r="41" spans="1:9">
      <c r="A41" s="178" t="str">
        <f>Zones!B34</f>
        <v>Corridor_W_FloorM</v>
      </c>
      <c r="B41" s="578" t="s">
        <v>394</v>
      </c>
      <c r="C41" s="180">
        <f>Zones!J34*Zones!L34</f>
        <v>300</v>
      </c>
      <c r="D41" s="180"/>
      <c r="E41" s="181">
        <f>Zones!M34*Zones!L34</f>
        <v>1.5</v>
      </c>
      <c r="F41" s="184">
        <v>0</v>
      </c>
      <c r="G41" s="181">
        <f t="shared" si="0"/>
        <v>0</v>
      </c>
      <c r="H41" s="183">
        <f t="shared" si="1"/>
        <v>0</v>
      </c>
      <c r="I41" s="766"/>
    </row>
    <row r="42" spans="1:9" ht="13.2" customHeight="1">
      <c r="A42" s="178" t="str">
        <f>Zones!B35</f>
        <v>Corridor_N_FloorM</v>
      </c>
      <c r="B42" s="179" t="s">
        <v>394</v>
      </c>
      <c r="C42" s="180">
        <f>Zones!J35*Zones!L35</f>
        <v>502.97239999999999</v>
      </c>
      <c r="D42" s="180"/>
      <c r="E42" s="181">
        <f>Zones!M35*Zones!L35</f>
        <v>2.5148619999999999</v>
      </c>
      <c r="F42" s="184">
        <v>0</v>
      </c>
      <c r="G42" s="181">
        <f t="shared" si="0"/>
        <v>0</v>
      </c>
      <c r="H42" s="183">
        <f t="shared" si="1"/>
        <v>0</v>
      </c>
      <c r="I42" s="766"/>
    </row>
    <row r="43" spans="1:9" ht="13.2" customHeight="1">
      <c r="A43" s="178" t="str">
        <f>Zones!B36</f>
        <v>Corridor_E_FloorM</v>
      </c>
      <c r="B43" s="179" t="s">
        <v>394</v>
      </c>
      <c r="C43" s="180">
        <f>Zones!J36*Zones!L36</f>
        <v>299.20760000000001</v>
      </c>
      <c r="D43" s="180"/>
      <c r="E43" s="181">
        <f>Zones!M36*Zones!L36</f>
        <v>1.496038</v>
      </c>
      <c r="F43" s="184">
        <v>0</v>
      </c>
      <c r="G43" s="181">
        <f t="shared" si="0"/>
        <v>0</v>
      </c>
      <c r="H43" s="183">
        <f t="shared" si="1"/>
        <v>0</v>
      </c>
      <c r="I43" s="766"/>
    </row>
    <row r="44" spans="1:9" ht="13.2" customHeight="1">
      <c r="A44" s="178" t="str">
        <f>Zones!B37</f>
        <v>Corridor_S_FloorM</v>
      </c>
      <c r="B44" s="179" t="s">
        <v>394</v>
      </c>
      <c r="C44" s="180">
        <f>Zones!J37*Zones!L37</f>
        <v>502.97239999999999</v>
      </c>
      <c r="D44" s="180"/>
      <c r="E44" s="181">
        <f>Zones!M37*Zones!L37</f>
        <v>2.5148619999999999</v>
      </c>
      <c r="F44" s="184">
        <v>0</v>
      </c>
      <c r="G44" s="181">
        <f t="shared" si="0"/>
        <v>0</v>
      </c>
      <c r="H44" s="183">
        <f t="shared" si="1"/>
        <v>0</v>
      </c>
      <c r="I44" s="766"/>
    </row>
    <row r="45" spans="1:9" ht="13.2" customHeight="1">
      <c r="A45" s="178" t="str">
        <f>Zones!B38</f>
        <v>Plenum_FloorM</v>
      </c>
      <c r="B45" s="179"/>
      <c r="C45" s="180">
        <f>Zones!J38*Zones!L38</f>
        <v>17875.932499999999</v>
      </c>
      <c r="D45" s="180"/>
      <c r="E45" s="181"/>
      <c r="F45" s="184">
        <v>0</v>
      </c>
      <c r="G45" s="181">
        <f t="shared" si="0"/>
        <v>0</v>
      </c>
      <c r="H45" s="183">
        <f t="shared" si="1"/>
        <v>0</v>
      </c>
      <c r="I45" s="766"/>
    </row>
    <row r="46" spans="1:9" ht="13.2" customHeight="1">
      <c r="A46" s="178" t="str">
        <f>Zones!B39</f>
        <v>Open_Office_Core_FloorT</v>
      </c>
      <c r="B46" s="179" t="s">
        <v>394</v>
      </c>
      <c r="C46" s="180">
        <f>Zones!J39*Zones!L39</f>
        <v>4283</v>
      </c>
      <c r="D46" s="180"/>
      <c r="E46" s="181">
        <f>Zones!M39*Zones!L39</f>
        <v>21.414999999999999</v>
      </c>
      <c r="F46" s="184">
        <v>0.18</v>
      </c>
      <c r="G46" s="181">
        <f t="shared" si="0"/>
        <v>3.8546999999999998</v>
      </c>
      <c r="H46" s="183">
        <f t="shared" si="1"/>
        <v>6.4244999999999997E-2</v>
      </c>
      <c r="I46" s="766"/>
    </row>
    <row r="47" spans="1:9" ht="13.2" customHeight="1">
      <c r="A47" s="178" t="str">
        <f>Zones!B40</f>
        <v>Open_Office_N_FloorT</v>
      </c>
      <c r="B47" s="179" t="s">
        <v>394</v>
      </c>
      <c r="C47" s="180">
        <f>Zones!J40*Zones!L40</f>
        <v>2297.9873200000002</v>
      </c>
      <c r="D47" s="180"/>
      <c r="E47" s="181">
        <f>Zones!M40*Zones!L40</f>
        <v>11.4899366</v>
      </c>
      <c r="F47" s="184">
        <v>0.18</v>
      </c>
      <c r="G47" s="181">
        <f t="shared" si="0"/>
        <v>2.0681885879999999</v>
      </c>
      <c r="H47" s="183">
        <f t="shared" si="1"/>
        <v>3.4469809800000001E-2</v>
      </c>
      <c r="I47" s="766"/>
    </row>
    <row r="48" spans="1:9" ht="13.2" customHeight="1">
      <c r="A48" s="178" t="str">
        <f>Zones!B41</f>
        <v>Enclosed_Office_W_FloorT</v>
      </c>
      <c r="B48" s="179" t="s">
        <v>394</v>
      </c>
      <c r="C48" s="180">
        <f>Zones!J41*Zones!L41</f>
        <v>1637.8611599999999</v>
      </c>
      <c r="D48" s="180"/>
      <c r="E48" s="181">
        <f>Zones!M41*Zones!L41</f>
        <v>8.1893057999999996</v>
      </c>
      <c r="F48" s="184">
        <v>0.18</v>
      </c>
      <c r="G48" s="181">
        <f t="shared" si="0"/>
        <v>1.4740750439999999</v>
      </c>
      <c r="H48" s="183">
        <f t="shared" si="1"/>
        <v>2.4567917399999997E-2</v>
      </c>
      <c r="I48" s="766"/>
    </row>
    <row r="49" spans="1:9" ht="13.2" customHeight="1">
      <c r="A49" s="178" t="str">
        <f>Zones!B42</f>
        <v>Enclosed_Office_E_FloorT</v>
      </c>
      <c r="B49" s="179" t="s">
        <v>394</v>
      </c>
      <c r="C49" s="180">
        <f>Zones!J42*Zones!L42</f>
        <v>1637.8611599999999</v>
      </c>
      <c r="D49" s="180"/>
      <c r="E49" s="181">
        <f>Zones!M42*Zones!L42</f>
        <v>8.1893057999999996</v>
      </c>
      <c r="F49" s="184">
        <v>0.18</v>
      </c>
      <c r="G49" s="181">
        <f t="shared" si="0"/>
        <v>1.4740750439999999</v>
      </c>
      <c r="H49" s="183">
        <f t="shared" si="1"/>
        <v>2.4567917399999997E-2</v>
      </c>
      <c r="I49" s="766"/>
    </row>
    <row r="50" spans="1:9" ht="13.2" customHeight="1">
      <c r="A50" s="178" t="str">
        <f>Zones!B43</f>
        <v>Open_Office_S_FloorT</v>
      </c>
      <c r="B50" s="179" t="s">
        <v>394</v>
      </c>
      <c r="C50" s="180">
        <f>Zones!J43*Zones!L43</f>
        <v>1186.20751</v>
      </c>
      <c r="D50" s="180"/>
      <c r="E50" s="181">
        <f>Zones!M43*Zones!L43</f>
        <v>5.9310375500000001</v>
      </c>
      <c r="F50" s="184">
        <v>0.18</v>
      </c>
      <c r="G50" s="181">
        <f t="shared" si="0"/>
        <v>1.0675867589999999</v>
      </c>
      <c r="H50" s="183">
        <f t="shared" si="1"/>
        <v>1.7793112649999998E-2</v>
      </c>
      <c r="I50" s="766"/>
    </row>
    <row r="51" spans="1:9" ht="13.2" customHeight="1">
      <c r="A51" s="178" t="str">
        <f>Zones!B44</f>
        <v>Conference_FloorT</v>
      </c>
      <c r="B51" s="179" t="s">
        <v>394</v>
      </c>
      <c r="C51" s="180">
        <f>Zones!J44*Zones!L44</f>
        <v>1111.77981</v>
      </c>
      <c r="D51" s="180"/>
      <c r="E51" s="181">
        <f>Zones!M44*Zones!L44</f>
        <v>36.688733730000003</v>
      </c>
      <c r="F51" s="184">
        <v>0.09</v>
      </c>
      <c r="G51" s="181">
        <f t="shared" si="0"/>
        <v>3.3019860357000002</v>
      </c>
      <c r="H51" s="183">
        <f t="shared" si="1"/>
        <v>5.5033100595000002E-2</v>
      </c>
      <c r="I51" s="766"/>
    </row>
    <row r="52" spans="1:9" ht="13.2" customHeight="1">
      <c r="A52" s="178" t="str">
        <f>Zones!B45</f>
        <v>Lounge_FloorT</v>
      </c>
      <c r="B52" s="179" t="s">
        <v>386</v>
      </c>
      <c r="C52" s="180">
        <f>Zones!J45*Zones!L45</f>
        <v>1059.1754699999999</v>
      </c>
      <c r="D52" s="180"/>
      <c r="E52" s="181">
        <f>Zones!M45*Zones!L45</f>
        <v>15.887632049999999</v>
      </c>
      <c r="F52" s="184">
        <v>0.09</v>
      </c>
      <c r="G52" s="181">
        <f t="shared" si="0"/>
        <v>1.4298868844999999</v>
      </c>
      <c r="H52" s="183">
        <f t="shared" si="1"/>
        <v>2.3831448074999997E-2</v>
      </c>
      <c r="I52" s="766"/>
    </row>
    <row r="53" spans="1:9" ht="13.2" customHeight="1">
      <c r="A53" s="178" t="str">
        <f>Zones!B46</f>
        <v>Storage_FloorT</v>
      </c>
      <c r="B53" s="179" t="s">
        <v>394</v>
      </c>
      <c r="C53" s="180">
        <f>Zones!J46*Zones!L46</f>
        <v>983.156114</v>
      </c>
      <c r="D53" s="180"/>
      <c r="E53" s="181"/>
      <c r="F53" s="184">
        <v>0</v>
      </c>
      <c r="G53" s="181">
        <f t="shared" si="0"/>
        <v>0</v>
      </c>
      <c r="H53" s="183">
        <f t="shared" si="1"/>
        <v>0</v>
      </c>
      <c r="I53" s="766"/>
    </row>
    <row r="54" spans="1:9" ht="13.2" customHeight="1">
      <c r="A54" s="178" t="str">
        <f>Zones!B47</f>
        <v>Mechanical/Electrical_FloorT</v>
      </c>
      <c r="B54" s="179" t="s">
        <v>394</v>
      </c>
      <c r="C54" s="180">
        <f>Zones!J47*Zones!L47</f>
        <v>357.35034200000001</v>
      </c>
      <c r="D54" s="180"/>
      <c r="E54" s="181"/>
      <c r="F54" s="184">
        <v>0.18</v>
      </c>
      <c r="G54" s="181">
        <f t="shared" si="0"/>
        <v>0</v>
      </c>
      <c r="H54" s="183">
        <f t="shared" si="1"/>
        <v>0</v>
      </c>
      <c r="I54" s="766"/>
    </row>
    <row r="55" spans="1:9" ht="13.2" customHeight="1">
      <c r="A55" s="178" t="str">
        <f>Zones!B48</f>
        <v>IT-Room_FloorT</v>
      </c>
      <c r="B55" s="179" t="s">
        <v>394</v>
      </c>
      <c r="C55" s="180">
        <f>Zones!J48*Zones!L48</f>
        <v>178.93730199999999</v>
      </c>
      <c r="D55" s="180"/>
      <c r="E55" s="181"/>
      <c r="F55" s="184">
        <v>0.18</v>
      </c>
      <c r="G55" s="181">
        <f t="shared" si="0"/>
        <v>0</v>
      </c>
      <c r="H55" s="183">
        <f t="shared" si="1"/>
        <v>0</v>
      </c>
      <c r="I55" s="766"/>
    </row>
    <row r="56" spans="1:9" ht="13.2" customHeight="1">
      <c r="A56" s="178" t="str">
        <f>Zones!B49</f>
        <v>Restroom_FloorT</v>
      </c>
      <c r="B56" s="179" t="s">
        <v>386</v>
      </c>
      <c r="C56" s="180">
        <f>Zones!J49*Zones!L49</f>
        <v>643.57782699999996</v>
      </c>
      <c r="D56" s="180"/>
      <c r="E56" s="181"/>
      <c r="F56" s="184">
        <v>0</v>
      </c>
      <c r="G56" s="181">
        <f t="shared" si="0"/>
        <v>0</v>
      </c>
      <c r="H56" s="183">
        <f t="shared" si="1"/>
        <v>0</v>
      </c>
      <c r="I56" s="766"/>
    </row>
    <row r="57" spans="1:9" ht="25.5" customHeight="1">
      <c r="A57" s="178" t="str">
        <f>Zones!B50</f>
        <v>BreakRoom/Kitchenette_FloorT</v>
      </c>
      <c r="B57" s="179" t="s">
        <v>386</v>
      </c>
      <c r="C57" s="180">
        <f>Zones!J50*Zones!L50</f>
        <v>232.34295399999999</v>
      </c>
      <c r="D57" s="180"/>
      <c r="E57" s="181">
        <f>Zones!M50*Zones!L50</f>
        <v>7.6673174819999996</v>
      </c>
      <c r="F57" s="340">
        <v>0.57799999999999996</v>
      </c>
      <c r="G57" s="181">
        <f t="shared" si="0"/>
        <v>4.4317095045959993</v>
      </c>
      <c r="H57" s="183">
        <f t="shared" si="1"/>
        <v>7.3861825076599982E-2</v>
      </c>
      <c r="I57" s="766"/>
    </row>
    <row r="58" spans="1:9" ht="13.2" customHeight="1">
      <c r="A58" s="178" t="str">
        <f>Zones!B51</f>
        <v>Stairway_FloorT</v>
      </c>
      <c r="B58" s="179" t="s">
        <v>394</v>
      </c>
      <c r="C58" s="180">
        <f>Zones!J51*Zones!L51</f>
        <v>661.39225999999996</v>
      </c>
      <c r="D58" s="180"/>
      <c r="E58" s="181"/>
      <c r="F58" s="184">
        <v>0</v>
      </c>
      <c r="G58" s="181">
        <f t="shared" si="0"/>
        <v>0</v>
      </c>
      <c r="H58" s="183">
        <f t="shared" si="1"/>
        <v>0</v>
      </c>
      <c r="I58" s="766"/>
    </row>
    <row r="59" spans="1:9" ht="13.2" customHeight="1">
      <c r="A59" s="178" t="str">
        <f>Zones!B52</f>
        <v>Corridor_W_FloorT</v>
      </c>
      <c r="B59" s="179" t="s">
        <v>394</v>
      </c>
      <c r="C59" s="180">
        <f>Zones!J52*Zones!L52</f>
        <v>300</v>
      </c>
      <c r="D59" s="180"/>
      <c r="E59" s="181">
        <f>Zones!M52*Zones!L52</f>
        <v>1.5</v>
      </c>
      <c r="F59" s="184">
        <v>0</v>
      </c>
      <c r="G59" s="181">
        <f t="shared" si="0"/>
        <v>0</v>
      </c>
      <c r="H59" s="183">
        <f t="shared" si="1"/>
        <v>0</v>
      </c>
      <c r="I59" s="766"/>
    </row>
    <row r="60" spans="1:9" ht="13.2" customHeight="1">
      <c r="A60" s="178" t="str">
        <f>Zones!B53</f>
        <v>Corridor_N_FloorT</v>
      </c>
      <c r="B60" s="179" t="s">
        <v>394</v>
      </c>
      <c r="C60" s="180">
        <f>Zones!J53*Zones!L53</f>
        <v>502.97239999999999</v>
      </c>
      <c r="D60" s="180"/>
      <c r="E60" s="181">
        <f>Zones!M53*Zones!L53</f>
        <v>2.5148619999999999</v>
      </c>
      <c r="F60" s="184">
        <v>0</v>
      </c>
      <c r="G60" s="181">
        <f t="shared" si="0"/>
        <v>0</v>
      </c>
      <c r="H60" s="183">
        <f t="shared" si="1"/>
        <v>0</v>
      </c>
      <c r="I60" s="766"/>
    </row>
    <row r="61" spans="1:9" ht="13.2" customHeight="1">
      <c r="A61" s="178" t="str">
        <f>Zones!B54</f>
        <v>Corridor_E_FloorT</v>
      </c>
      <c r="B61" s="179" t="s">
        <v>394</v>
      </c>
      <c r="C61" s="180">
        <f>Zones!J54*Zones!L54</f>
        <v>300</v>
      </c>
      <c r="D61" s="180"/>
      <c r="E61" s="181">
        <f>Zones!M54*Zones!L54</f>
        <v>1.5</v>
      </c>
      <c r="F61" s="184">
        <v>0</v>
      </c>
      <c r="G61" s="181">
        <f t="shared" si="0"/>
        <v>0</v>
      </c>
      <c r="H61" s="183">
        <f t="shared" si="1"/>
        <v>0</v>
      </c>
      <c r="I61" s="766"/>
    </row>
    <row r="62" spans="1:9" ht="13.2" customHeight="1">
      <c r="A62" s="178" t="str">
        <f>Zones!B55</f>
        <v>Corridor_S_FloorT</v>
      </c>
      <c r="B62" s="179" t="s">
        <v>394</v>
      </c>
      <c r="C62" s="180">
        <f>Zones!J55*Zones!L55</f>
        <v>502.97239999999999</v>
      </c>
      <c r="D62" s="180"/>
      <c r="E62" s="181">
        <f>Zones!M55*Zones!L55</f>
        <v>2.5148619999999999</v>
      </c>
      <c r="F62" s="184">
        <v>0</v>
      </c>
      <c r="G62" s="181">
        <f t="shared" si="0"/>
        <v>0</v>
      </c>
      <c r="H62" s="183">
        <f t="shared" si="1"/>
        <v>0</v>
      </c>
      <c r="I62" s="766"/>
    </row>
    <row r="63" spans="1:9" ht="13.2" customHeight="1">
      <c r="A63" s="178" t="str">
        <f>Zones!B56</f>
        <v>Plenum_FloorT</v>
      </c>
      <c r="B63" s="179"/>
      <c r="C63" s="180">
        <f>Zones!J56*Zones!L56</f>
        <v>17875.932499999999</v>
      </c>
      <c r="D63" s="180"/>
      <c r="E63" s="181"/>
      <c r="F63" s="184">
        <v>0</v>
      </c>
      <c r="G63" s="181">
        <f t="shared" si="0"/>
        <v>0</v>
      </c>
      <c r="H63" s="183">
        <f t="shared" si="1"/>
        <v>0</v>
      </c>
      <c r="I63" s="767"/>
    </row>
    <row r="64" spans="1:9" s="288" customFormat="1" ht="20.25" customHeight="1">
      <c r="A64" s="528" t="s">
        <v>182</v>
      </c>
      <c r="B64" s="759" t="s">
        <v>396</v>
      </c>
      <c r="C64" s="760"/>
      <c r="D64" s="760"/>
      <c r="E64" s="760"/>
      <c r="F64" s="761"/>
      <c r="G64" s="529">
        <f>_xlfn.LET(
  _xlpm.g,SUMIF($B$10:$B$63,"Gas*",$G$10:$G$63),
  _xlpm.e,SUMIF($B$10:$B$63,"Electric*",$G$10:$G$63),
  IF(AND(_xlpm.g&gt;0,_xlpm.e&gt;0),_xlpm.g,IF(_xlpm.g&gt;0,MAX(75,_xlpm.g),0)))</f>
        <v>75</v>
      </c>
      <c r="H64" s="579"/>
      <c r="I64" s="762" t="s">
        <v>397</v>
      </c>
    </row>
    <row r="65" spans="1:12" s="288" customFormat="1" ht="19.5" customHeight="1">
      <c r="A65" s="528" t="s">
        <v>398</v>
      </c>
      <c r="B65" s="759" t="s">
        <v>399</v>
      </c>
      <c r="C65" s="760"/>
      <c r="D65" s="760"/>
      <c r="E65" s="760"/>
      <c r="F65" s="761"/>
      <c r="G65" s="529">
        <f>_xlfn.LET(
  _xlpm.g,SUMIF($B$10:$B$63,"Gas*",$G$10:$G$63),
  _xlpm.e,SUMIF($B$10:$B$63,"Electric*",$G$10:$G$63),
  IF(AND(_xlpm.g&gt;0,_xlpm.e&gt;0),_xlpm.e,IF(_xlpm.e&gt;0,MAX(75,_xlpm.e),0)))</f>
        <v>0</v>
      </c>
      <c r="H65" s="579"/>
      <c r="I65" s="763"/>
      <c r="J65" s="384"/>
      <c r="K65" s="384"/>
      <c r="L65" s="384"/>
    </row>
    <row r="66" spans="1:12" s="530" customFormat="1" ht="14.4">
      <c r="A66" s="138"/>
      <c r="B66" s="138"/>
      <c r="C66" s="138"/>
      <c r="D66" s="138"/>
      <c r="E66" s="138"/>
      <c r="F66" s="138"/>
      <c r="G66" s="138"/>
      <c r="H66" s="138"/>
      <c r="I66" s="138"/>
      <c r="J66" s="138"/>
      <c r="K66" s="138"/>
      <c r="L66" s="580"/>
    </row>
    <row r="67" spans="1:12" s="363" customFormat="1" ht="14.4">
      <c r="A67"/>
      <c r="B67"/>
      <c r="C67"/>
      <c r="D67"/>
      <c r="E67"/>
      <c r="F67"/>
      <c r="G67"/>
      <c r="H67"/>
      <c r="I67"/>
      <c r="J67"/>
      <c r="K67"/>
    </row>
    <row r="68" spans="1:12" s="363" customFormat="1" ht="14.4">
      <c r="A68"/>
      <c r="B68"/>
      <c r="C68"/>
      <c r="D68"/>
      <c r="E68"/>
      <c r="F68"/>
      <c r="G68"/>
      <c r="H68"/>
      <c r="I68"/>
      <c r="J68"/>
      <c r="K68"/>
    </row>
    <row r="69" spans="1:12" s="363" customFormat="1" ht="14.4">
      <c r="A69" s="581" t="s">
        <v>400</v>
      </c>
      <c r="B69" s="582">
        <v>135</v>
      </c>
      <c r="C69" s="583" t="s">
        <v>401</v>
      </c>
      <c r="D69" s="583"/>
      <c r="E69" s="364"/>
      <c r="F69" s="364"/>
      <c r="G69"/>
      <c r="H69"/>
      <c r="I69"/>
      <c r="J69"/>
      <c r="K69"/>
    </row>
    <row r="70" spans="1:12" s="363" customFormat="1" ht="14.4">
      <c r="A70" s="364" t="s">
        <v>402</v>
      </c>
      <c r="B70" s="584">
        <v>0.6</v>
      </c>
      <c r="C70" s="583" t="s">
        <v>403</v>
      </c>
      <c r="D70" s="583"/>
      <c r="E70" s="365"/>
      <c r="F70" s="365"/>
      <c r="G70"/>
      <c r="H70"/>
      <c r="I70"/>
      <c r="J70"/>
      <c r="K70"/>
    </row>
    <row r="71" spans="1:12" s="363" customFormat="1" ht="14.4">
      <c r="A71" s="585" t="s">
        <v>404</v>
      </c>
      <c r="B71" s="586">
        <v>8.2876999999999992</v>
      </c>
      <c r="C71" s="583" t="s">
        <v>403</v>
      </c>
      <c r="D71" s="583"/>
      <c r="E71" s="583"/>
      <c r="F71" s="583"/>
      <c r="G71"/>
      <c r="H71"/>
      <c r="I71"/>
      <c r="J71"/>
      <c r="K71"/>
    </row>
    <row r="72" spans="1:12" s="363" customFormat="1" ht="14.4">
      <c r="A72" s="363" t="s">
        <v>405</v>
      </c>
      <c r="B72" s="366">
        <v>0.4</v>
      </c>
      <c r="C72" s="367" t="s">
        <v>406</v>
      </c>
      <c r="D72" s="367"/>
      <c r="E72" s="367"/>
      <c r="G72" s="367"/>
      <c r="H72" s="367"/>
    </row>
    <row r="73" spans="1:12" s="363" customFormat="1" ht="26.1" customHeight="1">
      <c r="A73" s="756" t="s">
        <v>407</v>
      </c>
      <c r="B73" s="757"/>
      <c r="C73" s="757"/>
      <c r="D73" s="757"/>
      <c r="E73" s="757"/>
      <c r="F73" s="757"/>
      <c r="G73" s="757"/>
      <c r="H73" s="757"/>
      <c r="I73" s="757"/>
      <c r="J73" s="757"/>
      <c r="K73" s="757"/>
      <c r="L73" s="757"/>
    </row>
    <row r="74" spans="1:12" s="530" customFormat="1" ht="48.75" customHeight="1">
      <c r="A74" s="532" t="s">
        <v>408</v>
      </c>
      <c r="B74" s="533" t="s">
        <v>409</v>
      </c>
      <c r="C74" s="532" t="s">
        <v>410</v>
      </c>
      <c r="D74" s="532" t="s">
        <v>411</v>
      </c>
      <c r="E74" s="532" t="s">
        <v>412</v>
      </c>
      <c r="F74" s="532" t="s">
        <v>413</v>
      </c>
      <c r="G74" s="532" t="s">
        <v>414</v>
      </c>
      <c r="H74" s="764" t="s">
        <v>415</v>
      </c>
      <c r="I74" s="764"/>
      <c r="J74" s="764" t="s">
        <v>416</v>
      </c>
      <c r="K74" s="764"/>
      <c r="L74" s="534" t="s">
        <v>417</v>
      </c>
    </row>
    <row r="75" spans="1:12" s="530" customFormat="1" ht="18.75" customHeight="1">
      <c r="A75" s="587" t="s">
        <v>418</v>
      </c>
      <c r="B75" s="588" t="s">
        <v>419</v>
      </c>
      <c r="C75" s="589">
        <v>47.9</v>
      </c>
      <c r="D75" s="590">
        <f>$G$64*($B$69-C75)*$B$71</f>
        <v>54139.400249999992</v>
      </c>
      <c r="E75" s="590">
        <f>D75*$B$70</f>
        <v>32483.640149999992</v>
      </c>
      <c r="F75" s="590">
        <f t="shared" ref="F75:F90" si="2">_xlfn.LET(_xlpm.x,_xlfn.XLOOKUP(E75/$C$3,$A$98:$A$128,$A$98:$A$128,"",1),IF(_xlpm.x="",ROUNDUP(E75/$C$3,0),_xlpm.x))</f>
        <v>60000</v>
      </c>
      <c r="G75" s="590">
        <f t="shared" ref="G75:G90" si="3">_xlfn.LET(_xlpm.v,MAX(30,$G$64*$B$72),_xlpm.x,_xlfn.XLOOKUP(_xlpm.v,$C$98:$C$116,$C$98:$C$116,"",1),IF(_xlpm.x="",ROUNDUP(_xlpm.v,0),_xlpm.x))</f>
        <v>34</v>
      </c>
      <c r="H75" s="590">
        <f>(F75/800)+110*SQRT(G75)</f>
        <v>716.40470843298306</v>
      </c>
      <c r="I75" s="590" t="s">
        <v>420</v>
      </c>
      <c r="J75" s="591">
        <f>H75/70</f>
        <v>10.234352977614044</v>
      </c>
      <c r="K75" s="592" t="s">
        <v>421</v>
      </c>
      <c r="L75" s="695" t="s">
        <v>422</v>
      </c>
    </row>
    <row r="76" spans="1:12" s="530" customFormat="1" ht="18.75" customHeight="1">
      <c r="A76" s="587" t="s">
        <v>418</v>
      </c>
      <c r="B76" s="588" t="s">
        <v>423</v>
      </c>
      <c r="C76" s="589">
        <v>50.8</v>
      </c>
      <c r="D76" s="590">
        <f t="shared" ref="D76:D90" si="4">$G$64*($B$69-C76)*$B$71</f>
        <v>52336.825499999992</v>
      </c>
      <c r="E76" s="590">
        <f t="shared" ref="E76:E90" si="5">D76*$B$70</f>
        <v>31402.095299999994</v>
      </c>
      <c r="F76" s="590">
        <f t="shared" si="2"/>
        <v>60000</v>
      </c>
      <c r="G76" s="590">
        <f t="shared" si="3"/>
        <v>34</v>
      </c>
      <c r="H76" s="590">
        <f t="shared" ref="H76:H90" si="6">(F76/800)+110*SQRT(G76)</f>
        <v>716.40470843298306</v>
      </c>
      <c r="I76" s="590" t="s">
        <v>420</v>
      </c>
      <c r="J76" s="591">
        <f t="shared" ref="J76:J90" si="7">H76/70</f>
        <v>10.234352977614044</v>
      </c>
      <c r="K76" s="592" t="s">
        <v>421</v>
      </c>
      <c r="L76" s="695"/>
    </row>
    <row r="77" spans="1:12" s="530" customFormat="1" ht="18.75" customHeight="1">
      <c r="A77" s="587" t="s">
        <v>418</v>
      </c>
      <c r="B77" s="588" t="s">
        <v>424</v>
      </c>
      <c r="C77" s="589">
        <v>52.2</v>
      </c>
      <c r="D77" s="590">
        <f t="shared" si="4"/>
        <v>51466.616999999998</v>
      </c>
      <c r="E77" s="590">
        <f t="shared" si="5"/>
        <v>30879.970199999996</v>
      </c>
      <c r="F77" s="590">
        <f t="shared" si="2"/>
        <v>60000</v>
      </c>
      <c r="G77" s="590">
        <f t="shared" si="3"/>
        <v>34</v>
      </c>
      <c r="H77" s="590">
        <f t="shared" si="6"/>
        <v>716.40470843298306</v>
      </c>
      <c r="I77" s="590" t="s">
        <v>420</v>
      </c>
      <c r="J77" s="591">
        <f t="shared" si="7"/>
        <v>10.234352977614044</v>
      </c>
      <c r="K77" s="592" t="s">
        <v>421</v>
      </c>
      <c r="L77" s="695"/>
    </row>
    <row r="78" spans="1:12" s="530" customFormat="1" ht="18.75" customHeight="1">
      <c r="A78" s="587" t="s">
        <v>418</v>
      </c>
      <c r="B78" s="588" t="s">
        <v>425</v>
      </c>
      <c r="C78" s="589">
        <v>52.7</v>
      </c>
      <c r="D78" s="590">
        <f t="shared" si="4"/>
        <v>51155.828249999991</v>
      </c>
      <c r="E78" s="590">
        <f t="shared" si="5"/>
        <v>30693.496949999993</v>
      </c>
      <c r="F78" s="590">
        <f t="shared" si="2"/>
        <v>60000</v>
      </c>
      <c r="G78" s="590">
        <f t="shared" si="3"/>
        <v>34</v>
      </c>
      <c r="H78" s="590">
        <f t="shared" si="6"/>
        <v>716.40470843298306</v>
      </c>
      <c r="I78" s="590" t="s">
        <v>420</v>
      </c>
      <c r="J78" s="591">
        <f t="shared" si="7"/>
        <v>10.234352977614044</v>
      </c>
      <c r="K78" s="592" t="s">
        <v>421</v>
      </c>
      <c r="L78" s="695"/>
    </row>
    <row r="79" spans="1:12" s="530" customFormat="1" ht="18.75" customHeight="1">
      <c r="A79" s="587" t="s">
        <v>418</v>
      </c>
      <c r="B79" s="588" t="s">
        <v>426</v>
      </c>
      <c r="C79" s="589">
        <v>51.6</v>
      </c>
      <c r="D79" s="590">
        <f t="shared" si="4"/>
        <v>51839.563499999997</v>
      </c>
      <c r="E79" s="590">
        <f t="shared" si="5"/>
        <v>31103.738099999995</v>
      </c>
      <c r="F79" s="590">
        <f t="shared" si="2"/>
        <v>60000</v>
      </c>
      <c r="G79" s="590">
        <f t="shared" si="3"/>
        <v>34</v>
      </c>
      <c r="H79" s="590">
        <f t="shared" si="6"/>
        <v>716.40470843298306</v>
      </c>
      <c r="I79" s="590" t="s">
        <v>420</v>
      </c>
      <c r="J79" s="591">
        <f t="shared" si="7"/>
        <v>10.234352977614044</v>
      </c>
      <c r="K79" s="592" t="s">
        <v>421</v>
      </c>
      <c r="L79" s="695"/>
    </row>
    <row r="80" spans="1:12" s="530" customFormat="1" ht="18.75" customHeight="1">
      <c r="A80" s="587" t="s">
        <v>418</v>
      </c>
      <c r="B80" s="588" t="s">
        <v>427</v>
      </c>
      <c r="C80" s="589">
        <v>56.8</v>
      </c>
      <c r="D80" s="590">
        <f t="shared" si="4"/>
        <v>48607.360499999995</v>
      </c>
      <c r="E80" s="590">
        <f t="shared" si="5"/>
        <v>29164.416299999997</v>
      </c>
      <c r="F80" s="590">
        <f t="shared" si="2"/>
        <v>60000</v>
      </c>
      <c r="G80" s="590">
        <f t="shared" si="3"/>
        <v>34</v>
      </c>
      <c r="H80" s="590">
        <f t="shared" si="6"/>
        <v>716.40470843298306</v>
      </c>
      <c r="I80" s="590" t="s">
        <v>420</v>
      </c>
      <c r="J80" s="591">
        <f t="shared" si="7"/>
        <v>10.234352977614044</v>
      </c>
      <c r="K80" s="592" t="s">
        <v>421</v>
      </c>
      <c r="L80" s="695"/>
    </row>
    <row r="81" spans="1:12" s="530" customFormat="1" ht="18.75" customHeight="1">
      <c r="A81" s="587" t="s">
        <v>418</v>
      </c>
      <c r="B81" s="588" t="s">
        <v>428</v>
      </c>
      <c r="C81" s="589">
        <v>58.4</v>
      </c>
      <c r="D81" s="590">
        <f t="shared" si="4"/>
        <v>47612.836499999998</v>
      </c>
      <c r="E81" s="590">
        <f t="shared" si="5"/>
        <v>28567.701899999996</v>
      </c>
      <c r="F81" s="590">
        <f t="shared" si="2"/>
        <v>60000</v>
      </c>
      <c r="G81" s="590">
        <f t="shared" si="3"/>
        <v>34</v>
      </c>
      <c r="H81" s="590">
        <f t="shared" si="6"/>
        <v>716.40470843298306</v>
      </c>
      <c r="I81" s="590" t="s">
        <v>420</v>
      </c>
      <c r="J81" s="591">
        <f t="shared" si="7"/>
        <v>10.234352977614044</v>
      </c>
      <c r="K81" s="592" t="s">
        <v>421</v>
      </c>
      <c r="L81" s="695"/>
    </row>
    <row r="82" spans="1:12" s="530" customFormat="1" ht="18.75" customHeight="1">
      <c r="A82" s="587" t="s">
        <v>418</v>
      </c>
      <c r="B82" s="588" t="s">
        <v>429</v>
      </c>
      <c r="C82" s="589">
        <v>58.4</v>
      </c>
      <c r="D82" s="590">
        <f t="shared" si="4"/>
        <v>47612.836499999998</v>
      </c>
      <c r="E82" s="590">
        <f t="shared" si="5"/>
        <v>28567.701899999996</v>
      </c>
      <c r="F82" s="590">
        <f t="shared" si="2"/>
        <v>60000</v>
      </c>
      <c r="G82" s="590">
        <f t="shared" si="3"/>
        <v>34</v>
      </c>
      <c r="H82" s="590">
        <f t="shared" si="6"/>
        <v>716.40470843298306</v>
      </c>
      <c r="I82" s="590" t="s">
        <v>420</v>
      </c>
      <c r="J82" s="591">
        <f t="shared" si="7"/>
        <v>10.234352977614044</v>
      </c>
      <c r="K82" s="592" t="s">
        <v>421</v>
      </c>
      <c r="L82" s="695"/>
    </row>
    <row r="83" spans="1:12" s="530" customFormat="1" ht="18.75" customHeight="1">
      <c r="A83" s="587" t="s">
        <v>418</v>
      </c>
      <c r="B83" s="588" t="s">
        <v>430</v>
      </c>
      <c r="C83" s="589">
        <v>57.6</v>
      </c>
      <c r="D83" s="590">
        <f t="shared" si="4"/>
        <v>48110.098499999993</v>
      </c>
      <c r="E83" s="590">
        <f t="shared" si="5"/>
        <v>28866.059099999995</v>
      </c>
      <c r="F83" s="590">
        <f t="shared" si="2"/>
        <v>60000</v>
      </c>
      <c r="G83" s="590">
        <f t="shared" si="3"/>
        <v>34</v>
      </c>
      <c r="H83" s="590">
        <f t="shared" si="6"/>
        <v>716.40470843298306</v>
      </c>
      <c r="I83" s="590" t="s">
        <v>420</v>
      </c>
      <c r="J83" s="591">
        <f t="shared" si="7"/>
        <v>10.234352977614044</v>
      </c>
      <c r="K83" s="592" t="s">
        <v>421</v>
      </c>
      <c r="L83" s="695"/>
    </row>
    <row r="84" spans="1:12" s="530" customFormat="1" ht="18.75" customHeight="1">
      <c r="A84" s="587" t="s">
        <v>418</v>
      </c>
      <c r="B84" s="588" t="s">
        <v>213</v>
      </c>
      <c r="C84" s="589">
        <v>57.1</v>
      </c>
      <c r="D84" s="590">
        <f t="shared" si="4"/>
        <v>48420.887249999992</v>
      </c>
      <c r="E84" s="590">
        <f t="shared" si="5"/>
        <v>29052.532349999994</v>
      </c>
      <c r="F84" s="590">
        <f t="shared" si="2"/>
        <v>60000</v>
      </c>
      <c r="G84" s="590">
        <f t="shared" si="3"/>
        <v>34</v>
      </c>
      <c r="H84" s="590">
        <f t="shared" si="6"/>
        <v>716.40470843298306</v>
      </c>
      <c r="I84" s="590" t="s">
        <v>420</v>
      </c>
      <c r="J84" s="591">
        <f t="shared" si="7"/>
        <v>10.234352977614044</v>
      </c>
      <c r="K84" s="592" t="s">
        <v>421</v>
      </c>
      <c r="L84" s="695"/>
    </row>
    <row r="85" spans="1:12" s="530" customFormat="1" ht="18.75" customHeight="1">
      <c r="A85" s="587" t="s">
        <v>418</v>
      </c>
      <c r="B85" s="588" t="s">
        <v>214</v>
      </c>
      <c r="C85" s="589">
        <v>50.5</v>
      </c>
      <c r="D85" s="590">
        <f t="shared" si="4"/>
        <v>52523.298749999994</v>
      </c>
      <c r="E85" s="590">
        <f t="shared" si="5"/>
        <v>31513.979249999997</v>
      </c>
      <c r="F85" s="590">
        <f t="shared" si="2"/>
        <v>60000</v>
      </c>
      <c r="G85" s="590">
        <f t="shared" si="3"/>
        <v>34</v>
      </c>
      <c r="H85" s="590">
        <f t="shared" si="6"/>
        <v>716.40470843298306</v>
      </c>
      <c r="I85" s="590" t="s">
        <v>420</v>
      </c>
      <c r="J85" s="591">
        <f t="shared" si="7"/>
        <v>10.234352977614044</v>
      </c>
      <c r="K85" s="592" t="s">
        <v>421</v>
      </c>
      <c r="L85" s="695"/>
    </row>
    <row r="86" spans="1:12" s="530" customFormat="1" ht="18.75" customHeight="1">
      <c r="A86" s="587" t="s">
        <v>418</v>
      </c>
      <c r="B86" s="588" t="s">
        <v>215</v>
      </c>
      <c r="C86" s="589">
        <v>51.4</v>
      </c>
      <c r="D86" s="590">
        <f t="shared" si="4"/>
        <v>51963.878999999994</v>
      </c>
      <c r="E86" s="590">
        <f t="shared" si="5"/>
        <v>31178.327399999995</v>
      </c>
      <c r="F86" s="590">
        <f t="shared" si="2"/>
        <v>60000</v>
      </c>
      <c r="G86" s="590">
        <f t="shared" si="3"/>
        <v>34</v>
      </c>
      <c r="H86" s="590">
        <f t="shared" si="6"/>
        <v>716.40470843298306</v>
      </c>
      <c r="I86" s="590" t="s">
        <v>420</v>
      </c>
      <c r="J86" s="591">
        <f t="shared" si="7"/>
        <v>10.234352977614044</v>
      </c>
      <c r="K86" s="592" t="s">
        <v>421</v>
      </c>
      <c r="L86" s="695"/>
    </row>
    <row r="87" spans="1:12" s="530" customFormat="1" ht="18.75" customHeight="1">
      <c r="A87" s="587" t="s">
        <v>418</v>
      </c>
      <c r="B87" s="588" t="s">
        <v>216</v>
      </c>
      <c r="C87" s="589">
        <v>51.7</v>
      </c>
      <c r="D87" s="590">
        <f t="shared" si="4"/>
        <v>51777.405749999998</v>
      </c>
      <c r="E87" s="590">
        <f t="shared" si="5"/>
        <v>31066.443449999999</v>
      </c>
      <c r="F87" s="590">
        <f t="shared" si="2"/>
        <v>60000</v>
      </c>
      <c r="G87" s="590">
        <f t="shared" si="3"/>
        <v>34</v>
      </c>
      <c r="H87" s="590">
        <f t="shared" si="6"/>
        <v>716.40470843298306</v>
      </c>
      <c r="I87" s="590" t="s">
        <v>420</v>
      </c>
      <c r="J87" s="591">
        <f t="shared" si="7"/>
        <v>10.234352977614044</v>
      </c>
      <c r="K87" s="592" t="s">
        <v>421</v>
      </c>
      <c r="L87" s="695"/>
    </row>
    <row r="88" spans="1:12" s="530" customFormat="1" ht="18.75" customHeight="1">
      <c r="A88" s="587" t="s">
        <v>418</v>
      </c>
      <c r="B88" s="588" t="s">
        <v>217</v>
      </c>
      <c r="C88" s="589">
        <v>50.1</v>
      </c>
      <c r="D88" s="590">
        <f t="shared" si="4"/>
        <v>52771.929749999996</v>
      </c>
      <c r="E88" s="590">
        <f t="shared" si="5"/>
        <v>31663.157849999996</v>
      </c>
      <c r="F88" s="590">
        <f t="shared" si="2"/>
        <v>60000</v>
      </c>
      <c r="G88" s="590">
        <f t="shared" si="3"/>
        <v>34</v>
      </c>
      <c r="H88" s="590">
        <f t="shared" si="6"/>
        <v>716.40470843298306</v>
      </c>
      <c r="I88" s="590" t="s">
        <v>420</v>
      </c>
      <c r="J88" s="591">
        <f t="shared" si="7"/>
        <v>10.234352977614044</v>
      </c>
      <c r="K88" s="592" t="s">
        <v>421</v>
      </c>
      <c r="L88" s="695"/>
    </row>
    <row r="89" spans="1:12" s="530" customFormat="1" ht="18.75" customHeight="1">
      <c r="A89" s="587" t="s">
        <v>418</v>
      </c>
      <c r="B89" s="588" t="s">
        <v>218</v>
      </c>
      <c r="C89" s="589">
        <v>63.2</v>
      </c>
      <c r="D89" s="590">
        <f t="shared" si="4"/>
        <v>44629.264499999997</v>
      </c>
      <c r="E89" s="590">
        <f t="shared" si="5"/>
        <v>26777.558699999998</v>
      </c>
      <c r="F89" s="590">
        <f t="shared" si="2"/>
        <v>60000</v>
      </c>
      <c r="G89" s="590">
        <f t="shared" si="3"/>
        <v>34</v>
      </c>
      <c r="H89" s="590">
        <f t="shared" si="6"/>
        <v>716.40470843298306</v>
      </c>
      <c r="I89" s="590" t="s">
        <v>420</v>
      </c>
      <c r="J89" s="591">
        <f t="shared" si="7"/>
        <v>10.234352977614044</v>
      </c>
      <c r="K89" s="592" t="s">
        <v>421</v>
      </c>
      <c r="L89" s="695"/>
    </row>
    <row r="90" spans="1:12" s="530" customFormat="1" ht="18.75" customHeight="1">
      <c r="A90" s="587" t="s">
        <v>418</v>
      </c>
      <c r="B90" s="587" t="s">
        <v>219</v>
      </c>
      <c r="C90" s="593">
        <v>41.4</v>
      </c>
      <c r="D90" s="590">
        <f t="shared" si="4"/>
        <v>58179.653999999995</v>
      </c>
      <c r="E90" s="594">
        <f t="shared" si="5"/>
        <v>34907.792399999998</v>
      </c>
      <c r="F90" s="590">
        <f t="shared" si="2"/>
        <v>60000</v>
      </c>
      <c r="G90" s="590">
        <f t="shared" si="3"/>
        <v>34</v>
      </c>
      <c r="H90" s="590">
        <f t="shared" si="6"/>
        <v>716.40470843298306</v>
      </c>
      <c r="I90" s="594" t="s">
        <v>420</v>
      </c>
      <c r="J90" s="591">
        <f t="shared" si="7"/>
        <v>10.234352977614044</v>
      </c>
      <c r="K90" s="595" t="s">
        <v>421</v>
      </c>
      <c r="L90" s="695"/>
    </row>
    <row r="91" spans="1:12" s="530" customFormat="1" ht="14.4">
      <c r="A91" s="580"/>
      <c r="B91" s="580"/>
      <c r="C91" s="531"/>
      <c r="D91" s="531"/>
      <c r="E91" s="531"/>
      <c r="F91" s="580"/>
      <c r="G91" s="531"/>
      <c r="H91" s="531"/>
      <c r="I91" s="580"/>
      <c r="J91" s="580"/>
      <c r="K91" s="580"/>
      <c r="L91" s="580"/>
    </row>
    <row r="92" spans="1:12" s="530" customFormat="1" ht="14.4">
      <c r="A92" s="580"/>
      <c r="B92" s="580"/>
      <c r="C92" s="531"/>
      <c r="D92" s="531"/>
      <c r="E92" s="531"/>
      <c r="F92" s="580"/>
      <c r="G92" s="531"/>
      <c r="H92" s="531"/>
      <c r="I92" s="580"/>
      <c r="J92" s="580"/>
      <c r="K92" s="580"/>
      <c r="L92" s="580"/>
    </row>
    <row r="93" spans="1:12" s="530" customFormat="1" ht="14.4">
      <c r="A93" s="580"/>
      <c r="B93" s="580"/>
      <c r="C93" s="531"/>
      <c r="D93" s="531"/>
      <c r="E93" s="531"/>
      <c r="F93" s="580"/>
      <c r="G93" s="531"/>
      <c r="H93" s="531"/>
      <c r="I93" s="580"/>
      <c r="J93" s="580"/>
      <c r="K93" s="580"/>
      <c r="L93" s="580"/>
    </row>
    <row r="94" spans="1:12" s="530" customFormat="1" ht="24.75" customHeight="1">
      <c r="A94" s="758" t="s">
        <v>431</v>
      </c>
      <c r="B94" s="674"/>
      <c r="C94" s="674"/>
      <c r="D94" s="674"/>
      <c r="E94" s="674"/>
      <c r="F94" s="674"/>
      <c r="G94" s="674"/>
      <c r="H94" s="674"/>
      <c r="I94" s="674"/>
      <c r="J94" s="580"/>
      <c r="K94" s="580"/>
      <c r="L94" s="580"/>
    </row>
    <row r="95" spans="1:12" s="530" customFormat="1" ht="24.75" customHeight="1">
      <c r="A95" s="746" t="s">
        <v>432</v>
      </c>
      <c r="B95" s="747"/>
      <c r="C95" s="747"/>
      <c r="D95" s="747"/>
      <c r="E95" s="748"/>
      <c r="F95" s="749" t="s">
        <v>433</v>
      </c>
      <c r="G95" s="750"/>
      <c r="H95" s="750"/>
      <c r="I95" s="751"/>
      <c r="J95" s="580"/>
      <c r="K95" s="580"/>
      <c r="L95" s="580"/>
    </row>
    <row r="96" spans="1:12" s="530" customFormat="1" ht="24.75" customHeight="1">
      <c r="A96" s="754" t="s">
        <v>434</v>
      </c>
      <c r="B96" s="753"/>
      <c r="C96" s="752" t="s">
        <v>435</v>
      </c>
      <c r="D96" s="753"/>
      <c r="E96" s="753"/>
      <c r="F96" s="752" t="s">
        <v>434</v>
      </c>
      <c r="G96" s="753"/>
      <c r="H96" s="752" t="s">
        <v>435</v>
      </c>
      <c r="I96" s="755"/>
      <c r="J96" s="580"/>
      <c r="K96" s="580"/>
      <c r="L96" s="580"/>
    </row>
    <row r="97" spans="1:10" s="541" customFormat="1" ht="29.25" customHeight="1">
      <c r="A97" s="535" t="s">
        <v>436</v>
      </c>
      <c r="B97" s="536" t="s">
        <v>437</v>
      </c>
      <c r="C97" s="536" t="s">
        <v>438</v>
      </c>
      <c r="D97" s="536"/>
      <c r="E97" s="536" t="s">
        <v>439</v>
      </c>
      <c r="F97" s="537" t="s">
        <v>440</v>
      </c>
      <c r="G97" s="536" t="s">
        <v>441</v>
      </c>
      <c r="H97" s="538" t="s">
        <v>442</v>
      </c>
      <c r="I97" s="539" t="s">
        <v>443</v>
      </c>
      <c r="J97" s="540" t="str">
        <f>HYPERLINK("#'Note'!A1","Sources and links → Note tab")</f>
        <v>Sources and links → Note tab</v>
      </c>
    </row>
    <row r="98" spans="1:10" s="530" customFormat="1" ht="13.8">
      <c r="A98" s="596">
        <v>60000</v>
      </c>
      <c r="B98" s="542" t="s">
        <v>444</v>
      </c>
      <c r="C98" s="597">
        <v>34</v>
      </c>
      <c r="D98" s="597"/>
      <c r="E98" s="597" t="s">
        <v>445</v>
      </c>
      <c r="F98" s="598">
        <v>1.5</v>
      </c>
      <c r="G98" s="599">
        <v>5118</v>
      </c>
      <c r="H98" s="598">
        <v>6</v>
      </c>
      <c r="I98" s="600" t="s">
        <v>444</v>
      </c>
      <c r="J98" s="580"/>
    </row>
    <row r="99" spans="1:10" s="530" customFormat="1" ht="13.8">
      <c r="A99" s="601">
        <v>75100</v>
      </c>
      <c r="B99" s="543" t="s">
        <v>444</v>
      </c>
      <c r="C99" s="602">
        <v>35</v>
      </c>
      <c r="D99" s="602"/>
      <c r="E99" s="602" t="s">
        <v>444</v>
      </c>
      <c r="F99" s="603">
        <v>2</v>
      </c>
      <c r="G99" s="604">
        <v>6824</v>
      </c>
      <c r="H99" s="603">
        <v>10</v>
      </c>
      <c r="I99" s="605" t="s">
        <v>444</v>
      </c>
      <c r="J99" s="580"/>
    </row>
    <row r="100" spans="1:10" s="530" customFormat="1" ht="13.8">
      <c r="A100" s="601">
        <v>76000</v>
      </c>
      <c r="B100" s="543" t="s">
        <v>446</v>
      </c>
      <c r="C100" s="602">
        <v>48</v>
      </c>
      <c r="D100" s="602"/>
      <c r="E100" s="602" t="s">
        <v>444</v>
      </c>
      <c r="F100" s="603">
        <v>3</v>
      </c>
      <c r="G100" s="604">
        <v>10236</v>
      </c>
      <c r="H100" s="603">
        <v>15</v>
      </c>
      <c r="I100" s="605" t="s">
        <v>444</v>
      </c>
      <c r="J100" s="580"/>
    </row>
    <row r="101" spans="1:10" s="530" customFormat="1" ht="13.8">
      <c r="A101" s="601">
        <v>80000</v>
      </c>
      <c r="B101" s="543" t="s">
        <v>444</v>
      </c>
      <c r="C101" s="602">
        <v>50</v>
      </c>
      <c r="D101" s="602"/>
      <c r="E101" s="602" t="s">
        <v>446</v>
      </c>
      <c r="F101" s="603">
        <v>4.5</v>
      </c>
      <c r="G101" s="604">
        <v>15355</v>
      </c>
      <c r="H101" s="603">
        <v>20</v>
      </c>
      <c r="I101" s="605" t="s">
        <v>444</v>
      </c>
      <c r="J101" s="580"/>
    </row>
    <row r="102" spans="1:10" s="530" customFormat="1" ht="13.8">
      <c r="A102" s="601">
        <v>99900</v>
      </c>
      <c r="B102" s="543" t="s">
        <v>445</v>
      </c>
      <c r="C102" s="602">
        <v>55</v>
      </c>
      <c r="D102" s="602"/>
      <c r="E102" s="602" t="s">
        <v>445</v>
      </c>
      <c r="F102" s="603">
        <v>6</v>
      </c>
      <c r="G102" s="604">
        <v>20473</v>
      </c>
      <c r="H102" s="603">
        <v>28</v>
      </c>
      <c r="I102" s="605" t="s">
        <v>444</v>
      </c>
      <c r="J102" s="580"/>
    </row>
    <row r="103" spans="1:10" s="530" customFormat="1" ht="13.8">
      <c r="A103" s="601">
        <v>100000</v>
      </c>
      <c r="B103" s="543" t="s">
        <v>446</v>
      </c>
      <c r="C103" s="602">
        <v>60</v>
      </c>
      <c r="D103" s="602"/>
      <c r="E103" s="602" t="s">
        <v>445</v>
      </c>
      <c r="F103" s="603">
        <v>8</v>
      </c>
      <c r="G103" s="604">
        <v>27297</v>
      </c>
      <c r="H103" s="603">
        <v>30</v>
      </c>
      <c r="I103" s="605" t="s">
        <v>444</v>
      </c>
      <c r="J103" s="580"/>
    </row>
    <row r="104" spans="1:10" s="530" customFormat="1" ht="13.8">
      <c r="A104" s="601">
        <v>120000</v>
      </c>
      <c r="B104" s="543" t="s">
        <v>445</v>
      </c>
      <c r="C104" s="602">
        <v>65</v>
      </c>
      <c r="D104" s="602"/>
      <c r="E104" s="602" t="s">
        <v>446</v>
      </c>
      <c r="F104" s="603">
        <v>9</v>
      </c>
      <c r="G104" s="604">
        <v>30709</v>
      </c>
      <c r="H104" s="603">
        <v>36</v>
      </c>
      <c r="I104" s="605" t="s">
        <v>444</v>
      </c>
      <c r="J104" s="580"/>
    </row>
    <row r="105" spans="1:10" s="530" customFormat="1" ht="13.8">
      <c r="A105" s="601">
        <v>125000</v>
      </c>
      <c r="B105" s="543" t="s">
        <v>446</v>
      </c>
      <c r="C105" s="602">
        <v>72</v>
      </c>
      <c r="D105" s="602"/>
      <c r="E105" s="602" t="s">
        <v>444</v>
      </c>
      <c r="F105" s="603">
        <v>10</v>
      </c>
      <c r="G105" s="604">
        <v>34121</v>
      </c>
      <c r="H105" s="603">
        <v>40</v>
      </c>
      <c r="I105" s="605" t="s">
        <v>444</v>
      </c>
      <c r="J105" s="580"/>
    </row>
    <row r="106" spans="1:10" s="530" customFormat="1" ht="13.8">
      <c r="A106" s="601">
        <v>130000</v>
      </c>
      <c r="B106" s="543" t="s">
        <v>446</v>
      </c>
      <c r="C106" s="602">
        <v>75</v>
      </c>
      <c r="D106" s="602"/>
      <c r="E106" s="602" t="s">
        <v>446</v>
      </c>
      <c r="F106" s="603">
        <v>12</v>
      </c>
      <c r="G106" s="604">
        <v>40946</v>
      </c>
      <c r="H106" s="603">
        <v>47</v>
      </c>
      <c r="I106" s="605" t="s">
        <v>444</v>
      </c>
      <c r="J106" s="580"/>
    </row>
    <row r="107" spans="1:10" s="530" customFormat="1" ht="13.8">
      <c r="A107" s="601">
        <v>145000</v>
      </c>
      <c r="B107" s="543" t="s">
        <v>445</v>
      </c>
      <c r="C107" s="602">
        <v>76</v>
      </c>
      <c r="D107" s="602"/>
      <c r="E107" s="602" t="s">
        <v>444</v>
      </c>
      <c r="F107" s="603">
        <v>12.1</v>
      </c>
      <c r="G107" s="604">
        <v>41287</v>
      </c>
      <c r="H107" s="603">
        <v>50</v>
      </c>
      <c r="I107" s="605" t="s">
        <v>444</v>
      </c>
      <c r="J107" s="580"/>
    </row>
    <row r="108" spans="1:10" s="530" customFormat="1" ht="13.8">
      <c r="A108" s="601">
        <v>150000</v>
      </c>
      <c r="B108" s="543" t="s">
        <v>445</v>
      </c>
      <c r="C108" s="602">
        <v>80</v>
      </c>
      <c r="D108" s="602"/>
      <c r="E108" s="602" t="s">
        <v>446</v>
      </c>
      <c r="F108" s="603">
        <v>18</v>
      </c>
      <c r="G108" s="604">
        <v>61419</v>
      </c>
      <c r="H108" s="603">
        <v>65</v>
      </c>
      <c r="I108" s="605" t="s">
        <v>444</v>
      </c>
      <c r="J108" s="580"/>
    </row>
    <row r="109" spans="1:10" s="530" customFormat="1">
      <c r="A109" s="601">
        <v>156000</v>
      </c>
      <c r="B109" s="605" t="s">
        <v>444</v>
      </c>
      <c r="C109" s="602">
        <v>82</v>
      </c>
      <c r="D109" s="602"/>
      <c r="E109" s="602" t="s">
        <v>444</v>
      </c>
      <c r="F109" s="603">
        <v>24</v>
      </c>
      <c r="G109" s="604">
        <v>81891</v>
      </c>
      <c r="H109" s="603">
        <v>80</v>
      </c>
      <c r="I109" s="605" t="s">
        <v>444</v>
      </c>
      <c r="J109" s="580"/>
    </row>
    <row r="110" spans="1:10" s="530" customFormat="1">
      <c r="A110" s="601">
        <v>160000</v>
      </c>
      <c r="B110" s="605" t="s">
        <v>446</v>
      </c>
      <c r="C110" s="602">
        <v>85</v>
      </c>
      <c r="D110" s="602"/>
      <c r="E110" s="602" t="s">
        <v>444</v>
      </c>
      <c r="F110" s="603">
        <v>27</v>
      </c>
      <c r="G110" s="604">
        <v>92128</v>
      </c>
      <c r="H110" s="603">
        <v>85</v>
      </c>
      <c r="I110" s="605" t="s">
        <v>444</v>
      </c>
      <c r="J110" s="580"/>
    </row>
    <row r="111" spans="1:10" s="530" customFormat="1">
      <c r="A111" s="601">
        <v>175000</v>
      </c>
      <c r="B111" s="605" t="s">
        <v>445</v>
      </c>
      <c r="C111" s="602">
        <v>90</v>
      </c>
      <c r="D111" s="602"/>
      <c r="E111" s="602" t="s">
        <v>446</v>
      </c>
      <c r="F111" s="603">
        <v>36</v>
      </c>
      <c r="G111" s="604">
        <v>122837</v>
      </c>
      <c r="H111" s="603">
        <v>105</v>
      </c>
      <c r="I111" s="605" t="s">
        <v>444</v>
      </c>
      <c r="J111" s="580"/>
    </row>
    <row r="112" spans="1:10" s="530" customFormat="1" ht="14.4">
      <c r="A112" s="601">
        <v>180000</v>
      </c>
      <c r="B112" s="605" t="s">
        <v>444</v>
      </c>
      <c r="C112" s="602">
        <v>91</v>
      </c>
      <c r="D112" s="602"/>
      <c r="E112" s="602" t="s">
        <v>444</v>
      </c>
      <c r="F112" s="603">
        <v>54</v>
      </c>
      <c r="G112" s="604">
        <v>184256</v>
      </c>
      <c r="H112" s="544">
        <v>120</v>
      </c>
      <c r="I112" s="606" t="s">
        <v>444</v>
      </c>
      <c r="J112" s="580"/>
    </row>
    <row r="113" spans="1:9" s="530" customFormat="1" ht="14.4">
      <c r="A113" s="601">
        <v>199000</v>
      </c>
      <c r="B113" s="605" t="s">
        <v>445</v>
      </c>
      <c r="C113" s="602">
        <v>100</v>
      </c>
      <c r="D113" s="602"/>
      <c r="E113" s="602" t="s">
        <v>446</v>
      </c>
      <c r="F113" s="544"/>
      <c r="G113" s="545"/>
      <c r="H113" s="544"/>
      <c r="I113" s="606"/>
    </row>
    <row r="114" spans="1:9" s="530" customFormat="1" ht="14.4">
      <c r="A114" s="601">
        <v>199900</v>
      </c>
      <c r="B114" s="605" t="s">
        <v>446</v>
      </c>
      <c r="C114" s="602">
        <v>110</v>
      </c>
      <c r="D114" s="602"/>
      <c r="E114" s="602" t="s">
        <v>445</v>
      </c>
      <c r="F114" s="544"/>
      <c r="G114" s="545"/>
      <c r="H114" s="544"/>
      <c r="I114" s="606"/>
    </row>
    <row r="115" spans="1:9" s="530" customFormat="1" ht="14.4">
      <c r="A115" s="601">
        <v>200000</v>
      </c>
      <c r="B115" s="605" t="s">
        <v>445</v>
      </c>
      <c r="C115" s="602">
        <v>119</v>
      </c>
      <c r="D115" s="602"/>
      <c r="E115" s="602" t="s">
        <v>446</v>
      </c>
      <c r="F115" s="544"/>
      <c r="G115" s="545"/>
      <c r="H115" s="544"/>
      <c r="I115" s="606"/>
    </row>
    <row r="116" spans="1:9" s="530" customFormat="1" ht="14.4">
      <c r="A116" s="601">
        <v>250000</v>
      </c>
      <c r="B116" s="605" t="s">
        <v>446</v>
      </c>
      <c r="C116" s="607">
        <v>125</v>
      </c>
      <c r="D116" s="607"/>
      <c r="E116" s="607" t="s">
        <v>445</v>
      </c>
      <c r="F116" s="546"/>
      <c r="G116" s="547"/>
      <c r="H116" s="546"/>
      <c r="I116" s="608"/>
    </row>
    <row r="117" spans="1:9" s="530" customFormat="1" ht="14.4">
      <c r="A117" s="601">
        <v>251000</v>
      </c>
      <c r="B117" s="605" t="s">
        <v>445</v>
      </c>
      <c r="C117" s="545"/>
      <c r="D117" s="545"/>
      <c r="E117" s="545"/>
      <c r="F117" s="602"/>
      <c r="G117" s="545"/>
      <c r="H117" s="545"/>
      <c r="I117" s="580"/>
    </row>
    <row r="118" spans="1:9" s="530" customFormat="1" ht="14.4">
      <c r="A118" s="601">
        <v>270000</v>
      </c>
      <c r="B118" s="605" t="s">
        <v>444</v>
      </c>
      <c r="C118" s="545"/>
      <c r="D118" s="545"/>
      <c r="E118" s="545"/>
      <c r="F118" s="602"/>
      <c r="G118" s="545"/>
      <c r="H118" s="545"/>
      <c r="I118" s="580"/>
    </row>
    <row r="119" spans="1:9" s="530" customFormat="1" ht="14.4">
      <c r="A119" s="601">
        <v>285000</v>
      </c>
      <c r="B119" s="605" t="s">
        <v>445</v>
      </c>
      <c r="C119" s="545"/>
      <c r="D119" s="545"/>
      <c r="E119" s="545"/>
      <c r="F119" s="602"/>
      <c r="G119" s="545"/>
      <c r="H119" s="545"/>
      <c r="I119" s="580"/>
    </row>
    <row r="120" spans="1:9" s="530" customFormat="1" ht="14.4">
      <c r="A120" s="601">
        <v>300000</v>
      </c>
      <c r="B120" s="605" t="s">
        <v>446</v>
      </c>
      <c r="C120" s="545"/>
      <c r="D120" s="545"/>
      <c r="E120" s="545"/>
      <c r="F120" s="602"/>
      <c r="G120" s="545"/>
      <c r="H120" s="545"/>
      <c r="I120" s="580"/>
    </row>
    <row r="121" spans="1:9" s="530" customFormat="1" ht="14.4">
      <c r="A121" s="601">
        <v>320000</v>
      </c>
      <c r="B121" s="605" t="s">
        <v>445</v>
      </c>
      <c r="C121" s="545"/>
      <c r="D121" s="545"/>
      <c r="E121" s="545"/>
      <c r="F121" s="602"/>
      <c r="G121" s="545"/>
      <c r="H121" s="545"/>
      <c r="I121" s="580"/>
    </row>
    <row r="122" spans="1:9" s="530" customFormat="1" ht="14.4">
      <c r="A122" s="601">
        <v>360000</v>
      </c>
      <c r="B122" s="605" t="s">
        <v>444</v>
      </c>
      <c r="C122" s="545"/>
      <c r="D122" s="545"/>
      <c r="E122" s="545"/>
      <c r="F122" s="602"/>
      <c r="G122" s="545"/>
      <c r="H122" s="545"/>
      <c r="I122" s="580"/>
    </row>
    <row r="123" spans="1:9" s="530" customFormat="1" ht="14.4">
      <c r="A123" s="601">
        <v>398000</v>
      </c>
      <c r="B123" s="605" t="s">
        <v>445</v>
      </c>
      <c r="C123" s="545"/>
      <c r="D123" s="545"/>
      <c r="E123" s="545"/>
      <c r="F123" s="602"/>
      <c r="G123" s="545"/>
      <c r="H123" s="545"/>
      <c r="I123" s="580"/>
    </row>
    <row r="124" spans="1:9" s="530" customFormat="1" ht="14.4">
      <c r="A124" s="601">
        <v>399000</v>
      </c>
      <c r="B124" s="605" t="s">
        <v>445</v>
      </c>
      <c r="C124" s="545"/>
      <c r="D124" s="545"/>
      <c r="E124" s="545"/>
      <c r="F124" s="602"/>
      <c r="G124" s="545"/>
      <c r="H124" s="545"/>
      <c r="I124" s="580"/>
    </row>
    <row r="125" spans="1:9" s="530" customFormat="1" ht="14.4">
      <c r="A125" s="601">
        <v>399900</v>
      </c>
      <c r="B125" s="605" t="s">
        <v>446</v>
      </c>
      <c r="C125" s="545"/>
      <c r="D125" s="545"/>
      <c r="E125" s="545"/>
      <c r="F125" s="602"/>
      <c r="G125" s="545"/>
      <c r="H125" s="545"/>
      <c r="I125" s="580"/>
    </row>
    <row r="126" spans="1:9" s="530" customFormat="1" ht="14.4">
      <c r="A126" s="601">
        <v>499900</v>
      </c>
      <c r="B126" s="605" t="s">
        <v>444</v>
      </c>
      <c r="C126" s="545"/>
      <c r="D126" s="545"/>
      <c r="E126" s="545"/>
      <c r="F126" s="602"/>
      <c r="G126" s="545"/>
      <c r="H126" s="545"/>
      <c r="I126" s="580"/>
    </row>
    <row r="127" spans="1:9" s="530" customFormat="1" ht="14.4">
      <c r="A127" s="601">
        <v>550000</v>
      </c>
      <c r="B127" s="605" t="s">
        <v>444</v>
      </c>
      <c r="C127" s="545"/>
      <c r="D127" s="545"/>
      <c r="E127" s="545"/>
      <c r="F127" s="602"/>
      <c r="G127" s="545"/>
      <c r="H127" s="545"/>
      <c r="I127" s="580"/>
    </row>
    <row r="128" spans="1:9" s="530" customFormat="1" ht="14.4">
      <c r="A128" s="609">
        <v>715000</v>
      </c>
      <c r="B128" s="610" t="s">
        <v>444</v>
      </c>
      <c r="C128" s="545"/>
      <c r="D128" s="545"/>
      <c r="E128" s="545"/>
      <c r="F128" s="602"/>
      <c r="G128" s="545"/>
      <c r="H128" s="545"/>
      <c r="I128" s="580"/>
    </row>
    <row r="129" spans="1:11" s="363" customFormat="1" ht="14.4">
      <c r="A129" s="368"/>
      <c r="B129" s="368"/>
      <c r="C129" s="369"/>
      <c r="D129" s="369"/>
      <c r="E129" s="369"/>
      <c r="F129" s="368"/>
      <c r="G129" s="369"/>
      <c r="H129" s="369"/>
    </row>
    <row r="130" spans="1:11" s="363" customFormat="1" ht="14.4">
      <c r="C130" s="367"/>
      <c r="D130" s="367"/>
      <c r="E130" s="367"/>
      <c r="G130" s="367"/>
      <c r="H130" s="367"/>
    </row>
    <row r="131" spans="1:11" s="363" customFormat="1" ht="14.4">
      <c r="C131" s="367"/>
      <c r="D131" s="367"/>
      <c r="E131" s="367"/>
      <c r="G131" s="367"/>
      <c r="H131" s="367"/>
    </row>
    <row r="132" spans="1:11" s="363" customFormat="1" hidden="1">
      <c r="A132" s="30" t="s">
        <v>447</v>
      </c>
      <c r="B132" s="30"/>
      <c r="C132" s="30"/>
      <c r="D132" s="30"/>
      <c r="E132" s="30"/>
      <c r="F132" s="31"/>
      <c r="G132" s="32"/>
      <c r="H132" s="33"/>
      <c r="I132" s="30"/>
      <c r="J132" s="30"/>
      <c r="K132" s="30"/>
    </row>
    <row r="133" spans="1:11" s="363" customFormat="1" ht="14.4" hidden="1">
      <c r="C133" s="367"/>
      <c r="D133" s="367"/>
      <c r="E133" s="367"/>
      <c r="G133" s="367"/>
      <c r="H133" s="367"/>
    </row>
    <row r="134" spans="1:11" s="363" customFormat="1" ht="14.4" hidden="1">
      <c r="A134" s="370" t="s">
        <v>448</v>
      </c>
      <c r="B134" s="371" t="s">
        <v>449</v>
      </c>
      <c r="C134" s="371" t="s">
        <v>450</v>
      </c>
      <c r="D134" s="371"/>
      <c r="E134" s="371" t="s">
        <v>451</v>
      </c>
      <c r="G134" s="367"/>
      <c r="H134" s="367"/>
    </row>
    <row r="135" spans="1:11" s="363" customFormat="1" ht="26.4" hidden="1">
      <c r="A135" s="372" t="s">
        <v>452</v>
      </c>
      <c r="B135" s="373">
        <f>6.416*10^-2</f>
        <v>6.4160000000000009E-2</v>
      </c>
      <c r="C135" s="373" t="s">
        <v>453</v>
      </c>
      <c r="D135" s="373"/>
      <c r="E135" s="373" t="s">
        <v>454</v>
      </c>
      <c r="F135" s="368" t="s">
        <v>455</v>
      </c>
      <c r="G135" s="367"/>
      <c r="H135" s="367"/>
    </row>
    <row r="136" spans="1:11" s="363" customFormat="1" ht="14.4" hidden="1">
      <c r="A136" s="372" t="s">
        <v>456</v>
      </c>
      <c r="B136" s="373">
        <v>120</v>
      </c>
      <c r="C136" s="373">
        <v>135</v>
      </c>
      <c r="D136" s="373"/>
      <c r="E136" s="373">
        <v>135</v>
      </c>
      <c r="G136" s="367"/>
      <c r="H136" s="367"/>
    </row>
    <row r="137" spans="1:11" s="363" customFormat="1" ht="14.4" hidden="1">
      <c r="A137" s="374" t="s">
        <v>457</v>
      </c>
      <c r="B137" s="373">
        <v>0.2</v>
      </c>
      <c r="C137" s="373">
        <v>0.2</v>
      </c>
      <c r="D137" s="373"/>
      <c r="E137" s="375" t="s">
        <v>225</v>
      </c>
      <c r="G137" s="367"/>
      <c r="H137" s="367"/>
    </row>
    <row r="138" spans="1:11" s="363" customFormat="1" ht="14.4" hidden="1">
      <c r="A138" s="374" t="s">
        <v>458</v>
      </c>
      <c r="B138" s="375">
        <v>0.05</v>
      </c>
      <c r="C138" s="375">
        <v>0.05</v>
      </c>
      <c r="D138" s="375"/>
      <c r="E138" s="375" t="s">
        <v>225</v>
      </c>
      <c r="G138" s="367"/>
      <c r="H138" s="367"/>
    </row>
    <row r="139" spans="1:11" s="363" customFormat="1" ht="14.4" hidden="1">
      <c r="A139" s="376"/>
      <c r="B139" s="376"/>
      <c r="C139" s="367"/>
      <c r="D139" s="367"/>
      <c r="E139" s="367"/>
      <c r="G139" s="367"/>
      <c r="H139" s="367"/>
    </row>
    <row r="140" spans="1:11" s="363" customFormat="1" ht="14.4" hidden="1">
      <c r="A140" s="377" t="s">
        <v>459</v>
      </c>
      <c r="B140" s="378" t="s">
        <v>460</v>
      </c>
      <c r="C140" s="376"/>
      <c r="D140" s="376"/>
      <c r="E140" s="367"/>
      <c r="G140" s="367"/>
      <c r="H140" s="367"/>
    </row>
    <row r="141" spans="1:11" s="363" customFormat="1" ht="14.4" hidden="1">
      <c r="A141" s="379" t="s">
        <v>461</v>
      </c>
      <c r="B141" s="380">
        <v>0.92962911380081059</v>
      </c>
      <c r="C141" s="376"/>
      <c r="D141" s="376"/>
      <c r="E141" s="367"/>
      <c r="G141" s="367"/>
      <c r="H141" s="367"/>
    </row>
    <row r="142" spans="1:11" s="363" customFormat="1" ht="26.4" hidden="1">
      <c r="A142" s="379" t="s">
        <v>462</v>
      </c>
      <c r="B142" s="381" t="s">
        <v>463</v>
      </c>
      <c r="C142" s="376"/>
      <c r="D142" s="376"/>
      <c r="E142" s="367"/>
      <c r="G142" s="367"/>
      <c r="H142" s="367"/>
    </row>
    <row r="143" spans="1:11" s="363" customFormat="1" ht="26.4" hidden="1">
      <c r="A143" s="379" t="s">
        <v>464</v>
      </c>
      <c r="B143" s="381" t="s">
        <v>465</v>
      </c>
      <c r="C143" s="376"/>
      <c r="D143" s="376"/>
      <c r="E143" s="367"/>
      <c r="G143" s="367"/>
      <c r="H143" s="367"/>
    </row>
    <row r="144" spans="1:11" hidden="1"/>
    <row r="145" hidden="1"/>
    <row r="146" hidden="1"/>
  </sheetData>
  <mergeCells count="17">
    <mergeCell ref="L75:L90"/>
    <mergeCell ref="A73:L73"/>
    <mergeCell ref="A94:I94"/>
    <mergeCell ref="A1:G1"/>
    <mergeCell ref="B64:F64"/>
    <mergeCell ref="I64:I65"/>
    <mergeCell ref="B65:F65"/>
    <mergeCell ref="H74:I74"/>
    <mergeCell ref="J74:K74"/>
    <mergeCell ref="A8:I8"/>
    <mergeCell ref="I10:I63"/>
    <mergeCell ref="A95:E95"/>
    <mergeCell ref="F95:I95"/>
    <mergeCell ref="F96:G96"/>
    <mergeCell ref="A96:B96"/>
    <mergeCell ref="C96:E96"/>
    <mergeCell ref="H96:I9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M97"/>
  <sheetViews>
    <sheetView zoomScale="85" zoomScaleNormal="85" workbookViewId="0">
      <selection sqref="A1:H1"/>
    </sheetView>
  </sheetViews>
  <sheetFormatPr defaultColWidth="8.88671875" defaultRowHeight="13.2"/>
  <cols>
    <col min="1" max="1" width="50.33203125" style="11" customWidth="1"/>
    <col min="2" max="2" width="19" style="11" customWidth="1"/>
    <col min="3" max="3" width="23.33203125" style="11" customWidth="1"/>
    <col min="4" max="4" width="31.5546875" style="11" customWidth="1"/>
    <col min="5" max="5" width="21.33203125" style="11" customWidth="1"/>
    <col min="6" max="6" width="26.5546875" style="11" customWidth="1"/>
    <col min="7" max="7" width="32.88671875" style="11" customWidth="1"/>
    <col min="8" max="8" width="32.33203125" style="11" customWidth="1"/>
    <col min="9" max="9" width="9.6640625" style="11" customWidth="1"/>
    <col min="10" max="10" width="34.88671875" style="11" customWidth="1"/>
    <col min="11" max="11" width="24" style="11" customWidth="1"/>
    <col min="12" max="12" width="10.5546875" style="11" customWidth="1"/>
    <col min="13" max="13" width="11.44140625" style="11" customWidth="1"/>
    <col min="14" max="14" width="10.5546875" style="11" customWidth="1"/>
    <col min="15" max="15" width="13.109375" style="11" customWidth="1"/>
    <col min="16" max="16" width="9.6640625" style="11" customWidth="1"/>
    <col min="17" max="17" width="9.44140625" style="11" customWidth="1"/>
    <col min="18" max="18" width="12.88671875" style="11" customWidth="1"/>
    <col min="19" max="19" width="14.6640625" style="11" customWidth="1"/>
    <col min="20" max="20" width="20.6640625" style="11" customWidth="1"/>
    <col min="21" max="21" width="19.88671875" style="11" customWidth="1"/>
    <col min="22" max="27" width="8.88671875" style="11"/>
    <col min="28" max="28" width="13.88671875" style="11" bestFit="1" customWidth="1"/>
    <col min="29" max="16384" width="8.88671875" style="11"/>
  </cols>
  <sheetData>
    <row r="1" spans="1:8" ht="22.2" customHeight="1">
      <c r="A1" s="758" t="str">
        <f>"Interior Lighting - " &amp; Prototype!A2</f>
        <v>Interior Lighting - OfficeMedium</v>
      </c>
      <c r="B1" s="674"/>
      <c r="C1" s="674"/>
      <c r="D1" s="674"/>
      <c r="E1" s="674"/>
      <c r="F1" s="674"/>
      <c r="G1" s="674"/>
      <c r="H1" s="674"/>
    </row>
    <row r="2" spans="1:8" ht="19.2" customHeight="1">
      <c r="A2" s="782" t="s">
        <v>175</v>
      </c>
      <c r="B2" s="776" t="s">
        <v>466</v>
      </c>
      <c r="C2" s="776"/>
      <c r="D2" s="776"/>
      <c r="E2" s="776" t="s">
        <v>233</v>
      </c>
      <c r="F2" s="776"/>
      <c r="G2" s="776"/>
      <c r="H2" s="776" t="s">
        <v>319</v>
      </c>
    </row>
    <row r="3" spans="1:8" ht="26.4">
      <c r="A3" s="783"/>
      <c r="B3" s="517" t="s">
        <v>467</v>
      </c>
      <c r="C3" s="517" t="s">
        <v>468</v>
      </c>
      <c r="D3" s="517" t="s">
        <v>252</v>
      </c>
      <c r="E3" s="517" t="s">
        <v>469</v>
      </c>
      <c r="F3" s="517" t="s">
        <v>468</v>
      </c>
      <c r="G3" s="517" t="s">
        <v>252</v>
      </c>
      <c r="H3" s="777"/>
    </row>
    <row r="4" spans="1:8" s="288" customFormat="1" ht="39.75" customHeight="1">
      <c r="A4" s="559" t="s">
        <v>124</v>
      </c>
      <c r="B4" s="559">
        <v>0.6</v>
      </c>
      <c r="C4" s="316">
        <f>0.2*0.5</f>
        <v>0.1</v>
      </c>
      <c r="D4" s="778" t="s">
        <v>470</v>
      </c>
      <c r="E4" s="559">
        <v>0.75</v>
      </c>
      <c r="F4" s="559" t="s">
        <v>148</v>
      </c>
      <c r="G4" s="778" t="s">
        <v>471</v>
      </c>
      <c r="H4" s="611" t="s">
        <v>472</v>
      </c>
    </row>
    <row r="5" spans="1:8" s="288" customFormat="1" ht="19.95" customHeight="1">
      <c r="A5" s="559" t="s">
        <v>139</v>
      </c>
      <c r="B5" s="559">
        <v>0.75</v>
      </c>
      <c r="C5" s="612"/>
      <c r="D5" s="779"/>
      <c r="E5" s="559">
        <v>1.4</v>
      </c>
      <c r="F5" s="559"/>
      <c r="G5" s="779"/>
      <c r="H5" s="612"/>
    </row>
    <row r="6" spans="1:8" s="288" customFormat="1" ht="19.95" customHeight="1">
      <c r="A6" s="559" t="s">
        <v>142</v>
      </c>
      <c r="B6" s="559">
        <v>0.7</v>
      </c>
      <c r="C6" s="316">
        <v>0.25</v>
      </c>
      <c r="D6" s="779"/>
      <c r="E6" s="559">
        <v>1.5</v>
      </c>
      <c r="F6" s="559">
        <v>0.5</v>
      </c>
      <c r="G6" s="779"/>
      <c r="H6" s="612"/>
    </row>
    <row r="7" spans="1:8" s="288" customFormat="1" ht="19.95" customHeight="1">
      <c r="A7" s="559" t="s">
        <v>146</v>
      </c>
      <c r="B7" s="559">
        <v>0.4</v>
      </c>
      <c r="C7" s="612"/>
      <c r="D7" s="779"/>
      <c r="E7" s="559">
        <v>0.6</v>
      </c>
      <c r="F7" s="559"/>
      <c r="G7" s="779"/>
      <c r="H7" s="612"/>
    </row>
    <row r="8" spans="1:8" s="288" customFormat="1" ht="19.95" customHeight="1">
      <c r="A8" s="559" t="s">
        <v>151</v>
      </c>
      <c r="B8" s="559">
        <v>0.4</v>
      </c>
      <c r="C8" s="612"/>
      <c r="D8" s="779"/>
      <c r="E8" s="559">
        <v>0.7</v>
      </c>
      <c r="F8" s="559"/>
      <c r="G8" s="779"/>
      <c r="H8" s="612"/>
    </row>
    <row r="9" spans="1:8" s="288" customFormat="1" ht="19.95" customHeight="1">
      <c r="A9" s="559" t="s">
        <v>154</v>
      </c>
      <c r="B9" s="559">
        <v>0.75</v>
      </c>
      <c r="C9" s="612"/>
      <c r="D9" s="779"/>
      <c r="E9" s="548">
        <v>1.71</v>
      </c>
      <c r="F9" s="559"/>
      <c r="G9" s="779"/>
      <c r="H9" s="612"/>
    </row>
    <row r="10" spans="1:8" s="288" customFormat="1" ht="19.95" customHeight="1">
      <c r="A10" s="559" t="s">
        <v>158</v>
      </c>
      <c r="B10" s="613">
        <v>0.65</v>
      </c>
      <c r="C10" s="612"/>
      <c r="D10" s="779"/>
      <c r="E10" s="548">
        <v>0.65</v>
      </c>
      <c r="F10" s="559"/>
      <c r="G10" s="779"/>
      <c r="H10" s="612"/>
    </row>
    <row r="11" spans="1:8" s="288" customFormat="1" ht="36.6" customHeight="1">
      <c r="A11" s="614" t="s">
        <v>160</v>
      </c>
      <c r="B11" s="559">
        <v>0.55000000000000004</v>
      </c>
      <c r="C11" s="316">
        <f>0.5*0.25</f>
        <v>0.125</v>
      </c>
      <c r="D11" s="779"/>
      <c r="E11" s="559">
        <v>1.1000000000000001</v>
      </c>
      <c r="F11" s="614">
        <f>0.5*0.5</f>
        <v>0.25</v>
      </c>
      <c r="G11" s="779"/>
      <c r="H11" s="559" t="s">
        <v>473</v>
      </c>
    </row>
    <row r="12" spans="1:8" s="288" customFormat="1" ht="19.95" customHeight="1">
      <c r="A12" s="559" t="s">
        <v>163</v>
      </c>
      <c r="B12" s="549">
        <v>0.6</v>
      </c>
      <c r="C12" s="612"/>
      <c r="D12" s="779"/>
      <c r="E12" s="548">
        <v>0.6</v>
      </c>
      <c r="F12" s="559"/>
      <c r="G12" s="779"/>
      <c r="H12" s="612"/>
    </row>
    <row r="13" spans="1:8" s="288" customFormat="1" ht="19.95" customHeight="1">
      <c r="A13" s="559" t="s">
        <v>165</v>
      </c>
      <c r="B13" s="559">
        <v>0.4</v>
      </c>
      <c r="C13" s="612"/>
      <c r="D13" s="779"/>
      <c r="E13" s="548">
        <v>0.6</v>
      </c>
      <c r="F13" s="559"/>
      <c r="G13" s="779"/>
      <c r="H13" s="612"/>
    </row>
    <row r="14" spans="1:8" ht="19.95" customHeight="1">
      <c r="A14" s="511" t="s">
        <v>173</v>
      </c>
      <c r="B14" s="511" t="s">
        <v>148</v>
      </c>
      <c r="C14" s="45"/>
      <c r="D14" s="781"/>
      <c r="E14" s="511"/>
      <c r="F14" s="511"/>
      <c r="G14" s="780"/>
      <c r="H14" s="45"/>
    </row>
    <row r="15" spans="1:8" ht="19.95" customHeight="1">
      <c r="A15" s="453"/>
      <c r="B15" s="13"/>
      <c r="C15" s="312"/>
      <c r="D15" s="312"/>
      <c r="E15" s="117"/>
      <c r="F15" s="13"/>
      <c r="G15" s="312"/>
    </row>
    <row r="16" spans="1:8" ht="19.95" customHeight="1">
      <c r="A16" s="453"/>
      <c r="B16" s="13"/>
      <c r="C16" s="312"/>
      <c r="D16" s="312"/>
      <c r="E16" s="117"/>
      <c r="F16" s="13"/>
      <c r="G16" s="312"/>
    </row>
    <row r="17" spans="1:9" ht="15" customHeight="1">
      <c r="B17" s="775" t="s">
        <v>474</v>
      </c>
      <c r="C17" s="775"/>
      <c r="D17" s="27"/>
    </row>
    <row r="18" spans="1:9" ht="19.95" customHeight="1">
      <c r="B18" s="238">
        <v>2025</v>
      </c>
      <c r="C18" s="238">
        <v>2013</v>
      </c>
      <c r="D18" s="27"/>
    </row>
    <row r="19" spans="1:9" ht="19.95" customHeight="1">
      <c r="A19" s="512" t="s">
        <v>475</v>
      </c>
      <c r="B19" s="511">
        <v>0.6</v>
      </c>
      <c r="C19" s="511">
        <v>0.8</v>
      </c>
      <c r="D19" s="27"/>
    </row>
    <row r="20" spans="1:9" ht="13.2" customHeight="1">
      <c r="A20" s="11" t="s">
        <v>476</v>
      </c>
      <c r="B20" s="27"/>
      <c r="C20" s="27"/>
      <c r="D20" s="27"/>
    </row>
    <row r="21" spans="1:9" ht="13.2" customHeight="1">
      <c r="B21" s="27"/>
      <c r="C21" s="27"/>
      <c r="D21" s="27"/>
    </row>
    <row r="22" spans="1:9" ht="13.2" customHeight="1">
      <c r="B22" s="27"/>
      <c r="C22" s="27"/>
      <c r="D22" s="27"/>
    </row>
    <row r="23" spans="1:9" ht="13.2" customHeight="1">
      <c r="B23" s="27"/>
      <c r="C23" s="27"/>
      <c r="D23" s="27"/>
    </row>
    <row r="24" spans="1:9" ht="13.2" hidden="1" customHeight="1">
      <c r="B24" s="27"/>
      <c r="C24" s="27"/>
      <c r="D24" s="27"/>
    </row>
    <row r="25" spans="1:9" s="30" customFormat="1" hidden="1">
      <c r="A25" s="30" t="s">
        <v>447</v>
      </c>
      <c r="E25" s="31"/>
      <c r="F25" s="32"/>
      <c r="G25" s="33"/>
    </row>
    <row r="26" spans="1:9" s="12" customFormat="1" hidden="1">
      <c r="E26" s="49"/>
      <c r="F26" s="50"/>
      <c r="G26" s="51"/>
    </row>
    <row r="27" spans="1:9" ht="13.2" hidden="1" customHeight="1">
      <c r="A27" s="771" t="s">
        <v>477</v>
      </c>
      <c r="B27" s="771"/>
      <c r="C27" s="771"/>
      <c r="D27" s="772"/>
    </row>
    <row r="28" spans="1:9" ht="42" hidden="1" customHeight="1">
      <c r="A28" s="46" t="s">
        <v>478</v>
      </c>
      <c r="B28" s="34" t="s">
        <v>479</v>
      </c>
      <c r="C28" s="34" t="s">
        <v>480</v>
      </c>
      <c r="D28" s="34" t="s">
        <v>481</v>
      </c>
      <c r="E28" s="34" t="s">
        <v>319</v>
      </c>
      <c r="G28" s="11" t="s">
        <v>482</v>
      </c>
      <c r="H28" s="17" t="s">
        <v>483</v>
      </c>
      <c r="I28" s="51"/>
    </row>
    <row r="29" spans="1:9" ht="13.2" hidden="1" customHeight="1">
      <c r="A29" s="34">
        <v>2025</v>
      </c>
      <c r="B29" s="34">
        <v>0.6</v>
      </c>
      <c r="C29" s="34" t="s">
        <v>484</v>
      </c>
      <c r="D29" s="34" t="s">
        <v>485</v>
      </c>
      <c r="E29" s="45"/>
      <c r="G29" s="11" t="s">
        <v>486</v>
      </c>
      <c r="H29" s="17" t="s">
        <v>487</v>
      </c>
    </row>
    <row r="30" spans="1:9" ht="13.2" hidden="1" customHeight="1">
      <c r="A30" s="34">
        <v>2022</v>
      </c>
      <c r="B30" s="34">
        <v>0.6</v>
      </c>
      <c r="C30" s="34" t="s">
        <v>484</v>
      </c>
      <c r="D30" s="34"/>
      <c r="E30" s="45"/>
      <c r="G30" s="11" t="s">
        <v>488</v>
      </c>
      <c r="H30" s="17" t="s">
        <v>487</v>
      </c>
    </row>
    <row r="31" spans="1:9" ht="13.2" hidden="1" customHeight="1">
      <c r="A31" s="34">
        <v>2019</v>
      </c>
      <c r="B31" s="34">
        <v>0.65</v>
      </c>
      <c r="C31" s="34"/>
      <c r="D31" s="34"/>
      <c r="E31" s="45"/>
    </row>
    <row r="32" spans="1:9" ht="13.2" hidden="1" customHeight="1">
      <c r="A32" s="34">
        <v>2016</v>
      </c>
      <c r="B32" s="34">
        <v>0.8</v>
      </c>
      <c r="C32" s="34"/>
      <c r="D32" s="34"/>
      <c r="E32" s="45"/>
    </row>
    <row r="33" spans="1:12" ht="13.2" hidden="1" customHeight="1">
      <c r="A33" s="34">
        <v>2013</v>
      </c>
      <c r="B33" s="34">
        <v>0.8</v>
      </c>
      <c r="C33" s="34">
        <v>0.75</v>
      </c>
      <c r="D33" s="34"/>
      <c r="E33" s="45"/>
    </row>
    <row r="34" spans="1:12" ht="13.2" hidden="1" customHeight="1">
      <c r="A34" s="34">
        <v>2010</v>
      </c>
      <c r="B34" s="34">
        <v>0.85</v>
      </c>
      <c r="C34" s="34"/>
      <c r="D34" s="34"/>
      <c r="E34" s="45"/>
    </row>
    <row r="35" spans="1:12" ht="13.2" hidden="1" customHeight="1">
      <c r="A35" s="34">
        <v>2008</v>
      </c>
      <c r="B35" s="34">
        <v>8.5000000000000006E-2</v>
      </c>
      <c r="C35" s="34">
        <v>0.9</v>
      </c>
      <c r="D35" s="34" t="s">
        <v>489</v>
      </c>
      <c r="E35" s="45"/>
    </row>
    <row r="36" spans="1:12" ht="13.2" hidden="1" customHeight="1">
      <c r="A36" s="27">
        <v>2005</v>
      </c>
      <c r="B36" s="27"/>
      <c r="C36" s="27">
        <v>1.2</v>
      </c>
      <c r="D36" s="27"/>
    </row>
    <row r="37" spans="1:12" ht="13.2" hidden="1" customHeight="1">
      <c r="A37" s="11" t="s">
        <v>490</v>
      </c>
    </row>
    <row r="38" spans="1:12" ht="13.2" hidden="1" customHeight="1"/>
    <row r="39" spans="1:12" ht="13.2" hidden="1" customHeight="1"/>
    <row r="40" spans="1:12" ht="13.2" hidden="1" customHeight="1">
      <c r="D40" s="27"/>
    </row>
    <row r="41" spans="1:12" ht="13.2" hidden="1" customHeight="1">
      <c r="A41" s="773" t="s">
        <v>491</v>
      </c>
      <c r="B41" s="773"/>
      <c r="C41" s="773"/>
      <c r="D41" s="773"/>
      <c r="E41" s="773"/>
      <c r="F41" s="773"/>
      <c r="G41" s="773"/>
      <c r="H41" s="773"/>
    </row>
    <row r="42" spans="1:12" ht="13.2" hidden="1" customHeight="1">
      <c r="A42" s="35" t="s">
        <v>492</v>
      </c>
      <c r="B42" s="36" t="s">
        <v>493</v>
      </c>
      <c r="C42" s="36" t="s">
        <v>494</v>
      </c>
      <c r="D42" s="37" t="s">
        <v>495</v>
      </c>
      <c r="E42" s="36" t="s">
        <v>496</v>
      </c>
      <c r="F42" s="38" t="s">
        <v>497</v>
      </c>
      <c r="G42" s="38" t="s">
        <v>498</v>
      </c>
      <c r="H42" s="38" t="s">
        <v>499</v>
      </c>
      <c r="K42" s="11" t="s">
        <v>500</v>
      </c>
      <c r="L42" s="11">
        <f>52*5-L45</f>
        <v>249</v>
      </c>
    </row>
    <row r="43" spans="1:12" ht="13.2" hidden="1" customHeight="1">
      <c r="A43" s="41" t="s">
        <v>501</v>
      </c>
      <c r="B43" s="42">
        <v>45323</v>
      </c>
      <c r="C43" s="39" t="s">
        <v>502</v>
      </c>
      <c r="D43" s="43">
        <v>0.53920766499999995</v>
      </c>
      <c r="E43" s="38" t="s">
        <v>503</v>
      </c>
      <c r="F43" s="40">
        <f>F91*L42+G91*L43+H91*(L44+L45)</f>
        <v>1988.2231642668005</v>
      </c>
      <c r="G43" s="40">
        <f>D43*F43</f>
        <v>1072.0651699032128</v>
      </c>
      <c r="H43" s="26">
        <f>149.66/(511.16-149.66)</f>
        <v>0.41399723374827108</v>
      </c>
      <c r="K43" s="11" t="s">
        <v>504</v>
      </c>
      <c r="L43" s="11">
        <v>52</v>
      </c>
    </row>
    <row r="44" spans="1:12" ht="13.2" hidden="1" customHeight="1">
      <c r="A44" s="44" t="s">
        <v>505</v>
      </c>
      <c r="B44" s="42">
        <v>45444</v>
      </c>
      <c r="C44" s="39" t="s">
        <v>502</v>
      </c>
      <c r="D44" s="43">
        <v>0.6</v>
      </c>
      <c r="E44" s="38" t="s">
        <v>503</v>
      </c>
      <c r="F44" s="40">
        <f>B91*L42+C91*L43+D91*(L44+L45)</f>
        <v>2238.1</v>
      </c>
      <c r="G44" s="40">
        <f>D44*F44</f>
        <v>1342.86</v>
      </c>
      <c r="H44" s="26">
        <f>149.66/(511.16-149.66)</f>
        <v>0.41399723374827108</v>
      </c>
      <c r="K44" s="11" t="s">
        <v>506</v>
      </c>
      <c r="L44" s="11">
        <v>52</v>
      </c>
    </row>
    <row r="45" spans="1:12" ht="13.2" hidden="1" customHeight="1">
      <c r="K45" s="11" t="s">
        <v>507</v>
      </c>
      <c r="L45" s="11">
        <v>11</v>
      </c>
    </row>
    <row r="46" spans="1:12" ht="13.2" hidden="1" customHeight="1"/>
    <row r="47" spans="1:12" ht="13.2" hidden="1" customHeight="1">
      <c r="B47" s="27"/>
      <c r="C47" s="27"/>
      <c r="D47" s="27"/>
    </row>
    <row r="48" spans="1:12" ht="13.2" hidden="1" customHeight="1">
      <c r="B48" s="27"/>
      <c r="C48" s="27"/>
      <c r="D48" s="27"/>
    </row>
    <row r="49" spans="1:13" ht="21" hidden="1" customHeight="1">
      <c r="A49" s="774" t="s">
        <v>508</v>
      </c>
      <c r="B49" s="774"/>
      <c r="C49" s="774"/>
      <c r="D49" s="774"/>
      <c r="E49" s="774"/>
      <c r="F49" s="774"/>
      <c r="G49" s="774"/>
      <c r="H49" s="774"/>
      <c r="I49" s="774"/>
      <c r="J49" s="774"/>
      <c r="K49" s="774"/>
      <c r="L49" s="774"/>
      <c r="M49" s="774"/>
    </row>
    <row r="50" spans="1:13" ht="13.2" hidden="1" customHeight="1"/>
    <row r="51" spans="1:13" ht="13.2" hidden="1" customHeight="1"/>
    <row r="52" spans="1:13" ht="13.2" hidden="1" customHeight="1"/>
    <row r="53" spans="1:13" ht="13.2" hidden="1" customHeight="1"/>
    <row r="54" spans="1:13" ht="13.2" hidden="1" customHeight="1"/>
    <row r="55" spans="1:13" ht="13.2" hidden="1" customHeight="1"/>
    <row r="56" spans="1:13" ht="13.2" hidden="1" customHeight="1"/>
    <row r="57" spans="1:13" ht="13.2" hidden="1" customHeight="1"/>
    <row r="58" spans="1:13" ht="13.2" hidden="1" customHeight="1"/>
    <row r="59" spans="1:13" ht="13.2" hidden="1" customHeight="1"/>
    <row r="60" spans="1:13" ht="13.2" hidden="1" customHeight="1"/>
    <row r="61" spans="1:13" ht="13.2" hidden="1" customHeight="1"/>
    <row r="62" spans="1:13" ht="13.2" hidden="1" customHeight="1"/>
    <row r="63" spans="1:13" ht="13.2" hidden="1" customHeight="1"/>
    <row r="64" spans="1:13" ht="13.2" hidden="1" customHeight="1"/>
    <row r="65" spans="1:8" ht="13.2" hidden="1" customHeight="1">
      <c r="B65" s="768" t="s">
        <v>451</v>
      </c>
      <c r="C65" s="769"/>
      <c r="D65" s="770"/>
      <c r="F65" s="768" t="s">
        <v>501</v>
      </c>
      <c r="G65" s="769"/>
      <c r="H65" s="770"/>
    </row>
    <row r="66" spans="1:8" ht="13.2" hidden="1" customHeight="1">
      <c r="A66" s="108" t="s">
        <v>509</v>
      </c>
      <c r="B66" s="11" t="s">
        <v>510</v>
      </c>
      <c r="C66" s="11" t="s">
        <v>511</v>
      </c>
      <c r="D66" s="11" t="s">
        <v>512</v>
      </c>
      <c r="F66" s="108" t="s">
        <v>513</v>
      </c>
      <c r="G66" s="519" t="s">
        <v>514</v>
      </c>
      <c r="H66" s="11" t="s">
        <v>515</v>
      </c>
    </row>
    <row r="67" spans="1:8" ht="13.2" hidden="1" customHeight="1">
      <c r="A67" s="108">
        <v>1</v>
      </c>
      <c r="B67" s="11">
        <v>0.05</v>
      </c>
      <c r="C67" s="11">
        <v>0.05</v>
      </c>
      <c r="D67" s="11">
        <v>0.05</v>
      </c>
      <c r="F67" s="11">
        <v>3.59714696E-2</v>
      </c>
      <c r="G67" s="519">
        <v>3.59714696E-2</v>
      </c>
      <c r="H67" s="11">
        <v>3.59714696E-2</v>
      </c>
    </row>
    <row r="68" spans="1:8" ht="13.2" hidden="1" customHeight="1">
      <c r="A68" s="108">
        <f>1+A67</f>
        <v>2</v>
      </c>
      <c r="B68" s="11">
        <v>0.05</v>
      </c>
      <c r="C68" s="11">
        <v>0.05</v>
      </c>
      <c r="D68" s="11">
        <v>0.05</v>
      </c>
      <c r="F68" s="11">
        <v>3.59714696E-2</v>
      </c>
      <c r="G68" s="519">
        <v>3.59714696E-2</v>
      </c>
      <c r="H68" s="11">
        <v>3.59714696E-2</v>
      </c>
    </row>
    <row r="69" spans="1:8" ht="13.2" hidden="1" customHeight="1">
      <c r="A69" s="108">
        <f t="shared" ref="A69:A89" si="0">1+A68</f>
        <v>3</v>
      </c>
      <c r="B69" s="11">
        <v>0.05</v>
      </c>
      <c r="C69" s="11">
        <v>0.05</v>
      </c>
      <c r="D69" s="11">
        <v>0.05</v>
      </c>
      <c r="F69" s="11">
        <v>3.59714696E-2</v>
      </c>
      <c r="G69" s="519">
        <v>3.59714696E-2</v>
      </c>
      <c r="H69" s="11">
        <v>3.59714696E-2</v>
      </c>
    </row>
    <row r="70" spans="1:8" ht="13.2" hidden="1" customHeight="1">
      <c r="A70" s="108">
        <f t="shared" si="0"/>
        <v>4</v>
      </c>
      <c r="B70" s="11">
        <v>0.05</v>
      </c>
      <c r="C70" s="11">
        <v>0.05</v>
      </c>
      <c r="D70" s="11">
        <v>0.05</v>
      </c>
      <c r="F70" s="11">
        <v>3.59714696E-2</v>
      </c>
      <c r="G70" s="519">
        <v>3.59714696E-2</v>
      </c>
      <c r="H70" s="11">
        <v>3.59714696E-2</v>
      </c>
    </row>
    <row r="71" spans="1:8" ht="13.2" hidden="1" customHeight="1">
      <c r="A71" s="108">
        <f t="shared" si="0"/>
        <v>5</v>
      </c>
      <c r="B71" s="11">
        <v>0.05</v>
      </c>
      <c r="C71" s="11">
        <v>0.05</v>
      </c>
      <c r="D71" s="11">
        <v>0.05</v>
      </c>
      <c r="F71" s="11">
        <v>3.59714696E-2</v>
      </c>
      <c r="G71" s="519">
        <v>3.59714696E-2</v>
      </c>
      <c r="H71" s="11">
        <v>3.59714696E-2</v>
      </c>
    </row>
    <row r="72" spans="1:8" ht="13.2" hidden="1" customHeight="1">
      <c r="A72" s="108">
        <f t="shared" si="0"/>
        <v>6</v>
      </c>
      <c r="B72" s="11">
        <v>0.1</v>
      </c>
      <c r="C72" s="11">
        <v>0.05</v>
      </c>
      <c r="D72" s="11">
        <v>0.05</v>
      </c>
      <c r="F72" s="11">
        <v>7.1952789000000003E-2</v>
      </c>
      <c r="G72" s="519">
        <v>3.59714696E-2</v>
      </c>
      <c r="H72" s="11">
        <v>3.59714696E-2</v>
      </c>
    </row>
    <row r="73" spans="1:8" ht="13.2" hidden="1" customHeight="1">
      <c r="A73" s="108">
        <f t="shared" si="0"/>
        <v>7</v>
      </c>
      <c r="B73" s="11">
        <v>0.1</v>
      </c>
      <c r="C73" s="11">
        <v>0.1</v>
      </c>
      <c r="D73" s="11">
        <v>0.05</v>
      </c>
      <c r="F73" s="11">
        <v>7.1952789000000003E-2</v>
      </c>
      <c r="G73" s="519">
        <v>7.1952789000000003E-2</v>
      </c>
      <c r="H73" s="11">
        <v>3.59714696E-2</v>
      </c>
    </row>
    <row r="74" spans="1:8" ht="13.2" hidden="1" customHeight="1">
      <c r="A74" s="108">
        <f t="shared" si="0"/>
        <v>8</v>
      </c>
      <c r="B74" s="11">
        <v>0.3</v>
      </c>
      <c r="C74" s="11">
        <v>0.1</v>
      </c>
      <c r="D74" s="11">
        <v>0.05</v>
      </c>
      <c r="F74" s="11">
        <v>0.215858367</v>
      </c>
      <c r="G74" s="519">
        <v>7.1952789000000003E-2</v>
      </c>
      <c r="H74" s="11">
        <v>3.59714696E-2</v>
      </c>
    </row>
    <row r="75" spans="1:8" ht="13.2" hidden="1" customHeight="1">
      <c r="A75" s="151">
        <f t="shared" si="0"/>
        <v>9</v>
      </c>
      <c r="B75" s="11">
        <v>0.65</v>
      </c>
      <c r="C75" s="11">
        <v>0.3</v>
      </c>
      <c r="D75" s="11">
        <v>0.05</v>
      </c>
      <c r="F75" s="11">
        <v>0.64757510100000004</v>
      </c>
      <c r="G75" s="519">
        <v>0.215858367</v>
      </c>
      <c r="H75" s="11">
        <v>3.59714696E-2</v>
      </c>
    </row>
    <row r="76" spans="1:8" ht="13.2" hidden="1" customHeight="1">
      <c r="A76" s="151">
        <f t="shared" si="0"/>
        <v>10</v>
      </c>
      <c r="B76" s="11">
        <v>0.65</v>
      </c>
      <c r="C76" s="11">
        <v>0.3</v>
      </c>
      <c r="D76" s="11">
        <v>0.05</v>
      </c>
      <c r="F76" s="11">
        <v>0.64757510100000004</v>
      </c>
      <c r="G76" s="519">
        <v>0.215858367</v>
      </c>
      <c r="H76" s="11">
        <v>3.59714696E-2</v>
      </c>
    </row>
    <row r="77" spans="1:8" ht="13.2" hidden="1" customHeight="1">
      <c r="A77" s="151">
        <f t="shared" si="0"/>
        <v>11</v>
      </c>
      <c r="B77" s="11">
        <v>0.65</v>
      </c>
      <c r="C77" s="11">
        <v>0.3</v>
      </c>
      <c r="D77" s="11">
        <v>0.05</v>
      </c>
      <c r="F77" s="11">
        <v>0.64757510100000004</v>
      </c>
      <c r="G77" s="519">
        <v>0.215858367</v>
      </c>
      <c r="H77" s="11">
        <v>3.59714696E-2</v>
      </c>
    </row>
    <row r="78" spans="1:8" ht="13.2" hidden="1" customHeight="1">
      <c r="A78" s="151">
        <f t="shared" si="0"/>
        <v>12</v>
      </c>
      <c r="B78" s="11">
        <v>0.65</v>
      </c>
      <c r="C78" s="11">
        <v>0.3</v>
      </c>
      <c r="D78" s="11">
        <v>0.05</v>
      </c>
      <c r="F78" s="11">
        <v>0.64757510100000004</v>
      </c>
      <c r="G78" s="519">
        <v>0.215858367</v>
      </c>
      <c r="H78" s="11">
        <v>3.59714696E-2</v>
      </c>
    </row>
    <row r="79" spans="1:8" ht="13.2" hidden="1" customHeight="1">
      <c r="A79" s="151">
        <f t="shared" si="0"/>
        <v>13</v>
      </c>
      <c r="B79" s="11">
        <v>0.65</v>
      </c>
      <c r="C79" s="11">
        <v>0.15</v>
      </c>
      <c r="D79" s="11">
        <v>0.05</v>
      </c>
      <c r="F79" s="11">
        <v>0.64757510100000004</v>
      </c>
      <c r="G79" s="519">
        <v>0.1079242586</v>
      </c>
      <c r="H79" s="11">
        <v>3.59714696E-2</v>
      </c>
    </row>
    <row r="80" spans="1:8" ht="13.2" hidden="1" customHeight="1">
      <c r="A80" s="151">
        <f t="shared" si="0"/>
        <v>14</v>
      </c>
      <c r="B80" s="11">
        <v>0.65</v>
      </c>
      <c r="C80" s="11">
        <v>0.15</v>
      </c>
      <c r="D80" s="11">
        <v>0.05</v>
      </c>
      <c r="F80" s="11">
        <v>0.64757510100000004</v>
      </c>
      <c r="G80" s="519">
        <v>0.1079242586</v>
      </c>
      <c r="H80" s="11">
        <v>3.59714696E-2</v>
      </c>
    </row>
    <row r="81" spans="1:8" ht="13.2" hidden="1" customHeight="1">
      <c r="A81" s="151">
        <f t="shared" si="0"/>
        <v>15</v>
      </c>
      <c r="B81" s="11">
        <v>0.65</v>
      </c>
      <c r="C81" s="11">
        <v>0.15</v>
      </c>
      <c r="D81" s="11">
        <v>0.05</v>
      </c>
      <c r="F81" s="11">
        <v>0.64757510100000004</v>
      </c>
      <c r="G81" s="519">
        <v>0.1079242586</v>
      </c>
      <c r="H81" s="11">
        <v>3.59714696E-2</v>
      </c>
    </row>
    <row r="82" spans="1:8" ht="13.2" hidden="1" customHeight="1">
      <c r="A82" s="151">
        <f t="shared" si="0"/>
        <v>16</v>
      </c>
      <c r="B82" s="11">
        <v>0.65</v>
      </c>
      <c r="C82" s="11">
        <v>0.15</v>
      </c>
      <c r="D82" s="11">
        <v>0.05</v>
      </c>
      <c r="F82" s="11">
        <v>0.64757510100000004</v>
      </c>
      <c r="G82" s="519">
        <v>0.1079242586</v>
      </c>
      <c r="H82" s="11">
        <v>3.59714696E-2</v>
      </c>
    </row>
    <row r="83" spans="1:8" ht="13.2" hidden="1" customHeight="1">
      <c r="A83" s="151">
        <f t="shared" si="0"/>
        <v>17</v>
      </c>
      <c r="B83" s="11">
        <v>0.65</v>
      </c>
      <c r="C83" s="11">
        <v>0.15</v>
      </c>
      <c r="D83" s="11">
        <v>0.05</v>
      </c>
      <c r="F83" s="11">
        <v>0.64757510100000004</v>
      </c>
      <c r="G83" s="519">
        <v>0.1079242586</v>
      </c>
      <c r="H83" s="11">
        <v>3.59714696E-2</v>
      </c>
    </row>
    <row r="84" spans="1:8" ht="13.2" hidden="1" customHeight="1">
      <c r="A84" s="108">
        <f t="shared" si="0"/>
        <v>18</v>
      </c>
      <c r="B84" s="11">
        <v>0.35</v>
      </c>
      <c r="C84" s="11">
        <v>0.05</v>
      </c>
      <c r="D84" s="11">
        <v>0.05</v>
      </c>
      <c r="F84" s="11">
        <v>0.35976394499999997</v>
      </c>
      <c r="G84" s="519">
        <v>3.59714696E-2</v>
      </c>
      <c r="H84" s="11">
        <v>3.59714696E-2</v>
      </c>
    </row>
    <row r="85" spans="1:8" ht="13.2" hidden="1" customHeight="1">
      <c r="A85" s="108">
        <f t="shared" si="0"/>
        <v>19</v>
      </c>
      <c r="B85" s="11">
        <v>0.3</v>
      </c>
      <c r="C85" s="11">
        <v>0.05</v>
      </c>
      <c r="D85" s="11">
        <v>0.05</v>
      </c>
      <c r="F85" s="11">
        <v>0.215858367</v>
      </c>
      <c r="G85" s="519">
        <v>3.59714696E-2</v>
      </c>
      <c r="H85" s="11">
        <v>3.59714696E-2</v>
      </c>
    </row>
    <row r="86" spans="1:8" ht="13.2" hidden="1" customHeight="1">
      <c r="A86" s="108">
        <f t="shared" si="0"/>
        <v>20</v>
      </c>
      <c r="B86" s="11">
        <v>0.3</v>
      </c>
      <c r="C86" s="11">
        <v>0.05</v>
      </c>
      <c r="D86" s="11">
        <v>0.05</v>
      </c>
      <c r="F86" s="11">
        <v>0.215858367</v>
      </c>
      <c r="G86" s="519">
        <v>3.59714696E-2</v>
      </c>
      <c r="H86" s="11">
        <v>3.59714696E-2</v>
      </c>
    </row>
    <row r="87" spans="1:8" ht="13.2" hidden="1" customHeight="1">
      <c r="A87" s="108">
        <f t="shared" si="0"/>
        <v>21</v>
      </c>
      <c r="B87" s="11">
        <v>0.2</v>
      </c>
      <c r="C87" s="11">
        <v>0.05</v>
      </c>
      <c r="D87" s="11">
        <v>0.05</v>
      </c>
      <c r="F87" s="11">
        <v>0.14390557800000001</v>
      </c>
      <c r="G87" s="519">
        <v>3.59714696E-2</v>
      </c>
      <c r="H87" s="11">
        <v>3.59714696E-2</v>
      </c>
    </row>
    <row r="88" spans="1:8" ht="13.2" hidden="1" customHeight="1">
      <c r="A88" s="108">
        <f t="shared" si="0"/>
        <v>22</v>
      </c>
      <c r="B88" s="11">
        <v>0.2</v>
      </c>
      <c r="C88" s="11">
        <v>0.05</v>
      </c>
      <c r="D88" s="11">
        <v>0.05</v>
      </c>
      <c r="F88" s="11">
        <v>0.14390557800000001</v>
      </c>
      <c r="G88" s="519">
        <v>3.59714696E-2</v>
      </c>
      <c r="H88" s="11">
        <v>3.59714696E-2</v>
      </c>
    </row>
    <row r="89" spans="1:8" ht="13.2" hidden="1" customHeight="1">
      <c r="A89" s="108">
        <f t="shared" si="0"/>
        <v>23</v>
      </c>
      <c r="B89" s="11">
        <v>0.1</v>
      </c>
      <c r="C89" s="11">
        <v>0.05</v>
      </c>
      <c r="D89" s="11">
        <v>0.05</v>
      </c>
      <c r="F89" s="11">
        <v>7.1952789000000003E-2</v>
      </c>
      <c r="G89" s="519">
        <v>3.59714696E-2</v>
      </c>
      <c r="H89" s="11">
        <v>3.59714696E-2</v>
      </c>
    </row>
    <row r="90" spans="1:8" ht="13.2" hidden="1" customHeight="1">
      <c r="A90" s="108">
        <f>1+A89</f>
        <v>24</v>
      </c>
      <c r="B90" s="11">
        <v>0.05</v>
      </c>
      <c r="C90" s="11">
        <v>0.05</v>
      </c>
      <c r="D90" s="11">
        <v>0.05</v>
      </c>
      <c r="F90" s="11">
        <v>3.59714696E-2</v>
      </c>
      <c r="G90" s="519">
        <v>3.59714696E-2</v>
      </c>
      <c r="H90" s="11">
        <v>3.59714696E-2</v>
      </c>
    </row>
    <row r="91" spans="1:8" ht="13.2" hidden="1" customHeight="1">
      <c r="A91" s="152" t="s">
        <v>516</v>
      </c>
      <c r="B91" s="11">
        <f>SUM(B67:B90)</f>
        <v>8.1000000000000014</v>
      </c>
      <c r="C91" s="11">
        <f>SUM(C67:C90)</f>
        <v>2.7999999999999985</v>
      </c>
      <c r="D91" s="11">
        <f>SUM(D67:D90)</f>
        <v>1.2000000000000004</v>
      </c>
      <c r="F91" s="11">
        <f>SUM(F67:F90)</f>
        <v>7.5550132956000011</v>
      </c>
      <c r="G91" s="519">
        <f>SUM(G67:G90)</f>
        <v>2.0145894437999998</v>
      </c>
      <c r="H91" s="11">
        <v>3.59714696E-2</v>
      </c>
    </row>
    <row r="92" spans="1:8" ht="13.2" hidden="1" customHeight="1">
      <c r="B92" s="27" t="s">
        <v>517</v>
      </c>
      <c r="C92" s="27" t="s">
        <v>517</v>
      </c>
      <c r="D92" s="27" t="s">
        <v>517</v>
      </c>
    </row>
    <row r="93" spans="1:8" ht="13.2" hidden="1" customHeight="1"/>
    <row r="94" spans="1:8" ht="13.2" hidden="1" customHeight="1">
      <c r="B94" s="27"/>
      <c r="C94" s="27"/>
      <c r="D94" s="27"/>
    </row>
    <row r="95" spans="1:8" ht="13.2" customHeight="1"/>
    <row r="96" spans="1:8" ht="13.2" customHeight="1"/>
    <row r="97" spans="1:1" ht="13.2" customHeight="1">
      <c r="A97" s="12"/>
    </row>
  </sheetData>
  <mergeCells count="13">
    <mergeCell ref="B17:C17"/>
    <mergeCell ref="A1:H1"/>
    <mergeCell ref="H2:H3"/>
    <mergeCell ref="G4:G14"/>
    <mergeCell ref="D4:D14"/>
    <mergeCell ref="A2:A3"/>
    <mergeCell ref="B2:D2"/>
    <mergeCell ref="E2:G2"/>
    <mergeCell ref="F65:H65"/>
    <mergeCell ref="B65:D65"/>
    <mergeCell ref="A27:D27"/>
    <mergeCell ref="A41:H41"/>
    <mergeCell ref="A49:M49"/>
  </mergeCells>
  <phoneticPr fontId="4" type="noConversion"/>
  <hyperlinks>
    <hyperlink ref="A27" r:id="rId1" xr:uid="{FEDBB14A-1404-4299-B4F2-1AA675950D8F}"/>
    <hyperlink ref="H30" r:id="rId2" xr:uid="{01D7992D-44E6-48CC-A1B9-F74017160D35}"/>
    <hyperlink ref="H29" r:id="rId3" xr:uid="{270A026A-E4AF-4B7A-8CD3-03EA7CE141D2}"/>
    <hyperlink ref="H28" r:id="rId4" xr:uid="{39763020-6A2D-4AB4-BEC0-FED08D2C3562}"/>
  </hyperlinks>
  <pageMargins left="0.7" right="0.7" top="0.75" bottom="0.75" header="0.3" footer="0.3"/>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3"/>
  <sheetViews>
    <sheetView zoomScale="115" zoomScaleNormal="115" workbookViewId="0">
      <selection sqref="A1:D1"/>
    </sheetView>
  </sheetViews>
  <sheetFormatPr defaultColWidth="8.88671875" defaultRowHeight="13.2"/>
  <cols>
    <col min="1" max="1" width="27.5546875" style="11" customWidth="1"/>
    <col min="2" max="2" width="39.109375" style="11" customWidth="1"/>
    <col min="3" max="3" width="19.44140625" style="11" customWidth="1"/>
    <col min="4" max="4" width="19.109375" style="11" customWidth="1"/>
    <col min="5" max="5" width="30" style="11" customWidth="1"/>
    <col min="6" max="6" width="8.88671875" style="11"/>
    <col min="7" max="7" width="17.5546875" style="11" customWidth="1"/>
    <col min="8" max="8" width="15.5546875" style="11" customWidth="1"/>
    <col min="9" max="9" width="13.109375" style="11" customWidth="1"/>
    <col min="10" max="16384" width="8.88671875" style="11"/>
  </cols>
  <sheetData>
    <row r="1" spans="1:7" ht="22.2" customHeight="1">
      <c r="A1" s="785" t="str">
        <f>"Exterior Lighting - "&amp;Prototype!A2</f>
        <v>Exterior Lighting - OfficeMedium</v>
      </c>
      <c r="B1" s="785"/>
      <c r="C1" s="785"/>
      <c r="D1" s="785"/>
    </row>
    <row r="2" spans="1:7" ht="34.950000000000003" customHeight="1">
      <c r="A2" s="69" t="s">
        <v>518</v>
      </c>
      <c r="B2" s="69" t="s">
        <v>519</v>
      </c>
      <c r="C2" s="69" t="s">
        <v>520</v>
      </c>
      <c r="D2" s="69" t="s">
        <v>252</v>
      </c>
    </row>
    <row r="3" spans="1:7" ht="22.2" customHeight="1">
      <c r="A3" s="71">
        <f>G12</f>
        <v>1860.2953735248002</v>
      </c>
      <c r="B3" s="71">
        <f>G13</f>
        <v>856.23969610089989</v>
      </c>
      <c r="C3" s="71">
        <f>B3+A3</f>
        <v>2716.5350696257001</v>
      </c>
      <c r="D3" s="512" t="s">
        <v>521</v>
      </c>
    </row>
    <row r="4" spans="1:7" ht="22.2" customHeight="1">
      <c r="A4" s="106"/>
      <c r="B4" s="106"/>
      <c r="C4" s="106"/>
    </row>
    <row r="5" spans="1:7" ht="22.2" customHeight="1">
      <c r="A5" s="785" t="s">
        <v>522</v>
      </c>
      <c r="B5" s="785"/>
      <c r="C5" s="785"/>
      <c r="D5" s="785"/>
      <c r="E5" s="785"/>
      <c r="F5" s="785"/>
      <c r="G5" s="785"/>
    </row>
    <row r="6" spans="1:7" ht="40.950000000000003" customHeight="1">
      <c r="A6" s="240" t="s">
        <v>523</v>
      </c>
      <c r="B6" s="786" t="s">
        <v>524</v>
      </c>
      <c r="C6" s="787"/>
      <c r="D6" s="241" t="s">
        <v>496</v>
      </c>
      <c r="E6" s="241" t="s">
        <v>525</v>
      </c>
      <c r="F6" s="241" t="s">
        <v>496</v>
      </c>
      <c r="G6" s="241" t="s">
        <v>526</v>
      </c>
    </row>
    <row r="7" spans="1:7" ht="22.2" customHeight="1">
      <c r="A7" s="22" t="s">
        <v>527</v>
      </c>
      <c r="B7" s="22"/>
      <c r="C7" s="242"/>
      <c r="D7" s="512"/>
      <c r="E7" s="512">
        <v>200</v>
      </c>
      <c r="F7" s="512" t="s">
        <v>528</v>
      </c>
      <c r="G7" s="243">
        <f>$E7</f>
        <v>200</v>
      </c>
    </row>
    <row r="8" spans="1:7" ht="59.4" customHeight="1">
      <c r="A8" s="23" t="s">
        <v>529</v>
      </c>
      <c r="B8" s="23" t="s">
        <v>530</v>
      </c>
      <c r="C8" s="244">
        <f>B19/250*400</f>
        <v>85805.019659200014</v>
      </c>
      <c r="D8" s="512" t="s">
        <v>531</v>
      </c>
      <c r="E8" s="512">
        <v>1.9E-2</v>
      </c>
      <c r="F8" s="512" t="s">
        <v>532</v>
      </c>
      <c r="G8" s="243">
        <f>$E8*C8</f>
        <v>1630.2953735248002</v>
      </c>
    </row>
    <row r="9" spans="1:7" ht="22.2" customHeight="1">
      <c r="A9" s="22" t="s">
        <v>533</v>
      </c>
      <c r="B9" s="245" t="s">
        <v>534</v>
      </c>
      <c r="C9" s="246">
        <v>2</v>
      </c>
      <c r="D9" s="512" t="s">
        <v>535</v>
      </c>
      <c r="E9" s="512">
        <v>15</v>
      </c>
      <c r="F9" s="512" t="s">
        <v>536</v>
      </c>
      <c r="G9" s="243">
        <f>E9*2</f>
        <v>30</v>
      </c>
    </row>
    <row r="10" spans="1:7" ht="45" customHeight="1">
      <c r="A10" s="22" t="s">
        <v>537</v>
      </c>
      <c r="B10" s="245" t="s">
        <v>538</v>
      </c>
      <c r="C10" s="247">
        <f>B19*0.1</f>
        <v>5362.8137287000009</v>
      </c>
      <c r="D10" s="512" t="s">
        <v>531</v>
      </c>
      <c r="E10" s="512">
        <v>7.0000000000000001E-3</v>
      </c>
      <c r="F10" s="512" t="s">
        <v>532</v>
      </c>
      <c r="G10" s="248">
        <f>E10*C10</f>
        <v>37.539696100900009</v>
      </c>
    </row>
    <row r="11" spans="1:7" ht="91.95" customHeight="1">
      <c r="A11" s="22" t="s">
        <v>539</v>
      </c>
      <c r="B11" s="245" t="s">
        <v>540</v>
      </c>
      <c r="C11" s="247">
        <f>B18*0.5*30</f>
        <v>8186.9999999999991</v>
      </c>
      <c r="D11" s="512" t="s">
        <v>531</v>
      </c>
      <c r="E11" s="512">
        <v>0.1</v>
      </c>
      <c r="F11" s="512" t="s">
        <v>532</v>
      </c>
      <c r="G11" s="248">
        <f>E11*C11</f>
        <v>818.69999999999993</v>
      </c>
    </row>
    <row r="12" spans="1:7" ht="22.2" customHeight="1">
      <c r="A12" s="784" t="s">
        <v>541</v>
      </c>
      <c r="B12" s="784"/>
      <c r="C12" s="784"/>
      <c r="D12" s="784"/>
      <c r="E12" s="784"/>
      <c r="F12" s="784"/>
      <c r="G12" s="249">
        <f>G8+G7+G9</f>
        <v>1860.2953735248002</v>
      </c>
    </row>
    <row r="13" spans="1:7" ht="22.2" customHeight="1">
      <c r="A13" s="784" t="s">
        <v>542</v>
      </c>
      <c r="B13" s="784"/>
      <c r="C13" s="784"/>
      <c r="D13" s="784"/>
      <c r="E13" s="784"/>
      <c r="F13" s="784"/>
      <c r="G13" s="249">
        <f>G10+G11</f>
        <v>856.23969610089989</v>
      </c>
    </row>
    <row r="14" spans="1:7" ht="22.2" customHeight="1">
      <c r="A14" s="784" t="s">
        <v>182</v>
      </c>
      <c r="B14" s="784"/>
      <c r="C14" s="784"/>
      <c r="D14" s="784"/>
      <c r="E14" s="784"/>
      <c r="F14" s="784"/>
      <c r="G14" s="249">
        <f>G12+G13</f>
        <v>2716.5350696257001</v>
      </c>
    </row>
    <row r="15" spans="1:7">
      <c r="A15" s="106"/>
      <c r="B15" s="106"/>
      <c r="C15" s="106"/>
    </row>
    <row r="16" spans="1:7">
      <c r="A16" s="11" t="s">
        <v>543</v>
      </c>
      <c r="C16" s="106"/>
    </row>
    <row r="17" spans="1:3">
      <c r="C17" s="106"/>
    </row>
    <row r="18" spans="1:3">
      <c r="A18" s="11" t="s">
        <v>544</v>
      </c>
      <c r="B18" s="311">
        <f>(163.7+109.2)*2</f>
        <v>545.79999999999995</v>
      </c>
      <c r="C18" s="106"/>
    </row>
    <row r="19" spans="1:3">
      <c r="A19" s="11" t="s">
        <v>545</v>
      </c>
      <c r="B19" s="250">
        <f>Zones!J57</f>
        <v>53628.137287000005</v>
      </c>
      <c r="C19" s="106"/>
    </row>
    <row r="20" spans="1:3">
      <c r="A20" s="11" t="s">
        <v>546</v>
      </c>
      <c r="B20" s="311">
        <v>3</v>
      </c>
      <c r="C20" s="106"/>
    </row>
    <row r="21" spans="1:3">
      <c r="A21" s="106"/>
      <c r="B21" s="106"/>
      <c r="C21" s="106"/>
    </row>
    <row r="22" spans="1:3">
      <c r="A22" s="106"/>
      <c r="B22" s="106"/>
      <c r="C22" s="106"/>
    </row>
    <row r="23" spans="1:3">
      <c r="A23" s="106"/>
      <c r="B23" s="106"/>
      <c r="C23" s="106"/>
    </row>
  </sheetData>
  <mergeCells count="6">
    <mergeCell ref="A14:F14"/>
    <mergeCell ref="A1:D1"/>
    <mergeCell ref="A5:G5"/>
    <mergeCell ref="B6:C6"/>
    <mergeCell ref="A12:F12"/>
    <mergeCell ref="A13:F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11"/>
  <dimension ref="A1:Z131"/>
  <sheetViews>
    <sheetView zoomScaleNormal="100" workbookViewId="0">
      <selection sqref="A1:E1"/>
    </sheetView>
  </sheetViews>
  <sheetFormatPr defaultColWidth="8.88671875" defaultRowHeight="12.75" customHeight="1"/>
  <cols>
    <col min="1" max="1" width="41.33203125" style="11" customWidth="1"/>
    <col min="2" max="2" width="21.5546875" style="11" customWidth="1"/>
    <col min="3" max="3" width="23.44140625" style="11" customWidth="1"/>
    <col min="4" max="4" width="27.33203125" style="11" customWidth="1"/>
    <col min="5" max="5" width="54.44140625" style="11" customWidth="1"/>
    <col min="6" max="6" width="44.33203125" style="11" customWidth="1"/>
    <col min="7" max="7" width="14.33203125" style="11" customWidth="1"/>
    <col min="8" max="8" width="8.88671875" style="11"/>
    <col min="9" max="9" width="10.5546875" style="11" bestFit="1" customWidth="1"/>
    <col min="10" max="10" width="16.33203125" style="11" customWidth="1"/>
    <col min="11" max="11" width="40.6640625" style="11" customWidth="1"/>
    <col min="12" max="18" width="15.5546875" style="11" customWidth="1"/>
    <col min="19" max="19" width="8.88671875" style="11"/>
    <col min="20" max="20" width="15.33203125" style="11" customWidth="1"/>
    <col min="21" max="23" width="14" style="11" customWidth="1"/>
    <col min="24" max="26" width="13.44140625" style="11" customWidth="1"/>
    <col min="27" max="16384" width="8.88671875" style="11"/>
  </cols>
  <sheetData>
    <row r="1" spans="1:11" ht="21" customHeight="1">
      <c r="A1" s="785" t="str">
        <f>"Equipment - "&amp;Prototype!A2</f>
        <v>Equipment - OfficeMedium</v>
      </c>
      <c r="B1" s="785"/>
      <c r="C1" s="785"/>
      <c r="D1" s="785"/>
      <c r="E1" s="785"/>
    </row>
    <row r="2" spans="1:11" ht="30.6" customHeight="1">
      <c r="A2" s="239" t="s">
        <v>175</v>
      </c>
      <c r="B2" s="239" t="s">
        <v>547</v>
      </c>
      <c r="C2" s="239" t="s">
        <v>548</v>
      </c>
      <c r="D2" s="239" t="s">
        <v>549</v>
      </c>
      <c r="E2" s="522" t="s">
        <v>252</v>
      </c>
    </row>
    <row r="3" spans="1:11" ht="55.95" customHeight="1">
      <c r="A3" s="512" t="s">
        <v>124</v>
      </c>
      <c r="B3" s="512">
        <v>0.7</v>
      </c>
      <c r="C3" s="512"/>
      <c r="D3" s="45"/>
      <c r="E3" s="361" t="s">
        <v>550</v>
      </c>
    </row>
    <row r="4" spans="1:11" ht="21" customHeight="1">
      <c r="A4" s="512" t="s">
        <v>139</v>
      </c>
      <c r="B4" s="316">
        <v>1</v>
      </c>
      <c r="C4" s="512"/>
      <c r="D4" s="45"/>
      <c r="E4" s="794" t="s">
        <v>551</v>
      </c>
    </row>
    <row r="5" spans="1:11" ht="21" customHeight="1">
      <c r="A5" s="512" t="s">
        <v>142</v>
      </c>
      <c r="B5" s="512">
        <v>0.5</v>
      </c>
      <c r="C5" s="512"/>
      <c r="D5" s="45"/>
      <c r="E5" s="794"/>
    </row>
    <row r="6" spans="1:11" ht="21" customHeight="1">
      <c r="A6" s="512" t="s">
        <v>146</v>
      </c>
      <c r="B6" s="512">
        <v>0.2</v>
      </c>
      <c r="C6" s="512"/>
      <c r="D6" s="45"/>
      <c r="E6" s="794"/>
    </row>
    <row r="7" spans="1:11" ht="21" customHeight="1">
      <c r="A7" s="512" t="s">
        <v>151</v>
      </c>
      <c r="B7" s="512">
        <v>3</v>
      </c>
      <c r="C7" s="512"/>
      <c r="D7" s="45"/>
      <c r="E7" s="794"/>
    </row>
    <row r="8" spans="1:11" ht="21" customHeight="1">
      <c r="A8" s="25" t="s">
        <v>154</v>
      </c>
      <c r="B8" s="512">
        <v>12</v>
      </c>
      <c r="C8" s="141"/>
      <c r="D8" s="45"/>
      <c r="E8" s="511" t="s">
        <v>552</v>
      </c>
    </row>
    <row r="9" spans="1:11" ht="21" customHeight="1">
      <c r="A9" s="512" t="s">
        <v>158</v>
      </c>
      <c r="B9" s="512">
        <v>0</v>
      </c>
      <c r="C9" s="512"/>
      <c r="D9" s="45"/>
      <c r="E9" s="794" t="s">
        <v>553</v>
      </c>
    </row>
    <row r="10" spans="1:11" ht="21" customHeight="1">
      <c r="A10" s="512" t="s">
        <v>160</v>
      </c>
      <c r="B10" s="316">
        <v>1</v>
      </c>
      <c r="C10" s="512"/>
      <c r="D10" s="45"/>
      <c r="E10" s="794"/>
    </row>
    <row r="11" spans="1:11" ht="21" customHeight="1">
      <c r="A11" s="512" t="s">
        <v>163</v>
      </c>
      <c r="B11" s="512">
        <v>0</v>
      </c>
      <c r="C11" s="512"/>
      <c r="D11" s="45"/>
      <c r="E11" s="794"/>
    </row>
    <row r="12" spans="1:11" ht="21" customHeight="1">
      <c r="A12" s="512" t="s">
        <v>165</v>
      </c>
      <c r="B12" s="512">
        <v>0</v>
      </c>
      <c r="C12" s="512"/>
      <c r="D12" s="45"/>
      <c r="E12" s="794"/>
    </row>
    <row r="13" spans="1:11" ht="21" customHeight="1">
      <c r="A13" s="512" t="s">
        <v>173</v>
      </c>
      <c r="B13" s="512">
        <v>0</v>
      </c>
      <c r="C13" s="512"/>
      <c r="D13" s="45"/>
      <c r="E13" s="794"/>
    </row>
    <row r="16" spans="1:11" ht="18">
      <c r="A16" s="795" t="s">
        <v>554</v>
      </c>
      <c r="B16" s="795"/>
      <c r="C16" s="795"/>
      <c r="D16" s="795"/>
      <c r="E16" s="795"/>
      <c r="F16" s="795"/>
      <c r="G16" s="795"/>
      <c r="H16" s="795"/>
      <c r="I16" s="795"/>
      <c r="J16" s="795"/>
      <c r="K16" s="795"/>
    </row>
    <row r="17" spans="1:11" ht="43.2">
      <c r="A17" s="331" t="s">
        <v>202</v>
      </c>
      <c r="B17" s="331" t="s">
        <v>555</v>
      </c>
      <c r="C17" s="331" t="s">
        <v>556</v>
      </c>
      <c r="D17" s="331" t="s">
        <v>557</v>
      </c>
      <c r="E17" s="331" t="s">
        <v>558</v>
      </c>
      <c r="F17" s="331" t="s">
        <v>559</v>
      </c>
      <c r="G17" s="331" t="s">
        <v>560</v>
      </c>
      <c r="H17" s="331" t="s">
        <v>561</v>
      </c>
      <c r="I17" s="331" t="s">
        <v>562</v>
      </c>
      <c r="J17" s="331" t="s">
        <v>563</v>
      </c>
      <c r="K17" s="331" t="s">
        <v>319</v>
      </c>
    </row>
    <row r="18" spans="1:11" ht="72.599999999999994" customHeight="1">
      <c r="A18" s="332" t="s">
        <v>233</v>
      </c>
      <c r="B18" s="332" t="s">
        <v>564</v>
      </c>
      <c r="C18" s="332">
        <v>2</v>
      </c>
      <c r="D18" s="333">
        <v>1.1399999999999999</v>
      </c>
      <c r="E18" s="333">
        <v>0.33</v>
      </c>
      <c r="F18" s="332" t="s">
        <v>565</v>
      </c>
      <c r="G18" s="333">
        <f>ROUND(INDEX($C:$C,MATCH("Annual energy consumption of the elevator - Existing",$B:$B,0))/INDEX($C:$C,MATCH("Equivalent full load hours",$B:$B,0))*1000,2)</f>
        <v>21656.57</v>
      </c>
      <c r="H18" s="333">
        <f>ROUND(C18*INDEX($C:$C,MATCH("Cab fan airflow",$B:$B,0))*E18,2)</f>
        <v>165</v>
      </c>
      <c r="I18" s="333">
        <f>ROUND(C18*INDEX($C:$C,MATCH("Cab floor area",$B:$B,0))*D18,2)</f>
        <v>68.17</v>
      </c>
      <c r="J18" s="333">
        <f>ROUND(SUM(G18:I18),2)</f>
        <v>21889.74</v>
      </c>
      <c r="K18" s="332" t="s">
        <v>566</v>
      </c>
    </row>
    <row r="19" spans="1:11" ht="70.2" customHeight="1">
      <c r="A19" s="332" t="s">
        <v>287</v>
      </c>
      <c r="B19" s="332" t="s">
        <v>567</v>
      </c>
      <c r="C19" s="332">
        <v>2</v>
      </c>
      <c r="D19" s="333">
        <v>0.6</v>
      </c>
      <c r="E19" s="333">
        <v>0.33</v>
      </c>
      <c r="F19" s="332" t="s">
        <v>568</v>
      </c>
      <c r="G19" s="333">
        <f>ROUND(INDEX($C:$C,MATCH("Annual energy consumption of the elevator - New Construction",$B:$B,0))/INDEX($C:$C,MATCH("Equivalent full load hours",$B:$B,0))*1000,2)</f>
        <v>11273.07</v>
      </c>
      <c r="H19" s="333">
        <f>ROUND(C19*INDEX($C:$C,MATCH("Cab fan airflow",$B:$B,0))*E19,2)</f>
        <v>165</v>
      </c>
      <c r="I19" s="333">
        <f>ROUND(C19*INDEX($C:$C,MATCH("Cab floor area",$B:$B,0))*D19,2)</f>
        <v>35.880000000000003</v>
      </c>
      <c r="J19" s="333">
        <f>ROUND(SUM(G19:I19),2)</f>
        <v>11473.95</v>
      </c>
      <c r="K19" s="332" t="s">
        <v>569</v>
      </c>
    </row>
    <row r="20" spans="1:11" ht="14.4">
      <c r="A20"/>
      <c r="B20"/>
      <c r="C20"/>
      <c r="D20"/>
      <c r="E20"/>
      <c r="F20"/>
      <c r="G20"/>
      <c r="H20"/>
      <c r="I20"/>
      <c r="J20"/>
      <c r="K20"/>
    </row>
    <row r="21" spans="1:11" ht="14.4">
      <c r="A21"/>
      <c r="B21"/>
      <c r="C21"/>
      <c r="D21"/>
      <c r="E21"/>
      <c r="F21"/>
      <c r="G21"/>
      <c r="H21"/>
      <c r="I21"/>
      <c r="J21"/>
      <c r="K21"/>
    </row>
    <row r="22" spans="1:11" ht="14.4">
      <c r="A22" s="796" t="s">
        <v>570</v>
      </c>
      <c r="B22" s="796"/>
      <c r="C22" s="796"/>
      <c r="D22" s="796"/>
      <c r="E22" s="796"/>
      <c r="F22"/>
      <c r="G22"/>
      <c r="H22"/>
      <c r="I22"/>
      <c r="J22"/>
      <c r="K22"/>
    </row>
    <row r="23" spans="1:11" ht="14.4">
      <c r="A23" s="331" t="s">
        <v>571</v>
      </c>
      <c r="B23" s="331" t="s">
        <v>572</v>
      </c>
      <c r="C23" s="331" t="s">
        <v>73</v>
      </c>
      <c r="D23" s="331" t="s">
        <v>573</v>
      </c>
      <c r="E23" s="331" t="s">
        <v>252</v>
      </c>
      <c r="F23"/>
      <c r="G23"/>
      <c r="H23"/>
      <c r="I23"/>
      <c r="J23"/>
      <c r="K23"/>
    </row>
    <row r="24" spans="1:11" ht="43.2">
      <c r="A24" s="797" t="s">
        <v>567</v>
      </c>
      <c r="B24" s="332" t="s">
        <v>574</v>
      </c>
      <c r="C24" s="332">
        <v>31370.62</v>
      </c>
      <c r="D24" s="332" t="s">
        <v>575</v>
      </c>
      <c r="E24" s="332" t="s">
        <v>576</v>
      </c>
      <c r="F24"/>
      <c r="G24"/>
      <c r="H24"/>
      <c r="I24"/>
      <c r="J24"/>
      <c r="K24"/>
    </row>
    <row r="25" spans="1:11" ht="57.6">
      <c r="A25" s="798"/>
      <c r="B25" s="332" t="s">
        <v>577</v>
      </c>
      <c r="C25" s="332">
        <v>16329.61</v>
      </c>
      <c r="D25" s="332" t="s">
        <v>575</v>
      </c>
      <c r="E25" s="332" t="s">
        <v>576</v>
      </c>
      <c r="F25"/>
      <c r="G25"/>
      <c r="H25"/>
      <c r="I25"/>
      <c r="J25"/>
      <c r="K25"/>
    </row>
    <row r="26" spans="1:11" ht="28.8">
      <c r="A26" s="332" t="s">
        <v>578</v>
      </c>
      <c r="B26" s="332" t="s">
        <v>579</v>
      </c>
      <c r="C26" s="332" t="s">
        <v>580</v>
      </c>
      <c r="D26" s="332" t="s">
        <v>581</v>
      </c>
      <c r="E26" s="332" t="s">
        <v>582</v>
      </c>
      <c r="F26"/>
      <c r="G26"/>
      <c r="H26"/>
      <c r="I26"/>
      <c r="J26"/>
      <c r="K26"/>
    </row>
    <row r="27" spans="1:11" ht="28.8">
      <c r="A27" s="332" t="s">
        <v>583</v>
      </c>
      <c r="B27" s="332" t="s">
        <v>584</v>
      </c>
      <c r="C27" s="332" t="s">
        <v>585</v>
      </c>
      <c r="D27" s="332" t="s">
        <v>581</v>
      </c>
      <c r="E27" s="332" t="s">
        <v>582</v>
      </c>
      <c r="F27"/>
      <c r="G27"/>
      <c r="H27"/>
      <c r="I27"/>
      <c r="J27"/>
      <c r="K27"/>
    </row>
    <row r="28" spans="1:11" ht="14.4">
      <c r="A28" s="332" t="s">
        <v>586</v>
      </c>
      <c r="B28" s="332" t="s">
        <v>587</v>
      </c>
      <c r="C28" s="332">
        <v>1361</v>
      </c>
      <c r="D28" s="332" t="s">
        <v>588</v>
      </c>
      <c r="E28" s="332" t="s">
        <v>589</v>
      </c>
      <c r="F28"/>
      <c r="G28"/>
      <c r="H28"/>
      <c r="I28"/>
      <c r="J28"/>
      <c r="K28"/>
    </row>
    <row r="29" spans="1:11" ht="28.8">
      <c r="A29" s="332" t="s">
        <v>590</v>
      </c>
      <c r="B29" s="332" t="s">
        <v>591</v>
      </c>
      <c r="C29" s="332">
        <v>29.9</v>
      </c>
      <c r="D29" s="332" t="s">
        <v>592</v>
      </c>
      <c r="E29" s="332" t="s">
        <v>593</v>
      </c>
      <c r="F29"/>
      <c r="G29"/>
      <c r="H29"/>
      <c r="I29"/>
      <c r="J29"/>
      <c r="K29"/>
    </row>
    <row r="30" spans="1:11" ht="14.4">
      <c r="A30" s="332" t="s">
        <v>594</v>
      </c>
      <c r="B30" s="332" t="s">
        <v>595</v>
      </c>
      <c r="C30" s="332">
        <v>250</v>
      </c>
      <c r="D30" s="332" t="s">
        <v>596</v>
      </c>
      <c r="E30" s="332" t="s">
        <v>597</v>
      </c>
      <c r="F30"/>
      <c r="G30"/>
      <c r="H30"/>
      <c r="I30"/>
      <c r="J30"/>
      <c r="K30"/>
    </row>
    <row r="31" spans="1:11" ht="14.4">
      <c r="A31" s="332" t="s">
        <v>598</v>
      </c>
      <c r="B31" s="332" t="s">
        <v>599</v>
      </c>
      <c r="C31" s="332">
        <v>2</v>
      </c>
      <c r="D31" s="332" t="s">
        <v>148</v>
      </c>
      <c r="E31" s="332" t="s">
        <v>600</v>
      </c>
      <c r="F31"/>
      <c r="G31"/>
      <c r="H31"/>
      <c r="I31"/>
      <c r="J31"/>
      <c r="K31"/>
    </row>
    <row r="32" spans="1:11" ht="14.4">
      <c r="A32" s="332" t="s">
        <v>601</v>
      </c>
      <c r="B32" s="332" t="s">
        <v>602</v>
      </c>
      <c r="C32" s="332">
        <v>260</v>
      </c>
      <c r="D32" s="332" t="s">
        <v>603</v>
      </c>
      <c r="E32" s="332" t="s">
        <v>600</v>
      </c>
      <c r="F32"/>
      <c r="G32"/>
      <c r="H32"/>
      <c r="I32"/>
      <c r="J32"/>
      <c r="K32"/>
    </row>
    <row r="33" spans="1:11" ht="14.4">
      <c r="A33" s="332" t="s">
        <v>604</v>
      </c>
      <c r="B33" s="332" t="s">
        <v>605</v>
      </c>
      <c r="C33" s="332">
        <v>3</v>
      </c>
      <c r="D33" s="332" t="s">
        <v>606</v>
      </c>
      <c r="E33" s="332" t="s">
        <v>607</v>
      </c>
      <c r="F33"/>
      <c r="G33"/>
      <c r="H33"/>
      <c r="I33"/>
      <c r="J33"/>
      <c r="K33"/>
    </row>
    <row r="34" spans="1:11" ht="14.4">
      <c r="A34" s="332" t="s">
        <v>608</v>
      </c>
      <c r="B34" s="332" t="s">
        <v>609</v>
      </c>
      <c r="C34" s="332">
        <v>3.96</v>
      </c>
      <c r="D34" s="332" t="s">
        <v>610</v>
      </c>
      <c r="E34" s="332" t="s">
        <v>607</v>
      </c>
      <c r="F34"/>
      <c r="G34"/>
      <c r="H34"/>
      <c r="I34"/>
      <c r="J34"/>
      <c r="K34"/>
    </row>
    <row r="35" spans="1:11" ht="14.4">
      <c r="A35" s="332" t="s">
        <v>611</v>
      </c>
      <c r="B35" s="332" t="s">
        <v>612</v>
      </c>
      <c r="C35" s="332">
        <v>1</v>
      </c>
      <c r="D35" s="332" t="s">
        <v>613</v>
      </c>
      <c r="E35" s="332" t="s">
        <v>600</v>
      </c>
      <c r="F35"/>
      <c r="G35"/>
      <c r="H35"/>
      <c r="I35"/>
      <c r="J35"/>
      <c r="K35"/>
    </row>
    <row r="36" spans="1:11" ht="14.4">
      <c r="A36" s="332" t="s">
        <v>614</v>
      </c>
      <c r="B36" s="332" t="s">
        <v>615</v>
      </c>
      <c r="C36" s="332">
        <v>125</v>
      </c>
      <c r="D36" s="332" t="s">
        <v>616</v>
      </c>
      <c r="E36" s="332" t="s">
        <v>600</v>
      </c>
      <c r="F36"/>
      <c r="G36"/>
      <c r="H36"/>
      <c r="I36"/>
      <c r="J36"/>
      <c r="K36"/>
    </row>
    <row r="37" spans="1:11" ht="28.8">
      <c r="A37" s="332" t="s">
        <v>617</v>
      </c>
      <c r="B37" s="332" t="s">
        <v>618</v>
      </c>
      <c r="C37" s="332">
        <v>0.67</v>
      </c>
      <c r="D37" s="332" t="s">
        <v>619</v>
      </c>
      <c r="E37" s="332" t="s">
        <v>620</v>
      </c>
      <c r="F37"/>
      <c r="G37"/>
      <c r="H37"/>
      <c r="I37"/>
      <c r="J37"/>
      <c r="K37"/>
    </row>
    <row r="38" spans="1:11" ht="14.4">
      <c r="A38" s="332" t="s">
        <v>621</v>
      </c>
      <c r="B38" s="332" t="s">
        <v>622</v>
      </c>
      <c r="C38" s="332">
        <v>1</v>
      </c>
      <c r="D38" s="332" t="s">
        <v>623</v>
      </c>
      <c r="E38" s="332" t="s">
        <v>624</v>
      </c>
      <c r="F38"/>
      <c r="G38"/>
      <c r="H38"/>
      <c r="I38"/>
      <c r="J38"/>
      <c r="K38"/>
    </row>
    <row r="39" spans="1:11" ht="14.4">
      <c r="A39" s="332" t="s">
        <v>625</v>
      </c>
      <c r="B39" s="332" t="s">
        <v>626</v>
      </c>
      <c r="C39" s="332">
        <v>1.25</v>
      </c>
      <c r="D39" s="332" t="s">
        <v>627</v>
      </c>
      <c r="E39" s="332" t="s">
        <v>624</v>
      </c>
      <c r="F39"/>
      <c r="G39"/>
      <c r="H39"/>
      <c r="I39"/>
      <c r="J39"/>
      <c r="K39"/>
    </row>
    <row r="40" spans="1:11" ht="14.4">
      <c r="A40" s="332" t="s">
        <v>628</v>
      </c>
      <c r="B40" s="332" t="s">
        <v>629</v>
      </c>
      <c r="C40" s="332">
        <v>8</v>
      </c>
      <c r="D40" s="332" t="s">
        <v>630</v>
      </c>
      <c r="E40" s="332" t="s">
        <v>624</v>
      </c>
      <c r="F40"/>
      <c r="G40"/>
      <c r="H40"/>
      <c r="I40"/>
      <c r="J40"/>
      <c r="K40"/>
    </row>
    <row r="41" spans="1:11" ht="28.8">
      <c r="A41" s="332" t="s">
        <v>631</v>
      </c>
      <c r="B41" s="332" t="s">
        <v>632</v>
      </c>
      <c r="C41" s="332">
        <v>7.96</v>
      </c>
      <c r="D41" s="332" t="s">
        <v>633</v>
      </c>
      <c r="E41" s="332" t="s">
        <v>634</v>
      </c>
      <c r="F41"/>
      <c r="G41"/>
      <c r="H41"/>
      <c r="I41"/>
      <c r="J41"/>
      <c r="K41"/>
    </row>
    <row r="42" spans="1:11" ht="14.4">
      <c r="A42" s="332" t="s">
        <v>635</v>
      </c>
      <c r="B42" s="332" t="s">
        <v>636</v>
      </c>
      <c r="C42" s="332">
        <v>17.760000000000002</v>
      </c>
      <c r="D42" s="332" t="s">
        <v>637</v>
      </c>
      <c r="E42" s="332" t="s">
        <v>638</v>
      </c>
      <c r="F42"/>
      <c r="G42"/>
      <c r="H42"/>
      <c r="I42"/>
      <c r="J42"/>
      <c r="K42"/>
    </row>
    <row r="43" spans="1:11" ht="14.4">
      <c r="A43" s="332" t="s">
        <v>639</v>
      </c>
      <c r="B43" s="332" t="s">
        <v>640</v>
      </c>
      <c r="C43" s="332">
        <v>23.38</v>
      </c>
      <c r="D43" s="332" t="s">
        <v>641</v>
      </c>
      <c r="E43" s="332" t="s">
        <v>642</v>
      </c>
      <c r="F43"/>
      <c r="G43"/>
      <c r="H43"/>
      <c r="I43"/>
      <c r="J43"/>
      <c r="K43"/>
    </row>
    <row r="44" spans="1:11" ht="14.4">
      <c r="A44" s="332" t="s">
        <v>643</v>
      </c>
      <c r="B44" s="332" t="s">
        <v>644</v>
      </c>
      <c r="C44" s="332">
        <v>8599.67</v>
      </c>
      <c r="D44" s="332" t="s">
        <v>645</v>
      </c>
      <c r="E44" s="332" t="s">
        <v>646</v>
      </c>
      <c r="F44"/>
      <c r="G44"/>
      <c r="H44"/>
      <c r="I44"/>
      <c r="J44"/>
      <c r="K44"/>
    </row>
    <row r="45" spans="1:11" ht="14.4">
      <c r="A45" s="332" t="s">
        <v>647</v>
      </c>
      <c r="B45" s="332" t="s">
        <v>647</v>
      </c>
      <c r="C45" s="332">
        <v>40</v>
      </c>
      <c r="D45" s="332" t="s">
        <v>648</v>
      </c>
      <c r="E45" s="332" t="s">
        <v>649</v>
      </c>
      <c r="F45"/>
      <c r="G45"/>
      <c r="H45"/>
      <c r="I45"/>
      <c r="J45"/>
      <c r="K45"/>
    </row>
    <row r="46" spans="1:11" ht="28.8">
      <c r="A46" s="332" t="s">
        <v>650</v>
      </c>
      <c r="B46" s="332" t="s">
        <v>651</v>
      </c>
      <c r="C46" s="332">
        <f>Schedules!AD70</f>
        <v>1448.5500000000002</v>
      </c>
      <c r="D46" s="332" t="s">
        <v>652</v>
      </c>
      <c r="E46" s="332" t="s">
        <v>653</v>
      </c>
      <c r="F46"/>
      <c r="G46"/>
      <c r="H46"/>
      <c r="I46"/>
      <c r="J46"/>
      <c r="K46"/>
    </row>
    <row r="74" spans="1:6" s="30" customFormat="1" ht="13.2" hidden="1">
      <c r="A74" s="30" t="s">
        <v>447</v>
      </c>
      <c r="E74" s="31"/>
      <c r="F74" s="33"/>
    </row>
    <row r="75" spans="1:6" ht="13.2" hidden="1"/>
    <row r="76" spans="1:6" ht="13.2" hidden="1"/>
    <row r="77" spans="1:6" ht="21.6" hidden="1" customHeight="1">
      <c r="D77" s="789" t="s">
        <v>654</v>
      </c>
      <c r="E77" s="789"/>
      <c r="F77" s="142"/>
    </row>
    <row r="78" spans="1:6" ht="21" hidden="1" customHeight="1">
      <c r="C78" s="143"/>
      <c r="D78" s="146"/>
      <c r="E78" s="186" t="s">
        <v>655</v>
      </c>
      <c r="F78" s="146" t="s">
        <v>319</v>
      </c>
    </row>
    <row r="79" spans="1:6" ht="27" hidden="1" customHeight="1">
      <c r="D79" s="88" t="s">
        <v>656</v>
      </c>
      <c r="E79" s="790" t="s">
        <v>657</v>
      </c>
      <c r="F79" s="147"/>
    </row>
    <row r="80" spans="1:6" ht="27" hidden="1" customHeight="1">
      <c r="D80" s="88" t="s">
        <v>658</v>
      </c>
      <c r="E80" s="790"/>
      <c r="F80" s="144"/>
    </row>
    <row r="81" spans="1:26" ht="27" hidden="1" customHeight="1">
      <c r="D81" s="88" t="s">
        <v>659</v>
      </c>
      <c r="E81" s="790"/>
      <c r="F81" s="144"/>
    </row>
    <row r="82" spans="1:26" ht="27" hidden="1" customHeight="1">
      <c r="C82" s="312"/>
      <c r="D82" s="88" t="s">
        <v>554</v>
      </c>
      <c r="E82" s="791" t="s">
        <v>660</v>
      </c>
      <c r="F82" s="144"/>
    </row>
    <row r="83" spans="1:26" ht="27" hidden="1" customHeight="1">
      <c r="C83" s="312"/>
      <c r="D83" s="88" t="s">
        <v>661</v>
      </c>
      <c r="E83" s="792"/>
      <c r="F83" s="144"/>
      <c r="G83" s="148">
        <f>(8517.8+105.3)/(10000+3930)</f>
        <v>0.61903086862885848</v>
      </c>
    </row>
    <row r="84" spans="1:26" ht="27" hidden="1" customHeight="1">
      <c r="C84" s="312"/>
      <c r="D84" s="88" t="s">
        <v>662</v>
      </c>
      <c r="E84" s="520" t="s">
        <v>663</v>
      </c>
      <c r="F84" s="144"/>
    </row>
    <row r="85" spans="1:26" ht="13.2" hidden="1">
      <c r="C85" s="312" t="s">
        <v>664</v>
      </c>
      <c r="D85" s="145"/>
      <c r="E85" s="145"/>
      <c r="F85" s="45"/>
    </row>
    <row r="86" spans="1:26" ht="13.2" hidden="1">
      <c r="C86" s="312"/>
      <c r="D86" s="107"/>
      <c r="E86" s="107"/>
    </row>
    <row r="87" spans="1:26" ht="13.2" hidden="1">
      <c r="C87" s="312"/>
      <c r="D87" s="13"/>
      <c r="E87" s="72"/>
      <c r="F87" s="73"/>
      <c r="G87" s="73"/>
    </row>
    <row r="88" spans="1:26" ht="21" hidden="1">
      <c r="A88" s="13"/>
      <c r="B88" s="13"/>
      <c r="C88" s="793" t="s">
        <v>665</v>
      </c>
      <c r="D88" s="793"/>
      <c r="E88" s="793"/>
      <c r="F88" s="793"/>
      <c r="G88" s="793"/>
      <c r="H88" s="793"/>
      <c r="K88" s="793" t="s">
        <v>554</v>
      </c>
      <c r="L88" s="793"/>
      <c r="M88" s="793"/>
      <c r="N88" s="793"/>
      <c r="O88" s="793"/>
      <c r="P88" s="793"/>
      <c r="Q88" s="793"/>
      <c r="T88" s="799" t="s">
        <v>666</v>
      </c>
      <c r="U88" s="800"/>
      <c r="V88" s="801"/>
      <c r="W88" s="150"/>
      <c r="X88" s="799" t="s">
        <v>667</v>
      </c>
      <c r="Y88" s="800"/>
      <c r="Z88" s="801"/>
    </row>
    <row r="89" spans="1:26" ht="21" hidden="1">
      <c r="A89" s="13"/>
      <c r="B89" s="13"/>
      <c r="C89" s="149"/>
      <c r="D89" s="149"/>
      <c r="E89" s="149"/>
      <c r="F89" s="149"/>
      <c r="G89" s="149"/>
      <c r="H89" s="149"/>
    </row>
    <row r="90" spans="1:26" ht="13.2" hidden="1">
      <c r="A90" s="13"/>
      <c r="B90" s="13"/>
      <c r="D90" s="73"/>
      <c r="E90" s="73"/>
      <c r="Q90" s="15"/>
    </row>
    <row r="91" spans="1:26" ht="13.2" hidden="1"/>
    <row r="92" spans="1:26" ht="13.2" hidden="1"/>
    <row r="93" spans="1:26" ht="13.2" hidden="1"/>
    <row r="94" spans="1:26" ht="13.2" hidden="1"/>
    <row r="95" spans="1:26" ht="13.2" hidden="1"/>
    <row r="96" spans="1:26" ht="13.2" hidden="1"/>
    <row r="97" spans="1:26" ht="13.2" hidden="1"/>
    <row r="98" spans="1:26" ht="13.2" hidden="1"/>
    <row r="99" spans="1:26" ht="13.2" hidden="1"/>
    <row r="100" spans="1:26" ht="13.2" hidden="1"/>
    <row r="101" spans="1:26" ht="21" hidden="1">
      <c r="R101" s="150"/>
    </row>
    <row r="102" spans="1:26" ht="13.2" hidden="1"/>
    <row r="103" spans="1:26" ht="13.2" hidden="1">
      <c r="C103" s="788" t="s">
        <v>668</v>
      </c>
      <c r="D103" s="788"/>
      <c r="E103" s="788"/>
      <c r="F103" s="788" t="s">
        <v>669</v>
      </c>
      <c r="G103" s="788"/>
      <c r="H103" s="788"/>
      <c r="K103" s="788" t="str">
        <f>C103</f>
        <v>CEC 2022</v>
      </c>
      <c r="L103" s="788"/>
      <c r="M103" s="788"/>
      <c r="O103" s="788" t="s">
        <v>669</v>
      </c>
      <c r="P103" s="788"/>
      <c r="Q103" s="788"/>
      <c r="T103" s="788" t="str">
        <f>K103</f>
        <v>CEC 2022</v>
      </c>
      <c r="U103" s="788"/>
      <c r="V103" s="788"/>
      <c r="X103" s="788" t="s">
        <v>669</v>
      </c>
      <c r="Y103" s="788"/>
      <c r="Z103" s="788"/>
    </row>
    <row r="104" spans="1:26" ht="13.2" hidden="1">
      <c r="A104" s="108" t="s">
        <v>509</v>
      </c>
      <c r="C104" s="11" t="s">
        <v>510</v>
      </c>
      <c r="D104" s="11" t="s">
        <v>511</v>
      </c>
      <c r="E104" s="11" t="s">
        <v>512</v>
      </c>
      <c r="F104" s="108" t="s">
        <v>513</v>
      </c>
      <c r="G104" s="11" t="s">
        <v>514</v>
      </c>
      <c r="H104" s="11" t="s">
        <v>670</v>
      </c>
      <c r="K104" s="11" t="s">
        <v>510</v>
      </c>
      <c r="L104" s="11" t="s">
        <v>511</v>
      </c>
      <c r="M104" s="11" t="s">
        <v>512</v>
      </c>
      <c r="O104" s="108" t="s">
        <v>513</v>
      </c>
      <c r="P104" s="11" t="s">
        <v>514</v>
      </c>
      <c r="Q104" s="11" t="s">
        <v>670</v>
      </c>
      <c r="T104" s="11" t="s">
        <v>510</v>
      </c>
      <c r="U104" s="11" t="s">
        <v>511</v>
      </c>
      <c r="V104" s="11" t="s">
        <v>512</v>
      </c>
      <c r="X104" s="311" t="s">
        <v>513</v>
      </c>
      <c r="Y104" s="311" t="s">
        <v>514</v>
      </c>
      <c r="Z104" s="311" t="s">
        <v>670</v>
      </c>
    </row>
    <row r="105" spans="1:26" ht="13.2" hidden="1">
      <c r="A105" s="11">
        <v>1</v>
      </c>
      <c r="C105" s="11">
        <v>0.05</v>
      </c>
      <c r="D105" s="11">
        <v>0.05</v>
      </c>
      <c r="E105" s="11">
        <v>0.05</v>
      </c>
      <c r="F105" s="15">
        <v>0.30767384079999999</v>
      </c>
      <c r="G105" s="15">
        <v>0.2307553806</v>
      </c>
      <c r="H105" s="15">
        <v>0.2307553806</v>
      </c>
      <c r="K105" s="11">
        <v>0</v>
      </c>
      <c r="L105" s="11">
        <v>0</v>
      </c>
      <c r="M105" s="11">
        <v>0</v>
      </c>
      <c r="O105" s="15">
        <v>0.12</v>
      </c>
      <c r="P105" s="120">
        <v>0.12</v>
      </c>
      <c r="Q105" s="11">
        <v>0</v>
      </c>
      <c r="T105" s="11">
        <v>0</v>
      </c>
      <c r="U105" s="11">
        <v>0</v>
      </c>
      <c r="V105" s="11">
        <v>0</v>
      </c>
      <c r="X105" s="11">
        <v>0</v>
      </c>
      <c r="Y105" s="11">
        <v>0</v>
      </c>
      <c r="Z105" s="11">
        <v>0</v>
      </c>
    </row>
    <row r="106" spans="1:26" ht="13.2" hidden="1">
      <c r="A106" s="11">
        <f>A105+1</f>
        <v>2</v>
      </c>
      <c r="C106" s="11">
        <v>0.05</v>
      </c>
      <c r="D106" s="11">
        <v>0.05</v>
      </c>
      <c r="E106" s="11">
        <v>0.05</v>
      </c>
      <c r="F106" s="15">
        <v>0.30767384079999999</v>
      </c>
      <c r="G106" s="15">
        <v>0.2307553806</v>
      </c>
      <c r="H106" s="15">
        <v>0.2307553806</v>
      </c>
      <c r="K106" s="11">
        <v>0</v>
      </c>
      <c r="L106" s="11">
        <v>0</v>
      </c>
      <c r="M106" s="11">
        <v>0</v>
      </c>
      <c r="O106" s="15">
        <v>0.12</v>
      </c>
      <c r="P106" s="120">
        <v>0.12</v>
      </c>
      <c r="Q106" s="11">
        <v>0</v>
      </c>
      <c r="T106" s="11">
        <v>0</v>
      </c>
      <c r="U106" s="11">
        <v>0</v>
      </c>
      <c r="V106" s="11">
        <v>0</v>
      </c>
      <c r="X106" s="11">
        <v>0</v>
      </c>
      <c r="Y106" s="11">
        <v>0</v>
      </c>
      <c r="Z106" s="11">
        <v>0</v>
      </c>
    </row>
    <row r="107" spans="1:26" ht="13.2" hidden="1">
      <c r="A107" s="11">
        <f t="shared" ref="A107:A128" si="0">A106+1</f>
        <v>3</v>
      </c>
      <c r="C107" s="11">
        <v>0.05</v>
      </c>
      <c r="D107" s="11">
        <v>0.05</v>
      </c>
      <c r="E107" s="11">
        <v>0.05</v>
      </c>
      <c r="F107" s="15">
        <v>0.30767384079999999</v>
      </c>
      <c r="G107" s="15">
        <v>0.2307553806</v>
      </c>
      <c r="H107" s="15">
        <v>0.2307553806</v>
      </c>
      <c r="K107" s="11">
        <v>0</v>
      </c>
      <c r="L107" s="11">
        <v>0</v>
      </c>
      <c r="M107" s="11">
        <v>0</v>
      </c>
      <c r="O107" s="15">
        <v>0.12</v>
      </c>
      <c r="P107" s="120">
        <v>0.12</v>
      </c>
      <c r="Q107" s="11">
        <v>0</v>
      </c>
      <c r="T107" s="11">
        <v>0</v>
      </c>
      <c r="U107" s="11">
        <v>0</v>
      </c>
      <c r="V107" s="11">
        <v>0</v>
      </c>
      <c r="X107" s="11">
        <v>0</v>
      </c>
      <c r="Y107" s="11">
        <v>0</v>
      </c>
      <c r="Z107" s="11">
        <v>0</v>
      </c>
    </row>
    <row r="108" spans="1:26" ht="13.2" hidden="1">
      <c r="A108" s="11">
        <f t="shared" si="0"/>
        <v>4</v>
      </c>
      <c r="C108" s="11">
        <v>0.05</v>
      </c>
      <c r="D108" s="11">
        <v>0.05</v>
      </c>
      <c r="E108" s="11">
        <v>0.05</v>
      </c>
      <c r="F108" s="15">
        <v>0.30767384079999999</v>
      </c>
      <c r="G108" s="15">
        <v>0.2307553806</v>
      </c>
      <c r="H108" s="15">
        <v>0.2307553806</v>
      </c>
      <c r="K108" s="11">
        <v>0</v>
      </c>
      <c r="L108" s="11">
        <v>0</v>
      </c>
      <c r="M108" s="11">
        <v>0</v>
      </c>
      <c r="O108" s="15">
        <v>0.12</v>
      </c>
      <c r="P108" s="120">
        <v>0.12</v>
      </c>
      <c r="Q108" s="11">
        <v>0</v>
      </c>
      <c r="T108" s="11">
        <v>0</v>
      </c>
      <c r="U108" s="11">
        <v>0</v>
      </c>
      <c r="V108" s="11">
        <v>0</v>
      </c>
      <c r="X108" s="11">
        <v>0</v>
      </c>
      <c r="Y108" s="11">
        <v>0</v>
      </c>
      <c r="Z108" s="11">
        <v>0</v>
      </c>
    </row>
    <row r="109" spans="1:26" ht="13.2" hidden="1">
      <c r="A109" s="11">
        <f t="shared" si="0"/>
        <v>5</v>
      </c>
      <c r="C109" s="11">
        <v>0.05</v>
      </c>
      <c r="D109" s="11">
        <v>0.05</v>
      </c>
      <c r="E109" s="11">
        <v>0.05</v>
      </c>
      <c r="F109" s="15">
        <v>0.30767384079999999</v>
      </c>
      <c r="G109" s="15">
        <v>0.2307553806</v>
      </c>
      <c r="H109" s="15">
        <v>0.2307553806</v>
      </c>
      <c r="K109" s="11">
        <v>0</v>
      </c>
      <c r="L109" s="11">
        <v>0</v>
      </c>
      <c r="M109" s="11">
        <v>0</v>
      </c>
      <c r="O109" s="15">
        <v>0.12</v>
      </c>
      <c r="P109" s="120">
        <v>0.12</v>
      </c>
      <c r="Q109" s="11">
        <v>0</v>
      </c>
      <c r="T109" s="11">
        <v>0</v>
      </c>
      <c r="U109" s="11">
        <v>0</v>
      </c>
      <c r="V109" s="11">
        <v>0</v>
      </c>
      <c r="X109" s="11">
        <v>0</v>
      </c>
      <c r="Y109" s="11">
        <v>0</v>
      </c>
      <c r="Z109" s="11">
        <v>0</v>
      </c>
    </row>
    <row r="110" spans="1:26" ht="13.2" hidden="1">
      <c r="A110" s="11">
        <f t="shared" si="0"/>
        <v>6</v>
      </c>
      <c r="C110" s="11">
        <v>0.1</v>
      </c>
      <c r="D110" s="11">
        <v>0.05</v>
      </c>
      <c r="E110" s="11">
        <v>0.05</v>
      </c>
      <c r="F110" s="15">
        <v>0.30767384079999999</v>
      </c>
      <c r="G110" s="15">
        <v>0.2307553806</v>
      </c>
      <c r="H110" s="15">
        <v>0.2307553806</v>
      </c>
      <c r="K110" s="11">
        <v>0</v>
      </c>
      <c r="L110" s="11">
        <v>0</v>
      </c>
      <c r="M110" s="11">
        <v>0</v>
      </c>
      <c r="O110" s="15">
        <v>0.12</v>
      </c>
      <c r="P110" s="120">
        <v>0.12</v>
      </c>
      <c r="Q110" s="11">
        <v>0</v>
      </c>
      <c r="T110" s="11">
        <v>1</v>
      </c>
      <c r="U110" s="11">
        <v>1</v>
      </c>
      <c r="V110" s="11">
        <v>0</v>
      </c>
      <c r="X110" s="11">
        <v>0</v>
      </c>
      <c r="Y110" s="11">
        <v>0</v>
      </c>
      <c r="Z110" s="11">
        <v>0</v>
      </c>
    </row>
    <row r="111" spans="1:26" ht="13.2" hidden="1">
      <c r="A111" s="11">
        <f t="shared" si="0"/>
        <v>7</v>
      </c>
      <c r="C111" s="11">
        <v>0.1</v>
      </c>
      <c r="D111" s="11">
        <v>0.1</v>
      </c>
      <c r="E111" s="11">
        <v>0.05</v>
      </c>
      <c r="F111" s="15">
        <v>0.38123479599999999</v>
      </c>
      <c r="G111" s="15">
        <v>0.38123479599999999</v>
      </c>
      <c r="H111" s="15">
        <v>0.28592609699999999</v>
      </c>
      <c r="K111" s="11">
        <v>0</v>
      </c>
      <c r="L111" s="11">
        <v>0</v>
      </c>
      <c r="M111" s="11">
        <v>0</v>
      </c>
      <c r="O111" s="15">
        <v>0.12</v>
      </c>
      <c r="P111" s="120">
        <v>0.12</v>
      </c>
      <c r="Q111" s="11">
        <v>0</v>
      </c>
      <c r="T111" s="11">
        <v>1</v>
      </c>
      <c r="U111" s="11">
        <v>1</v>
      </c>
      <c r="V111" s="11">
        <v>0</v>
      </c>
      <c r="X111" s="11">
        <v>0</v>
      </c>
      <c r="Y111" s="11">
        <v>0</v>
      </c>
      <c r="Z111" s="11">
        <v>0</v>
      </c>
    </row>
    <row r="112" spans="1:26" ht="13.2" hidden="1">
      <c r="A112" s="11">
        <f t="shared" si="0"/>
        <v>8</v>
      </c>
      <c r="C112" s="11">
        <v>0.3</v>
      </c>
      <c r="D112" s="11">
        <v>0.1</v>
      </c>
      <c r="E112" s="11">
        <v>0.05</v>
      </c>
      <c r="F112" s="15">
        <v>0.38123479599999999</v>
      </c>
      <c r="G112" s="15">
        <v>0.38123479599999999</v>
      </c>
      <c r="H112" s="15">
        <v>0.28592609699999999</v>
      </c>
      <c r="K112" s="11">
        <v>0.35</v>
      </c>
      <c r="L112" s="11">
        <v>0.16</v>
      </c>
      <c r="M112" s="11">
        <v>0</v>
      </c>
      <c r="O112" s="15">
        <v>0.35</v>
      </c>
      <c r="P112" s="120">
        <v>0.16</v>
      </c>
      <c r="Q112" s="11">
        <v>0</v>
      </c>
      <c r="T112" s="11">
        <v>1</v>
      </c>
      <c r="U112" s="11">
        <v>1</v>
      </c>
      <c r="V112" s="11">
        <v>0</v>
      </c>
      <c r="X112" s="11">
        <v>0.35</v>
      </c>
      <c r="Y112" s="11">
        <v>0.16</v>
      </c>
      <c r="Z112" s="11">
        <v>0</v>
      </c>
    </row>
    <row r="113" spans="1:26" ht="13.2" hidden="1">
      <c r="A113" s="11">
        <f t="shared" si="0"/>
        <v>9</v>
      </c>
      <c r="C113" s="11">
        <v>0.9</v>
      </c>
      <c r="D113" s="11">
        <v>0.3</v>
      </c>
      <c r="E113" s="11">
        <v>0.05</v>
      </c>
      <c r="F113" s="15">
        <v>0.85777829100000003</v>
      </c>
      <c r="G113" s="15">
        <v>0.47654349499999998</v>
      </c>
      <c r="H113" s="15">
        <v>0.28592609699999999</v>
      </c>
      <c r="K113" s="11">
        <v>0.69</v>
      </c>
      <c r="L113" s="11">
        <v>0.14000000000000001</v>
      </c>
      <c r="M113" s="11">
        <v>0</v>
      </c>
      <c r="O113" s="11">
        <v>0.69</v>
      </c>
      <c r="P113" s="120">
        <v>0.14000000000000001</v>
      </c>
      <c r="Q113" s="11">
        <v>0</v>
      </c>
      <c r="T113" s="11">
        <v>1</v>
      </c>
      <c r="U113" s="11">
        <v>1</v>
      </c>
      <c r="V113" s="11">
        <v>0</v>
      </c>
      <c r="X113" s="11">
        <v>0.69</v>
      </c>
      <c r="Y113" s="11">
        <v>0.14000000000000001</v>
      </c>
      <c r="Z113" s="11">
        <v>0</v>
      </c>
    </row>
    <row r="114" spans="1:26" ht="13.2" hidden="1">
      <c r="A114" s="11">
        <f t="shared" si="0"/>
        <v>10</v>
      </c>
      <c r="C114" s="11">
        <v>0.9</v>
      </c>
      <c r="D114" s="11">
        <v>0.3</v>
      </c>
      <c r="E114" s="11">
        <v>0.05</v>
      </c>
      <c r="F114" s="15">
        <v>0.85777829100000003</v>
      </c>
      <c r="G114" s="15">
        <v>0.47654349499999998</v>
      </c>
      <c r="H114" s="15">
        <v>0.28592609699999999</v>
      </c>
      <c r="K114" s="11">
        <v>0.43</v>
      </c>
      <c r="L114" s="11">
        <v>0.21</v>
      </c>
      <c r="M114" s="11">
        <v>0</v>
      </c>
      <c r="O114" s="11">
        <v>0.43</v>
      </c>
      <c r="P114" s="120">
        <v>0.21</v>
      </c>
      <c r="Q114" s="11">
        <v>0</v>
      </c>
      <c r="T114" s="11">
        <v>1</v>
      </c>
      <c r="U114" s="11">
        <v>1</v>
      </c>
      <c r="V114" s="11">
        <v>0</v>
      </c>
      <c r="X114" s="11">
        <v>0.43</v>
      </c>
      <c r="Y114" s="11">
        <v>0.21</v>
      </c>
      <c r="Z114" s="11">
        <v>0</v>
      </c>
    </row>
    <row r="115" spans="1:26" ht="13.2" hidden="1">
      <c r="A115" s="11">
        <f t="shared" si="0"/>
        <v>11</v>
      </c>
      <c r="C115" s="11">
        <v>0.9</v>
      </c>
      <c r="D115" s="11">
        <v>0.3</v>
      </c>
      <c r="E115" s="11">
        <v>0.05</v>
      </c>
      <c r="F115" s="15">
        <v>0.85777829100000003</v>
      </c>
      <c r="G115" s="15">
        <v>0.47654349499999998</v>
      </c>
      <c r="H115" s="15">
        <v>0.28592609699999999</v>
      </c>
      <c r="K115" s="11">
        <v>0.37</v>
      </c>
      <c r="L115" s="11">
        <v>0.18</v>
      </c>
      <c r="M115" s="11">
        <v>0</v>
      </c>
      <c r="O115" s="15">
        <v>0.37</v>
      </c>
      <c r="P115" s="120">
        <v>0.18</v>
      </c>
      <c r="Q115" s="11">
        <v>0</v>
      </c>
      <c r="T115" s="11">
        <v>1</v>
      </c>
      <c r="U115" s="11">
        <v>1</v>
      </c>
      <c r="V115" s="11">
        <v>0</v>
      </c>
      <c r="X115" s="11">
        <v>0.37</v>
      </c>
      <c r="Y115" s="11">
        <v>0.18</v>
      </c>
      <c r="Z115" s="11">
        <v>0</v>
      </c>
    </row>
    <row r="116" spans="1:26" ht="13.2" hidden="1">
      <c r="A116" s="11">
        <f t="shared" si="0"/>
        <v>12</v>
      </c>
      <c r="C116" s="11">
        <v>0.9</v>
      </c>
      <c r="D116" s="11">
        <v>0.3</v>
      </c>
      <c r="E116" s="11">
        <v>0.05</v>
      </c>
      <c r="F116" s="15">
        <v>0.85777829100000003</v>
      </c>
      <c r="G116" s="15">
        <v>0.47654349499999998</v>
      </c>
      <c r="H116" s="15">
        <v>0.28592609699999999</v>
      </c>
      <c r="K116" s="11">
        <v>0.43</v>
      </c>
      <c r="L116" s="11">
        <v>0.25</v>
      </c>
      <c r="M116" s="11">
        <v>0</v>
      </c>
      <c r="O116" s="11">
        <v>0.43</v>
      </c>
      <c r="P116" s="120">
        <v>0.25</v>
      </c>
      <c r="Q116" s="11">
        <v>0</v>
      </c>
      <c r="T116" s="11">
        <v>1</v>
      </c>
      <c r="U116" s="11">
        <v>1</v>
      </c>
      <c r="V116" s="11">
        <v>0</v>
      </c>
      <c r="X116" s="11">
        <v>0.43</v>
      </c>
      <c r="Y116" s="11">
        <v>0.25</v>
      </c>
      <c r="Z116" s="11">
        <v>0</v>
      </c>
    </row>
    <row r="117" spans="1:26" ht="13.2" hidden="1">
      <c r="A117" s="11">
        <f t="shared" si="0"/>
        <v>13</v>
      </c>
      <c r="C117" s="11">
        <v>0.9</v>
      </c>
      <c r="D117" s="11">
        <v>0.15</v>
      </c>
      <c r="E117" s="11">
        <v>0.05</v>
      </c>
      <c r="F117" s="15">
        <v>0.76246959199999997</v>
      </c>
      <c r="G117" s="15">
        <v>0.33358044650000002</v>
      </c>
      <c r="H117" s="15">
        <v>0.28592609699999999</v>
      </c>
      <c r="K117" s="11">
        <v>0.57999999999999996</v>
      </c>
      <c r="L117" s="11">
        <v>0.21</v>
      </c>
      <c r="M117" s="11">
        <v>0</v>
      </c>
      <c r="O117" s="15">
        <v>0.57999999999999996</v>
      </c>
      <c r="P117" s="120">
        <v>0.21</v>
      </c>
      <c r="Q117" s="11">
        <v>0</v>
      </c>
      <c r="T117" s="11">
        <v>1</v>
      </c>
      <c r="U117" s="11">
        <v>1</v>
      </c>
      <c r="V117" s="11">
        <v>0</v>
      </c>
      <c r="X117" s="11">
        <v>0.57999999999999996</v>
      </c>
      <c r="Y117" s="11">
        <v>0.21</v>
      </c>
      <c r="Z117" s="11">
        <v>0</v>
      </c>
    </row>
    <row r="118" spans="1:26" ht="13.2" hidden="1">
      <c r="A118" s="11">
        <f t="shared" si="0"/>
        <v>14</v>
      </c>
      <c r="C118" s="11">
        <v>0.9</v>
      </c>
      <c r="D118" s="11">
        <v>0.15</v>
      </c>
      <c r="E118" s="11">
        <v>0.05</v>
      </c>
      <c r="F118" s="15">
        <v>0.85777829100000003</v>
      </c>
      <c r="G118" s="15">
        <v>0.33358044650000002</v>
      </c>
      <c r="H118" s="15">
        <v>0.28592609699999999</v>
      </c>
      <c r="K118" s="11">
        <v>0.48</v>
      </c>
      <c r="L118" s="11">
        <v>0.13</v>
      </c>
      <c r="M118" s="11">
        <v>0</v>
      </c>
      <c r="O118" s="15">
        <v>0.48</v>
      </c>
      <c r="P118" s="120">
        <v>0.13</v>
      </c>
      <c r="Q118" s="11">
        <v>0</v>
      </c>
      <c r="T118" s="11">
        <v>1</v>
      </c>
      <c r="U118" s="11">
        <v>1</v>
      </c>
      <c r="V118" s="11">
        <v>0</v>
      </c>
      <c r="X118" s="11">
        <v>0.48</v>
      </c>
      <c r="Y118" s="11">
        <v>0.13</v>
      </c>
      <c r="Z118" s="11">
        <v>0</v>
      </c>
    </row>
    <row r="119" spans="1:26" ht="13.2" hidden="1">
      <c r="A119" s="11">
        <f t="shared" si="0"/>
        <v>15</v>
      </c>
      <c r="C119" s="11">
        <v>0.9</v>
      </c>
      <c r="D119" s="11">
        <v>0.15</v>
      </c>
      <c r="E119" s="11">
        <v>0.05</v>
      </c>
      <c r="F119" s="15">
        <v>0.85777829100000003</v>
      </c>
      <c r="G119" s="15">
        <v>0.33358044650000002</v>
      </c>
      <c r="H119" s="15">
        <v>0.28592609699999999</v>
      </c>
      <c r="K119" s="11">
        <v>0.37</v>
      </c>
      <c r="L119" s="11">
        <v>0.08</v>
      </c>
      <c r="M119" s="11">
        <v>0</v>
      </c>
      <c r="O119" s="15">
        <v>0.37</v>
      </c>
      <c r="P119" s="120">
        <v>0.12</v>
      </c>
      <c r="Q119" s="11">
        <v>0</v>
      </c>
      <c r="T119" s="11">
        <v>1</v>
      </c>
      <c r="U119" s="11">
        <v>1</v>
      </c>
      <c r="V119" s="11">
        <v>0</v>
      </c>
      <c r="X119" s="11">
        <v>0.37</v>
      </c>
      <c r="Y119" s="11">
        <v>0.08</v>
      </c>
      <c r="Z119" s="11">
        <v>0</v>
      </c>
    </row>
    <row r="120" spans="1:26" ht="13.2" hidden="1">
      <c r="A120" s="11">
        <f t="shared" si="0"/>
        <v>16</v>
      </c>
      <c r="C120" s="11">
        <v>0.9</v>
      </c>
      <c r="D120" s="11">
        <v>0.15</v>
      </c>
      <c r="E120" s="11">
        <v>0.05</v>
      </c>
      <c r="F120" s="15">
        <v>0.85777829100000003</v>
      </c>
      <c r="G120" s="15">
        <v>0.33358044650000002</v>
      </c>
      <c r="H120" s="15">
        <v>0.28592609699999999</v>
      </c>
      <c r="K120" s="11">
        <v>0.37</v>
      </c>
      <c r="L120" s="11">
        <v>0.04</v>
      </c>
      <c r="M120" s="11">
        <v>0</v>
      </c>
      <c r="O120" s="15">
        <v>0.37</v>
      </c>
      <c r="P120" s="120">
        <v>0.12</v>
      </c>
      <c r="Q120" s="11">
        <v>0</v>
      </c>
      <c r="T120" s="11">
        <v>1</v>
      </c>
      <c r="U120" s="11">
        <v>1</v>
      </c>
      <c r="V120" s="11">
        <v>0</v>
      </c>
      <c r="X120" s="11">
        <v>0.37</v>
      </c>
      <c r="Y120" s="11">
        <v>0.04</v>
      </c>
      <c r="Z120" s="11">
        <v>0</v>
      </c>
    </row>
    <row r="121" spans="1:26" ht="13.2" hidden="1">
      <c r="A121" s="11">
        <f t="shared" si="0"/>
        <v>17</v>
      </c>
      <c r="C121" s="11">
        <v>0.9</v>
      </c>
      <c r="D121" s="11">
        <v>0.15</v>
      </c>
      <c r="E121" s="11">
        <v>0.05</v>
      </c>
      <c r="F121" s="15">
        <v>0.85777829100000003</v>
      </c>
      <c r="G121" s="15">
        <v>0.33358044650000002</v>
      </c>
      <c r="H121" s="15">
        <v>0.28592609699999999</v>
      </c>
      <c r="K121" s="11">
        <v>0.46</v>
      </c>
      <c r="L121" s="11">
        <v>0.05</v>
      </c>
      <c r="M121" s="11">
        <v>0</v>
      </c>
      <c r="O121" s="15">
        <v>0.46</v>
      </c>
      <c r="P121" s="120">
        <v>0.12</v>
      </c>
      <c r="Q121" s="11">
        <v>0</v>
      </c>
      <c r="T121" s="11">
        <v>1</v>
      </c>
      <c r="U121" s="11">
        <v>1</v>
      </c>
      <c r="V121" s="11">
        <v>0</v>
      </c>
      <c r="X121" s="11">
        <v>0.46</v>
      </c>
      <c r="Y121" s="11">
        <v>0.05</v>
      </c>
      <c r="Z121" s="11">
        <v>0</v>
      </c>
    </row>
    <row r="122" spans="1:26" ht="13.2" hidden="1">
      <c r="A122" s="11">
        <f t="shared" si="0"/>
        <v>18</v>
      </c>
      <c r="C122" s="11">
        <v>0.5</v>
      </c>
      <c r="D122" s="11">
        <v>0.05</v>
      </c>
      <c r="E122" s="11">
        <v>0.05</v>
      </c>
      <c r="F122" s="15">
        <v>0.47654349499999998</v>
      </c>
      <c r="G122" s="15">
        <v>0.28592609699999999</v>
      </c>
      <c r="H122" s="15">
        <v>0.28592609699999999</v>
      </c>
      <c r="K122" s="11">
        <v>0.62</v>
      </c>
      <c r="L122" s="11">
        <v>0.06</v>
      </c>
      <c r="M122" s="11">
        <v>0</v>
      </c>
      <c r="O122" s="15">
        <v>0.62</v>
      </c>
      <c r="P122" s="120">
        <v>0.12</v>
      </c>
      <c r="Q122" s="11">
        <v>0</v>
      </c>
      <c r="T122" s="11">
        <v>1</v>
      </c>
      <c r="U122" s="11">
        <v>1</v>
      </c>
      <c r="V122" s="11">
        <v>0</v>
      </c>
      <c r="X122" s="11">
        <v>0.62</v>
      </c>
      <c r="Y122" s="11">
        <v>0.06</v>
      </c>
      <c r="Z122" s="11">
        <v>0</v>
      </c>
    </row>
    <row r="123" spans="1:26" ht="13.2" hidden="1">
      <c r="A123" s="11">
        <f t="shared" si="0"/>
        <v>19</v>
      </c>
      <c r="C123" s="11">
        <v>0.3</v>
      </c>
      <c r="D123" s="11">
        <v>0.05</v>
      </c>
      <c r="E123" s="11">
        <v>0.05</v>
      </c>
      <c r="F123" s="15">
        <v>0.38123479599999999</v>
      </c>
      <c r="G123" s="15">
        <v>0.28592609699999999</v>
      </c>
      <c r="H123" s="15">
        <v>0.2307553806</v>
      </c>
      <c r="K123" s="48">
        <v>0.2</v>
      </c>
      <c r="L123" s="11">
        <v>0</v>
      </c>
      <c r="M123" s="11">
        <v>0</v>
      </c>
      <c r="O123" s="15">
        <v>0.12</v>
      </c>
      <c r="P123" s="120">
        <v>0.12</v>
      </c>
      <c r="Q123" s="11">
        <v>0</v>
      </c>
      <c r="T123" s="11">
        <v>1</v>
      </c>
      <c r="U123" s="11">
        <v>1</v>
      </c>
      <c r="V123" s="11">
        <v>0</v>
      </c>
      <c r="X123" s="48">
        <v>0.12</v>
      </c>
      <c r="Y123" s="11">
        <v>0</v>
      </c>
      <c r="Z123" s="11">
        <v>0</v>
      </c>
    </row>
    <row r="124" spans="1:26" ht="13.2" hidden="1">
      <c r="A124" s="11">
        <f t="shared" si="0"/>
        <v>20</v>
      </c>
      <c r="C124" s="11">
        <v>0.3</v>
      </c>
      <c r="D124" s="11">
        <v>0.05</v>
      </c>
      <c r="E124" s="11">
        <v>0.05</v>
      </c>
      <c r="F124" s="15">
        <v>0.38123479599999999</v>
      </c>
      <c r="G124" s="15">
        <v>0.2307553806</v>
      </c>
      <c r="H124" s="15">
        <v>0.2307553806</v>
      </c>
      <c r="K124" s="48">
        <v>0.12</v>
      </c>
      <c r="L124" s="11">
        <v>0</v>
      </c>
      <c r="M124" s="11">
        <v>0</v>
      </c>
      <c r="O124" s="15">
        <v>0.12</v>
      </c>
      <c r="P124" s="120">
        <v>0.12</v>
      </c>
      <c r="Q124" s="11">
        <v>0</v>
      </c>
      <c r="T124" s="11">
        <v>1</v>
      </c>
      <c r="U124" s="11">
        <v>0</v>
      </c>
      <c r="V124" s="11">
        <v>0</v>
      </c>
      <c r="X124" s="48">
        <v>0.04</v>
      </c>
      <c r="Y124" s="11">
        <v>0</v>
      </c>
      <c r="Z124" s="11">
        <v>0</v>
      </c>
    </row>
    <row r="125" spans="1:26" ht="13.2" hidden="1">
      <c r="A125" s="11">
        <f>A124+1</f>
        <v>21</v>
      </c>
      <c r="C125" s="11">
        <v>0.2</v>
      </c>
      <c r="D125" s="11">
        <v>0.05</v>
      </c>
      <c r="E125" s="11">
        <v>0.05</v>
      </c>
      <c r="F125" s="15">
        <v>0.38123479599999999</v>
      </c>
      <c r="G125" s="15">
        <v>0.2307553806</v>
      </c>
      <c r="H125" s="15">
        <v>0.2307553806</v>
      </c>
      <c r="K125" s="11">
        <v>0.04</v>
      </c>
      <c r="L125" s="11">
        <v>0</v>
      </c>
      <c r="M125" s="11">
        <v>0</v>
      </c>
      <c r="O125" s="15">
        <v>0.12</v>
      </c>
      <c r="P125" s="120">
        <v>0.12</v>
      </c>
      <c r="Q125" s="11">
        <v>0</v>
      </c>
      <c r="T125" s="11">
        <v>1</v>
      </c>
      <c r="U125" s="11">
        <v>0</v>
      </c>
      <c r="V125" s="11">
        <v>0</v>
      </c>
      <c r="X125" s="11">
        <v>0.04</v>
      </c>
      <c r="Y125" s="11">
        <v>0</v>
      </c>
      <c r="Z125" s="11">
        <v>0</v>
      </c>
    </row>
    <row r="126" spans="1:26" ht="13.2" hidden="1">
      <c r="A126" s="11">
        <f t="shared" si="0"/>
        <v>22</v>
      </c>
      <c r="C126" s="11">
        <v>0.2</v>
      </c>
      <c r="D126" s="11">
        <v>0.05</v>
      </c>
      <c r="E126" s="11">
        <v>0.05</v>
      </c>
      <c r="F126" s="15">
        <v>0.38123479599999999</v>
      </c>
      <c r="G126" s="15">
        <v>0.2307553806</v>
      </c>
      <c r="H126" s="15">
        <v>0.2307553806</v>
      </c>
      <c r="K126" s="48">
        <v>0.04</v>
      </c>
      <c r="L126" s="11">
        <v>0</v>
      </c>
      <c r="M126" s="11">
        <v>0</v>
      </c>
      <c r="O126" s="15">
        <v>0.12</v>
      </c>
      <c r="P126" s="120">
        <v>0.12</v>
      </c>
      <c r="Q126" s="11">
        <v>0</v>
      </c>
      <c r="T126" s="11">
        <v>1</v>
      </c>
      <c r="U126" s="11">
        <v>0</v>
      </c>
      <c r="V126" s="11">
        <v>0</v>
      </c>
      <c r="X126" s="48">
        <v>0</v>
      </c>
      <c r="Y126" s="11">
        <v>0</v>
      </c>
      <c r="Z126" s="11">
        <v>0</v>
      </c>
    </row>
    <row r="127" spans="1:26" ht="13.2" hidden="1">
      <c r="A127" s="11">
        <f t="shared" si="0"/>
        <v>23</v>
      </c>
      <c r="C127" s="11">
        <v>0.1</v>
      </c>
      <c r="D127" s="11">
        <v>0.05</v>
      </c>
      <c r="E127" s="11">
        <v>0.05</v>
      </c>
      <c r="F127" s="15">
        <v>0.38123479599999999</v>
      </c>
      <c r="G127" s="15">
        <v>0.2307553806</v>
      </c>
      <c r="H127" s="15">
        <v>0.2307553806</v>
      </c>
      <c r="K127" s="11">
        <v>0</v>
      </c>
      <c r="L127" s="11">
        <v>0</v>
      </c>
      <c r="M127" s="11">
        <v>0</v>
      </c>
      <c r="O127" s="15">
        <v>0.12</v>
      </c>
      <c r="P127" s="120">
        <v>0.12</v>
      </c>
      <c r="Q127" s="11">
        <v>0</v>
      </c>
      <c r="T127" s="11">
        <v>1</v>
      </c>
      <c r="U127" s="11">
        <v>0</v>
      </c>
      <c r="V127" s="11">
        <v>0</v>
      </c>
      <c r="X127" s="11">
        <v>0</v>
      </c>
      <c r="Y127" s="11">
        <v>0</v>
      </c>
      <c r="Z127" s="11">
        <v>0</v>
      </c>
    </row>
    <row r="128" spans="1:26" ht="13.2" hidden="1">
      <c r="A128" s="11">
        <f t="shared" si="0"/>
        <v>24</v>
      </c>
      <c r="C128" s="11">
        <v>0.05</v>
      </c>
      <c r="D128" s="11">
        <v>0.05</v>
      </c>
      <c r="E128" s="11">
        <v>0.05</v>
      </c>
      <c r="F128" s="15">
        <v>0.38123479599999999</v>
      </c>
      <c r="G128" s="15">
        <v>0.2307553806</v>
      </c>
      <c r="H128" s="15">
        <v>0.2307553806</v>
      </c>
      <c r="K128" s="11">
        <v>0</v>
      </c>
      <c r="L128" s="11">
        <v>0</v>
      </c>
      <c r="M128" s="11">
        <v>0</v>
      </c>
      <c r="O128" s="15">
        <v>0.12</v>
      </c>
      <c r="P128" s="120">
        <v>0.12</v>
      </c>
      <c r="Q128" s="11">
        <v>0</v>
      </c>
      <c r="T128" s="11">
        <v>1</v>
      </c>
      <c r="U128" s="11">
        <v>0</v>
      </c>
      <c r="V128" s="11">
        <v>0</v>
      </c>
      <c r="X128" s="11">
        <v>0</v>
      </c>
      <c r="Y128" s="11">
        <v>0</v>
      </c>
      <c r="Z128" s="11">
        <v>0</v>
      </c>
    </row>
    <row r="129" spans="3:17" ht="13.2" hidden="1">
      <c r="C129" s="11">
        <f t="shared" ref="C129:H129" si="1">SUM(C105:C128)</f>
        <v>10.500000000000002</v>
      </c>
      <c r="D129" s="11">
        <f t="shared" si="1"/>
        <v>2.7999999999999985</v>
      </c>
      <c r="E129" s="11">
        <f t="shared" si="1"/>
        <v>1.2000000000000004</v>
      </c>
      <c r="F129" s="16">
        <f t="shared" si="1"/>
        <v>12.997160827799995</v>
      </c>
      <c r="G129" s="16">
        <f t="shared" si="1"/>
        <v>7.4467071850999993</v>
      </c>
      <c r="H129" s="16">
        <f t="shared" si="1"/>
        <v>6.2001777311999984</v>
      </c>
      <c r="O129" s="16"/>
      <c r="P129" s="16"/>
      <c r="Q129" s="16"/>
    </row>
    <row r="130" spans="3:17" ht="16.95" customHeight="1">
      <c r="L130" s="16"/>
    </row>
    <row r="131" spans="3:17" ht="10.95" customHeight="1"/>
  </sheetData>
  <mergeCells count="19">
    <mergeCell ref="T103:V103"/>
    <mergeCell ref="X103:Z103"/>
    <mergeCell ref="T88:V88"/>
    <mergeCell ref="X88:Z88"/>
    <mergeCell ref="K103:M103"/>
    <mergeCell ref="O103:Q103"/>
    <mergeCell ref="F103:H103"/>
    <mergeCell ref="A1:E1"/>
    <mergeCell ref="D77:E77"/>
    <mergeCell ref="E79:E81"/>
    <mergeCell ref="E82:E83"/>
    <mergeCell ref="C88:H88"/>
    <mergeCell ref="E4:E7"/>
    <mergeCell ref="E9:E13"/>
    <mergeCell ref="C103:E103"/>
    <mergeCell ref="A16:K16"/>
    <mergeCell ref="A22:E22"/>
    <mergeCell ref="A24:A25"/>
    <mergeCell ref="K88:Q88"/>
  </mergeCells>
  <phoneticPr fontId="4" type="noConversion"/>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FFA11CA-081D-4DA4-993D-3E209773C559}">
          <x14:formula1>
            <xm:f>Data!$A$2:$A$201</xm:f>
          </x14:formula1>
          <xm:sqref>A3 A11 A13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4"/>
  <dimension ref="A1:BJ122"/>
  <sheetViews>
    <sheetView zoomScale="85" zoomScaleNormal="85" workbookViewId="0">
      <selection sqref="A1:AC1"/>
    </sheetView>
  </sheetViews>
  <sheetFormatPr defaultColWidth="9.109375" defaultRowHeight="11.4"/>
  <cols>
    <col min="1" max="1" width="18.6640625" style="74" customWidth="1"/>
    <col min="2" max="2" width="18.109375" style="74" customWidth="1"/>
    <col min="3" max="3" width="28.88671875" style="74" customWidth="1"/>
    <col min="4" max="4" width="20.33203125" style="74" customWidth="1"/>
    <col min="5" max="5" width="9.109375" style="74"/>
    <col min="6" max="29" width="5.6640625" style="74" customWidth="1"/>
    <col min="30" max="16384" width="9.109375" style="74"/>
  </cols>
  <sheetData>
    <row r="1" spans="1:62" ht="24" customHeight="1">
      <c r="A1" s="700" t="str">
        <f>"Schedules - "&amp;Prototype!A2</f>
        <v>Schedules - OfficeMedium</v>
      </c>
      <c r="B1" s="700"/>
      <c r="C1" s="700"/>
      <c r="D1" s="700"/>
      <c r="E1" s="700"/>
      <c r="F1" s="700"/>
      <c r="G1" s="700"/>
      <c r="H1" s="700"/>
      <c r="I1" s="700"/>
      <c r="J1" s="700"/>
      <c r="K1" s="700"/>
      <c r="L1" s="700"/>
      <c r="M1" s="700"/>
      <c r="N1" s="700"/>
      <c r="O1" s="700"/>
      <c r="P1" s="700"/>
      <c r="Q1" s="700"/>
      <c r="R1" s="700"/>
      <c r="S1" s="700"/>
      <c r="T1" s="700"/>
      <c r="U1" s="700"/>
      <c r="V1" s="700"/>
      <c r="W1" s="700"/>
      <c r="X1" s="700"/>
      <c r="Y1" s="700"/>
      <c r="Z1" s="700"/>
      <c r="AA1" s="700"/>
      <c r="AB1" s="700"/>
      <c r="AC1" s="857"/>
      <c r="AD1" s="84"/>
      <c r="AE1" s="84"/>
      <c r="AF1" s="84"/>
      <c r="AG1" s="84"/>
      <c r="AH1" s="84"/>
      <c r="AI1" s="85"/>
      <c r="AJ1" s="85"/>
      <c r="AK1" s="85"/>
    </row>
    <row r="2" spans="1:62" ht="24" customHeight="1">
      <c r="A2" s="855" t="s">
        <v>494</v>
      </c>
      <c r="B2" s="855" t="s">
        <v>115</v>
      </c>
      <c r="C2" s="855" t="s">
        <v>671</v>
      </c>
      <c r="D2" s="855" t="s">
        <v>252</v>
      </c>
      <c r="E2" s="856" t="s">
        <v>672</v>
      </c>
      <c r="F2" s="864" t="s">
        <v>509</v>
      </c>
      <c r="G2" s="865"/>
      <c r="H2" s="865"/>
      <c r="I2" s="865"/>
      <c r="J2" s="865"/>
      <c r="K2" s="865"/>
      <c r="L2" s="865"/>
      <c r="M2" s="865"/>
      <c r="N2" s="865"/>
      <c r="O2" s="865"/>
      <c r="P2" s="865"/>
      <c r="Q2" s="865"/>
      <c r="R2" s="865"/>
      <c r="S2" s="865"/>
      <c r="T2" s="865"/>
      <c r="U2" s="865"/>
      <c r="V2" s="865"/>
      <c r="W2" s="865"/>
      <c r="X2" s="865"/>
      <c r="Y2" s="865"/>
      <c r="Z2" s="865"/>
      <c r="AA2" s="865"/>
      <c r="AB2" s="865"/>
      <c r="AC2" s="866"/>
      <c r="AD2" s="84"/>
      <c r="AE2" s="84"/>
      <c r="AF2" s="84"/>
      <c r="AG2" s="84"/>
      <c r="AH2" s="84"/>
      <c r="AI2" s="85"/>
      <c r="AJ2" s="85"/>
      <c r="AK2" s="85"/>
    </row>
    <row r="3" spans="1:62" ht="25.2" customHeight="1" thickBot="1">
      <c r="A3" s="856"/>
      <c r="B3" s="856"/>
      <c r="C3" s="856"/>
      <c r="D3" s="856"/>
      <c r="E3" s="867"/>
      <c r="F3" s="523">
        <v>1</v>
      </c>
      <c r="G3" s="523">
        <v>2</v>
      </c>
      <c r="H3" s="523">
        <v>3</v>
      </c>
      <c r="I3" s="523">
        <v>4</v>
      </c>
      <c r="J3" s="523">
        <v>5</v>
      </c>
      <c r="K3" s="523">
        <v>6</v>
      </c>
      <c r="L3" s="523">
        <v>7</v>
      </c>
      <c r="M3" s="523">
        <v>8</v>
      </c>
      <c r="N3" s="523">
        <v>9</v>
      </c>
      <c r="O3" s="523">
        <v>10</v>
      </c>
      <c r="P3" s="523">
        <v>11</v>
      </c>
      <c r="Q3" s="523">
        <v>12</v>
      </c>
      <c r="R3" s="523">
        <v>13</v>
      </c>
      <c r="S3" s="523">
        <v>14</v>
      </c>
      <c r="T3" s="523">
        <v>15</v>
      </c>
      <c r="U3" s="523">
        <v>16</v>
      </c>
      <c r="V3" s="523">
        <v>17</v>
      </c>
      <c r="W3" s="523">
        <v>18</v>
      </c>
      <c r="X3" s="523">
        <v>19</v>
      </c>
      <c r="Y3" s="523">
        <v>20</v>
      </c>
      <c r="Z3" s="523">
        <v>21</v>
      </c>
      <c r="AA3" s="523">
        <v>22</v>
      </c>
      <c r="AB3" s="523">
        <v>23</v>
      </c>
      <c r="AC3" s="523">
        <v>24</v>
      </c>
      <c r="AD3" s="85"/>
      <c r="AE3" s="85"/>
      <c r="AF3" s="85"/>
      <c r="AG3" s="85"/>
      <c r="AH3" s="85"/>
      <c r="AI3" s="85"/>
      <c r="AJ3" s="85"/>
      <c r="AK3" s="85"/>
    </row>
    <row r="4" spans="1:62" ht="25.2" customHeight="1">
      <c r="A4" s="837" t="s">
        <v>870</v>
      </c>
      <c r="B4" s="842" t="s">
        <v>128</v>
      </c>
      <c r="C4" s="853" t="s">
        <v>673</v>
      </c>
      <c r="D4" s="858" t="s">
        <v>674</v>
      </c>
      <c r="E4" s="190" t="s">
        <v>675</v>
      </c>
      <c r="F4" s="191">
        <v>0</v>
      </c>
      <c r="G4" s="191">
        <v>0</v>
      </c>
      <c r="H4" s="191">
        <v>0</v>
      </c>
      <c r="I4" s="191">
        <v>0</v>
      </c>
      <c r="J4" s="191">
        <v>0</v>
      </c>
      <c r="K4" s="191">
        <v>0</v>
      </c>
      <c r="L4" s="191">
        <v>0.1</v>
      </c>
      <c r="M4" s="191">
        <v>0.2</v>
      </c>
      <c r="N4" s="191">
        <v>0.95</v>
      </c>
      <c r="O4" s="191">
        <v>0.95</v>
      </c>
      <c r="P4" s="191">
        <v>0.95</v>
      </c>
      <c r="Q4" s="191">
        <v>0.95</v>
      </c>
      <c r="R4" s="191">
        <v>0.5</v>
      </c>
      <c r="S4" s="191">
        <v>0.95</v>
      </c>
      <c r="T4" s="191">
        <v>0.95</v>
      </c>
      <c r="U4" s="191">
        <v>0.95</v>
      </c>
      <c r="V4" s="191">
        <v>0.95</v>
      </c>
      <c r="W4" s="191">
        <v>0.3</v>
      </c>
      <c r="X4" s="191">
        <v>0.1</v>
      </c>
      <c r="Y4" s="191">
        <v>0.1</v>
      </c>
      <c r="Z4" s="191">
        <v>0.1</v>
      </c>
      <c r="AA4" s="191">
        <v>0.1</v>
      </c>
      <c r="AB4" s="191">
        <v>0.05</v>
      </c>
      <c r="AC4" s="192">
        <v>0.05</v>
      </c>
      <c r="AD4" s="85"/>
      <c r="AE4" s="85"/>
      <c r="AF4" s="85"/>
      <c r="AG4" s="85"/>
      <c r="AH4" s="85"/>
      <c r="AI4" s="85"/>
      <c r="AJ4" s="85"/>
      <c r="AK4" s="85"/>
    </row>
    <row r="5" spans="1:62" ht="33" customHeight="1">
      <c r="A5" s="817"/>
      <c r="B5" s="809"/>
      <c r="C5" s="812"/>
      <c r="D5" s="859"/>
      <c r="E5" s="193" t="s">
        <v>504</v>
      </c>
      <c r="F5" s="194">
        <v>0</v>
      </c>
      <c r="G5" s="194">
        <v>0</v>
      </c>
      <c r="H5" s="194">
        <v>0</v>
      </c>
      <c r="I5" s="194">
        <v>0</v>
      </c>
      <c r="J5" s="194">
        <v>0</v>
      </c>
      <c r="K5" s="194">
        <v>0</v>
      </c>
      <c r="L5" s="335">
        <v>0.05</v>
      </c>
      <c r="M5" s="335">
        <v>0.05</v>
      </c>
      <c r="N5" s="335">
        <v>0.05</v>
      </c>
      <c r="O5" s="335">
        <v>0.05</v>
      </c>
      <c r="P5" s="335">
        <v>0.05</v>
      </c>
      <c r="Q5" s="335">
        <v>0.05</v>
      </c>
      <c r="R5" s="335">
        <v>0.05</v>
      </c>
      <c r="S5" s="335">
        <v>0.05</v>
      </c>
      <c r="T5" s="335">
        <v>0.05</v>
      </c>
      <c r="U5" s="335">
        <v>0.05</v>
      </c>
      <c r="V5" s="335">
        <v>0.05</v>
      </c>
      <c r="W5" s="335">
        <v>0.05</v>
      </c>
      <c r="X5" s="194">
        <v>0</v>
      </c>
      <c r="Y5" s="194">
        <v>0</v>
      </c>
      <c r="Z5" s="194">
        <v>0</v>
      </c>
      <c r="AA5" s="194">
        <v>0</v>
      </c>
      <c r="AB5" s="194">
        <v>0</v>
      </c>
      <c r="AC5" s="195">
        <v>0</v>
      </c>
      <c r="AD5" s="85"/>
      <c r="AE5" s="85"/>
      <c r="AF5" s="85"/>
      <c r="AG5" s="85"/>
      <c r="AH5" s="85"/>
      <c r="AI5" s="85"/>
      <c r="AJ5" s="85"/>
      <c r="AK5" s="85"/>
    </row>
    <row r="6" spans="1:62" ht="33" customHeight="1" thickBot="1">
      <c r="A6" s="818"/>
      <c r="B6" s="819"/>
      <c r="C6" s="854"/>
      <c r="D6" s="904"/>
      <c r="E6" s="196" t="s">
        <v>506</v>
      </c>
      <c r="F6" s="197">
        <v>0</v>
      </c>
      <c r="G6" s="197">
        <v>0</v>
      </c>
      <c r="H6" s="197">
        <v>0</v>
      </c>
      <c r="I6" s="197">
        <v>0</v>
      </c>
      <c r="J6" s="197">
        <v>0</v>
      </c>
      <c r="K6" s="197">
        <v>0</v>
      </c>
      <c r="L6" s="197">
        <v>0.05</v>
      </c>
      <c r="M6" s="197">
        <v>0.05</v>
      </c>
      <c r="N6" s="197">
        <v>0.05</v>
      </c>
      <c r="O6" s="197">
        <v>0.05</v>
      </c>
      <c r="P6" s="197">
        <v>0.05</v>
      </c>
      <c r="Q6" s="197">
        <v>0.05</v>
      </c>
      <c r="R6" s="197">
        <v>0.05</v>
      </c>
      <c r="S6" s="197">
        <v>0.05</v>
      </c>
      <c r="T6" s="197">
        <v>0.05</v>
      </c>
      <c r="U6" s="197">
        <v>0.05</v>
      </c>
      <c r="V6" s="197">
        <v>0.05</v>
      </c>
      <c r="W6" s="197">
        <v>0.05</v>
      </c>
      <c r="X6" s="197">
        <v>0</v>
      </c>
      <c r="Y6" s="197">
        <v>0</v>
      </c>
      <c r="Z6" s="197">
        <v>0</v>
      </c>
      <c r="AA6" s="197">
        <v>0</v>
      </c>
      <c r="AB6" s="197">
        <v>0</v>
      </c>
      <c r="AC6" s="198">
        <v>0</v>
      </c>
      <c r="AD6" s="85"/>
      <c r="AE6" s="85"/>
      <c r="AF6" s="85"/>
      <c r="AG6" s="85"/>
      <c r="AH6" s="85"/>
      <c r="AI6" s="85"/>
      <c r="AJ6" s="85"/>
      <c r="AK6" s="85"/>
    </row>
    <row r="7" spans="1:62" ht="38.4" customHeight="1">
      <c r="A7" s="837" t="str">
        <f>A4</f>
        <v xml:space="preserve">All zones except for IT Rooms, Stairway, and Mechanical_Electrical </v>
      </c>
      <c r="B7" s="842" t="s">
        <v>128</v>
      </c>
      <c r="C7" s="899" t="s">
        <v>676</v>
      </c>
      <c r="D7" s="858" t="s">
        <v>677</v>
      </c>
      <c r="E7" s="199" t="s">
        <v>675</v>
      </c>
      <c r="F7" s="191">
        <v>0.05</v>
      </c>
      <c r="G7" s="191">
        <v>0.05</v>
      </c>
      <c r="H7" s="191">
        <v>0.05</v>
      </c>
      <c r="I7" s="191">
        <v>0.05</v>
      </c>
      <c r="J7" s="191">
        <v>0.05</v>
      </c>
      <c r="K7" s="252">
        <v>0.1</v>
      </c>
      <c r="L7" s="252">
        <v>0.1</v>
      </c>
      <c r="M7" s="252">
        <v>0.3</v>
      </c>
      <c r="N7" s="252">
        <v>0.65</v>
      </c>
      <c r="O7" s="252">
        <v>0.65</v>
      </c>
      <c r="P7" s="252">
        <v>0.65</v>
      </c>
      <c r="Q7" s="252">
        <v>0.65</v>
      </c>
      <c r="R7" s="252">
        <v>0.65</v>
      </c>
      <c r="S7" s="252">
        <v>0.65</v>
      </c>
      <c r="T7" s="252">
        <v>0.65</v>
      </c>
      <c r="U7" s="252">
        <v>0.65</v>
      </c>
      <c r="V7" s="252">
        <v>0.65</v>
      </c>
      <c r="W7" s="252">
        <v>0.35</v>
      </c>
      <c r="X7" s="252">
        <v>0.3</v>
      </c>
      <c r="Y7" s="252">
        <v>0.3</v>
      </c>
      <c r="Z7" s="191">
        <v>0.2</v>
      </c>
      <c r="AA7" s="191">
        <v>0.2</v>
      </c>
      <c r="AB7" s="191">
        <v>0.1</v>
      </c>
      <c r="AC7" s="192">
        <v>0.05</v>
      </c>
      <c r="AD7" s="85"/>
      <c r="AE7" s="85"/>
      <c r="AF7" s="85"/>
      <c r="AG7" s="85"/>
      <c r="AH7" s="85"/>
      <c r="AI7" s="85"/>
      <c r="AJ7" s="85"/>
      <c r="AK7" s="85"/>
      <c r="AM7" s="110"/>
    </row>
    <row r="8" spans="1:62" ht="38.4" customHeight="1">
      <c r="A8" s="817"/>
      <c r="B8" s="809"/>
      <c r="C8" s="812"/>
      <c r="D8" s="859"/>
      <c r="E8" s="200" t="s">
        <v>504</v>
      </c>
      <c r="F8" s="194">
        <v>0.05</v>
      </c>
      <c r="G8" s="194">
        <v>0.05</v>
      </c>
      <c r="H8" s="194">
        <v>0.05</v>
      </c>
      <c r="I8" s="194">
        <v>0.05</v>
      </c>
      <c r="J8" s="194">
        <v>0.05</v>
      </c>
      <c r="K8" s="194">
        <v>0.05</v>
      </c>
      <c r="L8" s="615">
        <v>0.15</v>
      </c>
      <c r="M8" s="615">
        <v>0.15</v>
      </c>
      <c r="N8" s="615">
        <v>0.15</v>
      </c>
      <c r="O8" s="615">
        <v>0.15</v>
      </c>
      <c r="P8" s="615">
        <v>0.15</v>
      </c>
      <c r="Q8" s="615">
        <v>0.15</v>
      </c>
      <c r="R8" s="615">
        <v>0.15</v>
      </c>
      <c r="S8" s="615">
        <v>0.15</v>
      </c>
      <c r="T8" s="615">
        <v>0.15</v>
      </c>
      <c r="U8" s="615">
        <v>0.15</v>
      </c>
      <c r="V8" s="615">
        <v>0.15</v>
      </c>
      <c r="W8" s="615">
        <v>0.15</v>
      </c>
      <c r="X8" s="194">
        <v>0.05</v>
      </c>
      <c r="Y8" s="194">
        <v>0.05</v>
      </c>
      <c r="Z8" s="194">
        <v>0.05</v>
      </c>
      <c r="AA8" s="194">
        <v>0.05</v>
      </c>
      <c r="AB8" s="194">
        <v>0.05</v>
      </c>
      <c r="AC8" s="195">
        <v>0.05</v>
      </c>
      <c r="AD8" s="85"/>
      <c r="AE8" s="85"/>
      <c r="AF8" s="85"/>
      <c r="AG8" s="85"/>
      <c r="AH8" s="85"/>
      <c r="AI8" s="85"/>
      <c r="AJ8" s="85"/>
      <c r="AK8" s="85"/>
      <c r="AM8" s="110"/>
    </row>
    <row r="9" spans="1:62" ht="38.4" customHeight="1">
      <c r="A9" s="818"/>
      <c r="B9" s="819"/>
      <c r="C9" s="854"/>
      <c r="D9" s="860"/>
      <c r="E9" s="201" t="s">
        <v>506</v>
      </c>
      <c r="F9" s="202">
        <v>0.05</v>
      </c>
      <c r="G9" s="202">
        <v>0.05</v>
      </c>
      <c r="H9" s="202">
        <v>0.05</v>
      </c>
      <c r="I9" s="202">
        <v>0.05</v>
      </c>
      <c r="J9" s="202">
        <v>0.05</v>
      </c>
      <c r="K9" s="202">
        <v>0.05</v>
      </c>
      <c r="L9" s="615">
        <v>0.15</v>
      </c>
      <c r="M9" s="615">
        <v>0.15</v>
      </c>
      <c r="N9" s="615">
        <v>0.15</v>
      </c>
      <c r="O9" s="615">
        <v>0.15</v>
      </c>
      <c r="P9" s="615">
        <v>0.15</v>
      </c>
      <c r="Q9" s="615">
        <v>0.15</v>
      </c>
      <c r="R9" s="615">
        <v>0.15</v>
      </c>
      <c r="S9" s="615">
        <v>0.15</v>
      </c>
      <c r="T9" s="615">
        <v>0.15</v>
      </c>
      <c r="U9" s="615">
        <v>0.15</v>
      </c>
      <c r="V9" s="615">
        <v>0.15</v>
      </c>
      <c r="W9" s="615">
        <v>0.15</v>
      </c>
      <c r="X9" s="202">
        <v>0.05</v>
      </c>
      <c r="Y9" s="202">
        <v>0.05</v>
      </c>
      <c r="Z9" s="202">
        <v>0.05</v>
      </c>
      <c r="AA9" s="202">
        <v>0.05</v>
      </c>
      <c r="AB9" s="202">
        <v>0.05</v>
      </c>
      <c r="AC9" s="203">
        <v>0.05</v>
      </c>
      <c r="AD9" s="85"/>
      <c r="AE9" s="85"/>
      <c r="AF9" s="85"/>
      <c r="AG9" s="85"/>
      <c r="AH9" s="85"/>
      <c r="AI9" s="85"/>
      <c r="AJ9" s="85"/>
      <c r="AK9" s="85"/>
      <c r="AM9" s="110"/>
    </row>
    <row r="10" spans="1:62" ht="36" customHeight="1">
      <c r="A10" s="837" t="str">
        <f>A7</f>
        <v xml:space="preserve">All zones except for IT Rooms, Stairway, and Mechanical_Electrical </v>
      </c>
      <c r="B10" s="842" t="s">
        <v>128</v>
      </c>
      <c r="C10" s="899" t="s">
        <v>678</v>
      </c>
      <c r="D10" s="861" t="s">
        <v>679</v>
      </c>
      <c r="E10" s="199" t="s">
        <v>675</v>
      </c>
      <c r="F10" s="157">
        <v>0.45</v>
      </c>
      <c r="G10" s="157">
        <v>0.45</v>
      </c>
      <c r="H10" s="157">
        <v>0.45</v>
      </c>
      <c r="I10" s="157">
        <v>0.45</v>
      </c>
      <c r="J10" s="157">
        <v>0.45</v>
      </c>
      <c r="K10" s="157">
        <v>0.45</v>
      </c>
      <c r="L10" s="157">
        <v>0.45</v>
      </c>
      <c r="M10" s="157">
        <v>0.74</v>
      </c>
      <c r="N10" s="157">
        <v>0.87</v>
      </c>
      <c r="O10" s="157">
        <v>0.9</v>
      </c>
      <c r="P10" s="157">
        <v>0.9</v>
      </c>
      <c r="Q10" s="157">
        <v>0.9</v>
      </c>
      <c r="R10" s="157">
        <v>0.9</v>
      </c>
      <c r="S10" s="157">
        <v>0.9</v>
      </c>
      <c r="T10" s="157">
        <v>0.9</v>
      </c>
      <c r="U10" s="157">
        <v>0.9</v>
      </c>
      <c r="V10" s="157">
        <v>0.9</v>
      </c>
      <c r="W10" s="157">
        <v>0.7</v>
      </c>
      <c r="X10" s="157">
        <v>0.5</v>
      </c>
      <c r="Y10" s="157">
        <v>0.5</v>
      </c>
      <c r="Z10" s="157">
        <v>0.5</v>
      </c>
      <c r="AA10" s="157">
        <v>0.45</v>
      </c>
      <c r="AB10" s="157">
        <v>0.45</v>
      </c>
      <c r="AC10" s="158">
        <v>0.45</v>
      </c>
      <c r="AD10" s="86"/>
      <c r="AE10" s="85"/>
      <c r="AF10" s="85"/>
      <c r="AG10" s="85"/>
      <c r="AH10" s="85"/>
      <c r="AI10" s="85"/>
      <c r="AJ10" s="85"/>
      <c r="AK10" s="85"/>
      <c r="AM10" s="110"/>
    </row>
    <row r="11" spans="1:62" ht="36" customHeight="1">
      <c r="A11" s="817"/>
      <c r="B11" s="809"/>
      <c r="C11" s="812"/>
      <c r="D11" s="862"/>
      <c r="E11" s="200" t="s">
        <v>504</v>
      </c>
      <c r="F11" s="204">
        <v>0.43</v>
      </c>
      <c r="G11" s="204">
        <v>0.43</v>
      </c>
      <c r="H11" s="204">
        <v>0.43</v>
      </c>
      <c r="I11" s="204">
        <v>0.43</v>
      </c>
      <c r="J11" s="204">
        <v>0.43</v>
      </c>
      <c r="K11" s="204">
        <v>0.43</v>
      </c>
      <c r="L11" s="204">
        <v>0.43</v>
      </c>
      <c r="M11" s="204">
        <v>0.43</v>
      </c>
      <c r="N11" s="204">
        <v>0.43</v>
      </c>
      <c r="O11" s="204">
        <v>0.43</v>
      </c>
      <c r="P11" s="204">
        <v>0.43</v>
      </c>
      <c r="Q11" s="204">
        <v>0.43</v>
      </c>
      <c r="R11" s="204">
        <v>0.43</v>
      </c>
      <c r="S11" s="204">
        <v>0.43</v>
      </c>
      <c r="T11" s="204">
        <v>0.43</v>
      </c>
      <c r="U11" s="204">
        <v>0.43</v>
      </c>
      <c r="V11" s="204">
        <v>0.43</v>
      </c>
      <c r="W11" s="204">
        <v>0.43</v>
      </c>
      <c r="X11" s="204">
        <v>0.43</v>
      </c>
      <c r="Y11" s="204">
        <v>0.43</v>
      </c>
      <c r="Z11" s="204">
        <v>0.43</v>
      </c>
      <c r="AA11" s="204">
        <v>0.43</v>
      </c>
      <c r="AB11" s="204">
        <v>0.43</v>
      </c>
      <c r="AC11" s="205">
        <v>0.43</v>
      </c>
      <c r="AD11" s="86"/>
      <c r="AE11" s="85"/>
      <c r="AF11" s="85"/>
      <c r="AG11" s="85"/>
      <c r="AH11" s="85"/>
      <c r="AI11" s="85"/>
      <c r="AJ11" s="85"/>
      <c r="AK11" s="85"/>
      <c r="AM11" s="110"/>
    </row>
    <row r="12" spans="1:62" ht="36" customHeight="1" thickBot="1">
      <c r="A12" s="818"/>
      <c r="B12" s="819"/>
      <c r="C12" s="821"/>
      <c r="D12" s="863"/>
      <c r="E12" s="206" t="s">
        <v>506</v>
      </c>
      <c r="F12" s="159">
        <v>0.43</v>
      </c>
      <c r="G12" s="159">
        <v>0.43</v>
      </c>
      <c r="H12" s="159">
        <v>0.43</v>
      </c>
      <c r="I12" s="159">
        <v>0.43</v>
      </c>
      <c r="J12" s="159">
        <v>0.43</v>
      </c>
      <c r="K12" s="159">
        <v>0.43</v>
      </c>
      <c r="L12" s="159">
        <v>0.43</v>
      </c>
      <c r="M12" s="159">
        <v>0.43</v>
      </c>
      <c r="N12" s="159">
        <v>0.43</v>
      </c>
      <c r="O12" s="159">
        <v>0.43</v>
      </c>
      <c r="P12" s="159">
        <v>0.43</v>
      </c>
      <c r="Q12" s="159">
        <v>0.43</v>
      </c>
      <c r="R12" s="159">
        <v>0.43</v>
      </c>
      <c r="S12" s="159">
        <v>0.43</v>
      </c>
      <c r="T12" s="159">
        <v>0.43</v>
      </c>
      <c r="U12" s="159">
        <v>0.43</v>
      </c>
      <c r="V12" s="159">
        <v>0.43</v>
      </c>
      <c r="W12" s="159">
        <v>0.43</v>
      </c>
      <c r="X12" s="159">
        <v>0.43</v>
      </c>
      <c r="Y12" s="159">
        <v>0.43</v>
      </c>
      <c r="Z12" s="159">
        <v>0.43</v>
      </c>
      <c r="AA12" s="159">
        <v>0.43</v>
      </c>
      <c r="AB12" s="159">
        <v>0.43</v>
      </c>
      <c r="AC12" s="160">
        <v>0.43</v>
      </c>
      <c r="AD12" s="86"/>
      <c r="AE12" s="85"/>
      <c r="AF12" s="85"/>
      <c r="AG12" s="85"/>
      <c r="AH12" s="85"/>
      <c r="AI12" s="85"/>
      <c r="AJ12" s="85"/>
      <c r="AK12" s="85"/>
      <c r="AM12" s="110"/>
    </row>
    <row r="13" spans="1:62" ht="36" customHeight="1">
      <c r="A13" s="837" t="str">
        <f>A4</f>
        <v xml:space="preserve">All zones except for IT Rooms, Stairway, and Mechanical_Electrical </v>
      </c>
      <c r="B13" s="842" t="s">
        <v>128</v>
      </c>
      <c r="C13" s="820" t="s">
        <v>680</v>
      </c>
      <c r="D13" s="858" t="s">
        <v>681</v>
      </c>
      <c r="E13" s="207" t="s">
        <v>675</v>
      </c>
      <c r="F13" s="208">
        <v>0</v>
      </c>
      <c r="G13" s="208">
        <v>0</v>
      </c>
      <c r="H13" s="208">
        <v>0</v>
      </c>
      <c r="I13" s="208">
        <v>0</v>
      </c>
      <c r="J13" s="208">
        <v>0</v>
      </c>
      <c r="K13" s="208">
        <v>1</v>
      </c>
      <c r="L13" s="208">
        <v>1</v>
      </c>
      <c r="M13" s="208">
        <v>1</v>
      </c>
      <c r="N13" s="208">
        <v>1</v>
      </c>
      <c r="O13" s="208">
        <v>1</v>
      </c>
      <c r="P13" s="208">
        <v>1</v>
      </c>
      <c r="Q13" s="208">
        <v>1</v>
      </c>
      <c r="R13" s="208">
        <v>1</v>
      </c>
      <c r="S13" s="208">
        <v>1</v>
      </c>
      <c r="T13" s="208">
        <v>1</v>
      </c>
      <c r="U13" s="208">
        <v>1</v>
      </c>
      <c r="V13" s="208">
        <v>1</v>
      </c>
      <c r="W13" s="208">
        <v>1</v>
      </c>
      <c r="X13" s="208">
        <v>1</v>
      </c>
      <c r="Y13" s="208">
        <v>1</v>
      </c>
      <c r="Z13" s="208">
        <v>1</v>
      </c>
      <c r="AA13" s="208">
        <v>1</v>
      </c>
      <c r="AB13" s="208">
        <v>1</v>
      </c>
      <c r="AC13" s="209">
        <v>1</v>
      </c>
      <c r="AD13" s="86"/>
      <c r="AE13" s="85"/>
      <c r="AF13" s="85"/>
      <c r="AG13" s="85"/>
      <c r="AH13" s="85"/>
      <c r="AI13" s="85"/>
      <c r="AJ13" s="85"/>
      <c r="AK13" s="85"/>
      <c r="AM13" s="110"/>
    </row>
    <row r="14" spans="1:62" ht="36" customHeight="1">
      <c r="A14" s="817"/>
      <c r="B14" s="809"/>
      <c r="C14" s="812"/>
      <c r="D14" s="859"/>
      <c r="E14" s="200" t="s">
        <v>504</v>
      </c>
      <c r="F14" s="194">
        <v>0</v>
      </c>
      <c r="G14" s="194">
        <v>0</v>
      </c>
      <c r="H14" s="194">
        <v>0</v>
      </c>
      <c r="I14" s="194">
        <v>0</v>
      </c>
      <c r="J14" s="194">
        <v>0</v>
      </c>
      <c r="K14" s="386">
        <v>0</v>
      </c>
      <c r="L14" s="386">
        <v>0</v>
      </c>
      <c r="M14" s="386">
        <v>0</v>
      </c>
      <c r="N14" s="386">
        <v>0</v>
      </c>
      <c r="O14" s="386">
        <v>0</v>
      </c>
      <c r="P14" s="386">
        <v>0</v>
      </c>
      <c r="Q14" s="386">
        <v>0</v>
      </c>
      <c r="R14" s="386">
        <v>0</v>
      </c>
      <c r="S14" s="386">
        <v>0</v>
      </c>
      <c r="T14" s="386">
        <v>0</v>
      </c>
      <c r="U14" s="386">
        <v>0</v>
      </c>
      <c r="V14" s="386">
        <v>0</v>
      </c>
      <c r="W14" s="386">
        <v>0</v>
      </c>
      <c r="X14" s="386">
        <v>0</v>
      </c>
      <c r="Y14" s="194">
        <v>0</v>
      </c>
      <c r="Z14" s="194">
        <v>0</v>
      </c>
      <c r="AA14" s="194">
        <v>0</v>
      </c>
      <c r="AB14" s="194">
        <v>0</v>
      </c>
      <c r="AC14" s="195">
        <v>0</v>
      </c>
      <c r="AD14" s="86"/>
      <c r="AE14" s="85"/>
      <c r="AF14" s="85"/>
      <c r="AG14" s="85"/>
      <c r="AH14" s="85"/>
      <c r="AI14" s="85"/>
      <c r="AJ14" s="85"/>
      <c r="AK14" s="85"/>
      <c r="AM14" s="110"/>
    </row>
    <row r="15" spans="1:62" ht="36" customHeight="1">
      <c r="A15" s="818"/>
      <c r="B15" s="809"/>
      <c r="C15" s="854"/>
      <c r="D15" s="859"/>
      <c r="E15" s="201" t="s">
        <v>506</v>
      </c>
      <c r="F15" s="197">
        <v>0</v>
      </c>
      <c r="G15" s="197">
        <v>0</v>
      </c>
      <c r="H15" s="197">
        <v>0</v>
      </c>
      <c r="I15" s="197">
        <v>0</v>
      </c>
      <c r="J15" s="197">
        <v>0</v>
      </c>
      <c r="K15" s="197">
        <v>0</v>
      </c>
      <c r="L15" s="197">
        <v>0</v>
      </c>
      <c r="M15" s="197">
        <v>0</v>
      </c>
      <c r="N15" s="197">
        <v>0</v>
      </c>
      <c r="O15" s="197">
        <v>0</v>
      </c>
      <c r="P15" s="197">
        <v>0</v>
      </c>
      <c r="Q15" s="197">
        <v>0</v>
      </c>
      <c r="R15" s="197">
        <v>0</v>
      </c>
      <c r="S15" s="197">
        <v>0</v>
      </c>
      <c r="T15" s="197">
        <v>0</v>
      </c>
      <c r="U15" s="197">
        <v>0</v>
      </c>
      <c r="V15" s="197">
        <v>0</v>
      </c>
      <c r="W15" s="197">
        <v>0</v>
      </c>
      <c r="X15" s="197">
        <v>0</v>
      </c>
      <c r="Y15" s="197">
        <v>0</v>
      </c>
      <c r="Z15" s="197">
        <v>0</v>
      </c>
      <c r="AA15" s="197">
        <v>0</v>
      </c>
      <c r="AB15" s="197">
        <v>0</v>
      </c>
      <c r="AC15" s="198">
        <v>0</v>
      </c>
      <c r="AD15" s="86"/>
      <c r="AE15" s="85"/>
      <c r="AF15" s="85"/>
      <c r="AG15" s="85"/>
      <c r="AH15" s="85"/>
      <c r="AI15" s="85"/>
      <c r="AJ15" s="85"/>
      <c r="AK15" s="85"/>
      <c r="AM15" s="110"/>
    </row>
    <row r="16" spans="1:62" ht="36" customHeight="1">
      <c r="A16" s="805" t="str">
        <f>A4</f>
        <v xml:space="preserve">All zones except for IT Rooms, Stairway, and Mechanical_Electrical </v>
      </c>
      <c r="B16" s="808" t="s">
        <v>128</v>
      </c>
      <c r="C16" s="811" t="s">
        <v>682</v>
      </c>
      <c r="D16" s="814" t="s">
        <v>677</v>
      </c>
      <c r="E16" s="343" t="s">
        <v>675</v>
      </c>
      <c r="F16" s="344">
        <v>0.05</v>
      </c>
      <c r="G16" s="344">
        <v>0.05</v>
      </c>
      <c r="H16" s="344">
        <v>0.05</v>
      </c>
      <c r="I16" s="344">
        <v>0.05</v>
      </c>
      <c r="J16" s="344">
        <v>0.05</v>
      </c>
      <c r="K16" s="344">
        <v>0.08</v>
      </c>
      <c r="L16" s="344">
        <v>7.0000000000000007E-2</v>
      </c>
      <c r="M16" s="344">
        <v>0.19</v>
      </c>
      <c r="N16" s="344">
        <v>0.35</v>
      </c>
      <c r="O16" s="344">
        <v>0.38</v>
      </c>
      <c r="P16" s="344">
        <v>0.39</v>
      </c>
      <c r="Q16" s="344">
        <v>0.47</v>
      </c>
      <c r="R16" s="344">
        <v>0.56999999999999995</v>
      </c>
      <c r="S16" s="344">
        <v>0.54</v>
      </c>
      <c r="T16" s="344">
        <v>0.34</v>
      </c>
      <c r="U16" s="344">
        <v>0.33</v>
      </c>
      <c r="V16" s="344">
        <v>0.44</v>
      </c>
      <c r="W16" s="344">
        <v>0.26</v>
      </c>
      <c r="X16" s="344">
        <v>0.21</v>
      </c>
      <c r="Y16" s="344">
        <v>0.15</v>
      </c>
      <c r="Z16" s="344">
        <v>0.17</v>
      </c>
      <c r="AA16" s="344">
        <v>0.08</v>
      </c>
      <c r="AB16" s="344">
        <v>0.05</v>
      </c>
      <c r="AC16" s="345">
        <v>0.05</v>
      </c>
      <c r="AD16" s="86"/>
      <c r="AE16" s="85"/>
      <c r="AF16" s="85"/>
      <c r="AG16" s="85"/>
      <c r="AH16" s="85"/>
      <c r="AI16" s="85"/>
      <c r="AJ16" s="85"/>
      <c r="AK16" s="85"/>
      <c r="AM16" s="329"/>
      <c r="AN16" s="329"/>
      <c r="AO16" s="329"/>
      <c r="AP16" s="329"/>
      <c r="AQ16" s="329"/>
      <c r="AR16" s="329"/>
      <c r="AS16" s="329"/>
      <c r="AT16" s="329"/>
      <c r="AU16" s="329"/>
      <c r="AV16" s="329"/>
      <c r="AW16" s="329"/>
      <c r="AX16" s="329"/>
      <c r="AY16" s="329"/>
      <c r="AZ16" s="329"/>
      <c r="BA16" s="329"/>
      <c r="BB16" s="329"/>
      <c r="BC16" s="329"/>
      <c r="BD16" s="329"/>
      <c r="BE16" s="329"/>
      <c r="BF16" s="329"/>
      <c r="BG16" s="329"/>
      <c r="BH16" s="329"/>
      <c r="BI16" s="329"/>
      <c r="BJ16" s="329"/>
    </row>
    <row r="17" spans="1:62" ht="36" customHeight="1">
      <c r="A17" s="806"/>
      <c r="B17" s="809"/>
      <c r="C17" s="812"/>
      <c r="D17" s="803"/>
      <c r="E17" s="342" t="s">
        <v>504</v>
      </c>
      <c r="F17" s="616">
        <v>0.04</v>
      </c>
      <c r="G17" s="616">
        <v>0.04</v>
      </c>
      <c r="H17" s="616">
        <v>0.04</v>
      </c>
      <c r="I17" s="616">
        <v>0.04</v>
      </c>
      <c r="J17" s="616">
        <v>0.04</v>
      </c>
      <c r="K17" s="616">
        <v>7.0000000000000007E-2</v>
      </c>
      <c r="L17" s="616">
        <v>0.04</v>
      </c>
      <c r="M17" s="616">
        <v>0.04</v>
      </c>
      <c r="N17" s="616">
        <v>0.04</v>
      </c>
      <c r="O17" s="616">
        <v>0.04</v>
      </c>
      <c r="P17" s="616">
        <v>0.04</v>
      </c>
      <c r="Q17" s="616">
        <v>0.06</v>
      </c>
      <c r="R17" s="616">
        <v>0.06</v>
      </c>
      <c r="S17" s="616">
        <v>0.09</v>
      </c>
      <c r="T17" s="616">
        <v>0.06</v>
      </c>
      <c r="U17" s="616">
        <v>0.04</v>
      </c>
      <c r="V17" s="616">
        <v>0.04</v>
      </c>
      <c r="W17" s="616">
        <v>0.04</v>
      </c>
      <c r="X17" s="616">
        <v>0.04</v>
      </c>
      <c r="Y17" s="616">
        <v>0.04</v>
      </c>
      <c r="Z17" s="616">
        <v>0.04</v>
      </c>
      <c r="AA17" s="616">
        <v>7.0000000000000007E-2</v>
      </c>
      <c r="AB17" s="616">
        <v>0.04</v>
      </c>
      <c r="AC17" s="617">
        <v>0.04</v>
      </c>
      <c r="AD17" s="86"/>
      <c r="AE17" s="85"/>
      <c r="AF17" s="85"/>
      <c r="AG17" s="85"/>
      <c r="AH17" s="85"/>
      <c r="AI17" s="85"/>
      <c r="AJ17" s="85"/>
      <c r="AK17" s="85"/>
      <c r="AM17" s="329"/>
      <c r="AN17" s="329"/>
      <c r="AO17" s="329"/>
      <c r="AP17" s="329"/>
      <c r="AQ17" s="329"/>
      <c r="AR17" s="329"/>
      <c r="AS17" s="329"/>
      <c r="AT17" s="329"/>
      <c r="AU17" s="329"/>
      <c r="AV17" s="329"/>
      <c r="AW17" s="329"/>
      <c r="AX17" s="329"/>
      <c r="AY17" s="329"/>
      <c r="AZ17" s="329"/>
      <c r="BA17" s="329"/>
      <c r="BB17" s="329"/>
      <c r="BC17" s="329"/>
      <c r="BD17" s="329"/>
      <c r="BE17" s="329"/>
      <c r="BF17" s="329"/>
      <c r="BG17" s="329"/>
      <c r="BH17" s="329"/>
      <c r="BI17" s="329"/>
      <c r="BJ17" s="329"/>
    </row>
    <row r="18" spans="1:62" ht="36" customHeight="1">
      <c r="A18" s="807"/>
      <c r="B18" s="810"/>
      <c r="C18" s="813"/>
      <c r="D18" s="815"/>
      <c r="E18" s="346" t="s">
        <v>506</v>
      </c>
      <c r="F18" s="347">
        <v>0.04</v>
      </c>
      <c r="G18" s="347">
        <v>0.04</v>
      </c>
      <c r="H18" s="347">
        <v>0.04</v>
      </c>
      <c r="I18" s="347">
        <v>0.04</v>
      </c>
      <c r="J18" s="347">
        <v>0.04</v>
      </c>
      <c r="K18" s="347">
        <v>7.0000000000000007E-2</v>
      </c>
      <c r="L18" s="347">
        <v>0.04</v>
      </c>
      <c r="M18" s="347">
        <v>0.04</v>
      </c>
      <c r="N18" s="347">
        <v>0.04</v>
      </c>
      <c r="O18" s="347">
        <v>0.04</v>
      </c>
      <c r="P18" s="347">
        <v>0.04</v>
      </c>
      <c r="Q18" s="347">
        <v>0.06</v>
      </c>
      <c r="R18" s="347">
        <v>0.06</v>
      </c>
      <c r="S18" s="347">
        <v>0.09</v>
      </c>
      <c r="T18" s="347">
        <v>0.06</v>
      </c>
      <c r="U18" s="347">
        <v>0.04</v>
      </c>
      <c r="V18" s="347">
        <v>0.04</v>
      </c>
      <c r="W18" s="347">
        <v>0.04</v>
      </c>
      <c r="X18" s="347">
        <v>0.04</v>
      </c>
      <c r="Y18" s="347">
        <v>0.04</v>
      </c>
      <c r="Z18" s="347">
        <v>0.04</v>
      </c>
      <c r="AA18" s="347">
        <v>7.0000000000000007E-2</v>
      </c>
      <c r="AB18" s="347">
        <v>0.04</v>
      </c>
      <c r="AC18" s="348">
        <v>0.04</v>
      </c>
      <c r="AD18" s="86"/>
      <c r="AE18" s="85"/>
      <c r="AF18" s="85"/>
      <c r="AG18" s="85"/>
      <c r="AH18" s="85"/>
      <c r="AI18" s="85"/>
      <c r="AJ18" s="85"/>
      <c r="AK18" s="85"/>
      <c r="AM18" s="329"/>
      <c r="AN18" s="329"/>
      <c r="AO18" s="329"/>
      <c r="AP18" s="329"/>
      <c r="AQ18" s="329"/>
      <c r="AR18" s="329"/>
      <c r="AS18" s="329"/>
      <c r="AT18" s="329"/>
      <c r="AU18" s="329"/>
      <c r="AV18" s="329"/>
      <c r="AW18" s="329"/>
      <c r="AX18" s="329"/>
      <c r="AY18" s="329"/>
      <c r="AZ18" s="329"/>
      <c r="BA18" s="329"/>
      <c r="BB18" s="329"/>
      <c r="BC18" s="329"/>
      <c r="BD18" s="329"/>
      <c r="BE18" s="329"/>
      <c r="BF18" s="329"/>
      <c r="BG18" s="329"/>
      <c r="BH18" s="329"/>
      <c r="BI18" s="329"/>
      <c r="BJ18" s="329"/>
    </row>
    <row r="19" spans="1:62" ht="36" customHeight="1">
      <c r="A19" s="816" t="str">
        <f>A4</f>
        <v xml:space="preserve">All zones except for IT Rooms, Stairway, and Mechanical_Electrical </v>
      </c>
      <c r="B19" s="809" t="s">
        <v>128</v>
      </c>
      <c r="C19" s="820" t="s">
        <v>249</v>
      </c>
      <c r="D19" s="822" t="s">
        <v>683</v>
      </c>
      <c r="E19" s="207" t="s">
        <v>675</v>
      </c>
      <c r="F19" s="208">
        <v>1</v>
      </c>
      <c r="G19" s="208">
        <v>1</v>
      </c>
      <c r="H19" s="208">
        <v>1</v>
      </c>
      <c r="I19" s="208">
        <v>1</v>
      </c>
      <c r="J19" s="208">
        <v>1</v>
      </c>
      <c r="K19" s="208">
        <v>0.25</v>
      </c>
      <c r="L19" s="208">
        <v>0.25</v>
      </c>
      <c r="M19" s="208">
        <v>0.25</v>
      </c>
      <c r="N19" s="208">
        <v>0.25</v>
      </c>
      <c r="O19" s="208">
        <v>0.25</v>
      </c>
      <c r="P19" s="208">
        <v>0.25</v>
      </c>
      <c r="Q19" s="208">
        <v>0.25</v>
      </c>
      <c r="R19" s="208">
        <v>0.25</v>
      </c>
      <c r="S19" s="208">
        <v>0.25</v>
      </c>
      <c r="T19" s="208">
        <v>0.25</v>
      </c>
      <c r="U19" s="208">
        <v>0.25</v>
      </c>
      <c r="V19" s="208">
        <v>0.25</v>
      </c>
      <c r="W19" s="208">
        <v>0.25</v>
      </c>
      <c r="X19" s="208">
        <v>0.25</v>
      </c>
      <c r="Y19" s="208">
        <v>0.25</v>
      </c>
      <c r="Z19" s="208">
        <v>0.25</v>
      </c>
      <c r="AA19" s="208">
        <v>0.25</v>
      </c>
      <c r="AB19" s="208">
        <v>0.25</v>
      </c>
      <c r="AC19" s="209">
        <v>0.25</v>
      </c>
      <c r="AD19" s="86"/>
      <c r="AE19" s="85"/>
      <c r="AF19" s="85"/>
      <c r="AG19" s="85"/>
      <c r="AH19" s="85"/>
      <c r="AI19" s="85"/>
      <c r="AJ19" s="85"/>
      <c r="AK19" s="85"/>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row>
    <row r="20" spans="1:62" ht="36" customHeight="1">
      <c r="A20" s="817"/>
      <c r="B20" s="809"/>
      <c r="C20" s="812"/>
      <c r="D20" s="803"/>
      <c r="E20" s="200" t="s">
        <v>504</v>
      </c>
      <c r="F20" s="194">
        <v>1</v>
      </c>
      <c r="G20" s="194">
        <v>1</v>
      </c>
      <c r="H20" s="194">
        <v>1</v>
      </c>
      <c r="I20" s="194">
        <v>1</v>
      </c>
      <c r="J20" s="194">
        <v>1</v>
      </c>
      <c r="K20" s="336">
        <v>1</v>
      </c>
      <c r="L20" s="336">
        <v>1</v>
      </c>
      <c r="M20" s="336">
        <v>1</v>
      </c>
      <c r="N20" s="336">
        <v>1</v>
      </c>
      <c r="O20" s="336">
        <v>1</v>
      </c>
      <c r="P20" s="336">
        <v>1</v>
      </c>
      <c r="Q20" s="336">
        <v>1</v>
      </c>
      <c r="R20" s="336">
        <v>1</v>
      </c>
      <c r="S20" s="336">
        <v>1</v>
      </c>
      <c r="T20" s="336">
        <v>1</v>
      </c>
      <c r="U20" s="336">
        <v>1</v>
      </c>
      <c r="V20" s="336">
        <v>1</v>
      </c>
      <c r="W20" s="336">
        <v>1</v>
      </c>
      <c r="X20" s="336">
        <v>1</v>
      </c>
      <c r="Y20" s="194">
        <v>1</v>
      </c>
      <c r="Z20" s="194">
        <v>1</v>
      </c>
      <c r="AA20" s="194">
        <v>1</v>
      </c>
      <c r="AB20" s="194">
        <v>1</v>
      </c>
      <c r="AC20" s="195">
        <v>1</v>
      </c>
      <c r="AD20" s="86"/>
      <c r="AE20" s="85"/>
      <c r="AF20" s="85"/>
      <c r="AG20" s="85"/>
      <c r="AH20" s="85"/>
      <c r="AI20" s="85"/>
      <c r="AJ20" s="85"/>
      <c r="AK20" s="85"/>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row>
    <row r="21" spans="1:62" ht="36" customHeight="1" thickBot="1">
      <c r="A21" s="818"/>
      <c r="B21" s="819"/>
      <c r="C21" s="854"/>
      <c r="D21" s="804"/>
      <c r="E21" s="201" t="s">
        <v>506</v>
      </c>
      <c r="F21" s="197">
        <v>1</v>
      </c>
      <c r="G21" s="197">
        <v>1</v>
      </c>
      <c r="H21" s="197">
        <v>1</v>
      </c>
      <c r="I21" s="197">
        <v>1</v>
      </c>
      <c r="J21" s="197">
        <v>1</v>
      </c>
      <c r="K21" s="197">
        <v>1</v>
      </c>
      <c r="L21" s="197">
        <v>1</v>
      </c>
      <c r="M21" s="197">
        <v>1</v>
      </c>
      <c r="N21" s="197">
        <v>1</v>
      </c>
      <c r="O21" s="197">
        <v>1</v>
      </c>
      <c r="P21" s="197">
        <v>1</v>
      </c>
      <c r="Q21" s="197">
        <v>1</v>
      </c>
      <c r="R21" s="197">
        <v>1</v>
      </c>
      <c r="S21" s="197">
        <v>1</v>
      </c>
      <c r="T21" s="197">
        <v>1</v>
      </c>
      <c r="U21" s="197">
        <v>1</v>
      </c>
      <c r="V21" s="197">
        <v>1</v>
      </c>
      <c r="W21" s="197">
        <v>1</v>
      </c>
      <c r="X21" s="197">
        <v>1</v>
      </c>
      <c r="Y21" s="197">
        <v>1</v>
      </c>
      <c r="Z21" s="197">
        <v>1</v>
      </c>
      <c r="AA21" s="197">
        <v>1</v>
      </c>
      <c r="AB21" s="197">
        <v>1</v>
      </c>
      <c r="AC21" s="198">
        <v>1</v>
      </c>
      <c r="AD21" s="86"/>
      <c r="AE21" s="85"/>
      <c r="AF21" s="85"/>
      <c r="AG21" s="85"/>
      <c r="AH21" s="85"/>
      <c r="AI21" s="85"/>
      <c r="AJ21" s="85"/>
      <c r="AK21" s="85"/>
      <c r="AM21" s="110"/>
      <c r="AN21" s="110"/>
      <c r="AO21" s="110"/>
      <c r="AP21" s="110"/>
      <c r="AQ21" s="110"/>
      <c r="AR21" s="110"/>
      <c r="AS21" s="110"/>
      <c r="AT21" s="110"/>
      <c r="AU21" s="110"/>
      <c r="AV21" s="110"/>
      <c r="AW21" s="110"/>
      <c r="AX21" s="110"/>
      <c r="AY21" s="110"/>
      <c r="AZ21" s="110"/>
      <c r="BA21" s="110"/>
      <c r="BB21" s="110"/>
      <c r="BC21" s="110"/>
      <c r="BD21" s="110"/>
      <c r="BE21" s="110"/>
      <c r="BF21" s="110"/>
      <c r="BG21" s="110"/>
      <c r="BH21" s="110"/>
      <c r="BI21" s="110"/>
      <c r="BJ21" s="110"/>
    </row>
    <row r="22" spans="1:62" ht="36" customHeight="1">
      <c r="A22" s="837" t="str">
        <f t="shared" ref="A22" si="0">A7</f>
        <v xml:space="preserve">All zones except for IT Rooms, Stairway, and Mechanical_Electrical </v>
      </c>
      <c r="B22" s="842" t="s">
        <v>128</v>
      </c>
      <c r="C22" s="844" t="s">
        <v>684</v>
      </c>
      <c r="D22" s="838"/>
      <c r="E22" s="216" t="s">
        <v>675</v>
      </c>
      <c r="F22" s="217">
        <f>IF((F13=1),Thermostat!$C$3,Thermostat!$C$4)</f>
        <v>60</v>
      </c>
      <c r="G22" s="217">
        <f>IF((G13=1),Thermostat!$C$3,Thermostat!$C$4)</f>
        <v>60</v>
      </c>
      <c r="H22" s="217">
        <f>IF((H13=1),Thermostat!$C$3,Thermostat!$C$4)</f>
        <v>60</v>
      </c>
      <c r="I22" s="217">
        <f>IF((I13=1),Thermostat!$C$3,Thermostat!$C$4)</f>
        <v>60</v>
      </c>
      <c r="J22" s="217">
        <f>IF((J13=1),Thermostat!$C$3,Thermostat!$C$4)</f>
        <v>60</v>
      </c>
      <c r="K22" s="217">
        <f>IF((K13=1),Thermostat!$C$3,Thermostat!$C$4)</f>
        <v>70</v>
      </c>
      <c r="L22" s="217">
        <f>IF((L13=1),Thermostat!$C$3,Thermostat!$C$4)</f>
        <v>70</v>
      </c>
      <c r="M22" s="217">
        <f>IF((M13=1),Thermostat!$C$3,Thermostat!$C$4)</f>
        <v>70</v>
      </c>
      <c r="N22" s="217">
        <f>IF((N13=1),Thermostat!$C$3,Thermostat!$C$4)</f>
        <v>70</v>
      </c>
      <c r="O22" s="217">
        <f>IF((O13=1),Thermostat!$C$3,Thermostat!$C$4)</f>
        <v>70</v>
      </c>
      <c r="P22" s="217">
        <f>IF((P13=1),Thermostat!$C$3,Thermostat!$C$4)</f>
        <v>70</v>
      </c>
      <c r="Q22" s="217">
        <f>IF((Q13=1),Thermostat!$C$3,Thermostat!$C$4)</f>
        <v>70</v>
      </c>
      <c r="R22" s="217">
        <f>IF((R13=1),Thermostat!$C$3,Thermostat!$C$4)</f>
        <v>70</v>
      </c>
      <c r="S22" s="217">
        <f>IF((S13=1),Thermostat!$C$3,Thermostat!$C$4)</f>
        <v>70</v>
      </c>
      <c r="T22" s="217">
        <f>IF((T13=1),Thermostat!$C$3,Thermostat!$C$4)</f>
        <v>70</v>
      </c>
      <c r="U22" s="217">
        <f>IF((U13=1),Thermostat!$C$3,Thermostat!$C$4)</f>
        <v>70</v>
      </c>
      <c r="V22" s="217">
        <f>IF((V13=1),Thermostat!$C$3,Thermostat!$C$4)</f>
        <v>70</v>
      </c>
      <c r="W22" s="217">
        <f>IF((W13=1),Thermostat!$C$3,Thermostat!$C$4)</f>
        <v>70</v>
      </c>
      <c r="X22" s="217">
        <f>IF((X13=1),Thermostat!$C$3,Thermostat!$C$4)</f>
        <v>70</v>
      </c>
      <c r="Y22" s="217">
        <f>IF((Y13=1),Thermostat!$C$3,Thermostat!$C$4)</f>
        <v>70</v>
      </c>
      <c r="Z22" s="217">
        <f>IF((Z13=1),Thermostat!$C$3,Thermostat!$C$4)</f>
        <v>70</v>
      </c>
      <c r="AA22" s="217">
        <f>IF((AA13=1),Thermostat!$C$3,Thermostat!$C$4)</f>
        <v>70</v>
      </c>
      <c r="AB22" s="217">
        <f>IF((AB13=1),Thermostat!$C$3,Thermostat!$C$4)</f>
        <v>70</v>
      </c>
      <c r="AC22" s="218">
        <f>IF((AC13=1),Thermostat!$C$3,Thermostat!$C$4)</f>
        <v>70</v>
      </c>
      <c r="AD22" s="86"/>
      <c r="AE22" s="85"/>
      <c r="AF22" s="85"/>
      <c r="AG22" s="85"/>
      <c r="AH22" s="85"/>
      <c r="AI22" s="85"/>
      <c r="AJ22" s="85"/>
      <c r="AK22" s="85"/>
      <c r="AM22" s="110"/>
    </row>
    <row r="23" spans="1:62" ht="36" customHeight="1">
      <c r="A23" s="817"/>
      <c r="B23" s="809"/>
      <c r="C23" s="845"/>
      <c r="D23" s="839"/>
      <c r="E23" s="219" t="s">
        <v>504</v>
      </c>
      <c r="F23" s="220">
        <f>IF((F14=1),Thermostat!$C$3,Thermostat!$C$4)</f>
        <v>60</v>
      </c>
      <c r="G23" s="220">
        <f>IF((G14=1),Thermostat!$C$3,Thermostat!$C$4)</f>
        <v>60</v>
      </c>
      <c r="H23" s="220">
        <f>IF((H14=1),Thermostat!$C$3,Thermostat!$C$4)</f>
        <v>60</v>
      </c>
      <c r="I23" s="220">
        <f>IF((I14=1),Thermostat!$C$3,Thermostat!$C$4)</f>
        <v>60</v>
      </c>
      <c r="J23" s="220">
        <f>IF((J14=1),Thermostat!$C$3,Thermostat!$C$4)</f>
        <v>60</v>
      </c>
      <c r="K23" s="220">
        <f>IF((K14=1),Thermostat!$C$3,Thermostat!$C$4)</f>
        <v>60</v>
      </c>
      <c r="L23" s="220">
        <f>IF((L14=1),Thermostat!$C$3,Thermostat!$C$4)</f>
        <v>60</v>
      </c>
      <c r="M23" s="220">
        <f>IF((M14=1),Thermostat!$C$3,Thermostat!$C$4)</f>
        <v>60</v>
      </c>
      <c r="N23" s="220">
        <f>IF((N14=1),Thermostat!$C$3,Thermostat!$C$4)</f>
        <v>60</v>
      </c>
      <c r="O23" s="220">
        <f>IF((O14=1),Thermostat!$C$3,Thermostat!$C$4)</f>
        <v>60</v>
      </c>
      <c r="P23" s="220">
        <f>IF((P14=1),Thermostat!$C$3,Thermostat!$C$4)</f>
        <v>60</v>
      </c>
      <c r="Q23" s="220">
        <f>IF((Q14=1),Thermostat!$C$3,Thermostat!$C$4)</f>
        <v>60</v>
      </c>
      <c r="R23" s="220">
        <f>IF((R14=1),Thermostat!$C$3,Thermostat!$C$4)</f>
        <v>60</v>
      </c>
      <c r="S23" s="220">
        <f>IF((S14=1),Thermostat!$C$3,Thermostat!$C$4)</f>
        <v>60</v>
      </c>
      <c r="T23" s="220">
        <f>IF((T14=1),Thermostat!$C$3,Thermostat!$C$4)</f>
        <v>60</v>
      </c>
      <c r="U23" s="220">
        <f>IF((U14=1),Thermostat!$C$3,Thermostat!$C$4)</f>
        <v>60</v>
      </c>
      <c r="V23" s="220">
        <f>IF((V14=1),Thermostat!$C$3,Thermostat!$C$4)</f>
        <v>60</v>
      </c>
      <c r="W23" s="220">
        <f>IF((W14=1),Thermostat!$C$3,Thermostat!$C$4)</f>
        <v>60</v>
      </c>
      <c r="X23" s="220">
        <f>IF((X14=1),Thermostat!$C$3,Thermostat!$C$4)</f>
        <v>60</v>
      </c>
      <c r="Y23" s="220">
        <f>IF((Y14=1),Thermostat!$C$3,Thermostat!$C$4)</f>
        <v>60</v>
      </c>
      <c r="Z23" s="220">
        <f>IF((Z14=1),Thermostat!$C$3,Thermostat!$C$4)</f>
        <v>60</v>
      </c>
      <c r="AA23" s="220">
        <f>IF((AA14=1),Thermostat!$C$3,Thermostat!$C$4)</f>
        <v>60</v>
      </c>
      <c r="AB23" s="220">
        <f>IF((AB14=1),Thermostat!$C$3,Thermostat!$C$4)</f>
        <v>60</v>
      </c>
      <c r="AC23" s="221">
        <f>IF((AC14=1),Thermostat!$C$3,Thermostat!$C$4)</f>
        <v>60</v>
      </c>
      <c r="AD23" s="86"/>
      <c r="AE23" s="85"/>
      <c r="AF23" s="85"/>
      <c r="AG23" s="85"/>
      <c r="AH23" s="85"/>
      <c r="AI23" s="85"/>
      <c r="AJ23" s="85"/>
      <c r="AK23" s="85"/>
      <c r="AM23" s="110"/>
    </row>
    <row r="24" spans="1:62" ht="36" customHeight="1" thickBot="1">
      <c r="A24" s="818"/>
      <c r="B24" s="819"/>
      <c r="C24" s="846"/>
      <c r="D24" s="840"/>
      <c r="E24" s="222" t="s">
        <v>506</v>
      </c>
      <c r="F24" s="223">
        <f>IF((F15=1),Thermostat!$C$3,Thermostat!$C$4)</f>
        <v>60</v>
      </c>
      <c r="G24" s="223">
        <f>IF((G15=1),Thermostat!$C$3,Thermostat!$C$4)</f>
        <v>60</v>
      </c>
      <c r="H24" s="223">
        <f>IF((H15=1),Thermostat!$C$3,Thermostat!$C$4)</f>
        <v>60</v>
      </c>
      <c r="I24" s="223">
        <f>IF((I15=1),Thermostat!$C$3,Thermostat!$C$4)</f>
        <v>60</v>
      </c>
      <c r="J24" s="223">
        <f>IF((J15=1),Thermostat!$C$3,Thermostat!$C$4)</f>
        <v>60</v>
      </c>
      <c r="K24" s="223">
        <f>IF((K15=1),Thermostat!$C$3,Thermostat!$C$4)</f>
        <v>60</v>
      </c>
      <c r="L24" s="223">
        <f>IF((L15=1),Thermostat!$C$3,Thermostat!$C$4)</f>
        <v>60</v>
      </c>
      <c r="M24" s="223">
        <f>IF((M15=1),Thermostat!$C$3,Thermostat!$C$4)</f>
        <v>60</v>
      </c>
      <c r="N24" s="223">
        <f>IF((N15=1),Thermostat!$C$3,Thermostat!$C$4)</f>
        <v>60</v>
      </c>
      <c r="O24" s="223">
        <f>IF((O15=1),Thermostat!$C$3,Thermostat!$C$4)</f>
        <v>60</v>
      </c>
      <c r="P24" s="223">
        <f>IF((P15=1),Thermostat!$C$3,Thermostat!$C$4)</f>
        <v>60</v>
      </c>
      <c r="Q24" s="223">
        <f>IF((Q15=1),Thermostat!$C$3,Thermostat!$C$4)</f>
        <v>60</v>
      </c>
      <c r="R24" s="223">
        <f>IF((R15=1),Thermostat!$C$3,Thermostat!$C$4)</f>
        <v>60</v>
      </c>
      <c r="S24" s="223">
        <f>IF((S15=1),Thermostat!$C$3,Thermostat!$C$4)</f>
        <v>60</v>
      </c>
      <c r="T24" s="223">
        <f>IF((T15=1),Thermostat!$C$3,Thermostat!$C$4)</f>
        <v>60</v>
      </c>
      <c r="U24" s="223">
        <f>IF((U15=1),Thermostat!$C$3,Thermostat!$C$4)</f>
        <v>60</v>
      </c>
      <c r="V24" s="223">
        <f>IF((V15=1),Thermostat!$C$3,Thermostat!$C$4)</f>
        <v>60</v>
      </c>
      <c r="W24" s="223">
        <f>IF((W15=1),Thermostat!$C$3,Thermostat!$C$4)</f>
        <v>60</v>
      </c>
      <c r="X24" s="223">
        <f>IF((X15=1),Thermostat!$C$3,Thermostat!$C$4)</f>
        <v>60</v>
      </c>
      <c r="Y24" s="223">
        <f>IF((Y15=1),Thermostat!$C$3,Thermostat!$C$4)</f>
        <v>60</v>
      </c>
      <c r="Z24" s="223">
        <f>IF((Z15=1),Thermostat!$C$3,Thermostat!$C$4)</f>
        <v>60</v>
      </c>
      <c r="AA24" s="223">
        <f>IF((AA15=1),Thermostat!$C$3,Thermostat!$C$4)</f>
        <v>60</v>
      </c>
      <c r="AB24" s="223">
        <f>IF((AB15=1),Thermostat!$C$3,Thermostat!$C$4)</f>
        <v>60</v>
      </c>
      <c r="AC24" s="224">
        <f>IF((AC15=1),Thermostat!$C$3,Thermostat!$C$4)</f>
        <v>60</v>
      </c>
      <c r="AD24" s="86"/>
      <c r="AE24" s="85"/>
      <c r="AF24" s="85"/>
      <c r="AG24" s="85"/>
      <c r="AH24" s="85"/>
      <c r="AI24" s="85"/>
      <c r="AJ24" s="85"/>
      <c r="AK24" s="85"/>
      <c r="AM24" s="110"/>
    </row>
    <row r="25" spans="1:62" ht="36" customHeight="1">
      <c r="A25" s="837" t="str">
        <f t="shared" ref="A25" si="1">A10</f>
        <v xml:space="preserve">All zones except for IT Rooms, Stairway, and Mechanical_Electrical </v>
      </c>
      <c r="B25" s="842" t="s">
        <v>128</v>
      </c>
      <c r="C25" s="844" t="s">
        <v>685</v>
      </c>
      <c r="D25" s="847"/>
      <c r="E25" s="225" t="s">
        <v>675</v>
      </c>
      <c r="F25" s="226">
        <f>IF((F13=1),Thermostat!$C$5,Thermostat!$C$6)</f>
        <v>85</v>
      </c>
      <c r="G25" s="226">
        <f>IF((G13=1),Thermostat!$C$5,Thermostat!$C$6)</f>
        <v>85</v>
      </c>
      <c r="H25" s="226">
        <f>IF((H13=1),Thermostat!$C$5,Thermostat!$C$6)</f>
        <v>85</v>
      </c>
      <c r="I25" s="226">
        <f>IF((I13=1),Thermostat!$C$5,Thermostat!$C$6)</f>
        <v>85</v>
      </c>
      <c r="J25" s="226">
        <f>IF((J13=1),Thermostat!$C$5,Thermostat!$C$6)</f>
        <v>85</v>
      </c>
      <c r="K25" s="226">
        <f>IF((K13=1),Thermostat!$C$5,Thermostat!$C$6)</f>
        <v>75</v>
      </c>
      <c r="L25" s="226">
        <f>IF((L13=1),Thermostat!$C$5,Thermostat!$C$6)</f>
        <v>75</v>
      </c>
      <c r="M25" s="226">
        <f>IF((M13=1),Thermostat!$C$5,Thermostat!$C$6)</f>
        <v>75</v>
      </c>
      <c r="N25" s="226">
        <f>IF((N13=1),Thermostat!$C$5,Thermostat!$C$6)</f>
        <v>75</v>
      </c>
      <c r="O25" s="226">
        <f>IF((O13=1),Thermostat!$C$5,Thermostat!$C$6)</f>
        <v>75</v>
      </c>
      <c r="P25" s="226">
        <f>IF((P13=1),Thermostat!$C$5,Thermostat!$C$6)</f>
        <v>75</v>
      </c>
      <c r="Q25" s="226">
        <f>IF((Q13=1),Thermostat!$C$5,Thermostat!$C$6)</f>
        <v>75</v>
      </c>
      <c r="R25" s="226">
        <f>IF((R13=1),Thermostat!$C$5,Thermostat!$C$6)</f>
        <v>75</v>
      </c>
      <c r="S25" s="226">
        <f>IF((S13=1),Thermostat!$C$5,Thermostat!$C$6)</f>
        <v>75</v>
      </c>
      <c r="T25" s="226">
        <f>IF((T13=1),Thermostat!$C$5,Thermostat!$C$6)</f>
        <v>75</v>
      </c>
      <c r="U25" s="226">
        <f>IF((U13=1),Thermostat!$C$5,Thermostat!$C$6)</f>
        <v>75</v>
      </c>
      <c r="V25" s="226">
        <f>IF((V13=1),Thermostat!$C$5,Thermostat!$C$6)</f>
        <v>75</v>
      </c>
      <c r="W25" s="226">
        <f>IF((W13=1),Thermostat!$C$5,Thermostat!$C$6)</f>
        <v>75</v>
      </c>
      <c r="X25" s="226">
        <f>IF((X13=1),Thermostat!$C$5,Thermostat!$C$6)</f>
        <v>75</v>
      </c>
      <c r="Y25" s="226">
        <f>IF((Y13=1),Thermostat!$C$5,Thermostat!$C$6)</f>
        <v>75</v>
      </c>
      <c r="Z25" s="226">
        <f>IF((Z13=1),Thermostat!$C$5,Thermostat!$C$6)</f>
        <v>75</v>
      </c>
      <c r="AA25" s="226">
        <f>IF((AA13=1),Thermostat!$C$5,Thermostat!$C$6)</f>
        <v>75</v>
      </c>
      <c r="AB25" s="226">
        <f>IF((AB13=1),Thermostat!$C$5,Thermostat!$C$6)</f>
        <v>75</v>
      </c>
      <c r="AC25" s="227">
        <f>IF((AC13=1),Thermostat!$C$5,Thermostat!$C$6)</f>
        <v>75</v>
      </c>
      <c r="AD25" s="86"/>
      <c r="AE25" s="85"/>
      <c r="AF25" s="85"/>
      <c r="AG25" s="85"/>
      <c r="AH25" s="85"/>
      <c r="AI25" s="85"/>
      <c r="AJ25" s="85"/>
      <c r="AK25" s="85"/>
      <c r="AM25" s="110"/>
    </row>
    <row r="26" spans="1:62" ht="36" customHeight="1">
      <c r="A26" s="817"/>
      <c r="B26" s="809"/>
      <c r="C26" s="845"/>
      <c r="D26" s="848"/>
      <c r="E26" s="219" t="s">
        <v>504</v>
      </c>
      <c r="F26" s="220">
        <f>IF((F14=1),Thermostat!$C$5,Thermostat!$C$6)</f>
        <v>85</v>
      </c>
      <c r="G26" s="220">
        <f>IF((G14=1),Thermostat!$C$5,Thermostat!$C$6)</f>
        <v>85</v>
      </c>
      <c r="H26" s="220">
        <f>IF((H14=1),Thermostat!$C$5,Thermostat!$C$6)</f>
        <v>85</v>
      </c>
      <c r="I26" s="220">
        <f>IF((I14=1),Thermostat!$C$5,Thermostat!$C$6)</f>
        <v>85</v>
      </c>
      <c r="J26" s="220">
        <f>IF((J14=1),Thermostat!$C$5,Thermostat!$C$6)</f>
        <v>85</v>
      </c>
      <c r="K26" s="220">
        <f>IF((K14=1),Thermostat!$C$5,Thermostat!$C$6)</f>
        <v>85</v>
      </c>
      <c r="L26" s="220">
        <f>IF((L14=1),Thermostat!$C$5,Thermostat!$C$6)</f>
        <v>85</v>
      </c>
      <c r="M26" s="220">
        <f>IF((M14=1),Thermostat!$C$5,Thermostat!$C$6)</f>
        <v>85</v>
      </c>
      <c r="N26" s="220">
        <f>IF((N14=1),Thermostat!$C$5,Thermostat!$C$6)</f>
        <v>85</v>
      </c>
      <c r="O26" s="220">
        <f>IF((O14=1),Thermostat!$C$5,Thermostat!$C$6)</f>
        <v>85</v>
      </c>
      <c r="P26" s="220">
        <f>IF((P14=1),Thermostat!$C$5,Thermostat!$C$6)</f>
        <v>85</v>
      </c>
      <c r="Q26" s="220">
        <f>IF((Q14=1),Thermostat!$C$5,Thermostat!$C$6)</f>
        <v>85</v>
      </c>
      <c r="R26" s="220">
        <f>IF((R14=1),Thermostat!$C$5,Thermostat!$C$6)</f>
        <v>85</v>
      </c>
      <c r="S26" s="220">
        <f>IF((S14=1),Thermostat!$C$5,Thermostat!$C$6)</f>
        <v>85</v>
      </c>
      <c r="T26" s="220">
        <f>IF((T14=1),Thermostat!$C$5,Thermostat!$C$6)</f>
        <v>85</v>
      </c>
      <c r="U26" s="220">
        <f>IF((U14=1),Thermostat!$C$5,Thermostat!$C$6)</f>
        <v>85</v>
      </c>
      <c r="V26" s="220">
        <f>IF((V14=1),Thermostat!$C$5,Thermostat!$C$6)</f>
        <v>85</v>
      </c>
      <c r="W26" s="220">
        <f>IF((W14=1),Thermostat!$C$5,Thermostat!$C$6)</f>
        <v>85</v>
      </c>
      <c r="X26" s="220">
        <f>IF((X14=1),Thermostat!$C$5,Thermostat!$C$6)</f>
        <v>85</v>
      </c>
      <c r="Y26" s="220">
        <f>IF((Y14=1),Thermostat!$C$5,Thermostat!$C$6)</f>
        <v>85</v>
      </c>
      <c r="Z26" s="220">
        <f>IF((Z14=1),Thermostat!$C$5,Thermostat!$C$6)</f>
        <v>85</v>
      </c>
      <c r="AA26" s="220">
        <f>IF((AA14=1),Thermostat!$C$5,Thermostat!$C$6)</f>
        <v>85</v>
      </c>
      <c r="AB26" s="220">
        <f>IF((AB14=1),Thermostat!$C$5,Thermostat!$C$6)</f>
        <v>85</v>
      </c>
      <c r="AC26" s="221">
        <f>IF((AC14=1),Thermostat!$C$5,Thermostat!$C$6)</f>
        <v>85</v>
      </c>
      <c r="AD26" s="86"/>
      <c r="AE26" s="85"/>
      <c r="AF26" s="85"/>
      <c r="AG26" s="85"/>
      <c r="AH26" s="85"/>
      <c r="AI26" s="85"/>
      <c r="AJ26" s="85"/>
      <c r="AK26" s="85"/>
      <c r="AM26" s="110"/>
    </row>
    <row r="27" spans="1:62" ht="36" customHeight="1" thickBot="1">
      <c r="A27" s="841"/>
      <c r="B27" s="843"/>
      <c r="C27" s="846"/>
      <c r="D27" s="849"/>
      <c r="E27" s="222" t="s">
        <v>506</v>
      </c>
      <c r="F27" s="223">
        <f>IF((F15=1),Thermostat!$C$5,Thermostat!$C$6)</f>
        <v>85</v>
      </c>
      <c r="G27" s="223">
        <f>IF((G15=1),Thermostat!$C$5,Thermostat!$C$6)</f>
        <v>85</v>
      </c>
      <c r="H27" s="223">
        <f>IF((H15=1),Thermostat!$C$5,Thermostat!$C$6)</f>
        <v>85</v>
      </c>
      <c r="I27" s="223">
        <f>IF((I15=1),Thermostat!$C$5,Thermostat!$C$6)</f>
        <v>85</v>
      </c>
      <c r="J27" s="223">
        <f>IF((J15=1),Thermostat!$C$5,Thermostat!$C$6)</f>
        <v>85</v>
      </c>
      <c r="K27" s="223">
        <f>IF((K15=1),Thermostat!$C$5,Thermostat!$C$6)</f>
        <v>85</v>
      </c>
      <c r="L27" s="223">
        <f>IF((L15=1),Thermostat!$C$5,Thermostat!$C$6)</f>
        <v>85</v>
      </c>
      <c r="M27" s="223">
        <f>IF((M15=1),Thermostat!$C$5,Thermostat!$C$6)</f>
        <v>85</v>
      </c>
      <c r="N27" s="223">
        <f>IF((N15=1),Thermostat!$C$5,Thermostat!$C$6)</f>
        <v>85</v>
      </c>
      <c r="O27" s="223">
        <f>IF((O15=1),Thermostat!$C$5,Thermostat!$C$6)</f>
        <v>85</v>
      </c>
      <c r="P27" s="223">
        <f>IF((P15=1),Thermostat!$C$5,Thermostat!$C$6)</f>
        <v>85</v>
      </c>
      <c r="Q27" s="223">
        <f>IF((Q15=1),Thermostat!$C$5,Thermostat!$C$6)</f>
        <v>85</v>
      </c>
      <c r="R27" s="223">
        <f>IF((R15=1),Thermostat!$C$5,Thermostat!$C$6)</f>
        <v>85</v>
      </c>
      <c r="S27" s="223">
        <f>IF((S15=1),Thermostat!$C$5,Thermostat!$C$6)</f>
        <v>85</v>
      </c>
      <c r="T27" s="223">
        <f>IF((T15=1),Thermostat!$C$5,Thermostat!$C$6)</f>
        <v>85</v>
      </c>
      <c r="U27" s="223">
        <f>IF((U15=1),Thermostat!$C$5,Thermostat!$C$6)</f>
        <v>85</v>
      </c>
      <c r="V27" s="223">
        <f>IF((V15=1),Thermostat!$C$5,Thermostat!$C$6)</f>
        <v>85</v>
      </c>
      <c r="W27" s="223">
        <f>IF((W15=1),Thermostat!$C$5,Thermostat!$C$6)</f>
        <v>85</v>
      </c>
      <c r="X27" s="223">
        <f>IF((X15=1),Thermostat!$C$5,Thermostat!$C$6)</f>
        <v>85</v>
      </c>
      <c r="Y27" s="223">
        <f>IF((Y15=1),Thermostat!$C$5,Thermostat!$C$6)</f>
        <v>85</v>
      </c>
      <c r="Z27" s="223">
        <f>IF((Z15=1),Thermostat!$C$5,Thermostat!$C$6)</f>
        <v>85</v>
      </c>
      <c r="AA27" s="223">
        <f>IF((AA15=1),Thermostat!$C$5,Thermostat!$C$6)</f>
        <v>85</v>
      </c>
      <c r="AB27" s="223">
        <f>IF((AB15=1),Thermostat!$C$5,Thermostat!$C$6)</f>
        <v>85</v>
      </c>
      <c r="AC27" s="224">
        <f>IF((AC15=1),Thermostat!$C$5,Thermostat!$C$6)</f>
        <v>85</v>
      </c>
      <c r="AD27" s="86"/>
      <c r="AE27" s="85"/>
      <c r="AF27" s="85"/>
      <c r="AG27" s="85"/>
      <c r="AH27" s="85"/>
      <c r="AI27" s="85"/>
      <c r="AJ27" s="85"/>
      <c r="AK27" s="85"/>
      <c r="AM27" s="110"/>
    </row>
    <row r="28" spans="1:62" ht="36" customHeight="1" thickBot="1">
      <c r="A28" s="850" t="s">
        <v>155</v>
      </c>
      <c r="B28" s="851"/>
      <c r="C28" s="851"/>
      <c r="D28" s="851"/>
      <c r="E28" s="851"/>
      <c r="F28" s="851"/>
      <c r="G28" s="851"/>
      <c r="H28" s="851"/>
      <c r="I28" s="851"/>
      <c r="J28" s="851"/>
      <c r="K28" s="851"/>
      <c r="L28" s="851"/>
      <c r="M28" s="851"/>
      <c r="N28" s="851"/>
      <c r="O28" s="851"/>
      <c r="P28" s="851"/>
      <c r="Q28" s="851"/>
      <c r="R28" s="851"/>
      <c r="S28" s="851"/>
      <c r="T28" s="851"/>
      <c r="U28" s="851"/>
      <c r="V28" s="851"/>
      <c r="W28" s="851"/>
      <c r="X28" s="851"/>
      <c r="Y28" s="851"/>
      <c r="Z28" s="851"/>
      <c r="AA28" s="851"/>
      <c r="AB28" s="851"/>
      <c r="AC28" s="852"/>
      <c r="AD28" s="86"/>
      <c r="AE28" s="85"/>
      <c r="AF28" s="85"/>
      <c r="AG28" s="85"/>
      <c r="AH28" s="85"/>
      <c r="AI28" s="85"/>
      <c r="AJ28" s="85"/>
      <c r="AK28" s="85"/>
      <c r="AM28" s="110"/>
    </row>
    <row r="29" spans="1:62" ht="36" customHeight="1">
      <c r="A29" s="837" t="s">
        <v>686</v>
      </c>
      <c r="B29" s="842" t="s">
        <v>155</v>
      </c>
      <c r="C29" s="853" t="s">
        <v>673</v>
      </c>
      <c r="D29" s="802" t="s">
        <v>687</v>
      </c>
      <c r="E29" s="190" t="s">
        <v>675</v>
      </c>
      <c r="F29" s="191">
        <v>0</v>
      </c>
      <c r="G29" s="191">
        <v>0</v>
      </c>
      <c r="H29" s="191">
        <v>0</v>
      </c>
      <c r="I29" s="191">
        <v>0</v>
      </c>
      <c r="J29" s="191">
        <v>0.05</v>
      </c>
      <c r="K29" s="191">
        <v>0.1</v>
      </c>
      <c r="L29" s="191">
        <v>0.25</v>
      </c>
      <c r="M29" s="191">
        <v>0.65</v>
      </c>
      <c r="N29" s="191">
        <v>0.65</v>
      </c>
      <c r="O29" s="191">
        <v>0.65</v>
      </c>
      <c r="P29" s="191">
        <v>0.65</v>
      </c>
      <c r="Q29" s="191">
        <v>0.6</v>
      </c>
      <c r="R29" s="191">
        <v>0.6</v>
      </c>
      <c r="S29" s="191">
        <v>0.65</v>
      </c>
      <c r="T29" s="191">
        <v>0.65</v>
      </c>
      <c r="U29" s="191">
        <v>0.65</v>
      </c>
      <c r="V29" s="191">
        <v>0.65</v>
      </c>
      <c r="W29" s="191">
        <v>0.4</v>
      </c>
      <c r="X29" s="191">
        <v>0.25</v>
      </c>
      <c r="Y29" s="191">
        <v>0.1</v>
      </c>
      <c r="Z29" s="191">
        <v>0.05</v>
      </c>
      <c r="AA29" s="191">
        <v>0.05</v>
      </c>
      <c r="AB29" s="191">
        <v>0.05</v>
      </c>
      <c r="AC29" s="192">
        <v>0</v>
      </c>
      <c r="AD29" s="86"/>
      <c r="AE29" s="85"/>
      <c r="AF29" s="85"/>
      <c r="AG29" s="85"/>
      <c r="AH29" s="85"/>
      <c r="AI29" s="85"/>
      <c r="AJ29" s="85"/>
      <c r="AK29" s="85"/>
      <c r="AM29" s="110"/>
    </row>
    <row r="30" spans="1:62" ht="36" customHeight="1">
      <c r="A30" s="817"/>
      <c r="B30" s="809"/>
      <c r="C30" s="812"/>
      <c r="D30" s="803"/>
      <c r="E30" s="193" t="s">
        <v>504</v>
      </c>
      <c r="F30" s="194">
        <v>0</v>
      </c>
      <c r="G30" s="194">
        <v>0</v>
      </c>
      <c r="H30" s="194">
        <v>0</v>
      </c>
      <c r="I30" s="194">
        <v>0</v>
      </c>
      <c r="J30" s="194">
        <v>0</v>
      </c>
      <c r="K30" s="194">
        <v>0</v>
      </c>
      <c r="L30" s="335">
        <v>0</v>
      </c>
      <c r="M30" s="335">
        <v>0.05</v>
      </c>
      <c r="N30" s="335">
        <v>0.05</v>
      </c>
      <c r="O30" s="335">
        <v>0.05</v>
      </c>
      <c r="P30" s="335">
        <v>0.05</v>
      </c>
      <c r="Q30" s="335">
        <v>0.05</v>
      </c>
      <c r="R30" s="335">
        <v>0.05</v>
      </c>
      <c r="S30" s="335">
        <v>0.05</v>
      </c>
      <c r="T30" s="335">
        <v>0.05</v>
      </c>
      <c r="U30" s="335">
        <v>0.05</v>
      </c>
      <c r="V30" s="335">
        <v>0.05</v>
      </c>
      <c r="W30" s="335">
        <v>0.05</v>
      </c>
      <c r="X30" s="336">
        <v>0.05</v>
      </c>
      <c r="Y30" s="194">
        <v>0.05</v>
      </c>
      <c r="Z30" s="194">
        <v>0</v>
      </c>
      <c r="AA30" s="194">
        <v>0</v>
      </c>
      <c r="AB30" s="194">
        <v>0</v>
      </c>
      <c r="AC30" s="195">
        <v>0</v>
      </c>
      <c r="AD30" s="86"/>
      <c r="AE30" s="85"/>
      <c r="AF30" s="85"/>
      <c r="AG30" s="85"/>
      <c r="AH30" s="85"/>
      <c r="AI30" s="85"/>
      <c r="AJ30" s="85"/>
      <c r="AK30" s="85"/>
      <c r="AM30" s="110"/>
    </row>
    <row r="31" spans="1:62" ht="36" customHeight="1" thickBot="1">
      <c r="A31" s="818"/>
      <c r="B31" s="809"/>
      <c r="C31" s="854"/>
      <c r="D31" s="804"/>
      <c r="E31" s="196" t="s">
        <v>506</v>
      </c>
      <c r="F31" s="197">
        <v>0</v>
      </c>
      <c r="G31" s="197">
        <v>0</v>
      </c>
      <c r="H31" s="197">
        <v>0</v>
      </c>
      <c r="I31" s="197">
        <v>0</v>
      </c>
      <c r="J31" s="197">
        <v>0</v>
      </c>
      <c r="K31" s="197">
        <v>0</v>
      </c>
      <c r="L31" s="197">
        <v>0</v>
      </c>
      <c r="M31" s="197">
        <v>0.05</v>
      </c>
      <c r="N31" s="197">
        <v>0.05</v>
      </c>
      <c r="O31" s="197">
        <v>0.05</v>
      </c>
      <c r="P31" s="197">
        <v>0.05</v>
      </c>
      <c r="Q31" s="197">
        <v>0.05</v>
      </c>
      <c r="R31" s="197">
        <v>0.05</v>
      </c>
      <c r="S31" s="197">
        <v>0.05</v>
      </c>
      <c r="T31" s="197">
        <v>0.05</v>
      </c>
      <c r="U31" s="197">
        <v>0.05</v>
      </c>
      <c r="V31" s="197">
        <v>0.05</v>
      </c>
      <c r="W31" s="197">
        <v>0.05</v>
      </c>
      <c r="X31" s="197">
        <v>0.05</v>
      </c>
      <c r="Y31" s="197">
        <v>0.05</v>
      </c>
      <c r="Z31" s="197">
        <v>0</v>
      </c>
      <c r="AA31" s="197">
        <v>0</v>
      </c>
      <c r="AB31" s="197">
        <v>0</v>
      </c>
      <c r="AC31" s="198">
        <v>0</v>
      </c>
      <c r="AD31" s="86"/>
      <c r="AE31" s="85"/>
      <c r="AF31" s="85"/>
      <c r="AG31" s="85"/>
      <c r="AH31" s="85"/>
      <c r="AI31" s="85"/>
      <c r="AJ31" s="85"/>
      <c r="AK31" s="85"/>
      <c r="AM31" s="110"/>
    </row>
    <row r="32" spans="1:62" ht="36" customHeight="1">
      <c r="A32" s="837" t="str">
        <f>A29</f>
        <v>IT room</v>
      </c>
      <c r="B32" s="842" t="str">
        <f>B29</f>
        <v>Data</v>
      </c>
      <c r="C32" s="853" t="s">
        <v>676</v>
      </c>
      <c r="D32" s="802" t="s">
        <v>688</v>
      </c>
      <c r="E32" s="228" t="s">
        <v>675</v>
      </c>
      <c r="F32" s="191">
        <v>0.05</v>
      </c>
      <c r="G32" s="191">
        <v>0.05</v>
      </c>
      <c r="H32" s="191">
        <v>0.05</v>
      </c>
      <c r="I32" s="191">
        <v>0.05</v>
      </c>
      <c r="J32" s="191">
        <v>0.1</v>
      </c>
      <c r="K32" s="191">
        <v>0.2</v>
      </c>
      <c r="L32" s="191">
        <v>0.4</v>
      </c>
      <c r="M32" s="191">
        <v>0.7</v>
      </c>
      <c r="N32" s="191">
        <v>0.8</v>
      </c>
      <c r="O32" s="191">
        <v>0.85</v>
      </c>
      <c r="P32" s="191">
        <v>0.85</v>
      </c>
      <c r="Q32" s="191">
        <v>0.85</v>
      </c>
      <c r="R32" s="191">
        <v>0.85</v>
      </c>
      <c r="S32" s="191">
        <v>0.85</v>
      </c>
      <c r="T32" s="191">
        <v>0.85</v>
      </c>
      <c r="U32" s="191">
        <v>0.85</v>
      </c>
      <c r="V32" s="191">
        <v>0.85</v>
      </c>
      <c r="W32" s="191">
        <v>0.8</v>
      </c>
      <c r="X32" s="191">
        <v>0.35</v>
      </c>
      <c r="Y32" s="191">
        <v>0.1</v>
      </c>
      <c r="Z32" s="191">
        <v>0.1</v>
      </c>
      <c r="AA32" s="191">
        <v>0.1</v>
      </c>
      <c r="AB32" s="191">
        <v>0.1</v>
      </c>
      <c r="AC32" s="192">
        <v>0.1</v>
      </c>
      <c r="AD32" s="86"/>
      <c r="AE32" s="85"/>
      <c r="AF32" s="85"/>
      <c r="AG32" s="85"/>
      <c r="AH32" s="85"/>
      <c r="AI32" s="85"/>
      <c r="AJ32" s="85"/>
      <c r="AK32" s="85"/>
      <c r="AM32" s="110"/>
    </row>
    <row r="33" spans="1:39" ht="36" customHeight="1">
      <c r="A33" s="817"/>
      <c r="B33" s="809"/>
      <c r="C33" s="812"/>
      <c r="D33" s="803"/>
      <c r="E33" s="200" t="s">
        <v>504</v>
      </c>
      <c r="F33" s="194">
        <v>0.05</v>
      </c>
      <c r="G33" s="194">
        <v>0.05</v>
      </c>
      <c r="H33" s="194">
        <v>0.05</v>
      </c>
      <c r="I33" s="194">
        <v>0.05</v>
      </c>
      <c r="J33" s="194">
        <v>0.05</v>
      </c>
      <c r="K33" s="194">
        <v>0.1</v>
      </c>
      <c r="L33" s="336">
        <v>0.1</v>
      </c>
      <c r="M33" s="336">
        <v>0.15</v>
      </c>
      <c r="N33" s="336">
        <v>0.15</v>
      </c>
      <c r="O33" s="336">
        <v>0.15</v>
      </c>
      <c r="P33" s="336">
        <v>0.15</v>
      </c>
      <c r="Q33" s="336">
        <v>0.15</v>
      </c>
      <c r="R33" s="336">
        <v>0.15</v>
      </c>
      <c r="S33" s="336">
        <v>0.15</v>
      </c>
      <c r="T33" s="336">
        <v>0.15</v>
      </c>
      <c r="U33" s="336">
        <v>0.15</v>
      </c>
      <c r="V33" s="336">
        <v>0.15</v>
      </c>
      <c r="W33" s="336">
        <v>0.1</v>
      </c>
      <c r="X33" s="194">
        <v>0.1</v>
      </c>
      <c r="Y33" s="194">
        <v>0.1</v>
      </c>
      <c r="Z33" s="336">
        <v>0.05</v>
      </c>
      <c r="AA33" s="336">
        <v>0.05</v>
      </c>
      <c r="AB33" s="336">
        <v>0.05</v>
      </c>
      <c r="AC33" s="337">
        <v>0.05</v>
      </c>
      <c r="AD33" s="86"/>
      <c r="AE33" s="85"/>
      <c r="AF33" s="85"/>
      <c r="AG33" s="85"/>
      <c r="AH33" s="85"/>
      <c r="AI33" s="85"/>
      <c r="AJ33" s="85"/>
      <c r="AK33" s="85"/>
      <c r="AM33" s="110"/>
    </row>
    <row r="34" spans="1:39" ht="36" customHeight="1" thickBot="1">
      <c r="A34" s="818"/>
      <c r="B34" s="809"/>
      <c r="C34" s="854"/>
      <c r="D34" s="804"/>
      <c r="E34" s="229" t="s">
        <v>506</v>
      </c>
      <c r="F34" s="202">
        <v>0.05</v>
      </c>
      <c r="G34" s="202">
        <v>0.05</v>
      </c>
      <c r="H34" s="202">
        <v>0.05</v>
      </c>
      <c r="I34" s="202">
        <v>0.05</v>
      </c>
      <c r="J34" s="202">
        <v>0.05</v>
      </c>
      <c r="K34" s="202">
        <v>0.1</v>
      </c>
      <c r="L34" s="253">
        <v>0.1</v>
      </c>
      <c r="M34" s="253">
        <v>0.15</v>
      </c>
      <c r="N34" s="253">
        <v>0.15</v>
      </c>
      <c r="O34" s="253">
        <v>0.15</v>
      </c>
      <c r="P34" s="253">
        <v>0.15</v>
      </c>
      <c r="Q34" s="253">
        <v>0.15</v>
      </c>
      <c r="R34" s="253">
        <v>0.15</v>
      </c>
      <c r="S34" s="253">
        <v>0.15</v>
      </c>
      <c r="T34" s="253">
        <v>0.15</v>
      </c>
      <c r="U34" s="253">
        <v>0.15</v>
      </c>
      <c r="V34" s="253">
        <v>0.15</v>
      </c>
      <c r="W34" s="253">
        <v>0.1</v>
      </c>
      <c r="X34" s="202">
        <v>0.1</v>
      </c>
      <c r="Y34" s="202">
        <v>0.1</v>
      </c>
      <c r="Z34" s="253">
        <v>0.05</v>
      </c>
      <c r="AA34" s="253">
        <v>0.05</v>
      </c>
      <c r="AB34" s="253">
        <v>0.05</v>
      </c>
      <c r="AC34" s="254">
        <v>0.05</v>
      </c>
      <c r="AD34" s="86"/>
      <c r="AE34" s="85"/>
      <c r="AF34" s="85"/>
      <c r="AG34" s="85"/>
      <c r="AH34" s="85"/>
      <c r="AI34" s="85"/>
      <c r="AJ34" s="85"/>
      <c r="AK34" s="85"/>
      <c r="AM34" s="110"/>
    </row>
    <row r="35" spans="1:39" ht="36" customHeight="1">
      <c r="A35" s="837" t="str">
        <f>A29</f>
        <v>IT room</v>
      </c>
      <c r="B35" s="842" t="str">
        <f>B29</f>
        <v>Data</v>
      </c>
      <c r="C35" s="853" t="s">
        <v>680</v>
      </c>
      <c r="D35" s="802" t="s">
        <v>689</v>
      </c>
      <c r="E35" s="207" t="s">
        <v>675</v>
      </c>
      <c r="F35" s="208">
        <v>1</v>
      </c>
      <c r="G35" s="208">
        <v>1</v>
      </c>
      <c r="H35" s="208">
        <v>1</v>
      </c>
      <c r="I35" s="208">
        <v>1</v>
      </c>
      <c r="J35" s="208">
        <v>1</v>
      </c>
      <c r="K35" s="208">
        <v>1</v>
      </c>
      <c r="L35" s="208">
        <v>1</v>
      </c>
      <c r="M35" s="208">
        <v>1</v>
      </c>
      <c r="N35" s="208">
        <v>1</v>
      </c>
      <c r="O35" s="208">
        <v>1</v>
      </c>
      <c r="P35" s="208">
        <v>1</v>
      </c>
      <c r="Q35" s="208">
        <v>1</v>
      </c>
      <c r="R35" s="208">
        <v>1</v>
      </c>
      <c r="S35" s="208">
        <v>1</v>
      </c>
      <c r="T35" s="208">
        <v>1</v>
      </c>
      <c r="U35" s="208">
        <v>1</v>
      </c>
      <c r="V35" s="208">
        <v>1</v>
      </c>
      <c r="W35" s="208">
        <v>1</v>
      </c>
      <c r="X35" s="208">
        <v>1</v>
      </c>
      <c r="Y35" s="208">
        <v>1</v>
      </c>
      <c r="Z35" s="208">
        <v>1</v>
      </c>
      <c r="AA35" s="208">
        <v>1</v>
      </c>
      <c r="AB35" s="208">
        <v>1</v>
      </c>
      <c r="AC35" s="209">
        <v>1</v>
      </c>
      <c r="AD35" s="86"/>
      <c r="AE35" s="85"/>
      <c r="AF35" s="85"/>
      <c r="AG35" s="85"/>
      <c r="AH35" s="85"/>
      <c r="AI35" s="85"/>
      <c r="AJ35" s="85"/>
      <c r="AK35" s="85"/>
      <c r="AM35" s="110"/>
    </row>
    <row r="36" spans="1:39" ht="36" customHeight="1">
      <c r="A36" s="817"/>
      <c r="B36" s="809"/>
      <c r="C36" s="812"/>
      <c r="D36" s="803"/>
      <c r="E36" s="200" t="s">
        <v>504</v>
      </c>
      <c r="F36" s="194">
        <v>1</v>
      </c>
      <c r="G36" s="194">
        <v>1</v>
      </c>
      <c r="H36" s="194">
        <v>1</v>
      </c>
      <c r="I36" s="194">
        <v>1</v>
      </c>
      <c r="J36" s="194">
        <v>1</v>
      </c>
      <c r="K36" s="194">
        <v>1</v>
      </c>
      <c r="L36" s="194">
        <v>1</v>
      </c>
      <c r="M36" s="194">
        <v>1</v>
      </c>
      <c r="N36" s="194">
        <v>1</v>
      </c>
      <c r="O36" s="194">
        <v>1</v>
      </c>
      <c r="P36" s="194">
        <v>1</v>
      </c>
      <c r="Q36" s="194">
        <v>1</v>
      </c>
      <c r="R36" s="194">
        <v>1</v>
      </c>
      <c r="S36" s="194">
        <v>1</v>
      </c>
      <c r="T36" s="194">
        <v>1</v>
      </c>
      <c r="U36" s="194">
        <v>1</v>
      </c>
      <c r="V36" s="194">
        <v>1</v>
      </c>
      <c r="W36" s="194">
        <v>1</v>
      </c>
      <c r="X36" s="194">
        <v>1</v>
      </c>
      <c r="Y36" s="194">
        <v>1</v>
      </c>
      <c r="Z36" s="194">
        <v>1</v>
      </c>
      <c r="AA36" s="194">
        <v>1</v>
      </c>
      <c r="AB36" s="194">
        <v>1</v>
      </c>
      <c r="AC36" s="195">
        <v>1</v>
      </c>
      <c r="AD36" s="86"/>
      <c r="AE36" s="85"/>
      <c r="AF36" s="85"/>
      <c r="AG36" s="85"/>
      <c r="AH36" s="85"/>
      <c r="AI36" s="85"/>
      <c r="AJ36" s="85"/>
      <c r="AK36" s="85"/>
      <c r="AM36" s="110"/>
    </row>
    <row r="37" spans="1:39" ht="36" customHeight="1" thickBot="1">
      <c r="A37" s="841"/>
      <c r="B37" s="843"/>
      <c r="C37" s="908"/>
      <c r="D37" s="905"/>
      <c r="E37" s="206" t="s">
        <v>506</v>
      </c>
      <c r="F37" s="202">
        <v>1</v>
      </c>
      <c r="G37" s="202">
        <v>1</v>
      </c>
      <c r="H37" s="202">
        <v>1</v>
      </c>
      <c r="I37" s="202">
        <v>1</v>
      </c>
      <c r="J37" s="202">
        <v>1</v>
      </c>
      <c r="K37" s="202">
        <v>1</v>
      </c>
      <c r="L37" s="202">
        <v>1</v>
      </c>
      <c r="M37" s="202">
        <v>1</v>
      </c>
      <c r="N37" s="202">
        <v>1</v>
      </c>
      <c r="O37" s="202">
        <v>1</v>
      </c>
      <c r="P37" s="202">
        <v>1</v>
      </c>
      <c r="Q37" s="202">
        <v>1</v>
      </c>
      <c r="R37" s="202">
        <v>1</v>
      </c>
      <c r="S37" s="202">
        <v>1</v>
      </c>
      <c r="T37" s="202">
        <v>1</v>
      </c>
      <c r="U37" s="202">
        <v>1</v>
      </c>
      <c r="V37" s="202">
        <v>1</v>
      </c>
      <c r="W37" s="202">
        <v>1</v>
      </c>
      <c r="X37" s="202">
        <v>1</v>
      </c>
      <c r="Y37" s="202">
        <v>1</v>
      </c>
      <c r="Z37" s="202">
        <v>1</v>
      </c>
      <c r="AA37" s="202">
        <v>1</v>
      </c>
      <c r="AB37" s="202">
        <v>1</v>
      </c>
      <c r="AC37" s="203">
        <v>1</v>
      </c>
      <c r="AD37" s="86"/>
      <c r="AE37" s="85"/>
      <c r="AF37" s="85"/>
      <c r="AG37" s="85"/>
      <c r="AH37" s="85"/>
      <c r="AI37" s="85"/>
      <c r="AJ37" s="85"/>
      <c r="AK37" s="85"/>
      <c r="AM37" s="110"/>
    </row>
    <row r="38" spans="1:39" ht="36" customHeight="1">
      <c r="A38" s="816" t="str">
        <f>A29</f>
        <v>IT room</v>
      </c>
      <c r="B38" s="809" t="str">
        <f>B29</f>
        <v>Data</v>
      </c>
      <c r="C38" s="820" t="s">
        <v>682</v>
      </c>
      <c r="D38" s="822" t="s">
        <v>690</v>
      </c>
      <c r="E38" s="207" t="s">
        <v>675</v>
      </c>
      <c r="F38" s="210">
        <v>0</v>
      </c>
      <c r="G38" s="210">
        <v>0</v>
      </c>
      <c r="H38" s="210">
        <v>0</v>
      </c>
      <c r="I38" s="210">
        <v>0</v>
      </c>
      <c r="J38" s="210">
        <v>0.1</v>
      </c>
      <c r="K38" s="210">
        <v>0.1</v>
      </c>
      <c r="L38" s="210">
        <v>0.5</v>
      </c>
      <c r="M38" s="210">
        <v>0.5</v>
      </c>
      <c r="N38" s="210">
        <v>0.5</v>
      </c>
      <c r="O38" s="210">
        <v>0.5</v>
      </c>
      <c r="P38" s="210">
        <v>0.7</v>
      </c>
      <c r="Q38" s="210">
        <v>0.9</v>
      </c>
      <c r="R38" s="210">
        <v>0.9</v>
      </c>
      <c r="S38" s="210">
        <v>0.5</v>
      </c>
      <c r="T38" s="210">
        <v>0.5</v>
      </c>
      <c r="U38" s="210">
        <v>0.7</v>
      </c>
      <c r="V38" s="210">
        <v>0.5</v>
      </c>
      <c r="W38" s="210">
        <v>0.5</v>
      </c>
      <c r="X38" s="210">
        <v>0.5</v>
      </c>
      <c r="Y38" s="210">
        <v>0.1</v>
      </c>
      <c r="Z38" s="210">
        <v>0.1</v>
      </c>
      <c r="AA38" s="210">
        <v>0.1</v>
      </c>
      <c r="AB38" s="210">
        <v>0.1</v>
      </c>
      <c r="AC38" s="211">
        <v>0</v>
      </c>
      <c r="AD38" s="86"/>
      <c r="AE38" s="85"/>
      <c r="AF38" s="85"/>
      <c r="AG38" s="85"/>
      <c r="AH38" s="85"/>
      <c r="AI38" s="85"/>
      <c r="AJ38" s="85"/>
      <c r="AK38" s="85"/>
      <c r="AM38" s="110"/>
    </row>
    <row r="39" spans="1:39" ht="36" customHeight="1">
      <c r="A39" s="817"/>
      <c r="B39" s="809"/>
      <c r="C39" s="812"/>
      <c r="D39" s="803"/>
      <c r="E39" s="200" t="s">
        <v>504</v>
      </c>
      <c r="F39" s="212">
        <v>0</v>
      </c>
      <c r="G39" s="212">
        <v>0</v>
      </c>
      <c r="H39" s="212">
        <v>0</v>
      </c>
      <c r="I39" s="212">
        <v>0</v>
      </c>
      <c r="J39" s="212">
        <v>0</v>
      </c>
      <c r="K39" s="212">
        <v>0</v>
      </c>
      <c r="L39" s="212">
        <v>0</v>
      </c>
      <c r="M39" s="212">
        <v>0</v>
      </c>
      <c r="N39" s="212">
        <v>0</v>
      </c>
      <c r="O39" s="212">
        <v>0</v>
      </c>
      <c r="P39" s="212">
        <v>0</v>
      </c>
      <c r="Q39" s="212">
        <v>0</v>
      </c>
      <c r="R39" s="212">
        <v>0</v>
      </c>
      <c r="S39" s="212">
        <v>0</v>
      </c>
      <c r="T39" s="212">
        <v>0</v>
      </c>
      <c r="U39" s="212">
        <v>0</v>
      </c>
      <c r="V39" s="212">
        <v>0</v>
      </c>
      <c r="W39" s="212">
        <v>0</v>
      </c>
      <c r="X39" s="212">
        <v>0</v>
      </c>
      <c r="Y39" s="212">
        <v>0</v>
      </c>
      <c r="Z39" s="212">
        <v>0</v>
      </c>
      <c r="AA39" s="212">
        <v>0</v>
      </c>
      <c r="AB39" s="212">
        <v>0</v>
      </c>
      <c r="AC39" s="213">
        <v>0</v>
      </c>
      <c r="AD39" s="86"/>
      <c r="AE39" s="85"/>
      <c r="AF39" s="85"/>
      <c r="AG39" s="85"/>
      <c r="AH39" s="85"/>
      <c r="AI39" s="85"/>
      <c r="AJ39" s="85"/>
      <c r="AK39" s="85"/>
      <c r="AM39" s="110"/>
    </row>
    <row r="40" spans="1:39" ht="36" customHeight="1" thickBot="1">
      <c r="A40" s="818"/>
      <c r="B40" s="819"/>
      <c r="C40" s="821"/>
      <c r="D40" s="804"/>
      <c r="E40" s="206" t="s">
        <v>506</v>
      </c>
      <c r="F40" s="214">
        <v>0</v>
      </c>
      <c r="G40" s="214">
        <v>0</v>
      </c>
      <c r="H40" s="214">
        <v>0</v>
      </c>
      <c r="I40" s="214">
        <v>0</v>
      </c>
      <c r="J40" s="214">
        <v>0</v>
      </c>
      <c r="K40" s="214">
        <v>0</v>
      </c>
      <c r="L40" s="214">
        <v>0</v>
      </c>
      <c r="M40" s="214">
        <v>0</v>
      </c>
      <c r="N40" s="214">
        <v>0</v>
      </c>
      <c r="O40" s="214">
        <v>0</v>
      </c>
      <c r="P40" s="214">
        <v>0</v>
      </c>
      <c r="Q40" s="214">
        <v>0</v>
      </c>
      <c r="R40" s="214">
        <v>0</v>
      </c>
      <c r="S40" s="214">
        <v>0</v>
      </c>
      <c r="T40" s="214">
        <v>0</v>
      </c>
      <c r="U40" s="214">
        <v>0</v>
      </c>
      <c r="V40" s="214">
        <v>0</v>
      </c>
      <c r="W40" s="214">
        <v>0</v>
      </c>
      <c r="X40" s="214">
        <v>0</v>
      </c>
      <c r="Y40" s="214">
        <v>0</v>
      </c>
      <c r="Z40" s="214">
        <v>0</v>
      </c>
      <c r="AA40" s="214">
        <v>0</v>
      </c>
      <c r="AB40" s="214">
        <v>0</v>
      </c>
      <c r="AC40" s="215">
        <v>0</v>
      </c>
      <c r="AD40" s="86"/>
      <c r="AE40" s="85"/>
      <c r="AF40" s="85"/>
      <c r="AG40" s="85"/>
      <c r="AH40" s="85"/>
      <c r="AI40" s="85"/>
      <c r="AJ40" s="85"/>
      <c r="AK40" s="85"/>
      <c r="AM40" s="110"/>
    </row>
    <row r="41" spans="1:39" ht="36" customHeight="1">
      <c r="A41" s="837" t="str">
        <f>A29</f>
        <v>IT room</v>
      </c>
      <c r="B41" s="842" t="str">
        <f>B29</f>
        <v>Data</v>
      </c>
      <c r="C41" s="899" t="s">
        <v>249</v>
      </c>
      <c r="D41" s="802" t="s">
        <v>689</v>
      </c>
      <c r="E41" s="199" t="s">
        <v>675</v>
      </c>
      <c r="F41" s="208">
        <v>0.25</v>
      </c>
      <c r="G41" s="208">
        <v>0.25</v>
      </c>
      <c r="H41" s="208">
        <v>0.25</v>
      </c>
      <c r="I41" s="208">
        <v>0.25</v>
      </c>
      <c r="J41" s="208">
        <v>0.25</v>
      </c>
      <c r="K41" s="208">
        <v>0.25</v>
      </c>
      <c r="L41" s="208">
        <v>0.25</v>
      </c>
      <c r="M41" s="208">
        <v>0.25</v>
      </c>
      <c r="N41" s="208">
        <v>0.25</v>
      </c>
      <c r="O41" s="208">
        <v>0.25</v>
      </c>
      <c r="P41" s="208">
        <v>0.25</v>
      </c>
      <c r="Q41" s="208">
        <v>0.25</v>
      </c>
      <c r="R41" s="208">
        <v>0.25</v>
      </c>
      <c r="S41" s="208">
        <v>0.25</v>
      </c>
      <c r="T41" s="208">
        <v>0.25</v>
      </c>
      <c r="U41" s="208">
        <v>0.25</v>
      </c>
      <c r="V41" s="208">
        <v>0.25</v>
      </c>
      <c r="W41" s="208">
        <v>0.25</v>
      </c>
      <c r="X41" s="208">
        <v>0.25</v>
      </c>
      <c r="Y41" s="208">
        <v>0.25</v>
      </c>
      <c r="Z41" s="208">
        <v>0.25</v>
      </c>
      <c r="AA41" s="208">
        <v>0.25</v>
      </c>
      <c r="AB41" s="208">
        <v>0.25</v>
      </c>
      <c r="AC41" s="209">
        <v>0.25</v>
      </c>
      <c r="AD41" s="86"/>
      <c r="AE41" s="85"/>
      <c r="AF41" s="85"/>
      <c r="AG41" s="85"/>
      <c r="AH41" s="85"/>
      <c r="AI41" s="85"/>
      <c r="AJ41" s="85"/>
      <c r="AK41" s="85"/>
      <c r="AM41" s="110"/>
    </row>
    <row r="42" spans="1:39" ht="36" customHeight="1">
      <c r="A42" s="817"/>
      <c r="B42" s="809"/>
      <c r="C42" s="812"/>
      <c r="D42" s="803"/>
      <c r="E42" s="200" t="s">
        <v>504</v>
      </c>
      <c r="F42" s="194">
        <v>0.25</v>
      </c>
      <c r="G42" s="194">
        <v>0.25</v>
      </c>
      <c r="H42" s="194">
        <v>0.25</v>
      </c>
      <c r="I42" s="194">
        <v>0.25</v>
      </c>
      <c r="J42" s="194">
        <v>0.25</v>
      </c>
      <c r="K42" s="194">
        <v>0.25</v>
      </c>
      <c r="L42" s="194">
        <v>0.25</v>
      </c>
      <c r="M42" s="194">
        <v>0.25</v>
      </c>
      <c r="N42" s="194">
        <v>0.25</v>
      </c>
      <c r="O42" s="194">
        <v>0.25</v>
      </c>
      <c r="P42" s="194">
        <v>0.25</v>
      </c>
      <c r="Q42" s="194">
        <v>0.25</v>
      </c>
      <c r="R42" s="194">
        <v>0.25</v>
      </c>
      <c r="S42" s="194">
        <v>0.25</v>
      </c>
      <c r="T42" s="194">
        <v>0.25</v>
      </c>
      <c r="U42" s="194">
        <v>0.25</v>
      </c>
      <c r="V42" s="194">
        <v>0.25</v>
      </c>
      <c r="W42" s="194">
        <v>0.25</v>
      </c>
      <c r="X42" s="194">
        <v>0.25</v>
      </c>
      <c r="Y42" s="194">
        <v>0.25</v>
      </c>
      <c r="Z42" s="194">
        <v>0.25</v>
      </c>
      <c r="AA42" s="194">
        <v>0.25</v>
      </c>
      <c r="AB42" s="194">
        <v>0.25</v>
      </c>
      <c r="AC42" s="195">
        <v>0.25</v>
      </c>
      <c r="AD42" s="86"/>
      <c r="AE42" s="85"/>
      <c r="AF42" s="85"/>
      <c r="AG42" s="85"/>
      <c r="AH42" s="85"/>
      <c r="AI42" s="85"/>
      <c r="AJ42" s="85"/>
      <c r="AK42" s="85"/>
      <c r="AM42" s="110"/>
    </row>
    <row r="43" spans="1:39" ht="36" customHeight="1" thickBot="1">
      <c r="A43" s="818"/>
      <c r="B43" s="819"/>
      <c r="C43" s="854"/>
      <c r="D43" s="905"/>
      <c r="E43" s="201" t="s">
        <v>506</v>
      </c>
      <c r="F43" s="197">
        <v>0.25</v>
      </c>
      <c r="G43" s="197">
        <v>0.25</v>
      </c>
      <c r="H43" s="197">
        <v>0.25</v>
      </c>
      <c r="I43" s="197">
        <v>0.25</v>
      </c>
      <c r="J43" s="197">
        <v>0.25</v>
      </c>
      <c r="K43" s="197">
        <v>0.25</v>
      </c>
      <c r="L43" s="197">
        <v>0.25</v>
      </c>
      <c r="M43" s="197">
        <v>0.25</v>
      </c>
      <c r="N43" s="197">
        <v>0.25</v>
      </c>
      <c r="O43" s="197">
        <v>0.25</v>
      </c>
      <c r="P43" s="197">
        <v>0.25</v>
      </c>
      <c r="Q43" s="197">
        <v>0.25</v>
      </c>
      <c r="R43" s="197">
        <v>0.25</v>
      </c>
      <c r="S43" s="197">
        <v>0.25</v>
      </c>
      <c r="T43" s="197">
        <v>0.25</v>
      </c>
      <c r="U43" s="197">
        <v>0.25</v>
      </c>
      <c r="V43" s="197">
        <v>0.25</v>
      </c>
      <c r="W43" s="197">
        <v>0.25</v>
      </c>
      <c r="X43" s="197">
        <v>0.25</v>
      </c>
      <c r="Y43" s="197">
        <v>0.25</v>
      </c>
      <c r="Z43" s="197">
        <v>0.25</v>
      </c>
      <c r="AA43" s="197">
        <v>0.25</v>
      </c>
      <c r="AB43" s="197">
        <v>0.25</v>
      </c>
      <c r="AC43" s="198">
        <v>0.25</v>
      </c>
      <c r="AD43" s="86"/>
      <c r="AE43" s="85"/>
      <c r="AF43" s="85"/>
      <c r="AG43" s="85"/>
      <c r="AH43" s="85"/>
      <c r="AI43" s="85"/>
      <c r="AJ43" s="85"/>
      <c r="AK43" s="85"/>
      <c r="AM43" s="110"/>
    </row>
    <row r="44" spans="1:39" ht="36" customHeight="1">
      <c r="A44" s="837" t="str">
        <f>A29</f>
        <v>IT room</v>
      </c>
      <c r="B44" s="842" t="str">
        <f>B29</f>
        <v>Data</v>
      </c>
      <c r="C44" s="844" t="s">
        <v>685</v>
      </c>
      <c r="D44" s="900" t="s">
        <v>691</v>
      </c>
      <c r="E44" s="216" t="s">
        <v>675</v>
      </c>
      <c r="F44" s="217">
        <f>Thermostat!$C$11</f>
        <v>80</v>
      </c>
      <c r="G44" s="217">
        <f>Thermostat!$C$11</f>
        <v>80</v>
      </c>
      <c r="H44" s="217">
        <f>Thermostat!$C$11</f>
        <v>80</v>
      </c>
      <c r="I44" s="217">
        <f>Thermostat!$C$11</f>
        <v>80</v>
      </c>
      <c r="J44" s="217">
        <f>Thermostat!$C$11</f>
        <v>80</v>
      </c>
      <c r="K44" s="217">
        <f>Thermostat!$C$11</f>
        <v>80</v>
      </c>
      <c r="L44" s="217">
        <f>Thermostat!$C$11</f>
        <v>80</v>
      </c>
      <c r="M44" s="217">
        <f>Thermostat!$C$11</f>
        <v>80</v>
      </c>
      <c r="N44" s="217">
        <f>Thermostat!$C$11</f>
        <v>80</v>
      </c>
      <c r="O44" s="217">
        <f>Thermostat!$C$11</f>
        <v>80</v>
      </c>
      <c r="P44" s="217">
        <f>Thermostat!$C$11</f>
        <v>80</v>
      </c>
      <c r="Q44" s="217">
        <f>Thermostat!$C$11</f>
        <v>80</v>
      </c>
      <c r="R44" s="217">
        <f>Thermostat!$C$11</f>
        <v>80</v>
      </c>
      <c r="S44" s="217">
        <f>Thermostat!$C$11</f>
        <v>80</v>
      </c>
      <c r="T44" s="217">
        <f>Thermostat!$C$11</f>
        <v>80</v>
      </c>
      <c r="U44" s="217">
        <f>Thermostat!$C$11</f>
        <v>80</v>
      </c>
      <c r="V44" s="217">
        <f>Thermostat!$C$11</f>
        <v>80</v>
      </c>
      <c r="W44" s="217">
        <f>Thermostat!$C$11</f>
        <v>80</v>
      </c>
      <c r="X44" s="217">
        <f>Thermostat!$C$11</f>
        <v>80</v>
      </c>
      <c r="Y44" s="217">
        <f>Thermostat!$C$11</f>
        <v>80</v>
      </c>
      <c r="Z44" s="217">
        <f>Thermostat!$C$11</f>
        <v>80</v>
      </c>
      <c r="AA44" s="217">
        <f>Thermostat!$C$11</f>
        <v>80</v>
      </c>
      <c r="AB44" s="217">
        <f>Thermostat!$C$11</f>
        <v>80</v>
      </c>
      <c r="AC44" s="218">
        <f>Thermostat!$C$11</f>
        <v>80</v>
      </c>
      <c r="AD44" s="86"/>
      <c r="AE44" s="85"/>
      <c r="AF44" s="85"/>
      <c r="AG44" s="85"/>
      <c r="AH44" s="85"/>
      <c r="AI44" s="85"/>
      <c r="AJ44" s="85"/>
      <c r="AK44" s="85"/>
      <c r="AM44" s="110"/>
    </row>
    <row r="45" spans="1:39" ht="36" customHeight="1">
      <c r="A45" s="817"/>
      <c r="B45" s="809"/>
      <c r="C45" s="845"/>
      <c r="D45" s="803"/>
      <c r="E45" s="219" t="s">
        <v>504</v>
      </c>
      <c r="F45" s="220">
        <f>Thermostat!$C$11</f>
        <v>80</v>
      </c>
      <c r="G45" s="220">
        <f>Thermostat!$C$11</f>
        <v>80</v>
      </c>
      <c r="H45" s="220">
        <f>Thermostat!$C$11</f>
        <v>80</v>
      </c>
      <c r="I45" s="220">
        <f>Thermostat!$C$11</f>
        <v>80</v>
      </c>
      <c r="J45" s="220">
        <f>Thermostat!$C$11</f>
        <v>80</v>
      </c>
      <c r="K45" s="220">
        <f>Thermostat!$C$11</f>
        <v>80</v>
      </c>
      <c r="L45" s="220">
        <f>Thermostat!$C$11</f>
        <v>80</v>
      </c>
      <c r="M45" s="220">
        <f>Thermostat!$C$11</f>
        <v>80</v>
      </c>
      <c r="N45" s="220">
        <f>Thermostat!$C$11</f>
        <v>80</v>
      </c>
      <c r="O45" s="220">
        <f>Thermostat!$C$11</f>
        <v>80</v>
      </c>
      <c r="P45" s="220">
        <f>Thermostat!$C$11</f>
        <v>80</v>
      </c>
      <c r="Q45" s="220">
        <f>Thermostat!$C$11</f>
        <v>80</v>
      </c>
      <c r="R45" s="220">
        <f>Thermostat!$C$11</f>
        <v>80</v>
      </c>
      <c r="S45" s="220">
        <f>Thermostat!$C$11</f>
        <v>80</v>
      </c>
      <c r="T45" s="220">
        <f>Thermostat!$C$11</f>
        <v>80</v>
      </c>
      <c r="U45" s="220">
        <f>Thermostat!$C$11</f>
        <v>80</v>
      </c>
      <c r="V45" s="220">
        <f>Thermostat!$C$11</f>
        <v>80</v>
      </c>
      <c r="W45" s="220">
        <f>Thermostat!$C$11</f>
        <v>80</v>
      </c>
      <c r="X45" s="220">
        <f>Thermostat!$C$11</f>
        <v>80</v>
      </c>
      <c r="Y45" s="220">
        <f>Thermostat!$C$11</f>
        <v>80</v>
      </c>
      <c r="Z45" s="220">
        <f>Thermostat!$C$11</f>
        <v>80</v>
      </c>
      <c r="AA45" s="220">
        <f>Thermostat!$C$11</f>
        <v>80</v>
      </c>
      <c r="AB45" s="220">
        <f>Thermostat!$C$11</f>
        <v>80</v>
      </c>
      <c r="AC45" s="221">
        <f>Thermostat!$C$11</f>
        <v>80</v>
      </c>
      <c r="AD45" s="86"/>
      <c r="AE45" s="85"/>
      <c r="AF45" s="85"/>
      <c r="AG45" s="85"/>
      <c r="AH45" s="85"/>
      <c r="AI45" s="85"/>
      <c r="AJ45" s="85"/>
      <c r="AK45" s="85"/>
      <c r="AM45" s="110"/>
    </row>
    <row r="46" spans="1:39" ht="36" customHeight="1" thickBot="1">
      <c r="A46" s="841"/>
      <c r="B46" s="843"/>
      <c r="C46" s="846"/>
      <c r="D46" s="901"/>
      <c r="E46" s="222" t="s">
        <v>506</v>
      </c>
      <c r="F46" s="223">
        <f>Thermostat!$C$11</f>
        <v>80</v>
      </c>
      <c r="G46" s="223">
        <f>Thermostat!$C$11</f>
        <v>80</v>
      </c>
      <c r="H46" s="223">
        <f>Thermostat!$C$11</f>
        <v>80</v>
      </c>
      <c r="I46" s="223">
        <f>Thermostat!$C$11</f>
        <v>80</v>
      </c>
      <c r="J46" s="223">
        <f>Thermostat!$C$11</f>
        <v>80</v>
      </c>
      <c r="K46" s="223">
        <f>Thermostat!$C$11</f>
        <v>80</v>
      </c>
      <c r="L46" s="223">
        <f>Thermostat!$C$11</f>
        <v>80</v>
      </c>
      <c r="M46" s="223">
        <f>Thermostat!$C$11</f>
        <v>80</v>
      </c>
      <c r="N46" s="223">
        <f>Thermostat!$C$11</f>
        <v>80</v>
      </c>
      <c r="O46" s="223">
        <f>Thermostat!$C$11</f>
        <v>80</v>
      </c>
      <c r="P46" s="223">
        <f>Thermostat!$C$11</f>
        <v>80</v>
      </c>
      <c r="Q46" s="223">
        <f>Thermostat!$C$11</f>
        <v>80</v>
      </c>
      <c r="R46" s="223">
        <f>Thermostat!$C$11</f>
        <v>80</v>
      </c>
      <c r="S46" s="223">
        <f>Thermostat!$C$11</f>
        <v>80</v>
      </c>
      <c r="T46" s="223">
        <f>Thermostat!$C$11</f>
        <v>80</v>
      </c>
      <c r="U46" s="223">
        <f>Thermostat!$C$11</f>
        <v>80</v>
      </c>
      <c r="V46" s="223">
        <f>Thermostat!$C$11</f>
        <v>80</v>
      </c>
      <c r="W46" s="223">
        <f>Thermostat!$C$11</f>
        <v>80</v>
      </c>
      <c r="X46" s="223">
        <f>Thermostat!$C$11</f>
        <v>80</v>
      </c>
      <c r="Y46" s="223">
        <f>Thermostat!$C$11</f>
        <v>80</v>
      </c>
      <c r="Z46" s="223">
        <f>Thermostat!$C$11</f>
        <v>80</v>
      </c>
      <c r="AA46" s="223">
        <f>Thermostat!$C$11</f>
        <v>80</v>
      </c>
      <c r="AB46" s="223">
        <f>Thermostat!$C$11</f>
        <v>80</v>
      </c>
      <c r="AC46" s="224">
        <f>Thermostat!$C$11</f>
        <v>80</v>
      </c>
      <c r="AD46" s="86"/>
      <c r="AE46" s="85"/>
      <c r="AF46" s="85"/>
      <c r="AG46" s="85"/>
      <c r="AH46" s="85"/>
      <c r="AI46" s="85"/>
      <c r="AJ46" s="85"/>
      <c r="AK46" s="85"/>
      <c r="AM46" s="110"/>
    </row>
    <row r="47" spans="1:39" ht="36" customHeight="1" thickBot="1">
      <c r="A47" s="850" t="s">
        <v>873</v>
      </c>
      <c r="B47" s="851"/>
      <c r="C47" s="851"/>
      <c r="D47" s="851"/>
      <c r="E47" s="851"/>
      <c r="F47" s="851"/>
      <c r="G47" s="851"/>
      <c r="H47" s="851"/>
      <c r="I47" s="851"/>
      <c r="J47" s="851"/>
      <c r="K47" s="851"/>
      <c r="L47" s="851"/>
      <c r="M47" s="851"/>
      <c r="N47" s="851"/>
      <c r="O47" s="851"/>
      <c r="P47" s="851"/>
      <c r="Q47" s="851"/>
      <c r="R47" s="851"/>
      <c r="S47" s="851"/>
      <c r="T47" s="851"/>
      <c r="U47" s="851"/>
      <c r="V47" s="851"/>
      <c r="W47" s="851"/>
      <c r="X47" s="851"/>
      <c r="Y47" s="851"/>
      <c r="Z47" s="851"/>
      <c r="AA47" s="851"/>
      <c r="AB47" s="851"/>
      <c r="AC47" s="852"/>
      <c r="AD47" s="86"/>
      <c r="AE47" s="85"/>
      <c r="AF47" s="85"/>
      <c r="AG47" s="85"/>
      <c r="AH47" s="85"/>
      <c r="AI47" s="85"/>
      <c r="AJ47" s="85"/>
      <c r="AK47" s="85"/>
      <c r="AM47" s="110"/>
    </row>
    <row r="48" spans="1:39" ht="36" customHeight="1">
      <c r="A48" s="837" t="s">
        <v>871</v>
      </c>
      <c r="B48" s="842" t="s">
        <v>147</v>
      </c>
      <c r="C48" s="853" t="s">
        <v>673</v>
      </c>
      <c r="D48" s="802" t="s">
        <v>688</v>
      </c>
      <c r="E48" s="190" t="s">
        <v>675</v>
      </c>
      <c r="F48" s="191">
        <v>0</v>
      </c>
      <c r="G48" s="191">
        <v>0</v>
      </c>
      <c r="H48" s="191">
        <v>0</v>
      </c>
      <c r="I48" s="191">
        <v>0</v>
      </c>
      <c r="J48" s="191">
        <v>0</v>
      </c>
      <c r="K48" s="191">
        <v>0</v>
      </c>
      <c r="L48" s="191">
        <v>0.1</v>
      </c>
      <c r="M48" s="191">
        <v>0.2</v>
      </c>
      <c r="N48" s="191">
        <v>0.95</v>
      </c>
      <c r="O48" s="191">
        <v>0.95</v>
      </c>
      <c r="P48" s="191">
        <v>0.95</v>
      </c>
      <c r="Q48" s="191">
        <v>0.95</v>
      </c>
      <c r="R48" s="191">
        <v>0.5</v>
      </c>
      <c r="S48" s="191">
        <v>0.95</v>
      </c>
      <c r="T48" s="191">
        <v>0.95</v>
      </c>
      <c r="U48" s="191">
        <v>0.95</v>
      </c>
      <c r="V48" s="191">
        <v>0.95</v>
      </c>
      <c r="W48" s="191">
        <v>0.3</v>
      </c>
      <c r="X48" s="191">
        <v>0.1</v>
      </c>
      <c r="Y48" s="191">
        <v>0.1</v>
      </c>
      <c r="Z48" s="191">
        <v>0.1</v>
      </c>
      <c r="AA48" s="191">
        <v>0.1</v>
      </c>
      <c r="AB48" s="191">
        <v>0.05</v>
      </c>
      <c r="AC48" s="192">
        <v>0.05</v>
      </c>
      <c r="AD48" s="86"/>
      <c r="AE48" s="85"/>
      <c r="AF48" s="85"/>
      <c r="AG48" s="85"/>
      <c r="AH48" s="85"/>
      <c r="AI48" s="85"/>
      <c r="AJ48" s="85"/>
      <c r="AK48" s="85"/>
      <c r="AM48" s="110"/>
    </row>
    <row r="49" spans="1:39" ht="36" customHeight="1">
      <c r="A49" s="817"/>
      <c r="B49" s="809"/>
      <c r="C49" s="812"/>
      <c r="D49" s="803"/>
      <c r="E49" s="193" t="s">
        <v>504</v>
      </c>
      <c r="F49" s="194">
        <v>0</v>
      </c>
      <c r="G49" s="194">
        <v>0</v>
      </c>
      <c r="H49" s="194">
        <v>0</v>
      </c>
      <c r="I49" s="194">
        <v>0</v>
      </c>
      <c r="J49" s="194">
        <v>0</v>
      </c>
      <c r="K49" s="194">
        <v>0</v>
      </c>
      <c r="L49" s="335">
        <v>0.05</v>
      </c>
      <c r="M49" s="335">
        <v>0.05</v>
      </c>
      <c r="N49" s="335">
        <v>0.05</v>
      </c>
      <c r="O49" s="335">
        <v>0.05</v>
      </c>
      <c r="P49" s="335">
        <v>0.05</v>
      </c>
      <c r="Q49" s="335">
        <v>0.05</v>
      </c>
      <c r="R49" s="335">
        <v>0.05</v>
      </c>
      <c r="S49" s="335">
        <v>0.05</v>
      </c>
      <c r="T49" s="335">
        <v>0.05</v>
      </c>
      <c r="U49" s="335">
        <v>0.05</v>
      </c>
      <c r="V49" s="335">
        <v>0.05</v>
      </c>
      <c r="W49" s="335">
        <v>0.05</v>
      </c>
      <c r="X49" s="194">
        <v>0</v>
      </c>
      <c r="Y49" s="194">
        <v>0</v>
      </c>
      <c r="Z49" s="194">
        <v>0</v>
      </c>
      <c r="AA49" s="194">
        <v>0</v>
      </c>
      <c r="AB49" s="194">
        <v>0</v>
      </c>
      <c r="AC49" s="195">
        <v>0</v>
      </c>
      <c r="AD49" s="86"/>
      <c r="AE49" s="85"/>
      <c r="AF49" s="85"/>
      <c r="AG49" s="85"/>
      <c r="AH49" s="85"/>
      <c r="AI49" s="85"/>
      <c r="AJ49" s="85"/>
      <c r="AK49" s="85"/>
      <c r="AM49" s="110"/>
    </row>
    <row r="50" spans="1:39" ht="36" customHeight="1">
      <c r="A50" s="818"/>
      <c r="B50" s="809"/>
      <c r="C50" s="854"/>
      <c r="D50" s="804"/>
      <c r="E50" s="196" t="s">
        <v>506</v>
      </c>
      <c r="F50" s="197">
        <v>0</v>
      </c>
      <c r="G50" s="197">
        <v>0</v>
      </c>
      <c r="H50" s="197">
        <v>0</v>
      </c>
      <c r="I50" s="197">
        <v>0</v>
      </c>
      <c r="J50" s="197">
        <v>0</v>
      </c>
      <c r="K50" s="197">
        <v>0</v>
      </c>
      <c r="L50" s="197">
        <v>0.05</v>
      </c>
      <c r="M50" s="197">
        <v>0.05</v>
      </c>
      <c r="N50" s="197">
        <v>0.05</v>
      </c>
      <c r="O50" s="197">
        <v>0.05</v>
      </c>
      <c r="P50" s="197">
        <v>0.05</v>
      </c>
      <c r="Q50" s="197">
        <v>0.05</v>
      </c>
      <c r="R50" s="197">
        <v>0.05</v>
      </c>
      <c r="S50" s="197">
        <v>0.05</v>
      </c>
      <c r="T50" s="197">
        <v>0.05</v>
      </c>
      <c r="U50" s="197">
        <v>0.05</v>
      </c>
      <c r="V50" s="197">
        <v>0.05</v>
      </c>
      <c r="W50" s="197">
        <v>0.05</v>
      </c>
      <c r="X50" s="197">
        <v>0</v>
      </c>
      <c r="Y50" s="197">
        <v>0</v>
      </c>
      <c r="Z50" s="197">
        <v>0</v>
      </c>
      <c r="AA50" s="197">
        <v>0</v>
      </c>
      <c r="AB50" s="197">
        <v>0</v>
      </c>
      <c r="AC50" s="198">
        <v>0</v>
      </c>
      <c r="AD50" s="86"/>
      <c r="AE50" s="85"/>
      <c r="AF50" s="85"/>
      <c r="AG50" s="85"/>
      <c r="AH50" s="85"/>
      <c r="AI50" s="85"/>
      <c r="AJ50" s="85"/>
      <c r="AK50" s="85"/>
      <c r="AM50" s="110"/>
    </row>
    <row r="51" spans="1:39" ht="36" customHeight="1">
      <c r="A51" s="837" t="str">
        <f>A48</f>
        <v xml:space="preserve"> Stairway, and Mechanical_Electrical</v>
      </c>
      <c r="B51" s="842" t="s">
        <v>147</v>
      </c>
      <c r="C51" s="853" t="s">
        <v>676</v>
      </c>
      <c r="D51" s="802" t="s">
        <v>688</v>
      </c>
      <c r="E51" s="228" t="s">
        <v>675</v>
      </c>
      <c r="F51" s="191">
        <v>0.05</v>
      </c>
      <c r="G51" s="191">
        <v>0.05</v>
      </c>
      <c r="H51" s="191">
        <v>0.05</v>
      </c>
      <c r="I51" s="191">
        <v>0.05</v>
      </c>
      <c r="J51" s="191">
        <v>0.05</v>
      </c>
      <c r="K51" s="252">
        <v>0.1</v>
      </c>
      <c r="L51" s="252">
        <v>0.1</v>
      </c>
      <c r="M51" s="252">
        <v>0.3</v>
      </c>
      <c r="N51" s="252">
        <v>0.65</v>
      </c>
      <c r="O51" s="252">
        <v>0.65</v>
      </c>
      <c r="P51" s="252">
        <v>0.65</v>
      </c>
      <c r="Q51" s="252">
        <v>0.65</v>
      </c>
      <c r="R51" s="252">
        <v>0.65</v>
      </c>
      <c r="S51" s="252">
        <v>0.65</v>
      </c>
      <c r="T51" s="252">
        <v>0.65</v>
      </c>
      <c r="U51" s="252">
        <v>0.65</v>
      </c>
      <c r="V51" s="252">
        <v>0.65</v>
      </c>
      <c r="W51" s="252">
        <v>0.35</v>
      </c>
      <c r="X51" s="252">
        <v>0.3</v>
      </c>
      <c r="Y51" s="252">
        <v>0.3</v>
      </c>
      <c r="Z51" s="191">
        <v>0.2</v>
      </c>
      <c r="AA51" s="191">
        <v>0.2</v>
      </c>
      <c r="AB51" s="191">
        <v>0.1</v>
      </c>
      <c r="AC51" s="192">
        <v>0.05</v>
      </c>
      <c r="AD51" s="86"/>
      <c r="AE51" s="85"/>
      <c r="AF51" s="85"/>
      <c r="AG51" s="85"/>
      <c r="AH51" s="85"/>
      <c r="AI51" s="85"/>
      <c r="AJ51" s="85"/>
      <c r="AK51" s="85"/>
      <c r="AM51" s="110"/>
    </row>
    <row r="52" spans="1:39" ht="36" customHeight="1">
      <c r="A52" s="817"/>
      <c r="B52" s="809"/>
      <c r="C52" s="812"/>
      <c r="D52" s="803"/>
      <c r="E52" s="200" t="s">
        <v>504</v>
      </c>
      <c r="F52" s="194">
        <v>0.05</v>
      </c>
      <c r="G52" s="194">
        <v>0.05</v>
      </c>
      <c r="H52" s="194">
        <v>0.05</v>
      </c>
      <c r="I52" s="194">
        <v>0.05</v>
      </c>
      <c r="J52" s="194">
        <v>0.05</v>
      </c>
      <c r="K52" s="194">
        <v>0.05</v>
      </c>
      <c r="L52" s="615">
        <v>0.15</v>
      </c>
      <c r="M52" s="615">
        <v>0.15</v>
      </c>
      <c r="N52" s="615">
        <v>0.15</v>
      </c>
      <c r="O52" s="615">
        <v>0.15</v>
      </c>
      <c r="P52" s="615">
        <v>0.15</v>
      </c>
      <c r="Q52" s="615">
        <v>0.15</v>
      </c>
      <c r="R52" s="615">
        <v>0.15</v>
      </c>
      <c r="S52" s="615">
        <v>0.15</v>
      </c>
      <c r="T52" s="615">
        <v>0.15</v>
      </c>
      <c r="U52" s="615">
        <v>0.15</v>
      </c>
      <c r="V52" s="615">
        <v>0.15</v>
      </c>
      <c r="W52" s="615">
        <v>0.15</v>
      </c>
      <c r="X52" s="194">
        <v>0.05</v>
      </c>
      <c r="Y52" s="194">
        <v>0.05</v>
      </c>
      <c r="Z52" s="194">
        <v>0.05</v>
      </c>
      <c r="AA52" s="194">
        <v>0.05</v>
      </c>
      <c r="AB52" s="194">
        <v>0.05</v>
      </c>
      <c r="AC52" s="195">
        <v>0.05</v>
      </c>
      <c r="AD52" s="86"/>
      <c r="AE52" s="85"/>
      <c r="AF52" s="85"/>
      <c r="AG52" s="85"/>
      <c r="AH52" s="85"/>
      <c r="AI52" s="85"/>
      <c r="AJ52" s="85"/>
      <c r="AK52" s="85"/>
      <c r="AM52" s="110"/>
    </row>
    <row r="53" spans="1:39" ht="36" customHeight="1">
      <c r="A53" s="818"/>
      <c r="B53" s="809"/>
      <c r="C53" s="854"/>
      <c r="D53" s="804"/>
      <c r="E53" s="201" t="s">
        <v>506</v>
      </c>
      <c r="F53" s="197">
        <v>0.05</v>
      </c>
      <c r="G53" s="197">
        <v>0.05</v>
      </c>
      <c r="H53" s="197">
        <v>0.05</v>
      </c>
      <c r="I53" s="197">
        <v>0.05</v>
      </c>
      <c r="J53" s="197">
        <v>0.05</v>
      </c>
      <c r="K53" s="197">
        <v>0.05</v>
      </c>
      <c r="L53" s="618">
        <v>0.15</v>
      </c>
      <c r="M53" s="618">
        <v>0.15</v>
      </c>
      <c r="N53" s="618">
        <v>0.15</v>
      </c>
      <c r="O53" s="618">
        <v>0.15</v>
      </c>
      <c r="P53" s="618">
        <v>0.15</v>
      </c>
      <c r="Q53" s="618">
        <v>0.15</v>
      </c>
      <c r="R53" s="618">
        <v>0.15</v>
      </c>
      <c r="S53" s="618">
        <v>0.15</v>
      </c>
      <c r="T53" s="618">
        <v>0.15</v>
      </c>
      <c r="U53" s="618">
        <v>0.15</v>
      </c>
      <c r="V53" s="618">
        <v>0.15</v>
      </c>
      <c r="W53" s="618">
        <v>0.15</v>
      </c>
      <c r="X53" s="197">
        <v>0.05</v>
      </c>
      <c r="Y53" s="197">
        <v>0.05</v>
      </c>
      <c r="Z53" s="197">
        <v>0.05</v>
      </c>
      <c r="AA53" s="197">
        <v>0.05</v>
      </c>
      <c r="AB53" s="197">
        <v>0.05</v>
      </c>
      <c r="AC53" s="198">
        <v>0.05</v>
      </c>
      <c r="AD53" s="86"/>
      <c r="AE53" s="85"/>
      <c r="AF53" s="85"/>
      <c r="AG53" s="85"/>
      <c r="AH53" s="85"/>
      <c r="AI53" s="85"/>
      <c r="AJ53" s="85"/>
      <c r="AK53" s="85"/>
      <c r="AM53" s="110"/>
    </row>
    <row r="54" spans="1:39" ht="36" customHeight="1">
      <c r="A54" s="805" t="str">
        <f>A48</f>
        <v xml:space="preserve"> Stairway, and Mechanical_Electrical</v>
      </c>
      <c r="B54" s="808" t="str">
        <f>B48</f>
        <v>Ancillary</v>
      </c>
      <c r="C54" s="811" t="s">
        <v>680</v>
      </c>
      <c r="D54" s="814" t="s">
        <v>689</v>
      </c>
      <c r="E54" s="343" t="s">
        <v>675</v>
      </c>
      <c r="F54" s="349">
        <v>0</v>
      </c>
      <c r="G54" s="349">
        <v>0</v>
      </c>
      <c r="H54" s="349">
        <v>0</v>
      </c>
      <c r="I54" s="349">
        <v>0</v>
      </c>
      <c r="J54" s="349">
        <v>0</v>
      </c>
      <c r="K54" s="349">
        <v>1</v>
      </c>
      <c r="L54" s="349">
        <v>1</v>
      </c>
      <c r="M54" s="349">
        <v>1</v>
      </c>
      <c r="N54" s="349">
        <v>1</v>
      </c>
      <c r="O54" s="349">
        <v>1</v>
      </c>
      <c r="P54" s="349">
        <v>1</v>
      </c>
      <c r="Q54" s="349">
        <v>1</v>
      </c>
      <c r="R54" s="349">
        <v>1</v>
      </c>
      <c r="S54" s="349">
        <v>1</v>
      </c>
      <c r="T54" s="349">
        <v>1</v>
      </c>
      <c r="U54" s="349">
        <v>1</v>
      </c>
      <c r="V54" s="349">
        <v>1</v>
      </c>
      <c r="W54" s="349">
        <v>1</v>
      </c>
      <c r="X54" s="349">
        <v>1</v>
      </c>
      <c r="Y54" s="349">
        <v>1</v>
      </c>
      <c r="Z54" s="349">
        <v>1</v>
      </c>
      <c r="AA54" s="349">
        <v>1</v>
      </c>
      <c r="AB54" s="349">
        <v>1</v>
      </c>
      <c r="AC54" s="350">
        <v>1</v>
      </c>
      <c r="AD54" s="86"/>
      <c r="AE54" s="85"/>
      <c r="AF54" s="85"/>
      <c r="AG54" s="85"/>
      <c r="AH54" s="85"/>
      <c r="AI54" s="85"/>
      <c r="AJ54" s="85"/>
      <c r="AK54" s="85"/>
      <c r="AM54" s="110"/>
    </row>
    <row r="55" spans="1:39" ht="36" customHeight="1">
      <c r="A55" s="806"/>
      <c r="B55" s="809"/>
      <c r="C55" s="812"/>
      <c r="D55" s="803"/>
      <c r="E55" s="200" t="s">
        <v>504</v>
      </c>
      <c r="F55" s="194">
        <v>0</v>
      </c>
      <c r="G55" s="194">
        <v>0</v>
      </c>
      <c r="H55" s="194">
        <v>0</v>
      </c>
      <c r="I55" s="194">
        <v>0</v>
      </c>
      <c r="J55" s="194">
        <v>0</v>
      </c>
      <c r="K55" s="336">
        <v>0</v>
      </c>
      <c r="L55" s="336">
        <v>0</v>
      </c>
      <c r="M55" s="336">
        <v>0</v>
      </c>
      <c r="N55" s="336">
        <v>0</v>
      </c>
      <c r="O55" s="336">
        <v>0</v>
      </c>
      <c r="P55" s="336">
        <v>0</v>
      </c>
      <c r="Q55" s="336">
        <v>0</v>
      </c>
      <c r="R55" s="336">
        <v>0</v>
      </c>
      <c r="S55" s="336">
        <v>0</v>
      </c>
      <c r="T55" s="336">
        <v>0</v>
      </c>
      <c r="U55" s="336">
        <v>0</v>
      </c>
      <c r="V55" s="336">
        <v>0</v>
      </c>
      <c r="W55" s="336">
        <v>0</v>
      </c>
      <c r="X55" s="336">
        <v>0</v>
      </c>
      <c r="Y55" s="194">
        <v>0</v>
      </c>
      <c r="Z55" s="194">
        <v>0</v>
      </c>
      <c r="AA55" s="194">
        <v>0</v>
      </c>
      <c r="AB55" s="194">
        <v>0</v>
      </c>
      <c r="AC55" s="351">
        <v>0</v>
      </c>
      <c r="AD55" s="86"/>
      <c r="AE55" s="85"/>
      <c r="AF55" s="85"/>
      <c r="AG55" s="85"/>
      <c r="AH55" s="85"/>
      <c r="AI55" s="85"/>
      <c r="AJ55" s="85"/>
      <c r="AK55" s="85"/>
      <c r="AM55" s="110"/>
    </row>
    <row r="56" spans="1:39" ht="36" customHeight="1">
      <c r="A56" s="807"/>
      <c r="B56" s="810"/>
      <c r="C56" s="813"/>
      <c r="D56" s="815"/>
      <c r="E56" s="346" t="s">
        <v>506</v>
      </c>
      <c r="F56" s="352">
        <v>0</v>
      </c>
      <c r="G56" s="352">
        <v>0</v>
      </c>
      <c r="H56" s="352">
        <v>0</v>
      </c>
      <c r="I56" s="352">
        <v>0</v>
      </c>
      <c r="J56" s="352">
        <v>0</v>
      </c>
      <c r="K56" s="352">
        <v>0</v>
      </c>
      <c r="L56" s="352">
        <v>0</v>
      </c>
      <c r="M56" s="352">
        <v>0</v>
      </c>
      <c r="N56" s="352">
        <v>0</v>
      </c>
      <c r="O56" s="352">
        <v>0</v>
      </c>
      <c r="P56" s="352">
        <v>0</v>
      </c>
      <c r="Q56" s="352">
        <v>0</v>
      </c>
      <c r="R56" s="352">
        <v>0</v>
      </c>
      <c r="S56" s="352">
        <v>0</v>
      </c>
      <c r="T56" s="352">
        <v>0</v>
      </c>
      <c r="U56" s="352">
        <v>0</v>
      </c>
      <c r="V56" s="352">
        <v>0</v>
      </c>
      <c r="W56" s="352">
        <v>0</v>
      </c>
      <c r="X56" s="352">
        <v>0</v>
      </c>
      <c r="Y56" s="352">
        <v>0</v>
      </c>
      <c r="Z56" s="352">
        <v>0</v>
      </c>
      <c r="AA56" s="352">
        <v>0</v>
      </c>
      <c r="AB56" s="352">
        <v>0</v>
      </c>
      <c r="AC56" s="353">
        <v>0</v>
      </c>
      <c r="AD56" s="86"/>
      <c r="AE56" s="85"/>
      <c r="AF56" s="85"/>
      <c r="AG56" s="85"/>
      <c r="AH56" s="85"/>
      <c r="AI56" s="85"/>
      <c r="AJ56" s="85"/>
      <c r="AK56" s="85"/>
      <c r="AM56" s="110"/>
    </row>
    <row r="57" spans="1:39" ht="36" customHeight="1">
      <c r="A57" s="816" t="str">
        <f>A48</f>
        <v xml:space="preserve"> Stairway, and Mechanical_Electrical</v>
      </c>
      <c r="B57" s="809" t="str">
        <f>B48</f>
        <v>Ancillary</v>
      </c>
      <c r="C57" s="820" t="s">
        <v>682</v>
      </c>
      <c r="D57" s="822" t="s">
        <v>690</v>
      </c>
      <c r="E57" s="207" t="s">
        <v>675</v>
      </c>
      <c r="F57" s="619">
        <v>0</v>
      </c>
      <c r="G57" s="619">
        <v>0</v>
      </c>
      <c r="H57" s="619">
        <v>0</v>
      </c>
      <c r="I57" s="619">
        <v>0</v>
      </c>
      <c r="J57" s="619">
        <v>0</v>
      </c>
      <c r="K57" s="619">
        <v>0</v>
      </c>
      <c r="L57" s="619">
        <v>0</v>
      </c>
      <c r="M57" s="619">
        <v>0</v>
      </c>
      <c r="N57" s="619">
        <v>0</v>
      </c>
      <c r="O57" s="619">
        <v>0</v>
      </c>
      <c r="P57" s="619">
        <v>0</v>
      </c>
      <c r="Q57" s="619">
        <v>0</v>
      </c>
      <c r="R57" s="619">
        <v>0</v>
      </c>
      <c r="S57" s="619">
        <v>0</v>
      </c>
      <c r="T57" s="619">
        <v>0</v>
      </c>
      <c r="U57" s="619">
        <v>0</v>
      </c>
      <c r="V57" s="619">
        <v>0</v>
      </c>
      <c r="W57" s="619">
        <v>0</v>
      </c>
      <c r="X57" s="619">
        <v>0</v>
      </c>
      <c r="Y57" s="619">
        <v>0</v>
      </c>
      <c r="Z57" s="619">
        <v>0</v>
      </c>
      <c r="AA57" s="619">
        <v>0</v>
      </c>
      <c r="AB57" s="619">
        <v>0</v>
      </c>
      <c r="AC57" s="620">
        <v>0</v>
      </c>
      <c r="AD57" s="86"/>
      <c r="AE57" s="85"/>
      <c r="AF57" s="85"/>
      <c r="AG57" s="85"/>
      <c r="AH57" s="85"/>
      <c r="AI57" s="85"/>
      <c r="AJ57" s="85"/>
      <c r="AK57" s="85"/>
      <c r="AM57" s="110"/>
    </row>
    <row r="58" spans="1:39" ht="36" customHeight="1">
      <c r="A58" s="817"/>
      <c r="B58" s="809"/>
      <c r="C58" s="812"/>
      <c r="D58" s="803"/>
      <c r="E58" s="200" t="s">
        <v>504</v>
      </c>
      <c r="F58" s="616">
        <v>0</v>
      </c>
      <c r="G58" s="616">
        <v>0</v>
      </c>
      <c r="H58" s="616">
        <v>0</v>
      </c>
      <c r="I58" s="616">
        <v>0</v>
      </c>
      <c r="J58" s="616">
        <v>0</v>
      </c>
      <c r="K58" s="616">
        <v>0</v>
      </c>
      <c r="L58" s="616">
        <v>0</v>
      </c>
      <c r="M58" s="616">
        <v>0</v>
      </c>
      <c r="N58" s="616">
        <v>0</v>
      </c>
      <c r="O58" s="616">
        <v>0</v>
      </c>
      <c r="P58" s="616">
        <v>0</v>
      </c>
      <c r="Q58" s="616">
        <v>0</v>
      </c>
      <c r="R58" s="616">
        <v>0</v>
      </c>
      <c r="S58" s="616">
        <v>0</v>
      </c>
      <c r="T58" s="616">
        <v>0</v>
      </c>
      <c r="U58" s="616">
        <v>0</v>
      </c>
      <c r="V58" s="616">
        <v>0</v>
      </c>
      <c r="W58" s="616">
        <v>0</v>
      </c>
      <c r="X58" s="616">
        <v>0</v>
      </c>
      <c r="Y58" s="616">
        <v>0</v>
      </c>
      <c r="Z58" s="616">
        <v>0</v>
      </c>
      <c r="AA58" s="616">
        <v>0</v>
      </c>
      <c r="AB58" s="616">
        <v>0</v>
      </c>
      <c r="AC58" s="617">
        <v>0</v>
      </c>
      <c r="AD58" s="86"/>
      <c r="AE58" s="85"/>
      <c r="AF58" s="85"/>
      <c r="AG58" s="85"/>
      <c r="AH58" s="85"/>
      <c r="AI58" s="85"/>
      <c r="AJ58" s="85"/>
      <c r="AK58" s="85"/>
      <c r="AM58" s="110"/>
    </row>
    <row r="59" spans="1:39" ht="36" customHeight="1">
      <c r="A59" s="818"/>
      <c r="B59" s="819"/>
      <c r="C59" s="821"/>
      <c r="D59" s="804"/>
      <c r="E59" s="206" t="s">
        <v>506</v>
      </c>
      <c r="F59" s="621">
        <v>0</v>
      </c>
      <c r="G59" s="621">
        <v>0</v>
      </c>
      <c r="H59" s="621">
        <v>0</v>
      </c>
      <c r="I59" s="621">
        <v>0</v>
      </c>
      <c r="J59" s="621">
        <v>0</v>
      </c>
      <c r="K59" s="621">
        <v>0</v>
      </c>
      <c r="L59" s="621">
        <v>0</v>
      </c>
      <c r="M59" s="621">
        <v>0</v>
      </c>
      <c r="N59" s="621">
        <v>0</v>
      </c>
      <c r="O59" s="621">
        <v>0</v>
      </c>
      <c r="P59" s="621">
        <v>0</v>
      </c>
      <c r="Q59" s="621">
        <v>0</v>
      </c>
      <c r="R59" s="621">
        <v>0</v>
      </c>
      <c r="S59" s="621">
        <v>0</v>
      </c>
      <c r="T59" s="621">
        <v>0</v>
      </c>
      <c r="U59" s="621">
        <v>0</v>
      </c>
      <c r="V59" s="621">
        <v>0</v>
      </c>
      <c r="W59" s="621">
        <v>0</v>
      </c>
      <c r="X59" s="621">
        <v>0</v>
      </c>
      <c r="Y59" s="621">
        <v>0</v>
      </c>
      <c r="Z59" s="621">
        <v>0</v>
      </c>
      <c r="AA59" s="621">
        <v>0</v>
      </c>
      <c r="AB59" s="621">
        <v>0</v>
      </c>
      <c r="AC59" s="622">
        <v>0</v>
      </c>
      <c r="AD59" s="86"/>
      <c r="AE59" s="85"/>
      <c r="AF59" s="85"/>
      <c r="AG59" s="85"/>
      <c r="AH59" s="85"/>
      <c r="AI59" s="85"/>
      <c r="AJ59" s="85"/>
      <c r="AK59" s="85"/>
      <c r="AM59" s="110"/>
    </row>
    <row r="60" spans="1:39" ht="36" customHeight="1">
      <c r="A60" s="837" t="str">
        <f>A48</f>
        <v xml:space="preserve"> Stairway, and Mechanical_Electrical</v>
      </c>
      <c r="B60" s="842" t="str">
        <f>B48</f>
        <v>Ancillary</v>
      </c>
      <c r="C60" s="899" t="s">
        <v>249</v>
      </c>
      <c r="D60" s="802" t="s">
        <v>689</v>
      </c>
      <c r="E60" s="199" t="s">
        <v>675</v>
      </c>
      <c r="F60" s="208">
        <v>1</v>
      </c>
      <c r="G60" s="208">
        <v>1</v>
      </c>
      <c r="H60" s="208">
        <v>1</v>
      </c>
      <c r="I60" s="208">
        <v>1</v>
      </c>
      <c r="J60" s="208">
        <v>1</v>
      </c>
      <c r="K60" s="208">
        <v>0.25</v>
      </c>
      <c r="L60" s="208">
        <v>0.25</v>
      </c>
      <c r="M60" s="208">
        <v>0.25</v>
      </c>
      <c r="N60" s="208">
        <v>0.25</v>
      </c>
      <c r="O60" s="208">
        <v>0.25</v>
      </c>
      <c r="P60" s="208">
        <v>0.25</v>
      </c>
      <c r="Q60" s="208">
        <v>0.25</v>
      </c>
      <c r="R60" s="208">
        <v>0.25</v>
      </c>
      <c r="S60" s="208">
        <v>0.25</v>
      </c>
      <c r="T60" s="208">
        <v>0.25</v>
      </c>
      <c r="U60" s="208">
        <v>0.25</v>
      </c>
      <c r="V60" s="208">
        <v>0.25</v>
      </c>
      <c r="W60" s="208">
        <v>0.25</v>
      </c>
      <c r="X60" s="208">
        <v>0.25</v>
      </c>
      <c r="Y60" s="208">
        <v>0.25</v>
      </c>
      <c r="Z60" s="208">
        <v>0.25</v>
      </c>
      <c r="AA60" s="208">
        <v>0.25</v>
      </c>
      <c r="AB60" s="208">
        <v>0.25</v>
      </c>
      <c r="AC60" s="209">
        <v>0.25</v>
      </c>
      <c r="AD60" s="86"/>
      <c r="AE60" s="85"/>
      <c r="AF60" s="85"/>
      <c r="AG60" s="85"/>
      <c r="AH60" s="85"/>
      <c r="AI60" s="85"/>
      <c r="AJ60" s="85"/>
      <c r="AK60" s="85"/>
      <c r="AM60" s="110"/>
    </row>
    <row r="61" spans="1:39" ht="36" customHeight="1">
      <c r="A61" s="817"/>
      <c r="B61" s="809"/>
      <c r="C61" s="812"/>
      <c r="D61" s="803"/>
      <c r="E61" s="200" t="s">
        <v>504</v>
      </c>
      <c r="F61" s="194">
        <v>1</v>
      </c>
      <c r="G61" s="194">
        <v>1</v>
      </c>
      <c r="H61" s="194">
        <v>1</v>
      </c>
      <c r="I61" s="194">
        <v>1</v>
      </c>
      <c r="J61" s="194">
        <v>1</v>
      </c>
      <c r="K61" s="336">
        <v>1</v>
      </c>
      <c r="L61" s="336">
        <v>1</v>
      </c>
      <c r="M61" s="336">
        <v>1</v>
      </c>
      <c r="N61" s="336">
        <v>1</v>
      </c>
      <c r="O61" s="336">
        <v>1</v>
      </c>
      <c r="P61" s="336">
        <v>1</v>
      </c>
      <c r="Q61" s="336">
        <v>1</v>
      </c>
      <c r="R61" s="336">
        <v>1</v>
      </c>
      <c r="S61" s="336">
        <v>1</v>
      </c>
      <c r="T61" s="336">
        <v>1</v>
      </c>
      <c r="U61" s="336">
        <v>1</v>
      </c>
      <c r="V61" s="336">
        <v>1</v>
      </c>
      <c r="W61" s="336">
        <v>1</v>
      </c>
      <c r="X61" s="336">
        <v>1</v>
      </c>
      <c r="Y61" s="194">
        <v>1</v>
      </c>
      <c r="Z61" s="194">
        <v>1</v>
      </c>
      <c r="AA61" s="194">
        <v>1</v>
      </c>
      <c r="AB61" s="194">
        <v>1</v>
      </c>
      <c r="AC61" s="195">
        <v>1</v>
      </c>
      <c r="AD61" s="86"/>
      <c r="AE61" s="85"/>
      <c r="AF61" s="85"/>
      <c r="AG61" s="85"/>
      <c r="AH61" s="85"/>
      <c r="AI61" s="85"/>
      <c r="AJ61" s="85"/>
      <c r="AK61" s="85"/>
      <c r="AM61" s="110"/>
    </row>
    <row r="62" spans="1:39" ht="36" customHeight="1" thickBot="1">
      <c r="A62" s="818"/>
      <c r="B62" s="809"/>
      <c r="C62" s="854"/>
      <c r="D62" s="804"/>
      <c r="E62" s="201" t="s">
        <v>506</v>
      </c>
      <c r="F62" s="197">
        <v>1</v>
      </c>
      <c r="G62" s="197">
        <v>1</v>
      </c>
      <c r="H62" s="197">
        <v>1</v>
      </c>
      <c r="I62" s="197">
        <v>1</v>
      </c>
      <c r="J62" s="197">
        <v>1</v>
      </c>
      <c r="K62" s="197">
        <v>1</v>
      </c>
      <c r="L62" s="197">
        <v>1</v>
      </c>
      <c r="M62" s="197">
        <v>1</v>
      </c>
      <c r="N62" s="197">
        <v>1</v>
      </c>
      <c r="O62" s="197">
        <v>1</v>
      </c>
      <c r="P62" s="197">
        <v>1</v>
      </c>
      <c r="Q62" s="197">
        <v>1</v>
      </c>
      <c r="R62" s="197">
        <v>1</v>
      </c>
      <c r="S62" s="197">
        <v>1</v>
      </c>
      <c r="T62" s="197">
        <v>1</v>
      </c>
      <c r="U62" s="197">
        <v>1</v>
      </c>
      <c r="V62" s="197">
        <v>1</v>
      </c>
      <c r="W62" s="197">
        <v>1</v>
      </c>
      <c r="X62" s="197">
        <v>1</v>
      </c>
      <c r="Y62" s="197">
        <v>1</v>
      </c>
      <c r="Z62" s="197">
        <v>1</v>
      </c>
      <c r="AA62" s="197">
        <v>1</v>
      </c>
      <c r="AB62" s="197">
        <v>1</v>
      </c>
      <c r="AC62" s="198">
        <v>1</v>
      </c>
      <c r="AD62" s="86"/>
      <c r="AE62" s="85"/>
      <c r="AF62" s="85"/>
      <c r="AG62" s="85"/>
      <c r="AH62" s="85"/>
      <c r="AI62" s="85"/>
      <c r="AJ62" s="85"/>
      <c r="AK62" s="85"/>
      <c r="AM62" s="110"/>
    </row>
    <row r="63" spans="1:39" ht="36" customHeight="1">
      <c r="A63" s="805" t="str">
        <f>A51</f>
        <v xml:space="preserve"> Stairway, and Mechanical_Electrical</v>
      </c>
      <c r="B63" s="808" t="str">
        <f>B51</f>
        <v>Ancillary</v>
      </c>
      <c r="C63" s="929" t="s">
        <v>684</v>
      </c>
      <c r="D63" s="929" t="s">
        <v>286</v>
      </c>
      <c r="E63" s="355" t="s">
        <v>675</v>
      </c>
      <c r="F63" s="623">
        <f>Thermostat!$C$7</f>
        <v>60</v>
      </c>
      <c r="G63" s="624">
        <f>Thermostat!$C$7</f>
        <v>60</v>
      </c>
      <c r="H63" s="624">
        <f>Thermostat!$C$7</f>
        <v>60</v>
      </c>
      <c r="I63" s="624">
        <f>Thermostat!$C$7</f>
        <v>60</v>
      </c>
      <c r="J63" s="624">
        <f>Thermostat!$C$7</f>
        <v>60</v>
      </c>
      <c r="K63" s="624">
        <f>Thermostat!$C$7</f>
        <v>60</v>
      </c>
      <c r="L63" s="624">
        <f>Thermostat!$C$7</f>
        <v>60</v>
      </c>
      <c r="M63" s="624">
        <f>Thermostat!$C$7</f>
        <v>60</v>
      </c>
      <c r="N63" s="624">
        <f>Thermostat!$C$7</f>
        <v>60</v>
      </c>
      <c r="O63" s="624">
        <f>Thermostat!$C$7</f>
        <v>60</v>
      </c>
      <c r="P63" s="624">
        <f>Thermostat!$C$7</f>
        <v>60</v>
      </c>
      <c r="Q63" s="624">
        <f>Thermostat!$C$7</f>
        <v>60</v>
      </c>
      <c r="R63" s="624">
        <f>Thermostat!$C$7</f>
        <v>60</v>
      </c>
      <c r="S63" s="624">
        <f>Thermostat!$C$7</f>
        <v>60</v>
      </c>
      <c r="T63" s="624">
        <f>Thermostat!$C$7</f>
        <v>60</v>
      </c>
      <c r="U63" s="624">
        <f>Thermostat!$C$7</f>
        <v>60</v>
      </c>
      <c r="V63" s="624">
        <f>Thermostat!$C$7</f>
        <v>60</v>
      </c>
      <c r="W63" s="624">
        <f>Thermostat!$C$7</f>
        <v>60</v>
      </c>
      <c r="X63" s="624">
        <f>Thermostat!$C$7</f>
        <v>60</v>
      </c>
      <c r="Y63" s="624">
        <f>Thermostat!$C$7</f>
        <v>60</v>
      </c>
      <c r="Z63" s="624">
        <f>Thermostat!$C$7</f>
        <v>60</v>
      </c>
      <c r="AA63" s="624">
        <f>Thermostat!$C$7</f>
        <v>60</v>
      </c>
      <c r="AB63" s="624">
        <f>Thermostat!$C$7</f>
        <v>60</v>
      </c>
      <c r="AC63" s="625">
        <f>Thermostat!$C$7</f>
        <v>60</v>
      </c>
      <c r="AD63" s="86"/>
      <c r="AE63" s="85"/>
      <c r="AF63" s="85"/>
      <c r="AG63" s="85"/>
      <c r="AH63" s="85"/>
      <c r="AI63" s="85"/>
      <c r="AJ63" s="85"/>
      <c r="AK63" s="85"/>
      <c r="AM63" s="110"/>
    </row>
    <row r="64" spans="1:39" ht="36" customHeight="1">
      <c r="A64" s="806"/>
      <c r="B64" s="809"/>
      <c r="C64" s="884"/>
      <c r="D64" s="884"/>
      <c r="E64" s="354" t="s">
        <v>504</v>
      </c>
      <c r="F64" s="626">
        <f>Thermostat!$C$7</f>
        <v>60</v>
      </c>
      <c r="G64" s="627">
        <f>Thermostat!$C$7</f>
        <v>60</v>
      </c>
      <c r="H64" s="627">
        <f>Thermostat!$C$7</f>
        <v>60</v>
      </c>
      <c r="I64" s="627">
        <f>Thermostat!$C$7</f>
        <v>60</v>
      </c>
      <c r="J64" s="627">
        <f>Thermostat!$C$7</f>
        <v>60</v>
      </c>
      <c r="K64" s="627">
        <f>Thermostat!$C$7</f>
        <v>60</v>
      </c>
      <c r="L64" s="627">
        <f>Thermostat!$C$7</f>
        <v>60</v>
      </c>
      <c r="M64" s="627">
        <f>Thermostat!$C$7</f>
        <v>60</v>
      </c>
      <c r="N64" s="627">
        <f>Thermostat!$C$7</f>
        <v>60</v>
      </c>
      <c r="O64" s="627">
        <f>Thermostat!$C$7</f>
        <v>60</v>
      </c>
      <c r="P64" s="627">
        <f>Thermostat!$C$7</f>
        <v>60</v>
      </c>
      <c r="Q64" s="627">
        <f>Thermostat!$C$7</f>
        <v>60</v>
      </c>
      <c r="R64" s="627">
        <f>Thermostat!$C$7</f>
        <v>60</v>
      </c>
      <c r="S64" s="627">
        <f>Thermostat!$C$7</f>
        <v>60</v>
      </c>
      <c r="T64" s="627">
        <f>Thermostat!$C$7</f>
        <v>60</v>
      </c>
      <c r="U64" s="627">
        <f>Thermostat!$C$7</f>
        <v>60</v>
      </c>
      <c r="V64" s="627">
        <f>Thermostat!$C$7</f>
        <v>60</v>
      </c>
      <c r="W64" s="627">
        <f>Thermostat!$C$7</f>
        <v>60</v>
      </c>
      <c r="X64" s="627">
        <f>Thermostat!$C$7</f>
        <v>60</v>
      </c>
      <c r="Y64" s="627">
        <f>Thermostat!$C$7</f>
        <v>60</v>
      </c>
      <c r="Z64" s="627">
        <f>Thermostat!$C$7</f>
        <v>60</v>
      </c>
      <c r="AA64" s="627">
        <f>Thermostat!$C$7</f>
        <v>60</v>
      </c>
      <c r="AB64" s="627">
        <f>Thermostat!$C$7</f>
        <v>60</v>
      </c>
      <c r="AC64" s="628">
        <f>Thermostat!$C$7</f>
        <v>60</v>
      </c>
      <c r="AD64" s="86"/>
      <c r="AE64" s="85"/>
      <c r="AF64" s="85"/>
      <c r="AG64" s="85"/>
      <c r="AH64" s="85"/>
      <c r="AI64" s="85"/>
      <c r="AJ64" s="85"/>
      <c r="AK64" s="85"/>
      <c r="AM64" s="110"/>
    </row>
    <row r="65" spans="1:39" ht="36" customHeight="1" thickBot="1">
      <c r="A65" s="931"/>
      <c r="B65" s="809"/>
      <c r="C65" s="930"/>
      <c r="D65" s="930"/>
      <c r="E65" s="357" t="s">
        <v>506</v>
      </c>
      <c r="F65" s="629">
        <f>Thermostat!$C$7</f>
        <v>60</v>
      </c>
      <c r="G65" s="630">
        <f>Thermostat!$C$7</f>
        <v>60</v>
      </c>
      <c r="H65" s="630">
        <f>Thermostat!$C$7</f>
        <v>60</v>
      </c>
      <c r="I65" s="630">
        <f>Thermostat!$C$7</f>
        <v>60</v>
      </c>
      <c r="J65" s="630">
        <f>Thermostat!$C$7</f>
        <v>60</v>
      </c>
      <c r="K65" s="630">
        <f>Thermostat!$C$7</f>
        <v>60</v>
      </c>
      <c r="L65" s="630">
        <f>Thermostat!$C$7</f>
        <v>60</v>
      </c>
      <c r="M65" s="630">
        <f>Thermostat!$C$7</f>
        <v>60</v>
      </c>
      <c r="N65" s="630">
        <f>Thermostat!$C$7</f>
        <v>60</v>
      </c>
      <c r="O65" s="630">
        <f>Thermostat!$C$7</f>
        <v>60</v>
      </c>
      <c r="P65" s="630">
        <f>Thermostat!$C$7</f>
        <v>60</v>
      </c>
      <c r="Q65" s="630">
        <f>Thermostat!$C$7</f>
        <v>60</v>
      </c>
      <c r="R65" s="630">
        <f>Thermostat!$C$7</f>
        <v>60</v>
      </c>
      <c r="S65" s="630">
        <f>Thermostat!$C$7</f>
        <v>60</v>
      </c>
      <c r="T65" s="630">
        <f>Thermostat!$C$7</f>
        <v>60</v>
      </c>
      <c r="U65" s="630">
        <f>Thermostat!$C$7</f>
        <v>60</v>
      </c>
      <c r="V65" s="630">
        <f>Thermostat!$C$7</f>
        <v>60</v>
      </c>
      <c r="W65" s="630">
        <f>Thermostat!$C$7</f>
        <v>60</v>
      </c>
      <c r="X65" s="630">
        <f>Thermostat!$C$7</f>
        <v>60</v>
      </c>
      <c r="Y65" s="630">
        <f>Thermostat!$C$7</f>
        <v>60</v>
      </c>
      <c r="Z65" s="630">
        <f>Thermostat!$C$7</f>
        <v>60</v>
      </c>
      <c r="AA65" s="630">
        <f>Thermostat!$C$7</f>
        <v>60</v>
      </c>
      <c r="AB65" s="630">
        <f>Thermostat!$C$7</f>
        <v>60</v>
      </c>
      <c r="AC65" s="631">
        <f>Thermostat!$C$7</f>
        <v>60</v>
      </c>
      <c r="AD65" s="86"/>
      <c r="AE65" s="85"/>
      <c r="AF65" s="85"/>
      <c r="AG65" s="85"/>
      <c r="AH65" s="85"/>
      <c r="AI65" s="85"/>
      <c r="AJ65" s="85"/>
      <c r="AK65" s="85"/>
      <c r="AM65" s="110"/>
    </row>
    <row r="66" spans="1:39" ht="36" customHeight="1">
      <c r="A66" s="926" t="str">
        <f>A48</f>
        <v xml:space="preserve"> Stairway, and Mechanical_Electrical</v>
      </c>
      <c r="B66" s="808" t="str">
        <f>B48</f>
        <v>Ancillary</v>
      </c>
      <c r="C66" s="925" t="s">
        <v>685</v>
      </c>
      <c r="D66" s="923" t="s">
        <v>286</v>
      </c>
      <c r="E66" s="355" t="s">
        <v>675</v>
      </c>
      <c r="F66" s="623">
        <f>Thermostat!$C$9</f>
        <v>85</v>
      </c>
      <c r="G66" s="624">
        <f>Thermostat!$C$9</f>
        <v>85</v>
      </c>
      <c r="H66" s="624">
        <f>Thermostat!$C$9</f>
        <v>85</v>
      </c>
      <c r="I66" s="624">
        <f>Thermostat!$C$9</f>
        <v>85</v>
      </c>
      <c r="J66" s="624">
        <f>Thermostat!$C$9</f>
        <v>85</v>
      </c>
      <c r="K66" s="624">
        <f>Thermostat!$C$9</f>
        <v>85</v>
      </c>
      <c r="L66" s="624">
        <f>Thermostat!$C$9</f>
        <v>85</v>
      </c>
      <c r="M66" s="624">
        <f>Thermostat!$C$9</f>
        <v>85</v>
      </c>
      <c r="N66" s="624">
        <f>Thermostat!$C$9</f>
        <v>85</v>
      </c>
      <c r="O66" s="624">
        <f>Thermostat!$C$9</f>
        <v>85</v>
      </c>
      <c r="P66" s="624">
        <f>Thermostat!$C$9</f>
        <v>85</v>
      </c>
      <c r="Q66" s="624">
        <f>Thermostat!$C$9</f>
        <v>85</v>
      </c>
      <c r="R66" s="624">
        <f>Thermostat!$C$9</f>
        <v>85</v>
      </c>
      <c r="S66" s="624">
        <f>Thermostat!$C$9</f>
        <v>85</v>
      </c>
      <c r="T66" s="624">
        <f>Thermostat!$C$9</f>
        <v>85</v>
      </c>
      <c r="U66" s="624">
        <f>Thermostat!$C$9</f>
        <v>85</v>
      </c>
      <c r="V66" s="624">
        <f>Thermostat!$C$9</f>
        <v>85</v>
      </c>
      <c r="W66" s="624">
        <f>Thermostat!$C$9</f>
        <v>85</v>
      </c>
      <c r="X66" s="624">
        <f>Thermostat!$C$9</f>
        <v>85</v>
      </c>
      <c r="Y66" s="624">
        <f>Thermostat!$C$9</f>
        <v>85</v>
      </c>
      <c r="Z66" s="624">
        <f>Thermostat!$C$9</f>
        <v>85</v>
      </c>
      <c r="AA66" s="624">
        <f>Thermostat!$C$9</f>
        <v>85</v>
      </c>
      <c r="AB66" s="624">
        <f>Thermostat!$C$9</f>
        <v>85</v>
      </c>
      <c r="AC66" s="625">
        <f>Thermostat!$C$9</f>
        <v>85</v>
      </c>
      <c r="AD66" s="86"/>
      <c r="AE66" s="85"/>
      <c r="AF66" s="85"/>
      <c r="AG66" s="85"/>
      <c r="AH66" s="85"/>
      <c r="AI66" s="85"/>
      <c r="AJ66" s="85"/>
      <c r="AK66" s="85"/>
      <c r="AM66" s="110"/>
    </row>
    <row r="67" spans="1:39" ht="36" customHeight="1">
      <c r="A67" s="927"/>
      <c r="B67" s="809"/>
      <c r="C67" s="906"/>
      <c r="D67" s="859"/>
      <c r="E67" s="354" t="s">
        <v>504</v>
      </c>
      <c r="F67" s="626">
        <f>Thermostat!$C$9</f>
        <v>85</v>
      </c>
      <c r="G67" s="627">
        <f>Thermostat!$C$9</f>
        <v>85</v>
      </c>
      <c r="H67" s="627">
        <f>Thermostat!$C$9</f>
        <v>85</v>
      </c>
      <c r="I67" s="627">
        <f>Thermostat!$C$9</f>
        <v>85</v>
      </c>
      <c r="J67" s="627">
        <f>Thermostat!$C$9</f>
        <v>85</v>
      </c>
      <c r="K67" s="627">
        <f>Thermostat!$C$9</f>
        <v>85</v>
      </c>
      <c r="L67" s="627">
        <f>Thermostat!$C$9</f>
        <v>85</v>
      </c>
      <c r="M67" s="627">
        <f>Thermostat!$C$9</f>
        <v>85</v>
      </c>
      <c r="N67" s="627">
        <f>Thermostat!$C$9</f>
        <v>85</v>
      </c>
      <c r="O67" s="627">
        <f>Thermostat!$C$9</f>
        <v>85</v>
      </c>
      <c r="P67" s="627">
        <f>Thermostat!$C$9</f>
        <v>85</v>
      </c>
      <c r="Q67" s="627">
        <f>Thermostat!$C$9</f>
        <v>85</v>
      </c>
      <c r="R67" s="627">
        <f>Thermostat!$C$9</f>
        <v>85</v>
      </c>
      <c r="S67" s="627">
        <f>Thermostat!$C$9</f>
        <v>85</v>
      </c>
      <c r="T67" s="627">
        <f>Thermostat!$C$9</f>
        <v>85</v>
      </c>
      <c r="U67" s="627">
        <f>Thermostat!$C$9</f>
        <v>85</v>
      </c>
      <c r="V67" s="627">
        <f>Thermostat!$C$9</f>
        <v>85</v>
      </c>
      <c r="W67" s="627">
        <f>Thermostat!$C$9</f>
        <v>85</v>
      </c>
      <c r="X67" s="627">
        <f>Thermostat!$C$9</f>
        <v>85</v>
      </c>
      <c r="Y67" s="627">
        <f>Thermostat!$C$9</f>
        <v>85</v>
      </c>
      <c r="Z67" s="627">
        <f>Thermostat!$C$9</f>
        <v>85</v>
      </c>
      <c r="AA67" s="627">
        <f>Thermostat!$C$9</f>
        <v>85</v>
      </c>
      <c r="AB67" s="627">
        <f>Thermostat!$C$9</f>
        <v>85</v>
      </c>
      <c r="AC67" s="628">
        <f>Thermostat!$C$9</f>
        <v>85</v>
      </c>
      <c r="AD67" s="86"/>
      <c r="AE67" s="85"/>
      <c r="AF67" s="85"/>
      <c r="AG67" s="85"/>
      <c r="AH67" s="85"/>
      <c r="AI67" s="85"/>
      <c r="AJ67" s="85"/>
      <c r="AK67" s="85"/>
      <c r="AM67" s="110"/>
    </row>
    <row r="68" spans="1:39" ht="36" customHeight="1" thickBot="1">
      <c r="A68" s="928"/>
      <c r="B68" s="810"/>
      <c r="C68" s="922"/>
      <c r="D68" s="924"/>
      <c r="E68" s="356" t="s">
        <v>506</v>
      </c>
      <c r="F68" s="629">
        <f>Thermostat!$C$9</f>
        <v>85</v>
      </c>
      <c r="G68" s="630">
        <f>Thermostat!$C$9</f>
        <v>85</v>
      </c>
      <c r="H68" s="630">
        <f>Thermostat!$C$9</f>
        <v>85</v>
      </c>
      <c r="I68" s="630">
        <f>Thermostat!$C$9</f>
        <v>85</v>
      </c>
      <c r="J68" s="630">
        <f>Thermostat!$C$9</f>
        <v>85</v>
      </c>
      <c r="K68" s="630">
        <f>Thermostat!$C$9</f>
        <v>85</v>
      </c>
      <c r="L68" s="630">
        <f>Thermostat!$C$9</f>
        <v>85</v>
      </c>
      <c r="M68" s="630">
        <f>Thermostat!$C$9</f>
        <v>85</v>
      </c>
      <c r="N68" s="630">
        <f>Thermostat!$C$9</f>
        <v>85</v>
      </c>
      <c r="O68" s="630">
        <f>Thermostat!$C$9</f>
        <v>85</v>
      </c>
      <c r="P68" s="630">
        <f>Thermostat!$C$9</f>
        <v>85</v>
      </c>
      <c r="Q68" s="630">
        <f>Thermostat!$C$9</f>
        <v>85</v>
      </c>
      <c r="R68" s="630">
        <f>Thermostat!$C$9</f>
        <v>85</v>
      </c>
      <c r="S68" s="630">
        <f>Thermostat!$C$9</f>
        <v>85</v>
      </c>
      <c r="T68" s="630">
        <f>Thermostat!$C$9</f>
        <v>85</v>
      </c>
      <c r="U68" s="630">
        <f>Thermostat!$C$9</f>
        <v>85</v>
      </c>
      <c r="V68" s="630">
        <f>Thermostat!$C$9</f>
        <v>85</v>
      </c>
      <c r="W68" s="630">
        <f>Thermostat!$C$9</f>
        <v>85</v>
      </c>
      <c r="X68" s="630">
        <f>Thermostat!$C$9</f>
        <v>85</v>
      </c>
      <c r="Y68" s="630">
        <f>Thermostat!$C$9</f>
        <v>85</v>
      </c>
      <c r="Z68" s="630">
        <f>Thermostat!$C$9</f>
        <v>85</v>
      </c>
      <c r="AA68" s="630">
        <f>Thermostat!$C$9</f>
        <v>85</v>
      </c>
      <c r="AB68" s="630">
        <f>Thermostat!$C$9</f>
        <v>85</v>
      </c>
      <c r="AC68" s="631">
        <f>Thermostat!$C$9</f>
        <v>85</v>
      </c>
      <c r="AD68" s="86"/>
      <c r="AE68" s="85"/>
      <c r="AF68" s="85"/>
      <c r="AG68" s="85"/>
      <c r="AH68" s="85"/>
      <c r="AI68" s="85"/>
      <c r="AJ68" s="85"/>
      <c r="AK68" s="85"/>
      <c r="AM68" s="110"/>
    </row>
    <row r="69" spans="1:39" ht="36" customHeight="1" thickBot="1">
      <c r="A69" s="850" t="s">
        <v>692</v>
      </c>
      <c r="B69" s="851"/>
      <c r="C69" s="851"/>
      <c r="D69" s="851"/>
      <c r="E69" s="851"/>
      <c r="F69" s="851"/>
      <c r="G69" s="851"/>
      <c r="H69" s="851"/>
      <c r="I69" s="851"/>
      <c r="J69" s="851"/>
      <c r="K69" s="851"/>
      <c r="L69" s="851"/>
      <c r="M69" s="851"/>
      <c r="N69" s="851"/>
      <c r="O69" s="851"/>
      <c r="P69" s="851"/>
      <c r="Q69" s="851"/>
      <c r="R69" s="851"/>
      <c r="S69" s="851"/>
      <c r="T69" s="851"/>
      <c r="U69" s="851"/>
      <c r="V69" s="851"/>
      <c r="W69" s="851"/>
      <c r="X69" s="851"/>
      <c r="Y69" s="851"/>
      <c r="Z69" s="851"/>
      <c r="AA69" s="851"/>
      <c r="AB69" s="851"/>
      <c r="AC69" s="852"/>
      <c r="AD69" s="334" t="s">
        <v>650</v>
      </c>
      <c r="AE69" s="85"/>
      <c r="AF69" s="85"/>
      <c r="AG69" s="85"/>
      <c r="AH69" s="85"/>
      <c r="AI69" s="85"/>
      <c r="AJ69" s="85"/>
      <c r="AK69" s="85"/>
      <c r="AM69" s="110"/>
    </row>
    <row r="70" spans="1:39" ht="36" customHeight="1">
      <c r="A70" s="805" t="s">
        <v>693</v>
      </c>
      <c r="B70" s="920" t="s">
        <v>109</v>
      </c>
      <c r="C70" s="811" t="s">
        <v>554</v>
      </c>
      <c r="D70" s="858" t="s">
        <v>694</v>
      </c>
      <c r="E70" s="228" t="s">
        <v>675</v>
      </c>
      <c r="F70" s="265">
        <v>0</v>
      </c>
      <c r="G70" s="265">
        <v>0</v>
      </c>
      <c r="H70" s="265">
        <v>0</v>
      </c>
      <c r="I70" s="265">
        <v>0</v>
      </c>
      <c r="J70" s="265">
        <v>0</v>
      </c>
      <c r="K70" s="265">
        <v>0</v>
      </c>
      <c r="L70" s="265">
        <v>0</v>
      </c>
      <c r="M70" s="265">
        <v>0.35</v>
      </c>
      <c r="N70" s="265">
        <v>0.69</v>
      </c>
      <c r="O70" s="265">
        <v>0.43</v>
      </c>
      <c r="P70" s="265">
        <v>0.37</v>
      </c>
      <c r="Q70" s="265">
        <v>0.43</v>
      </c>
      <c r="R70" s="265">
        <v>0.57999999999999996</v>
      </c>
      <c r="S70" s="265">
        <v>0.48</v>
      </c>
      <c r="T70" s="265">
        <v>0.37</v>
      </c>
      <c r="U70" s="265">
        <v>0.37</v>
      </c>
      <c r="V70" s="265">
        <v>0.46</v>
      </c>
      <c r="W70" s="265">
        <v>0.62</v>
      </c>
      <c r="X70" s="265">
        <v>0.2</v>
      </c>
      <c r="Y70" s="265">
        <v>0.12</v>
      </c>
      <c r="Z70" s="265">
        <v>0.04</v>
      </c>
      <c r="AA70" s="265">
        <v>0.04</v>
      </c>
      <c r="AB70" s="265">
        <v>0</v>
      </c>
      <c r="AC70" s="266">
        <v>0</v>
      </c>
      <c r="AD70" s="86">
        <f>SUM(F70:AC70)*261+ SUM(F71:AC71)*52+ SUM(F72:AC72)*52</f>
        <v>1448.5500000000002</v>
      </c>
      <c r="AE70" s="85"/>
      <c r="AF70" s="85"/>
      <c r="AG70" s="85"/>
      <c r="AH70" s="85"/>
      <c r="AI70" s="85"/>
      <c r="AJ70" s="85"/>
      <c r="AK70" s="85"/>
      <c r="AM70" s="110"/>
    </row>
    <row r="71" spans="1:39" ht="36" customHeight="1">
      <c r="A71" s="806"/>
      <c r="B71" s="917"/>
      <c r="C71" s="906"/>
      <c r="D71" s="859"/>
      <c r="E71" s="200" t="s">
        <v>504</v>
      </c>
      <c r="F71" s="232">
        <v>0</v>
      </c>
      <c r="G71" s="232">
        <v>0</v>
      </c>
      <c r="H71" s="232">
        <v>0</v>
      </c>
      <c r="I71" s="232">
        <v>0</v>
      </c>
      <c r="J71" s="232">
        <v>0</v>
      </c>
      <c r="K71" s="270">
        <v>0</v>
      </c>
      <c r="L71" s="270">
        <v>0</v>
      </c>
      <c r="M71" s="270">
        <v>0</v>
      </c>
      <c r="N71" s="270">
        <v>0</v>
      </c>
      <c r="O71" s="270">
        <v>0</v>
      </c>
      <c r="P71" s="270">
        <v>0</v>
      </c>
      <c r="Q71" s="270">
        <v>0</v>
      </c>
      <c r="R71" s="270">
        <v>0</v>
      </c>
      <c r="S71" s="270">
        <v>0</v>
      </c>
      <c r="T71" s="270">
        <v>0</v>
      </c>
      <c r="U71" s="270">
        <v>0</v>
      </c>
      <c r="V71" s="270">
        <v>0</v>
      </c>
      <c r="W71" s="270">
        <v>0</v>
      </c>
      <c r="X71" s="270">
        <v>0</v>
      </c>
      <c r="Y71" s="232">
        <v>0</v>
      </c>
      <c r="Z71" s="232">
        <v>0</v>
      </c>
      <c r="AA71" s="232">
        <v>0</v>
      </c>
      <c r="AB71" s="232">
        <v>0</v>
      </c>
      <c r="AC71" s="267">
        <v>0</v>
      </c>
      <c r="AD71" s="86"/>
      <c r="AE71" s="85"/>
      <c r="AF71" s="85"/>
      <c r="AG71" s="85"/>
      <c r="AH71" s="85"/>
      <c r="AI71" s="85"/>
      <c r="AJ71" s="85"/>
      <c r="AK71" s="85"/>
      <c r="AM71" s="110"/>
    </row>
    <row r="72" spans="1:39" ht="36" customHeight="1">
      <c r="A72" s="807"/>
      <c r="B72" s="921"/>
      <c r="C72" s="922"/>
      <c r="D72" s="904"/>
      <c r="E72" s="229" t="s">
        <v>506</v>
      </c>
      <c r="F72" s="268">
        <v>0</v>
      </c>
      <c r="G72" s="268">
        <v>0</v>
      </c>
      <c r="H72" s="268">
        <v>0</v>
      </c>
      <c r="I72" s="268">
        <v>0</v>
      </c>
      <c r="J72" s="268">
        <v>0</v>
      </c>
      <c r="K72" s="268">
        <v>0</v>
      </c>
      <c r="L72" s="268">
        <v>0</v>
      </c>
      <c r="M72" s="268">
        <v>0</v>
      </c>
      <c r="N72" s="268">
        <v>0</v>
      </c>
      <c r="O72" s="268">
        <v>0</v>
      </c>
      <c r="P72" s="268">
        <v>0</v>
      </c>
      <c r="Q72" s="268">
        <v>0</v>
      </c>
      <c r="R72" s="268">
        <v>0</v>
      </c>
      <c r="S72" s="268">
        <v>0</v>
      </c>
      <c r="T72" s="268">
        <v>0</v>
      </c>
      <c r="U72" s="268">
        <v>0</v>
      </c>
      <c r="V72" s="268">
        <v>0</v>
      </c>
      <c r="W72" s="268">
        <v>0</v>
      </c>
      <c r="X72" s="268">
        <v>0</v>
      </c>
      <c r="Y72" s="268">
        <v>0</v>
      </c>
      <c r="Z72" s="268">
        <v>0</v>
      </c>
      <c r="AA72" s="268">
        <v>0</v>
      </c>
      <c r="AB72" s="268">
        <v>0</v>
      </c>
      <c r="AC72" s="269">
        <v>0</v>
      </c>
      <c r="AD72" s="86"/>
      <c r="AE72" s="85"/>
      <c r="AF72" s="85"/>
      <c r="AG72" s="85"/>
      <c r="AH72" s="85"/>
      <c r="AI72" s="85"/>
      <c r="AJ72" s="85"/>
      <c r="AK72" s="85"/>
      <c r="AM72" s="110"/>
    </row>
    <row r="73" spans="1:39" ht="36" customHeight="1">
      <c r="A73" s="816"/>
      <c r="B73" s="916" t="s">
        <v>109</v>
      </c>
      <c r="C73" s="820" t="s">
        <v>695</v>
      </c>
      <c r="D73" s="859"/>
      <c r="E73" s="228" t="s">
        <v>675</v>
      </c>
      <c r="F73" s="265">
        <v>1</v>
      </c>
      <c r="G73" s="265">
        <v>1</v>
      </c>
      <c r="H73" s="265">
        <v>1</v>
      </c>
      <c r="I73" s="265">
        <v>1</v>
      </c>
      <c r="J73" s="265">
        <v>1</v>
      </c>
      <c r="K73" s="265">
        <v>1</v>
      </c>
      <c r="L73" s="265">
        <v>1</v>
      </c>
      <c r="M73" s="265">
        <v>1</v>
      </c>
      <c r="N73" s="265">
        <v>1</v>
      </c>
      <c r="O73" s="265">
        <v>1</v>
      </c>
      <c r="P73" s="265">
        <v>1</v>
      </c>
      <c r="Q73" s="265">
        <v>1</v>
      </c>
      <c r="R73" s="265">
        <v>1</v>
      </c>
      <c r="S73" s="265">
        <v>1</v>
      </c>
      <c r="T73" s="265">
        <v>1</v>
      </c>
      <c r="U73" s="265">
        <v>1</v>
      </c>
      <c r="V73" s="265">
        <v>1</v>
      </c>
      <c r="W73" s="265">
        <v>1</v>
      </c>
      <c r="X73" s="265">
        <v>1</v>
      </c>
      <c r="Y73" s="265">
        <v>1</v>
      </c>
      <c r="Z73" s="265">
        <v>1</v>
      </c>
      <c r="AA73" s="265">
        <v>1</v>
      </c>
      <c r="AB73" s="265">
        <v>1</v>
      </c>
      <c r="AC73" s="266">
        <v>1</v>
      </c>
      <c r="AD73" s="86"/>
      <c r="AE73" s="85"/>
      <c r="AF73" s="85"/>
      <c r="AG73" s="85"/>
      <c r="AH73" s="85"/>
      <c r="AI73" s="85"/>
      <c r="AJ73" s="85"/>
      <c r="AK73" s="85"/>
      <c r="AM73" s="110"/>
    </row>
    <row r="74" spans="1:39" ht="36" customHeight="1">
      <c r="A74" s="817"/>
      <c r="B74" s="917"/>
      <c r="C74" s="906"/>
      <c r="D74" s="859"/>
      <c r="E74" s="200" t="s">
        <v>504</v>
      </c>
      <c r="F74" s="232">
        <v>1</v>
      </c>
      <c r="G74" s="232">
        <v>1</v>
      </c>
      <c r="H74" s="232">
        <v>1</v>
      </c>
      <c r="I74" s="232">
        <v>1</v>
      </c>
      <c r="J74" s="232">
        <v>1</v>
      </c>
      <c r="K74" s="232">
        <v>1</v>
      </c>
      <c r="L74" s="232">
        <v>1</v>
      </c>
      <c r="M74" s="232">
        <v>1</v>
      </c>
      <c r="N74" s="232">
        <v>1</v>
      </c>
      <c r="O74" s="232">
        <v>1</v>
      </c>
      <c r="P74" s="232">
        <v>1</v>
      </c>
      <c r="Q74" s="232">
        <v>1</v>
      </c>
      <c r="R74" s="232">
        <v>1</v>
      </c>
      <c r="S74" s="232">
        <v>1</v>
      </c>
      <c r="T74" s="232">
        <v>1</v>
      </c>
      <c r="U74" s="232">
        <v>1</v>
      </c>
      <c r="V74" s="232">
        <v>1</v>
      </c>
      <c r="W74" s="232">
        <v>1</v>
      </c>
      <c r="X74" s="232">
        <v>1</v>
      </c>
      <c r="Y74" s="232">
        <v>1</v>
      </c>
      <c r="Z74" s="232">
        <v>1</v>
      </c>
      <c r="AA74" s="232">
        <v>1</v>
      </c>
      <c r="AB74" s="232">
        <v>1</v>
      </c>
      <c r="AC74" s="267">
        <v>1</v>
      </c>
      <c r="AD74" s="86"/>
      <c r="AE74" s="85"/>
      <c r="AF74" s="85"/>
      <c r="AG74" s="85"/>
      <c r="AH74" s="85"/>
      <c r="AI74" s="85"/>
      <c r="AJ74" s="85"/>
      <c r="AK74" s="85"/>
      <c r="AM74" s="110"/>
    </row>
    <row r="75" spans="1:39" ht="36" customHeight="1">
      <c r="A75" s="841"/>
      <c r="B75" s="919"/>
      <c r="C75" s="907"/>
      <c r="D75" s="904"/>
      <c r="E75" s="229" t="s">
        <v>506</v>
      </c>
      <c r="F75" s="268">
        <v>1</v>
      </c>
      <c r="G75" s="268">
        <v>1</v>
      </c>
      <c r="H75" s="268">
        <v>1</v>
      </c>
      <c r="I75" s="268">
        <v>1</v>
      </c>
      <c r="J75" s="268">
        <v>1</v>
      </c>
      <c r="K75" s="268">
        <v>1</v>
      </c>
      <c r="L75" s="268">
        <v>1</v>
      </c>
      <c r="M75" s="268">
        <v>1</v>
      </c>
      <c r="N75" s="268">
        <v>1</v>
      </c>
      <c r="O75" s="268">
        <v>1</v>
      </c>
      <c r="P75" s="268">
        <v>1</v>
      </c>
      <c r="Q75" s="268">
        <v>1</v>
      </c>
      <c r="R75" s="268">
        <v>1</v>
      </c>
      <c r="S75" s="268">
        <v>1</v>
      </c>
      <c r="T75" s="268">
        <v>1</v>
      </c>
      <c r="U75" s="268">
        <v>1</v>
      </c>
      <c r="V75" s="268">
        <v>1</v>
      </c>
      <c r="W75" s="268">
        <v>1</v>
      </c>
      <c r="X75" s="268">
        <v>1</v>
      </c>
      <c r="Y75" s="268">
        <v>1</v>
      </c>
      <c r="Z75" s="268">
        <v>1</v>
      </c>
      <c r="AA75" s="268">
        <v>1</v>
      </c>
      <c r="AB75" s="268">
        <v>1</v>
      </c>
      <c r="AC75" s="269">
        <v>1</v>
      </c>
      <c r="AD75" s="86"/>
      <c r="AE75" s="85"/>
      <c r="AF75" s="85"/>
      <c r="AG75" s="85"/>
      <c r="AH75" s="85"/>
      <c r="AI75" s="85"/>
      <c r="AJ75" s="85"/>
      <c r="AK75" s="85"/>
      <c r="AM75" s="110"/>
    </row>
    <row r="76" spans="1:39" ht="36" customHeight="1">
      <c r="A76" s="913"/>
      <c r="B76" s="916" t="s">
        <v>109</v>
      </c>
      <c r="C76" s="820" t="s">
        <v>696</v>
      </c>
      <c r="D76" s="859"/>
      <c r="E76" s="207" t="s">
        <v>675</v>
      </c>
      <c r="F76" s="301">
        <v>0</v>
      </c>
      <c r="G76" s="301">
        <v>0</v>
      </c>
      <c r="H76" s="301">
        <v>0</v>
      </c>
      <c r="I76" s="301">
        <v>0</v>
      </c>
      <c r="J76" s="301">
        <v>0</v>
      </c>
      <c r="K76" s="301">
        <v>1</v>
      </c>
      <c r="L76" s="301">
        <v>1</v>
      </c>
      <c r="M76" s="301">
        <v>1</v>
      </c>
      <c r="N76" s="301">
        <v>1</v>
      </c>
      <c r="O76" s="301">
        <v>1</v>
      </c>
      <c r="P76" s="301">
        <v>1</v>
      </c>
      <c r="Q76" s="301">
        <v>1</v>
      </c>
      <c r="R76" s="301">
        <v>1</v>
      </c>
      <c r="S76" s="301">
        <v>1</v>
      </c>
      <c r="T76" s="301">
        <v>1</v>
      </c>
      <c r="U76" s="301">
        <v>1</v>
      </c>
      <c r="V76" s="301">
        <v>1</v>
      </c>
      <c r="W76" s="301">
        <v>1</v>
      </c>
      <c r="X76" s="301">
        <v>1</v>
      </c>
      <c r="Y76" s="301">
        <v>1</v>
      </c>
      <c r="Z76" s="301">
        <v>1</v>
      </c>
      <c r="AA76" s="301">
        <v>1</v>
      </c>
      <c r="AB76" s="301">
        <v>0</v>
      </c>
      <c r="AC76" s="302">
        <v>0</v>
      </c>
      <c r="AD76" s="86"/>
      <c r="AE76" s="85"/>
      <c r="AF76" s="85"/>
      <c r="AG76" s="85"/>
      <c r="AH76" s="85"/>
      <c r="AI76" s="85"/>
      <c r="AJ76" s="85"/>
      <c r="AK76" s="85"/>
      <c r="AM76" s="110"/>
    </row>
    <row r="77" spans="1:39" ht="36" customHeight="1">
      <c r="A77" s="914"/>
      <c r="B77" s="917"/>
      <c r="C77" s="906"/>
      <c r="D77" s="859"/>
      <c r="E77" s="200" t="s">
        <v>504</v>
      </c>
      <c r="F77" s="232">
        <v>0</v>
      </c>
      <c r="G77" s="232">
        <v>0</v>
      </c>
      <c r="H77" s="232">
        <v>0</v>
      </c>
      <c r="I77" s="232">
        <v>0</v>
      </c>
      <c r="J77" s="232">
        <v>0</v>
      </c>
      <c r="K77" s="232">
        <v>1</v>
      </c>
      <c r="L77" s="232">
        <v>1</v>
      </c>
      <c r="M77" s="232">
        <v>1</v>
      </c>
      <c r="N77" s="232">
        <v>1</v>
      </c>
      <c r="O77" s="232">
        <v>1</v>
      </c>
      <c r="P77" s="232">
        <v>1</v>
      </c>
      <c r="Q77" s="232">
        <v>1</v>
      </c>
      <c r="R77" s="232">
        <v>1</v>
      </c>
      <c r="S77" s="232">
        <v>1</v>
      </c>
      <c r="T77" s="232">
        <v>1</v>
      </c>
      <c r="U77" s="232">
        <v>1</v>
      </c>
      <c r="V77" s="232">
        <v>1</v>
      </c>
      <c r="W77" s="232">
        <v>1</v>
      </c>
      <c r="X77" s="232">
        <v>1</v>
      </c>
      <c r="Y77" s="232">
        <v>1</v>
      </c>
      <c r="Z77" s="232">
        <v>1</v>
      </c>
      <c r="AA77" s="232">
        <v>1</v>
      </c>
      <c r="AB77" s="232">
        <v>1</v>
      </c>
      <c r="AC77" s="233">
        <v>1</v>
      </c>
      <c r="AD77" s="86"/>
      <c r="AE77" s="85"/>
      <c r="AF77" s="85"/>
      <c r="AG77" s="85"/>
      <c r="AH77" s="85"/>
      <c r="AI77" s="85"/>
      <c r="AJ77" s="85"/>
      <c r="AK77" s="85"/>
      <c r="AM77" s="110"/>
    </row>
    <row r="78" spans="1:39" ht="36" customHeight="1">
      <c r="A78" s="915"/>
      <c r="B78" s="918"/>
      <c r="C78" s="912"/>
      <c r="D78" s="860"/>
      <c r="E78" s="206" t="s">
        <v>506</v>
      </c>
      <c r="F78" s="234">
        <v>0</v>
      </c>
      <c r="G78" s="234">
        <v>0</v>
      </c>
      <c r="H78" s="234">
        <v>0</v>
      </c>
      <c r="I78" s="234">
        <v>0</v>
      </c>
      <c r="J78" s="234">
        <v>0</v>
      </c>
      <c r="K78" s="234">
        <v>1</v>
      </c>
      <c r="L78" s="234">
        <v>1</v>
      </c>
      <c r="M78" s="234">
        <v>1</v>
      </c>
      <c r="N78" s="234">
        <v>1</v>
      </c>
      <c r="O78" s="234">
        <v>1</v>
      </c>
      <c r="P78" s="234">
        <v>1</v>
      </c>
      <c r="Q78" s="234">
        <v>1</v>
      </c>
      <c r="R78" s="234">
        <v>1</v>
      </c>
      <c r="S78" s="234">
        <v>1</v>
      </c>
      <c r="T78" s="234">
        <v>1</v>
      </c>
      <c r="U78" s="234">
        <v>1</v>
      </c>
      <c r="V78" s="234">
        <v>1</v>
      </c>
      <c r="W78" s="234">
        <v>1</v>
      </c>
      <c r="X78" s="234">
        <v>1</v>
      </c>
      <c r="Y78" s="234">
        <v>1</v>
      </c>
      <c r="Z78" s="234">
        <v>1</v>
      </c>
      <c r="AA78" s="234">
        <v>1</v>
      </c>
      <c r="AB78" s="234">
        <v>1</v>
      </c>
      <c r="AC78" s="235">
        <v>1</v>
      </c>
      <c r="AD78" s="86"/>
      <c r="AE78" s="85"/>
      <c r="AF78" s="85"/>
      <c r="AG78" s="85"/>
      <c r="AH78" s="85"/>
      <c r="AI78" s="85"/>
      <c r="AJ78" s="85"/>
      <c r="AK78" s="85"/>
      <c r="AM78" s="110"/>
    </row>
    <row r="79" spans="1:39" ht="36" customHeight="1">
      <c r="A79" s="909" t="s">
        <v>128</v>
      </c>
      <c r="B79" s="899" t="s">
        <v>109</v>
      </c>
      <c r="C79" s="899" t="s">
        <v>697</v>
      </c>
      <c r="D79" s="900" t="s">
        <v>698</v>
      </c>
      <c r="E79" s="199" t="s">
        <v>675</v>
      </c>
      <c r="F79" s="230">
        <v>131.9</v>
      </c>
      <c r="G79" s="230">
        <v>131.9</v>
      </c>
      <c r="H79" s="230">
        <v>131.9</v>
      </c>
      <c r="I79" s="230">
        <v>131.9</v>
      </c>
      <c r="J79" s="230">
        <v>131.9</v>
      </c>
      <c r="K79" s="230">
        <v>131.9</v>
      </c>
      <c r="L79" s="230">
        <v>131.9</v>
      </c>
      <c r="M79" s="230">
        <v>131.9</v>
      </c>
      <c r="N79" s="230">
        <v>131.9</v>
      </c>
      <c r="O79" s="230">
        <v>131.9</v>
      </c>
      <c r="P79" s="230">
        <v>131.9</v>
      </c>
      <c r="Q79" s="230">
        <v>131.9</v>
      </c>
      <c r="R79" s="230">
        <v>131.9</v>
      </c>
      <c r="S79" s="230">
        <v>131.9</v>
      </c>
      <c r="T79" s="230">
        <v>131.9</v>
      </c>
      <c r="U79" s="230">
        <v>131.9</v>
      </c>
      <c r="V79" s="230">
        <v>131.9</v>
      </c>
      <c r="W79" s="230">
        <v>131.9</v>
      </c>
      <c r="X79" s="230">
        <v>131.9</v>
      </c>
      <c r="Y79" s="230">
        <v>131.9</v>
      </c>
      <c r="Z79" s="230">
        <v>131.9</v>
      </c>
      <c r="AA79" s="230">
        <v>131.9</v>
      </c>
      <c r="AB79" s="230">
        <v>131.9</v>
      </c>
      <c r="AC79" s="231">
        <v>131.9</v>
      </c>
      <c r="AD79" s="86"/>
      <c r="AE79" s="85"/>
      <c r="AF79" s="85"/>
      <c r="AG79" s="85"/>
      <c r="AH79" s="85"/>
      <c r="AI79" s="85"/>
      <c r="AJ79" s="85"/>
      <c r="AK79" s="85"/>
      <c r="AM79" s="110"/>
    </row>
    <row r="80" spans="1:39" ht="36" customHeight="1">
      <c r="A80" s="910"/>
      <c r="B80" s="906"/>
      <c r="C80" s="906"/>
      <c r="D80" s="803"/>
      <c r="E80" s="200" t="s">
        <v>504</v>
      </c>
      <c r="F80" s="232">
        <v>131.9</v>
      </c>
      <c r="G80" s="232">
        <v>131.9</v>
      </c>
      <c r="H80" s="232">
        <v>131.9</v>
      </c>
      <c r="I80" s="232">
        <v>131.9</v>
      </c>
      <c r="J80" s="232">
        <v>131.9</v>
      </c>
      <c r="K80" s="232">
        <v>131.9</v>
      </c>
      <c r="L80" s="232">
        <v>131.9</v>
      </c>
      <c r="M80" s="232">
        <v>131.9</v>
      </c>
      <c r="N80" s="232">
        <v>131.9</v>
      </c>
      <c r="O80" s="232">
        <v>131.9</v>
      </c>
      <c r="P80" s="232">
        <v>131.9</v>
      </c>
      <c r="Q80" s="232">
        <v>131.9</v>
      </c>
      <c r="R80" s="232">
        <v>131.9</v>
      </c>
      <c r="S80" s="232">
        <v>131.9</v>
      </c>
      <c r="T80" s="232">
        <v>131.9</v>
      </c>
      <c r="U80" s="232">
        <v>131.9</v>
      </c>
      <c r="V80" s="232">
        <v>131.9</v>
      </c>
      <c r="W80" s="232">
        <v>131.9</v>
      </c>
      <c r="X80" s="232">
        <v>131.9</v>
      </c>
      <c r="Y80" s="232">
        <v>131.9</v>
      </c>
      <c r="Z80" s="232">
        <v>131.9</v>
      </c>
      <c r="AA80" s="232">
        <v>131.9</v>
      </c>
      <c r="AB80" s="232">
        <v>131.9</v>
      </c>
      <c r="AC80" s="233">
        <v>131.9</v>
      </c>
      <c r="AD80" s="86"/>
      <c r="AE80" s="85"/>
      <c r="AF80" s="85"/>
      <c r="AG80" s="85"/>
      <c r="AH80" s="85"/>
      <c r="AI80" s="85"/>
      <c r="AJ80" s="85"/>
      <c r="AK80" s="85"/>
      <c r="AM80" s="110"/>
    </row>
    <row r="81" spans="1:39" ht="36" customHeight="1">
      <c r="A81" s="911"/>
      <c r="B81" s="912"/>
      <c r="C81" s="907"/>
      <c r="D81" s="901"/>
      <c r="E81" s="206" t="s">
        <v>506</v>
      </c>
      <c r="F81" s="234">
        <v>131.9</v>
      </c>
      <c r="G81" s="234">
        <v>131.9</v>
      </c>
      <c r="H81" s="234">
        <v>131.9</v>
      </c>
      <c r="I81" s="234">
        <v>131.9</v>
      </c>
      <c r="J81" s="234">
        <v>131.9</v>
      </c>
      <c r="K81" s="234">
        <v>131.9</v>
      </c>
      <c r="L81" s="234">
        <v>131.9</v>
      </c>
      <c r="M81" s="234">
        <v>131.9</v>
      </c>
      <c r="N81" s="234">
        <v>131.9</v>
      </c>
      <c r="O81" s="234">
        <v>131.9</v>
      </c>
      <c r="P81" s="234">
        <v>131.9</v>
      </c>
      <c r="Q81" s="234">
        <v>131.9</v>
      </c>
      <c r="R81" s="234">
        <v>131.9</v>
      </c>
      <c r="S81" s="234">
        <v>131.9</v>
      </c>
      <c r="T81" s="234">
        <v>131.9</v>
      </c>
      <c r="U81" s="234">
        <v>131.9</v>
      </c>
      <c r="V81" s="234">
        <v>131.9</v>
      </c>
      <c r="W81" s="234">
        <v>131.9</v>
      </c>
      <c r="X81" s="234">
        <v>131.9</v>
      </c>
      <c r="Y81" s="234">
        <v>131.9</v>
      </c>
      <c r="Z81" s="234">
        <v>131.9</v>
      </c>
      <c r="AA81" s="234">
        <v>131.9</v>
      </c>
      <c r="AB81" s="234">
        <v>131.9</v>
      </c>
      <c r="AC81" s="235">
        <v>131.9</v>
      </c>
      <c r="AD81" s="86"/>
      <c r="AE81" s="85"/>
      <c r="AF81" s="85"/>
      <c r="AG81" s="85"/>
      <c r="AH81" s="85"/>
      <c r="AI81" s="85"/>
      <c r="AJ81" s="85"/>
      <c r="AK81" s="85"/>
      <c r="AM81" s="110"/>
    </row>
    <row r="82" spans="1:39" ht="23.25" customHeight="1">
      <c r="A82" s="823" t="s">
        <v>686</v>
      </c>
      <c r="B82" s="828" t="s">
        <v>109</v>
      </c>
      <c r="C82" s="828" t="s">
        <v>699</v>
      </c>
      <c r="D82" s="902" t="s">
        <v>698</v>
      </c>
      <c r="E82" s="632" t="s">
        <v>675</v>
      </c>
      <c r="F82" s="632">
        <v>120</v>
      </c>
      <c r="G82" s="632">
        <v>120</v>
      </c>
      <c r="H82" s="632">
        <v>120</v>
      </c>
      <c r="I82" s="632">
        <v>120</v>
      </c>
      <c r="J82" s="632">
        <v>120</v>
      </c>
      <c r="K82" s="632">
        <v>120</v>
      </c>
      <c r="L82" s="632">
        <v>120</v>
      </c>
      <c r="M82" s="632">
        <v>120</v>
      </c>
      <c r="N82" s="632">
        <v>120</v>
      </c>
      <c r="O82" s="632">
        <v>120</v>
      </c>
      <c r="P82" s="632">
        <v>120</v>
      </c>
      <c r="Q82" s="632">
        <v>120</v>
      </c>
      <c r="R82" s="632">
        <v>120</v>
      </c>
      <c r="S82" s="632">
        <v>120</v>
      </c>
      <c r="T82" s="632">
        <v>120</v>
      </c>
      <c r="U82" s="632">
        <v>120</v>
      </c>
      <c r="V82" s="632">
        <v>120</v>
      </c>
      <c r="W82" s="632">
        <v>120</v>
      </c>
      <c r="X82" s="632">
        <v>120</v>
      </c>
      <c r="Y82" s="632">
        <v>120</v>
      </c>
      <c r="Z82" s="632">
        <v>120</v>
      </c>
      <c r="AA82" s="632">
        <v>120</v>
      </c>
      <c r="AB82" s="632">
        <v>120</v>
      </c>
      <c r="AC82" s="633">
        <v>120</v>
      </c>
      <c r="AD82" s="86"/>
      <c r="AE82" s="85"/>
      <c r="AF82" s="85"/>
      <c r="AG82" s="85"/>
      <c r="AH82" s="85"/>
      <c r="AI82" s="85"/>
      <c r="AJ82" s="85"/>
      <c r="AK82" s="85"/>
      <c r="AM82" s="110"/>
    </row>
    <row r="83" spans="1:39" ht="23.25" customHeight="1">
      <c r="A83" s="824"/>
      <c r="B83" s="826"/>
      <c r="C83" s="826"/>
      <c r="D83" s="829"/>
      <c r="E83" s="634" t="s">
        <v>504</v>
      </c>
      <c r="F83" s="634">
        <v>120</v>
      </c>
      <c r="G83" s="634">
        <v>120</v>
      </c>
      <c r="H83" s="634">
        <v>120</v>
      </c>
      <c r="I83" s="634">
        <v>120</v>
      </c>
      <c r="J83" s="634">
        <v>120</v>
      </c>
      <c r="K83" s="634">
        <v>120</v>
      </c>
      <c r="L83" s="634">
        <v>120</v>
      </c>
      <c r="M83" s="634">
        <v>120</v>
      </c>
      <c r="N83" s="634">
        <v>120</v>
      </c>
      <c r="O83" s="634">
        <v>120</v>
      </c>
      <c r="P83" s="634">
        <v>120</v>
      </c>
      <c r="Q83" s="634">
        <v>120</v>
      </c>
      <c r="R83" s="634">
        <v>120</v>
      </c>
      <c r="S83" s="634">
        <v>120</v>
      </c>
      <c r="T83" s="634">
        <v>120</v>
      </c>
      <c r="U83" s="634">
        <v>120</v>
      </c>
      <c r="V83" s="634">
        <v>120</v>
      </c>
      <c r="W83" s="634">
        <v>120</v>
      </c>
      <c r="X83" s="634">
        <v>120</v>
      </c>
      <c r="Y83" s="634">
        <v>120</v>
      </c>
      <c r="Z83" s="634">
        <v>120</v>
      </c>
      <c r="AA83" s="634">
        <v>120</v>
      </c>
      <c r="AB83" s="634">
        <v>120</v>
      </c>
      <c r="AC83" s="635">
        <v>120</v>
      </c>
      <c r="AD83" s="86"/>
      <c r="AE83" s="85"/>
      <c r="AF83" s="85"/>
      <c r="AG83" s="85"/>
      <c r="AH83" s="85"/>
      <c r="AI83" s="85"/>
      <c r="AJ83" s="85"/>
      <c r="AK83" s="85"/>
      <c r="AM83" s="110"/>
    </row>
    <row r="84" spans="1:39" ht="23.25" customHeight="1">
      <c r="A84" s="832"/>
      <c r="B84" s="932"/>
      <c r="C84" s="834"/>
      <c r="D84" s="903"/>
      <c r="E84" s="636" t="s">
        <v>506</v>
      </c>
      <c r="F84" s="636">
        <v>120</v>
      </c>
      <c r="G84" s="636">
        <v>120</v>
      </c>
      <c r="H84" s="636">
        <v>120</v>
      </c>
      <c r="I84" s="636">
        <v>120</v>
      </c>
      <c r="J84" s="636">
        <v>120</v>
      </c>
      <c r="K84" s="636">
        <v>120</v>
      </c>
      <c r="L84" s="636">
        <v>120</v>
      </c>
      <c r="M84" s="636">
        <v>120</v>
      </c>
      <c r="N84" s="636">
        <v>120</v>
      </c>
      <c r="O84" s="636">
        <v>120</v>
      </c>
      <c r="P84" s="636">
        <v>120</v>
      </c>
      <c r="Q84" s="636">
        <v>120</v>
      </c>
      <c r="R84" s="636">
        <v>120</v>
      </c>
      <c r="S84" s="636">
        <v>120</v>
      </c>
      <c r="T84" s="636">
        <v>120</v>
      </c>
      <c r="U84" s="636">
        <v>120</v>
      </c>
      <c r="V84" s="636">
        <v>120</v>
      </c>
      <c r="W84" s="636">
        <v>120</v>
      </c>
      <c r="X84" s="636">
        <v>120</v>
      </c>
      <c r="Y84" s="636">
        <v>120</v>
      </c>
      <c r="Z84" s="636">
        <v>120</v>
      </c>
      <c r="AA84" s="636">
        <v>120</v>
      </c>
      <c r="AB84" s="636">
        <v>120</v>
      </c>
      <c r="AC84" s="637">
        <v>120</v>
      </c>
      <c r="AD84" s="86"/>
      <c r="AE84" s="85"/>
      <c r="AF84" s="85"/>
      <c r="AG84" s="85"/>
      <c r="AH84" s="85"/>
      <c r="AI84" s="85"/>
      <c r="AJ84" s="85"/>
      <c r="AK84" s="85"/>
      <c r="AM84" s="110"/>
    </row>
    <row r="85" spans="1:39" ht="23.25" customHeight="1">
      <c r="A85" s="823" t="s">
        <v>700</v>
      </c>
      <c r="B85" s="826" t="s">
        <v>109</v>
      </c>
      <c r="C85" s="828" t="s">
        <v>701</v>
      </c>
      <c r="D85" s="829" t="s">
        <v>698</v>
      </c>
      <c r="E85" s="634" t="s">
        <v>675</v>
      </c>
      <c r="F85" s="634">
        <v>117</v>
      </c>
      <c r="G85" s="634">
        <v>117</v>
      </c>
      <c r="H85" s="634">
        <v>117</v>
      </c>
      <c r="I85" s="634">
        <v>117</v>
      </c>
      <c r="J85" s="634">
        <v>117</v>
      </c>
      <c r="K85" s="634">
        <v>117</v>
      </c>
      <c r="L85" s="634">
        <v>117</v>
      </c>
      <c r="M85" s="634">
        <v>117</v>
      </c>
      <c r="N85" s="634">
        <v>117</v>
      </c>
      <c r="O85" s="634">
        <v>117</v>
      </c>
      <c r="P85" s="634">
        <v>117</v>
      </c>
      <c r="Q85" s="634">
        <v>117</v>
      </c>
      <c r="R85" s="634">
        <v>117</v>
      </c>
      <c r="S85" s="634">
        <v>117</v>
      </c>
      <c r="T85" s="634">
        <v>117</v>
      </c>
      <c r="U85" s="634">
        <v>117</v>
      </c>
      <c r="V85" s="634">
        <v>117</v>
      </c>
      <c r="W85" s="634">
        <v>117</v>
      </c>
      <c r="X85" s="634">
        <v>117</v>
      </c>
      <c r="Y85" s="634">
        <v>117</v>
      </c>
      <c r="Z85" s="634">
        <v>117</v>
      </c>
      <c r="AA85" s="634">
        <v>117</v>
      </c>
      <c r="AB85" s="634">
        <v>117</v>
      </c>
      <c r="AC85" s="635">
        <v>117</v>
      </c>
      <c r="AD85" s="86"/>
      <c r="AE85" s="85"/>
      <c r="AF85" s="85"/>
      <c r="AG85" s="85"/>
      <c r="AH85" s="85"/>
      <c r="AI85" s="85"/>
      <c r="AJ85" s="85"/>
      <c r="AK85" s="85"/>
      <c r="AM85" s="110"/>
    </row>
    <row r="86" spans="1:39" ht="23.25" customHeight="1">
      <c r="A86" s="824"/>
      <c r="B86" s="826"/>
      <c r="C86" s="826"/>
      <c r="D86" s="829"/>
      <c r="E86" s="634" t="s">
        <v>504</v>
      </c>
      <c r="F86" s="634">
        <v>117</v>
      </c>
      <c r="G86" s="634">
        <v>117</v>
      </c>
      <c r="H86" s="634">
        <v>117</v>
      </c>
      <c r="I86" s="634">
        <v>117</v>
      </c>
      <c r="J86" s="634">
        <v>117</v>
      </c>
      <c r="K86" s="634">
        <v>117</v>
      </c>
      <c r="L86" s="634">
        <v>117</v>
      </c>
      <c r="M86" s="634">
        <v>117</v>
      </c>
      <c r="N86" s="634">
        <v>117</v>
      </c>
      <c r="O86" s="634">
        <v>117</v>
      </c>
      <c r="P86" s="634">
        <v>117</v>
      </c>
      <c r="Q86" s="634">
        <v>117</v>
      </c>
      <c r="R86" s="634">
        <v>117</v>
      </c>
      <c r="S86" s="634">
        <v>117</v>
      </c>
      <c r="T86" s="634">
        <v>117</v>
      </c>
      <c r="U86" s="634">
        <v>117</v>
      </c>
      <c r="V86" s="634">
        <v>117</v>
      </c>
      <c r="W86" s="634">
        <v>117</v>
      </c>
      <c r="X86" s="634">
        <v>117</v>
      </c>
      <c r="Y86" s="634">
        <v>117</v>
      </c>
      <c r="Z86" s="634">
        <v>117</v>
      </c>
      <c r="AA86" s="634">
        <v>117</v>
      </c>
      <c r="AB86" s="634">
        <v>117</v>
      </c>
      <c r="AC86" s="635">
        <v>117</v>
      </c>
      <c r="AD86" s="86"/>
      <c r="AE86" s="85"/>
      <c r="AF86" s="85"/>
      <c r="AG86" s="85"/>
      <c r="AH86" s="85"/>
      <c r="AI86" s="85"/>
      <c r="AJ86" s="85"/>
      <c r="AK86" s="85"/>
      <c r="AM86" s="110"/>
    </row>
    <row r="87" spans="1:39" ht="23.25" customHeight="1">
      <c r="A87" s="825"/>
      <c r="B87" s="827"/>
      <c r="C87" s="827"/>
      <c r="D87" s="830"/>
      <c r="E87" s="638" t="s">
        <v>506</v>
      </c>
      <c r="F87" s="638">
        <v>117</v>
      </c>
      <c r="G87" s="638">
        <v>117</v>
      </c>
      <c r="H87" s="638">
        <v>117</v>
      </c>
      <c r="I87" s="638">
        <v>117</v>
      </c>
      <c r="J87" s="638">
        <v>117</v>
      </c>
      <c r="K87" s="638">
        <v>117</v>
      </c>
      <c r="L87" s="638">
        <v>117</v>
      </c>
      <c r="M87" s="638">
        <v>117</v>
      </c>
      <c r="N87" s="638">
        <v>117</v>
      </c>
      <c r="O87" s="638">
        <v>117</v>
      </c>
      <c r="P87" s="638">
        <v>117</v>
      </c>
      <c r="Q87" s="638">
        <v>117</v>
      </c>
      <c r="R87" s="638">
        <v>117</v>
      </c>
      <c r="S87" s="638">
        <v>117</v>
      </c>
      <c r="T87" s="638">
        <v>117</v>
      </c>
      <c r="U87" s="638">
        <v>117</v>
      </c>
      <c r="V87" s="638">
        <v>117</v>
      </c>
      <c r="W87" s="638">
        <v>117</v>
      </c>
      <c r="X87" s="638">
        <v>117</v>
      </c>
      <c r="Y87" s="638">
        <v>117</v>
      </c>
      <c r="Z87" s="638">
        <v>117</v>
      </c>
      <c r="AA87" s="638">
        <v>117</v>
      </c>
      <c r="AB87" s="638">
        <v>117</v>
      </c>
      <c r="AC87" s="639">
        <v>117</v>
      </c>
      <c r="AD87" s="86"/>
      <c r="AE87" s="85"/>
      <c r="AF87" s="85"/>
      <c r="AG87" s="85"/>
      <c r="AH87" s="85"/>
      <c r="AI87" s="85"/>
      <c r="AJ87" s="85"/>
      <c r="AK87" s="85"/>
      <c r="AM87" s="110"/>
    </row>
    <row r="88" spans="1:39" ht="23.25" customHeight="1">
      <c r="A88" s="831" t="s">
        <v>872</v>
      </c>
      <c r="B88" s="833" t="s">
        <v>109</v>
      </c>
      <c r="C88" s="833" t="s">
        <v>702</v>
      </c>
      <c r="D88" s="835" t="s">
        <v>698</v>
      </c>
      <c r="E88" s="640" t="s">
        <v>675</v>
      </c>
      <c r="F88" s="640">
        <v>147</v>
      </c>
      <c r="G88" s="640">
        <v>147</v>
      </c>
      <c r="H88" s="640">
        <v>147</v>
      </c>
      <c r="I88" s="640">
        <v>147</v>
      </c>
      <c r="J88" s="640">
        <v>147</v>
      </c>
      <c r="K88" s="640">
        <v>147</v>
      </c>
      <c r="L88" s="640">
        <v>147</v>
      </c>
      <c r="M88" s="640">
        <v>147</v>
      </c>
      <c r="N88" s="640">
        <v>147</v>
      </c>
      <c r="O88" s="640">
        <v>147</v>
      </c>
      <c r="P88" s="640">
        <v>147</v>
      </c>
      <c r="Q88" s="640">
        <v>147</v>
      </c>
      <c r="R88" s="640">
        <v>147</v>
      </c>
      <c r="S88" s="640">
        <v>147</v>
      </c>
      <c r="T88" s="640">
        <v>147</v>
      </c>
      <c r="U88" s="640">
        <v>147</v>
      </c>
      <c r="V88" s="640">
        <v>147</v>
      </c>
      <c r="W88" s="640">
        <v>147</v>
      </c>
      <c r="X88" s="640">
        <v>147</v>
      </c>
      <c r="Y88" s="640">
        <v>147</v>
      </c>
      <c r="Z88" s="640">
        <v>147</v>
      </c>
      <c r="AA88" s="640">
        <v>147</v>
      </c>
      <c r="AB88" s="640">
        <v>147</v>
      </c>
      <c r="AC88" s="641">
        <v>147</v>
      </c>
      <c r="AD88" s="86"/>
      <c r="AE88" s="85"/>
      <c r="AF88" s="85"/>
      <c r="AG88" s="85"/>
      <c r="AH88" s="85"/>
      <c r="AI88" s="85"/>
      <c r="AJ88" s="85"/>
      <c r="AK88" s="85"/>
      <c r="AM88" s="110"/>
    </row>
    <row r="89" spans="1:39" ht="23.25" customHeight="1">
      <c r="A89" s="824"/>
      <c r="B89" s="826"/>
      <c r="C89" s="826"/>
      <c r="D89" s="829"/>
      <c r="E89" s="634" t="s">
        <v>504</v>
      </c>
      <c r="F89" s="634">
        <v>147</v>
      </c>
      <c r="G89" s="634">
        <v>147</v>
      </c>
      <c r="H89" s="634">
        <v>147</v>
      </c>
      <c r="I89" s="634">
        <v>147</v>
      </c>
      <c r="J89" s="634">
        <v>147</v>
      </c>
      <c r="K89" s="634">
        <v>147</v>
      </c>
      <c r="L89" s="634">
        <v>147</v>
      </c>
      <c r="M89" s="634">
        <v>147</v>
      </c>
      <c r="N89" s="634">
        <v>147</v>
      </c>
      <c r="O89" s="634">
        <v>147</v>
      </c>
      <c r="P89" s="634">
        <v>147</v>
      </c>
      <c r="Q89" s="634">
        <v>147</v>
      </c>
      <c r="R89" s="634">
        <v>147</v>
      </c>
      <c r="S89" s="634">
        <v>147</v>
      </c>
      <c r="T89" s="634">
        <v>147</v>
      </c>
      <c r="U89" s="634">
        <v>147</v>
      </c>
      <c r="V89" s="634">
        <v>147</v>
      </c>
      <c r="W89" s="634">
        <v>147</v>
      </c>
      <c r="X89" s="634">
        <v>147</v>
      </c>
      <c r="Y89" s="634">
        <v>147</v>
      </c>
      <c r="Z89" s="634">
        <v>147</v>
      </c>
      <c r="AA89" s="634">
        <v>147</v>
      </c>
      <c r="AB89" s="634">
        <v>147</v>
      </c>
      <c r="AC89" s="642">
        <v>147</v>
      </c>
      <c r="AD89" s="86"/>
      <c r="AE89" s="85"/>
      <c r="AF89" s="85"/>
      <c r="AG89" s="85"/>
      <c r="AH89" s="85"/>
      <c r="AI89" s="85"/>
      <c r="AJ89" s="85"/>
      <c r="AK89" s="85"/>
      <c r="AM89" s="110"/>
    </row>
    <row r="90" spans="1:39" ht="23.25" customHeight="1">
      <c r="A90" s="832"/>
      <c r="B90" s="834"/>
      <c r="C90" s="834"/>
      <c r="D90" s="836"/>
      <c r="E90" s="643" t="s">
        <v>506</v>
      </c>
      <c r="F90" s="643">
        <v>147</v>
      </c>
      <c r="G90" s="643">
        <v>147</v>
      </c>
      <c r="H90" s="643">
        <v>147</v>
      </c>
      <c r="I90" s="643">
        <v>147</v>
      </c>
      <c r="J90" s="643">
        <v>147</v>
      </c>
      <c r="K90" s="643">
        <v>147</v>
      </c>
      <c r="L90" s="643">
        <v>147</v>
      </c>
      <c r="M90" s="643">
        <v>147</v>
      </c>
      <c r="N90" s="643">
        <v>147</v>
      </c>
      <c r="O90" s="643">
        <v>147</v>
      </c>
      <c r="P90" s="643">
        <v>147</v>
      </c>
      <c r="Q90" s="643">
        <v>147</v>
      </c>
      <c r="R90" s="643">
        <v>147</v>
      </c>
      <c r="S90" s="643">
        <v>147</v>
      </c>
      <c r="T90" s="643">
        <v>147</v>
      </c>
      <c r="U90" s="643">
        <v>147</v>
      </c>
      <c r="V90" s="643">
        <v>147</v>
      </c>
      <c r="W90" s="643">
        <v>147</v>
      </c>
      <c r="X90" s="643">
        <v>147</v>
      </c>
      <c r="Y90" s="643">
        <v>147</v>
      </c>
      <c r="Z90" s="643">
        <v>147</v>
      </c>
      <c r="AA90" s="643">
        <v>147</v>
      </c>
      <c r="AB90" s="643">
        <v>147</v>
      </c>
      <c r="AC90" s="644">
        <v>147</v>
      </c>
      <c r="AD90" s="86"/>
      <c r="AE90" s="85"/>
      <c r="AF90" s="85"/>
      <c r="AG90" s="85"/>
      <c r="AH90" s="85"/>
      <c r="AI90" s="85"/>
      <c r="AJ90" s="85"/>
      <c r="AK90" s="85"/>
      <c r="AM90" s="110"/>
    </row>
    <row r="91" spans="1:39" ht="14.4">
      <c r="B91" s="236"/>
      <c r="C91" s="236"/>
      <c r="D91" s="236"/>
      <c r="F91" s="189"/>
      <c r="G91" s="189"/>
      <c r="H91" s="189"/>
      <c r="I91" s="189"/>
      <c r="J91" s="189"/>
      <c r="K91" s="189"/>
      <c r="L91" s="189"/>
      <c r="M91" s="189"/>
      <c r="N91" s="189"/>
      <c r="O91" s="189"/>
      <c r="P91" s="189"/>
      <c r="Q91" s="189"/>
      <c r="R91" s="189"/>
      <c r="S91" s="189"/>
      <c r="T91" s="189"/>
      <c r="U91" s="189"/>
      <c r="V91" s="189"/>
      <c r="W91" s="189"/>
      <c r="X91" s="189"/>
      <c r="Y91" s="189"/>
      <c r="Z91" s="189"/>
      <c r="AA91" s="189"/>
      <c r="AB91" s="189"/>
      <c r="AC91" s="189"/>
      <c r="AD91" s="86"/>
      <c r="AE91" s="85"/>
      <c r="AF91" s="85"/>
      <c r="AG91" s="85"/>
      <c r="AH91" s="85"/>
      <c r="AI91" s="85"/>
      <c r="AJ91" s="85"/>
      <c r="AK91" s="85"/>
      <c r="AM91" s="110"/>
    </row>
    <row r="92" spans="1:39" ht="14.4">
      <c r="B92" s="236"/>
      <c r="C92" s="236"/>
      <c r="D92" s="236"/>
      <c r="F92" s="189"/>
      <c r="G92" s="189"/>
      <c r="H92" s="189"/>
      <c r="I92" s="189"/>
      <c r="J92" s="189"/>
      <c r="K92" s="189"/>
      <c r="L92" s="189"/>
      <c r="M92" s="189"/>
      <c r="N92" s="189"/>
      <c r="O92" s="189"/>
      <c r="P92" s="189"/>
      <c r="Q92" s="189"/>
      <c r="R92" s="189"/>
      <c r="S92" s="189"/>
      <c r="T92" s="189"/>
      <c r="U92" s="189"/>
      <c r="V92" s="189"/>
      <c r="W92" s="189"/>
      <c r="X92" s="189"/>
      <c r="Y92" s="189"/>
      <c r="Z92" s="189"/>
      <c r="AA92" s="189"/>
      <c r="AB92" s="189"/>
      <c r="AC92" s="189"/>
      <c r="AD92" s="86"/>
      <c r="AE92" s="85"/>
      <c r="AF92" s="85"/>
      <c r="AG92" s="85"/>
      <c r="AH92" s="85"/>
      <c r="AI92" s="85"/>
      <c r="AJ92" s="85"/>
      <c r="AK92" s="85"/>
      <c r="AM92" s="110"/>
    </row>
    <row r="93" spans="1:39" ht="14.4">
      <c r="B93" s="236"/>
      <c r="C93" s="236"/>
      <c r="D93" s="236"/>
      <c r="F93" s="189"/>
      <c r="G93" s="189"/>
      <c r="H93" s="189"/>
      <c r="I93" s="189"/>
      <c r="J93" s="189"/>
      <c r="K93" s="189"/>
      <c r="L93" s="189"/>
      <c r="M93" s="189"/>
      <c r="N93" s="189"/>
      <c r="O93" s="189"/>
      <c r="P93" s="189"/>
      <c r="Q93" s="189"/>
      <c r="R93" s="189"/>
      <c r="S93" s="189"/>
      <c r="T93" s="189"/>
      <c r="U93" s="189"/>
      <c r="V93" s="189"/>
      <c r="W93" s="189"/>
      <c r="X93" s="189"/>
      <c r="Y93" s="189"/>
      <c r="Z93" s="189"/>
      <c r="AA93" s="189"/>
      <c r="AB93" s="189"/>
      <c r="AC93" s="189"/>
      <c r="AD93" s="86"/>
      <c r="AE93" s="85"/>
      <c r="AF93" s="85"/>
      <c r="AG93" s="85"/>
      <c r="AH93" s="85"/>
      <c r="AI93" s="85"/>
      <c r="AJ93" s="85"/>
      <c r="AK93" s="85"/>
      <c r="AM93" s="110"/>
    </row>
    <row r="94" spans="1:39" s="109" customFormat="1" ht="21.6" hidden="1" customHeight="1">
      <c r="A94" s="237" t="s">
        <v>447</v>
      </c>
      <c r="B94" s="237"/>
      <c r="C94" s="237"/>
      <c r="D94" s="237"/>
      <c r="E94" s="237"/>
      <c r="F94" s="237"/>
    </row>
    <row r="95" spans="1:39" ht="36" hidden="1" customHeight="1">
      <c r="B95" s="236"/>
      <c r="C95" s="236"/>
      <c r="D95" s="236"/>
      <c r="F95" s="189"/>
      <c r="G95" s="189"/>
      <c r="H95" s="189"/>
      <c r="I95" s="189"/>
      <c r="J95" s="189"/>
      <c r="K95" s="189"/>
      <c r="L95" s="189"/>
      <c r="M95" s="189"/>
      <c r="N95" s="189"/>
      <c r="O95" s="189"/>
      <c r="P95" s="189"/>
      <c r="Q95" s="189"/>
      <c r="R95" s="189"/>
      <c r="S95" s="189"/>
      <c r="T95" s="189"/>
      <c r="U95" s="189"/>
      <c r="V95" s="189"/>
      <c r="W95" s="189"/>
      <c r="X95" s="189"/>
      <c r="Y95" s="189"/>
      <c r="Z95" s="189"/>
      <c r="AA95" s="189"/>
      <c r="AB95" s="189"/>
      <c r="AC95" s="189"/>
      <c r="AD95" s="86"/>
      <c r="AE95" s="85"/>
      <c r="AF95" s="85"/>
      <c r="AG95" s="85"/>
      <c r="AH95" s="85"/>
      <c r="AI95" s="85"/>
      <c r="AJ95" s="85"/>
      <c r="AK95" s="85"/>
      <c r="AM95" s="110"/>
    </row>
    <row r="96" spans="1:39" ht="36" hidden="1" customHeight="1">
      <c r="B96" s="187"/>
      <c r="C96" s="187"/>
      <c r="D96" s="187"/>
      <c r="E96" s="188"/>
      <c r="F96" s="189"/>
      <c r="G96" s="189"/>
      <c r="H96" s="189"/>
      <c r="I96" s="189"/>
      <c r="J96" s="189"/>
      <c r="K96" s="189"/>
      <c r="L96" s="189"/>
      <c r="M96" s="189"/>
      <c r="N96" s="189"/>
      <c r="O96" s="189"/>
      <c r="P96" s="189"/>
      <c r="Q96" s="189"/>
      <c r="R96" s="189"/>
      <c r="S96" s="189"/>
      <c r="T96" s="189"/>
      <c r="U96" s="189"/>
      <c r="V96" s="189"/>
      <c r="W96" s="189"/>
      <c r="X96" s="189"/>
      <c r="Y96" s="189"/>
      <c r="Z96" s="189"/>
      <c r="AA96" s="189"/>
      <c r="AB96" s="189"/>
      <c r="AC96" s="189"/>
      <c r="AD96" s="86"/>
      <c r="AE96" s="85"/>
      <c r="AF96" s="85"/>
      <c r="AG96" s="85"/>
      <c r="AH96" s="85"/>
      <c r="AI96" s="85"/>
      <c r="AJ96" s="85"/>
      <c r="AK96" s="85"/>
      <c r="AM96" s="110"/>
    </row>
    <row r="97" spans="2:37" ht="36" hidden="1" customHeight="1">
      <c r="B97" s="895" t="s">
        <v>703</v>
      </c>
      <c r="C97" s="896"/>
      <c r="D97" s="896"/>
      <c r="E97" s="896"/>
      <c r="F97" s="896"/>
      <c r="G97" s="896"/>
      <c r="H97" s="896"/>
      <c r="I97" s="896"/>
      <c r="J97" s="896"/>
      <c r="K97" s="896"/>
      <c r="L97" s="896"/>
      <c r="M97" s="896"/>
      <c r="N97" s="896"/>
      <c r="O97" s="896"/>
      <c r="P97" s="896"/>
      <c r="Q97" s="896"/>
      <c r="R97" s="896"/>
      <c r="S97" s="896"/>
      <c r="T97" s="896"/>
      <c r="U97" s="896"/>
      <c r="V97" s="896"/>
      <c r="W97" s="896"/>
      <c r="X97" s="896"/>
      <c r="Y97" s="896"/>
      <c r="Z97" s="896"/>
      <c r="AA97" s="896"/>
      <c r="AB97" s="896"/>
      <c r="AC97" s="897"/>
      <c r="AD97" s="86"/>
      <c r="AE97" s="85"/>
      <c r="AF97" s="85"/>
      <c r="AG97" s="85"/>
      <c r="AH97" s="85"/>
      <c r="AI97" s="85"/>
      <c r="AJ97" s="85"/>
      <c r="AK97" s="85"/>
    </row>
    <row r="98" spans="2:37" ht="33" hidden="1" customHeight="1">
      <c r="B98" s="893" t="s">
        <v>704</v>
      </c>
      <c r="C98" s="892" t="s">
        <v>705</v>
      </c>
      <c r="D98" s="892" t="s">
        <v>706</v>
      </c>
      <c r="E98" s="524" t="s">
        <v>675</v>
      </c>
      <c r="F98" s="524">
        <f>0</f>
        <v>0</v>
      </c>
      <c r="G98" s="524">
        <v>0</v>
      </c>
      <c r="H98" s="524">
        <v>0</v>
      </c>
      <c r="I98" s="524">
        <v>0</v>
      </c>
      <c r="J98" s="524">
        <v>0</v>
      </c>
      <c r="K98" s="524">
        <v>0</v>
      </c>
      <c r="L98" s="524">
        <v>0.2</v>
      </c>
      <c r="M98" s="524">
        <v>0.7</v>
      </c>
      <c r="N98" s="524">
        <v>1</v>
      </c>
      <c r="O98" s="524">
        <v>1</v>
      </c>
      <c r="P98" s="524">
        <v>1</v>
      </c>
      <c r="Q98" s="524">
        <v>1</v>
      </c>
      <c r="R98" s="524">
        <v>1</v>
      </c>
      <c r="S98" s="524">
        <v>1</v>
      </c>
      <c r="T98" s="524">
        <v>1</v>
      </c>
      <c r="U98" s="524">
        <v>1</v>
      </c>
      <c r="V98" s="524">
        <v>1</v>
      </c>
      <c r="W98" s="524">
        <v>0.7</v>
      </c>
      <c r="X98" s="524">
        <v>0.5</v>
      </c>
      <c r="Y98" s="524">
        <v>0.3</v>
      </c>
      <c r="Z98" s="524">
        <v>0.2</v>
      </c>
      <c r="AA98" s="524">
        <v>0.2</v>
      </c>
      <c r="AB98" s="524">
        <v>0</v>
      </c>
      <c r="AC98" s="76">
        <v>0</v>
      </c>
      <c r="AD98" s="85"/>
      <c r="AE98" s="85"/>
      <c r="AF98" s="85"/>
      <c r="AG98" s="85"/>
      <c r="AH98" s="85"/>
      <c r="AI98" s="85"/>
      <c r="AJ98" s="85"/>
      <c r="AK98" s="85"/>
    </row>
    <row r="99" spans="2:37" ht="33" hidden="1" customHeight="1">
      <c r="B99" s="894"/>
      <c r="C99" s="885"/>
      <c r="D99" s="885"/>
      <c r="E99" s="526" t="s">
        <v>504</v>
      </c>
      <c r="F99" s="526">
        <v>0</v>
      </c>
      <c r="G99" s="526">
        <v>0</v>
      </c>
      <c r="H99" s="526">
        <v>0</v>
      </c>
      <c r="I99" s="526">
        <v>0</v>
      </c>
      <c r="J99" s="526">
        <v>0</v>
      </c>
      <c r="K99" s="526">
        <v>0</v>
      </c>
      <c r="L99" s="526">
        <v>0.1</v>
      </c>
      <c r="M99" s="526">
        <v>0.1</v>
      </c>
      <c r="N99" s="526">
        <v>0.5</v>
      </c>
      <c r="O99" s="526">
        <v>0.5</v>
      </c>
      <c r="P99" s="526">
        <v>0.5</v>
      </c>
      <c r="Q99" s="526">
        <v>0.5</v>
      </c>
      <c r="R99" s="526">
        <v>0.1</v>
      </c>
      <c r="S99" s="526">
        <v>0.1</v>
      </c>
      <c r="T99" s="526">
        <v>0.1</v>
      </c>
      <c r="U99" s="526">
        <v>0.1</v>
      </c>
      <c r="V99" s="526">
        <v>0.1</v>
      </c>
      <c r="W99" s="526">
        <v>0.05</v>
      </c>
      <c r="X99" s="526">
        <v>5.0000000000000001E-3</v>
      </c>
      <c r="Y99" s="526">
        <v>0</v>
      </c>
      <c r="Z99" s="526">
        <v>0</v>
      </c>
      <c r="AA99" s="526">
        <v>0</v>
      </c>
      <c r="AB99" s="526">
        <v>0</v>
      </c>
      <c r="AC99" s="78">
        <v>0</v>
      </c>
      <c r="AD99" s="85"/>
      <c r="AE99" s="85"/>
      <c r="AF99" s="85"/>
      <c r="AG99" s="85"/>
      <c r="AH99" s="85"/>
      <c r="AI99" s="85"/>
      <c r="AJ99" s="85"/>
      <c r="AK99" s="85"/>
    </row>
    <row r="100" spans="2:37" ht="38.4" hidden="1" customHeight="1">
      <c r="B100" s="898" t="s">
        <v>707</v>
      </c>
      <c r="C100" s="898"/>
      <c r="D100" s="898"/>
      <c r="E100" s="898"/>
      <c r="F100" s="898"/>
      <c r="G100" s="898"/>
      <c r="H100" s="898"/>
      <c r="I100" s="898"/>
      <c r="J100" s="898"/>
      <c r="K100" s="898"/>
      <c r="L100" s="898"/>
      <c r="M100" s="898"/>
      <c r="N100" s="898"/>
      <c r="O100" s="898"/>
      <c r="P100" s="898"/>
      <c r="Q100" s="898"/>
      <c r="R100" s="898"/>
      <c r="S100" s="898"/>
      <c r="T100" s="898"/>
      <c r="U100" s="898"/>
      <c r="V100" s="898"/>
      <c r="W100" s="898"/>
      <c r="X100" s="898"/>
      <c r="Y100" s="898"/>
      <c r="Z100" s="898"/>
      <c r="AA100" s="898"/>
      <c r="AB100" s="898"/>
      <c r="AC100" s="898"/>
      <c r="AD100" s="85"/>
      <c r="AE100" s="85"/>
      <c r="AF100" s="85"/>
      <c r="AG100" s="85"/>
      <c r="AH100" s="85"/>
      <c r="AI100" s="85"/>
      <c r="AJ100" s="85"/>
      <c r="AK100" s="85"/>
    </row>
    <row r="101" spans="2:37" ht="33" hidden="1" customHeight="1">
      <c r="B101" s="889" t="s">
        <v>708</v>
      </c>
      <c r="C101" s="886" t="s">
        <v>709</v>
      </c>
      <c r="D101" s="892" t="s">
        <v>710</v>
      </c>
      <c r="E101" s="524" t="s">
        <v>675</v>
      </c>
      <c r="F101" s="524">
        <v>0</v>
      </c>
      <c r="G101" s="524">
        <v>0</v>
      </c>
      <c r="H101" s="524">
        <v>0</v>
      </c>
      <c r="I101" s="524">
        <v>0</v>
      </c>
      <c r="J101" s="524">
        <v>0</v>
      </c>
      <c r="K101" s="524">
        <v>0</v>
      </c>
      <c r="L101" s="524">
        <v>0</v>
      </c>
      <c r="M101" s="524">
        <v>1</v>
      </c>
      <c r="N101" s="524">
        <v>1</v>
      </c>
      <c r="O101" s="524">
        <v>1</v>
      </c>
      <c r="P101" s="524">
        <v>1</v>
      </c>
      <c r="Q101" s="524">
        <v>1</v>
      </c>
      <c r="R101" s="524">
        <v>1</v>
      </c>
      <c r="S101" s="524">
        <v>1</v>
      </c>
      <c r="T101" s="524">
        <v>1</v>
      </c>
      <c r="U101" s="524">
        <v>1</v>
      </c>
      <c r="V101" s="524">
        <v>1</v>
      </c>
      <c r="W101" s="524">
        <v>1</v>
      </c>
      <c r="X101" s="524">
        <v>0</v>
      </c>
      <c r="Y101" s="524">
        <v>0</v>
      </c>
      <c r="Z101" s="524">
        <v>0</v>
      </c>
      <c r="AA101" s="524">
        <v>0</v>
      </c>
      <c r="AB101" s="524">
        <v>0</v>
      </c>
      <c r="AC101" s="76">
        <v>0</v>
      </c>
      <c r="AD101" s="85"/>
      <c r="AE101" s="85"/>
      <c r="AF101" s="85"/>
      <c r="AG101" s="85"/>
      <c r="AH101" s="85"/>
      <c r="AI101" s="85"/>
      <c r="AJ101" s="85"/>
      <c r="AK101" s="85"/>
    </row>
    <row r="102" spans="2:37" ht="33" hidden="1" customHeight="1">
      <c r="B102" s="890"/>
      <c r="C102" s="887"/>
      <c r="D102" s="884"/>
      <c r="E102" s="525" t="s">
        <v>504</v>
      </c>
      <c r="F102" s="525">
        <v>0</v>
      </c>
      <c r="G102" s="525">
        <v>0</v>
      </c>
      <c r="H102" s="525">
        <v>0</v>
      </c>
      <c r="I102" s="525">
        <v>0</v>
      </c>
      <c r="J102" s="525">
        <v>0</v>
      </c>
      <c r="K102" s="525">
        <v>0</v>
      </c>
      <c r="L102" s="525">
        <v>0</v>
      </c>
      <c r="M102" s="525">
        <v>0</v>
      </c>
      <c r="N102" s="525">
        <v>1</v>
      </c>
      <c r="O102" s="525">
        <v>1</v>
      </c>
      <c r="P102" s="525">
        <v>1</v>
      </c>
      <c r="Q102" s="525">
        <v>1</v>
      </c>
      <c r="R102" s="525">
        <v>0</v>
      </c>
      <c r="S102" s="525">
        <v>0</v>
      </c>
      <c r="T102" s="525">
        <v>0</v>
      </c>
      <c r="U102" s="525">
        <v>0</v>
      </c>
      <c r="V102" s="525">
        <v>0</v>
      </c>
      <c r="W102" s="525">
        <v>0</v>
      </c>
      <c r="X102" s="525">
        <v>0</v>
      </c>
      <c r="Y102" s="525">
        <v>0</v>
      </c>
      <c r="Z102" s="525">
        <v>0</v>
      </c>
      <c r="AA102" s="525">
        <v>0</v>
      </c>
      <c r="AB102" s="525">
        <v>0</v>
      </c>
      <c r="AC102" s="77">
        <v>0</v>
      </c>
      <c r="AD102" s="85"/>
      <c r="AE102" s="85"/>
      <c r="AF102" s="85"/>
      <c r="AG102" s="85"/>
      <c r="AH102" s="85"/>
      <c r="AI102" s="85"/>
      <c r="AJ102" s="85"/>
      <c r="AK102" s="85"/>
    </row>
    <row r="103" spans="2:37" ht="33" hidden="1" customHeight="1">
      <c r="B103" s="890"/>
      <c r="C103" s="887"/>
      <c r="D103" s="884"/>
      <c r="E103" s="525" t="s">
        <v>711</v>
      </c>
      <c r="F103" s="525">
        <v>0</v>
      </c>
      <c r="G103" s="525">
        <v>0</v>
      </c>
      <c r="H103" s="525">
        <v>0</v>
      </c>
      <c r="I103" s="525">
        <v>0</v>
      </c>
      <c r="J103" s="525">
        <v>0</v>
      </c>
      <c r="K103" s="525">
        <v>0</v>
      </c>
      <c r="L103" s="525">
        <v>0</v>
      </c>
      <c r="M103" s="525">
        <v>0</v>
      </c>
      <c r="N103" s="525">
        <v>0</v>
      </c>
      <c r="O103" s="525">
        <v>0</v>
      </c>
      <c r="P103" s="525">
        <v>0</v>
      </c>
      <c r="Q103" s="525">
        <v>0</v>
      </c>
      <c r="R103" s="525">
        <v>0</v>
      </c>
      <c r="S103" s="525">
        <v>0</v>
      </c>
      <c r="T103" s="525">
        <v>0</v>
      </c>
      <c r="U103" s="525">
        <v>0</v>
      </c>
      <c r="V103" s="525">
        <v>0</v>
      </c>
      <c r="W103" s="525">
        <v>0</v>
      </c>
      <c r="X103" s="525">
        <v>0</v>
      </c>
      <c r="Y103" s="525">
        <v>0</v>
      </c>
      <c r="Z103" s="525">
        <v>0</v>
      </c>
      <c r="AA103" s="525">
        <v>0</v>
      </c>
      <c r="AB103" s="525">
        <v>0</v>
      </c>
      <c r="AC103" s="77">
        <v>0</v>
      </c>
      <c r="AD103" s="85"/>
      <c r="AE103" s="85"/>
      <c r="AF103" s="85"/>
      <c r="AG103" s="85"/>
      <c r="AH103" s="85"/>
      <c r="AI103" s="85"/>
      <c r="AJ103" s="85"/>
      <c r="AK103" s="85"/>
    </row>
    <row r="104" spans="2:37" ht="33" hidden="1" customHeight="1">
      <c r="B104" s="890"/>
      <c r="C104" s="887"/>
      <c r="D104" s="884" t="s">
        <v>712</v>
      </c>
      <c r="E104" s="525" t="s">
        <v>675</v>
      </c>
      <c r="F104" s="525">
        <v>0</v>
      </c>
      <c r="G104" s="525">
        <v>0</v>
      </c>
      <c r="H104" s="525">
        <v>0</v>
      </c>
      <c r="I104" s="525">
        <v>0</v>
      </c>
      <c r="J104" s="525">
        <v>0</v>
      </c>
      <c r="K104" s="525">
        <v>0</v>
      </c>
      <c r="L104" s="525">
        <v>1</v>
      </c>
      <c r="M104" s="525">
        <v>1</v>
      </c>
      <c r="N104" s="525">
        <v>1</v>
      </c>
      <c r="O104" s="525">
        <v>1</v>
      </c>
      <c r="P104" s="525">
        <v>1</v>
      </c>
      <c r="Q104" s="525">
        <v>1</v>
      </c>
      <c r="R104" s="525">
        <v>1</v>
      </c>
      <c r="S104" s="525">
        <v>1</v>
      </c>
      <c r="T104" s="525">
        <v>1</v>
      </c>
      <c r="U104" s="525">
        <v>1</v>
      </c>
      <c r="V104" s="525">
        <v>1</v>
      </c>
      <c r="W104" s="525">
        <v>1</v>
      </c>
      <c r="X104" s="525">
        <v>1</v>
      </c>
      <c r="Y104" s="525">
        <v>1</v>
      </c>
      <c r="Z104" s="525">
        <v>1</v>
      </c>
      <c r="AA104" s="525">
        <v>1</v>
      </c>
      <c r="AB104" s="525">
        <v>0</v>
      </c>
      <c r="AC104" s="77">
        <v>0</v>
      </c>
      <c r="AD104" s="85"/>
      <c r="AE104" s="85"/>
      <c r="AF104" s="85"/>
      <c r="AG104" s="85"/>
      <c r="AH104" s="85"/>
      <c r="AI104" s="85"/>
      <c r="AJ104" s="85"/>
      <c r="AK104" s="85"/>
    </row>
    <row r="105" spans="2:37" ht="33" hidden="1" customHeight="1">
      <c r="B105" s="890"/>
      <c r="C105" s="887"/>
      <c r="D105" s="884"/>
      <c r="E105" s="525" t="s">
        <v>504</v>
      </c>
      <c r="F105" s="525">
        <v>0</v>
      </c>
      <c r="G105" s="525">
        <v>0</v>
      </c>
      <c r="H105" s="525">
        <v>0</v>
      </c>
      <c r="I105" s="525">
        <v>0</v>
      </c>
      <c r="J105" s="525">
        <v>0</v>
      </c>
      <c r="K105" s="525">
        <v>0</v>
      </c>
      <c r="L105" s="525">
        <v>0</v>
      </c>
      <c r="M105" s="525">
        <v>0</v>
      </c>
      <c r="N105" s="525">
        <v>0</v>
      </c>
      <c r="O105" s="525">
        <v>0</v>
      </c>
      <c r="P105" s="525">
        <v>0</v>
      </c>
      <c r="Q105" s="525">
        <v>0</v>
      </c>
      <c r="R105" s="525">
        <v>0</v>
      </c>
      <c r="S105" s="525">
        <v>0</v>
      </c>
      <c r="T105" s="525">
        <v>0</v>
      </c>
      <c r="U105" s="525">
        <v>0</v>
      </c>
      <c r="V105" s="525">
        <v>0</v>
      </c>
      <c r="W105" s="525">
        <v>0</v>
      </c>
      <c r="X105" s="525">
        <v>0</v>
      </c>
      <c r="Y105" s="525">
        <v>0</v>
      </c>
      <c r="Z105" s="525">
        <v>0</v>
      </c>
      <c r="AA105" s="525">
        <v>0</v>
      </c>
      <c r="AB105" s="525">
        <v>0</v>
      </c>
      <c r="AC105" s="77">
        <v>0</v>
      </c>
      <c r="AD105" s="85"/>
      <c r="AE105" s="85"/>
      <c r="AF105" s="85"/>
      <c r="AG105" s="85"/>
      <c r="AH105" s="85"/>
      <c r="AI105" s="85"/>
      <c r="AJ105" s="85"/>
      <c r="AK105" s="85"/>
    </row>
    <row r="106" spans="2:37" ht="33" hidden="1" customHeight="1">
      <c r="B106" s="891"/>
      <c r="C106" s="888"/>
      <c r="D106" s="885"/>
      <c r="E106" s="526" t="s">
        <v>711</v>
      </c>
      <c r="F106" s="526">
        <v>0</v>
      </c>
      <c r="G106" s="526">
        <v>0</v>
      </c>
      <c r="H106" s="526">
        <v>0</v>
      </c>
      <c r="I106" s="526">
        <v>0</v>
      </c>
      <c r="J106" s="526">
        <v>0</v>
      </c>
      <c r="K106" s="526">
        <v>0</v>
      </c>
      <c r="L106" s="526">
        <v>0</v>
      </c>
      <c r="M106" s="526">
        <v>0</v>
      </c>
      <c r="N106" s="526">
        <v>0</v>
      </c>
      <c r="O106" s="526">
        <v>0</v>
      </c>
      <c r="P106" s="526">
        <v>0</v>
      </c>
      <c r="Q106" s="526">
        <v>0</v>
      </c>
      <c r="R106" s="526">
        <v>0</v>
      </c>
      <c r="S106" s="526">
        <v>0</v>
      </c>
      <c r="T106" s="526">
        <v>0</v>
      </c>
      <c r="U106" s="526">
        <v>0</v>
      </c>
      <c r="V106" s="526">
        <v>0</v>
      </c>
      <c r="W106" s="526">
        <v>0</v>
      </c>
      <c r="X106" s="526">
        <v>0</v>
      </c>
      <c r="Y106" s="526">
        <v>0</v>
      </c>
      <c r="Z106" s="526">
        <v>0</v>
      </c>
      <c r="AA106" s="526">
        <v>0</v>
      </c>
      <c r="AB106" s="526">
        <v>0</v>
      </c>
      <c r="AC106" s="78">
        <v>0</v>
      </c>
      <c r="AD106" s="85"/>
      <c r="AE106" s="85"/>
      <c r="AF106" s="85"/>
      <c r="AG106" s="85"/>
      <c r="AH106" s="85"/>
      <c r="AI106" s="85"/>
      <c r="AJ106" s="85"/>
      <c r="AK106" s="85"/>
    </row>
    <row r="107" spans="2:37" hidden="1"/>
    <row r="108" spans="2:37" ht="11.4" hidden="1" customHeight="1">
      <c r="B108" s="868" t="s">
        <v>713</v>
      </c>
      <c r="C108" s="871" t="s">
        <v>553</v>
      </c>
      <c r="D108" s="871" t="s">
        <v>128</v>
      </c>
      <c r="E108" s="524" t="s">
        <v>675</v>
      </c>
      <c r="F108" s="161">
        <v>0.05</v>
      </c>
      <c r="G108" s="161">
        <v>0.05</v>
      </c>
      <c r="H108" s="161">
        <v>0.05</v>
      </c>
      <c r="I108" s="161">
        <v>0.05</v>
      </c>
      <c r="J108" s="161">
        <v>0.05</v>
      </c>
      <c r="K108" s="161">
        <v>0.1</v>
      </c>
      <c r="L108" s="161">
        <v>0.1</v>
      </c>
      <c r="M108" s="161">
        <v>0.3</v>
      </c>
      <c r="N108" s="161">
        <v>0.9</v>
      </c>
      <c r="O108" s="161">
        <v>0.9</v>
      </c>
      <c r="P108" s="161">
        <v>0.9</v>
      </c>
      <c r="Q108" s="161">
        <v>0.9</v>
      </c>
      <c r="R108" s="161">
        <v>0.9</v>
      </c>
      <c r="S108" s="161">
        <v>0.9</v>
      </c>
      <c r="T108" s="161">
        <v>0.9</v>
      </c>
      <c r="U108" s="161">
        <v>0.9</v>
      </c>
      <c r="V108" s="161">
        <v>0.9</v>
      </c>
      <c r="W108" s="161">
        <v>0.5</v>
      </c>
      <c r="X108" s="161">
        <v>0.3</v>
      </c>
      <c r="Y108" s="161">
        <v>0.3</v>
      </c>
      <c r="Z108" s="161">
        <v>0.2</v>
      </c>
      <c r="AA108" s="161">
        <v>0.2</v>
      </c>
      <c r="AB108" s="161">
        <v>0.1</v>
      </c>
      <c r="AC108" s="162">
        <v>0.05</v>
      </c>
    </row>
    <row r="109" spans="2:37" ht="13.2" hidden="1">
      <c r="B109" s="869"/>
      <c r="C109" s="872"/>
      <c r="D109" s="872"/>
      <c r="E109" s="525" t="s">
        <v>504</v>
      </c>
      <c r="F109" s="163">
        <v>0.43</v>
      </c>
      <c r="G109" s="163">
        <v>0.05</v>
      </c>
      <c r="H109" s="163">
        <v>0.05</v>
      </c>
      <c r="I109" s="163">
        <v>0.05</v>
      </c>
      <c r="J109" s="163">
        <v>0.05</v>
      </c>
      <c r="K109" s="163">
        <v>0.05</v>
      </c>
      <c r="L109" s="163">
        <v>0.1</v>
      </c>
      <c r="M109" s="163">
        <v>0.1</v>
      </c>
      <c r="N109" s="163">
        <v>0.3</v>
      </c>
      <c r="O109" s="163">
        <v>0.3</v>
      </c>
      <c r="P109" s="163">
        <v>0.3</v>
      </c>
      <c r="Q109" s="163">
        <v>0.3</v>
      </c>
      <c r="R109" s="163">
        <v>0.15</v>
      </c>
      <c r="S109" s="163">
        <v>0.15</v>
      </c>
      <c r="T109" s="163">
        <v>0.15</v>
      </c>
      <c r="U109" s="163">
        <v>0.15</v>
      </c>
      <c r="V109" s="163">
        <v>0.15</v>
      </c>
      <c r="W109" s="163">
        <v>0.05</v>
      </c>
      <c r="X109" s="163">
        <v>0.05</v>
      </c>
      <c r="Y109" s="163">
        <v>0.05</v>
      </c>
      <c r="Z109" s="163">
        <v>0.05</v>
      </c>
      <c r="AA109" s="163">
        <v>0.05</v>
      </c>
      <c r="AB109" s="163">
        <v>0.05</v>
      </c>
      <c r="AC109" s="164">
        <v>0.05</v>
      </c>
    </row>
    <row r="110" spans="2:37" ht="13.2" hidden="1">
      <c r="B110" s="870"/>
      <c r="C110" s="873"/>
      <c r="D110" s="873"/>
      <c r="E110" s="526" t="s">
        <v>506</v>
      </c>
      <c r="F110" s="165">
        <v>0.43</v>
      </c>
      <c r="G110" s="165">
        <v>0.43</v>
      </c>
      <c r="H110" s="165">
        <v>0.43</v>
      </c>
      <c r="I110" s="165">
        <v>0.43</v>
      </c>
      <c r="J110" s="165">
        <v>0.43</v>
      </c>
      <c r="K110" s="165">
        <v>0.43</v>
      </c>
      <c r="L110" s="165">
        <v>0.43</v>
      </c>
      <c r="M110" s="165">
        <v>0.43</v>
      </c>
      <c r="N110" s="165">
        <v>0.43</v>
      </c>
      <c r="O110" s="165">
        <v>0.43</v>
      </c>
      <c r="P110" s="165">
        <v>0.43</v>
      </c>
      <c r="Q110" s="165">
        <v>0.43</v>
      </c>
      <c r="R110" s="165">
        <v>0.43</v>
      </c>
      <c r="S110" s="165">
        <v>0.43</v>
      </c>
      <c r="T110" s="165">
        <v>0.43</v>
      </c>
      <c r="U110" s="165">
        <v>0.43</v>
      </c>
      <c r="V110" s="165">
        <v>0.43</v>
      </c>
      <c r="W110" s="165">
        <v>0.43</v>
      </c>
      <c r="X110" s="165">
        <v>0.43</v>
      </c>
      <c r="Y110" s="165">
        <v>0.43</v>
      </c>
      <c r="Z110" s="165">
        <v>0.43</v>
      </c>
      <c r="AA110" s="165">
        <v>0.43</v>
      </c>
      <c r="AB110" s="165">
        <v>0.43</v>
      </c>
      <c r="AC110" s="165">
        <v>0.43</v>
      </c>
    </row>
    <row r="111" spans="2:37" hidden="1"/>
    <row r="112" spans="2:37" ht="12" hidden="1" customHeight="1"/>
    <row r="113" spans="2:39" s="109" customFormat="1" ht="21.6" hidden="1" customHeight="1">
      <c r="B113" s="883" t="s">
        <v>447</v>
      </c>
      <c r="C113" s="883"/>
      <c r="D113" s="883"/>
      <c r="E113" s="883"/>
      <c r="F113" s="883"/>
    </row>
    <row r="114" spans="2:39" ht="21.6" hidden="1" customHeight="1"/>
    <row r="115" spans="2:39" ht="34.950000000000003" hidden="1" customHeight="1">
      <c r="B115" s="874" t="s">
        <v>714</v>
      </c>
      <c r="C115" s="877" t="s">
        <v>501</v>
      </c>
      <c r="D115" s="880" t="s">
        <v>715</v>
      </c>
      <c r="E115" s="524" t="s">
        <v>675</v>
      </c>
      <c r="F115" s="79">
        <v>0.40947755650000001</v>
      </c>
      <c r="G115" s="79">
        <v>0.40947755650000001</v>
      </c>
      <c r="H115" s="79">
        <v>0.40947755650000001</v>
      </c>
      <c r="I115" s="79">
        <v>0.40947755650000001</v>
      </c>
      <c r="J115" s="79">
        <v>0.40947755650000001</v>
      </c>
      <c r="K115" s="79">
        <v>0.40947755650000001</v>
      </c>
      <c r="L115" s="79">
        <v>0.47975263350000003</v>
      </c>
      <c r="M115" s="79">
        <v>0.47975263350000003</v>
      </c>
      <c r="N115" s="79">
        <v>0.95950526700000005</v>
      </c>
      <c r="O115" s="79">
        <v>0.95950526700000005</v>
      </c>
      <c r="P115" s="79">
        <v>0.95950526700000005</v>
      </c>
      <c r="Q115" s="79">
        <v>0.95950526700000005</v>
      </c>
      <c r="R115" s="79">
        <v>0.90193495097999998</v>
      </c>
      <c r="S115" s="79">
        <v>0.95950526700000005</v>
      </c>
      <c r="T115" s="79">
        <v>0.95950526700000005</v>
      </c>
      <c r="U115" s="79">
        <v>0.95950526700000005</v>
      </c>
      <c r="V115" s="79">
        <v>0.95950526700000005</v>
      </c>
      <c r="W115" s="79">
        <v>0.47975263350000003</v>
      </c>
      <c r="X115" s="79">
        <v>0.19190105339999999</v>
      </c>
      <c r="Y115" s="79">
        <v>0.19190105339999999</v>
      </c>
      <c r="Z115" s="79">
        <v>0.19190105339999999</v>
      </c>
      <c r="AA115" s="79">
        <v>0.19190105339999999</v>
      </c>
      <c r="AB115" s="79">
        <v>0.19190105339999999</v>
      </c>
      <c r="AC115" s="80">
        <v>0.1637910226</v>
      </c>
      <c r="AM115" s="110"/>
    </row>
    <row r="116" spans="2:39" ht="34.950000000000003" hidden="1" customHeight="1">
      <c r="B116" s="875"/>
      <c r="C116" s="878"/>
      <c r="D116" s="881"/>
      <c r="E116" s="525" t="s">
        <v>504</v>
      </c>
      <c r="F116" s="75">
        <v>0.1637910226</v>
      </c>
      <c r="G116" s="75">
        <v>0.1637910226</v>
      </c>
      <c r="H116" s="75">
        <v>0.1637910226</v>
      </c>
      <c r="I116" s="75">
        <v>0.1637910226</v>
      </c>
      <c r="J116" s="75">
        <v>0.1637910226</v>
      </c>
      <c r="K116" s="75">
        <v>0.1637910226</v>
      </c>
      <c r="L116" s="75">
        <v>0.1637910226</v>
      </c>
      <c r="M116" s="75">
        <v>0.1637910226</v>
      </c>
      <c r="N116" s="75">
        <v>0.1637910226</v>
      </c>
      <c r="O116" s="75">
        <v>0.1637910226</v>
      </c>
      <c r="P116" s="75">
        <v>0.1637910226</v>
      </c>
      <c r="Q116" s="75">
        <v>0.1637910226</v>
      </c>
      <c r="R116" s="75">
        <v>0.1637910226</v>
      </c>
      <c r="S116" s="75">
        <v>0.1637910226</v>
      </c>
      <c r="T116" s="75">
        <v>0.1637910226</v>
      </c>
      <c r="U116" s="75">
        <v>0.1637910226</v>
      </c>
      <c r="V116" s="75">
        <v>0.1637910226</v>
      </c>
      <c r="W116" s="75">
        <v>0.1637910226</v>
      </c>
      <c r="X116" s="75">
        <v>0.1637910226</v>
      </c>
      <c r="Y116" s="75">
        <v>0.1637910226</v>
      </c>
      <c r="Z116" s="75">
        <v>0.1637910226</v>
      </c>
      <c r="AA116" s="75">
        <v>0.1637910226</v>
      </c>
      <c r="AB116" s="75">
        <v>0.1637910226</v>
      </c>
      <c r="AC116" s="81">
        <v>0.1637910226</v>
      </c>
      <c r="AM116" s="110"/>
    </row>
    <row r="117" spans="2:39" ht="34.950000000000003" hidden="1" customHeight="1">
      <c r="B117" s="876"/>
      <c r="C117" s="879"/>
      <c r="D117" s="882"/>
      <c r="E117" s="526" t="s">
        <v>506</v>
      </c>
      <c r="F117" s="82">
        <v>0.1637910226</v>
      </c>
      <c r="G117" s="82">
        <v>0.1637910226</v>
      </c>
      <c r="H117" s="82">
        <v>0.1637910226</v>
      </c>
      <c r="I117" s="82">
        <v>0.1637910226</v>
      </c>
      <c r="J117" s="82">
        <v>0.1637910226</v>
      </c>
      <c r="K117" s="82">
        <v>0.1637910226</v>
      </c>
      <c r="L117" s="82">
        <v>0.1637910226</v>
      </c>
      <c r="M117" s="82">
        <v>0.1637910226</v>
      </c>
      <c r="N117" s="82">
        <v>0.1637910226</v>
      </c>
      <c r="O117" s="82">
        <v>0.1637910226</v>
      </c>
      <c r="P117" s="82">
        <v>0.1637910226</v>
      </c>
      <c r="Q117" s="82">
        <v>0.1637910226</v>
      </c>
      <c r="R117" s="82">
        <v>0.1637910226</v>
      </c>
      <c r="S117" s="82">
        <v>0.1637910226</v>
      </c>
      <c r="T117" s="82">
        <v>0.1637910226</v>
      </c>
      <c r="U117" s="82">
        <v>0.1637910226</v>
      </c>
      <c r="V117" s="82">
        <v>0.1637910226</v>
      </c>
      <c r="W117" s="82">
        <v>0.1637910226</v>
      </c>
      <c r="X117" s="82">
        <v>0.1637910226</v>
      </c>
      <c r="Y117" s="82">
        <v>0.1637910226</v>
      </c>
      <c r="Z117" s="82">
        <v>0.1637910226</v>
      </c>
      <c r="AA117" s="82">
        <v>0.1637910226</v>
      </c>
      <c r="AB117" s="82">
        <v>0.1637910226</v>
      </c>
      <c r="AC117" s="83">
        <v>0.1637910226</v>
      </c>
      <c r="AM117" s="110"/>
    </row>
    <row r="118" spans="2:39" ht="12" hidden="1" customHeight="1"/>
    <row r="119" spans="2:39" ht="12" hidden="1" customHeight="1"/>
    <row r="120" spans="2:39" hidden="1"/>
    <row r="121" spans="2:39" hidden="1"/>
    <row r="122" spans="2:39" hidden="1"/>
  </sheetData>
  <mergeCells count="138">
    <mergeCell ref="D66:D68"/>
    <mergeCell ref="C66:C68"/>
    <mergeCell ref="B66:B68"/>
    <mergeCell ref="A66:A68"/>
    <mergeCell ref="C63:C65"/>
    <mergeCell ref="B63:B65"/>
    <mergeCell ref="A63:A65"/>
    <mergeCell ref="D63:D65"/>
    <mergeCell ref="A82:A84"/>
    <mergeCell ref="B82:B84"/>
    <mergeCell ref="A35:A37"/>
    <mergeCell ref="B35:B37"/>
    <mergeCell ref="C35:C37"/>
    <mergeCell ref="A44:A46"/>
    <mergeCell ref="B44:B46"/>
    <mergeCell ref="C44:C46"/>
    <mergeCell ref="A79:A81"/>
    <mergeCell ref="B79:B81"/>
    <mergeCell ref="C79:C81"/>
    <mergeCell ref="A76:A78"/>
    <mergeCell ref="B76:B78"/>
    <mergeCell ref="C76:C78"/>
    <mergeCell ref="A73:A75"/>
    <mergeCell ref="B73:B75"/>
    <mergeCell ref="A70:A72"/>
    <mergeCell ref="B70:B72"/>
    <mergeCell ref="C70:C72"/>
    <mergeCell ref="A60:A62"/>
    <mergeCell ref="B60:B62"/>
    <mergeCell ref="C60:C62"/>
    <mergeCell ref="B29:B31"/>
    <mergeCell ref="C29:C31"/>
    <mergeCell ref="D29:D31"/>
    <mergeCell ref="D35:D37"/>
    <mergeCell ref="C73:C75"/>
    <mergeCell ref="D44:D46"/>
    <mergeCell ref="A38:A40"/>
    <mergeCell ref="B38:B40"/>
    <mergeCell ref="C38:C40"/>
    <mergeCell ref="D38:D40"/>
    <mergeCell ref="A41:A43"/>
    <mergeCell ref="B41:B43"/>
    <mergeCell ref="C41:C43"/>
    <mergeCell ref="D41:D43"/>
    <mergeCell ref="D73:D75"/>
    <mergeCell ref="D70:D72"/>
    <mergeCell ref="A47:AC47"/>
    <mergeCell ref="A48:A50"/>
    <mergeCell ref="B48:B50"/>
    <mergeCell ref="C48:C50"/>
    <mergeCell ref="D48:D50"/>
    <mergeCell ref="A51:A53"/>
    <mergeCell ref="B51:B53"/>
    <mergeCell ref="C51:C53"/>
    <mergeCell ref="C98:C99"/>
    <mergeCell ref="B98:B99"/>
    <mergeCell ref="D98:D99"/>
    <mergeCell ref="B97:AC97"/>
    <mergeCell ref="B100:AC100"/>
    <mergeCell ref="B16:B18"/>
    <mergeCell ref="B4:B6"/>
    <mergeCell ref="B7:B9"/>
    <mergeCell ref="C10:C12"/>
    <mergeCell ref="C7:C9"/>
    <mergeCell ref="B13:B15"/>
    <mergeCell ref="D79:D81"/>
    <mergeCell ref="C82:C84"/>
    <mergeCell ref="D76:D78"/>
    <mergeCell ref="D82:D84"/>
    <mergeCell ref="D4:D6"/>
    <mergeCell ref="C4:C6"/>
    <mergeCell ref="C16:C18"/>
    <mergeCell ref="D16:D18"/>
    <mergeCell ref="B19:B21"/>
    <mergeCell ref="C19:C21"/>
    <mergeCell ref="D19:D21"/>
    <mergeCell ref="B22:B24"/>
    <mergeCell ref="C22:C24"/>
    <mergeCell ref="B108:B110"/>
    <mergeCell ref="C108:C110"/>
    <mergeCell ref="D108:D110"/>
    <mergeCell ref="B115:B117"/>
    <mergeCell ref="C115:C117"/>
    <mergeCell ref="D115:D117"/>
    <mergeCell ref="B113:F113"/>
    <mergeCell ref="D104:D106"/>
    <mergeCell ref="C101:C106"/>
    <mergeCell ref="B101:B106"/>
    <mergeCell ref="D101:D103"/>
    <mergeCell ref="A2:A3"/>
    <mergeCell ref="A1:AC1"/>
    <mergeCell ref="A4:A6"/>
    <mergeCell ref="A7:A9"/>
    <mergeCell ref="A10:A12"/>
    <mergeCell ref="C13:C15"/>
    <mergeCell ref="D13:D15"/>
    <mergeCell ref="D7:D9"/>
    <mergeCell ref="B10:B12"/>
    <mergeCell ref="D10:D12"/>
    <mergeCell ref="B2:B3"/>
    <mergeCell ref="F2:AC2"/>
    <mergeCell ref="E2:E3"/>
    <mergeCell ref="D2:D3"/>
    <mergeCell ref="C2:C3"/>
    <mergeCell ref="A85:A87"/>
    <mergeCell ref="B85:B87"/>
    <mergeCell ref="C85:C87"/>
    <mergeCell ref="D85:D87"/>
    <mergeCell ref="A88:A90"/>
    <mergeCell ref="B88:B90"/>
    <mergeCell ref="C88:C90"/>
    <mergeCell ref="D88:D90"/>
    <mergeCell ref="A13:A15"/>
    <mergeCell ref="A16:A18"/>
    <mergeCell ref="A19:A21"/>
    <mergeCell ref="A22:A24"/>
    <mergeCell ref="D22:D24"/>
    <mergeCell ref="A25:A27"/>
    <mergeCell ref="B25:B27"/>
    <mergeCell ref="C25:C27"/>
    <mergeCell ref="D25:D27"/>
    <mergeCell ref="A69:AC69"/>
    <mergeCell ref="A32:A34"/>
    <mergeCell ref="B32:B34"/>
    <mergeCell ref="C32:C34"/>
    <mergeCell ref="D32:D34"/>
    <mergeCell ref="A28:AC28"/>
    <mergeCell ref="A29:A31"/>
    <mergeCell ref="D60:D62"/>
    <mergeCell ref="D51:D53"/>
    <mergeCell ref="A54:A56"/>
    <mergeCell ref="B54:B56"/>
    <mergeCell ref="C54:C56"/>
    <mergeCell ref="D54:D56"/>
    <mergeCell ref="A57:A59"/>
    <mergeCell ref="B57:B59"/>
    <mergeCell ref="C57:C59"/>
    <mergeCell ref="D57:D5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X40"/>
  <sheetViews>
    <sheetView zoomScale="73" zoomScaleNormal="85" workbookViewId="0">
      <selection sqref="A1:H1"/>
    </sheetView>
  </sheetViews>
  <sheetFormatPr defaultColWidth="8.88671875" defaultRowHeight="12.75" customHeight="1"/>
  <cols>
    <col min="1" max="11" width="15.109375" style="11" customWidth="1"/>
    <col min="12" max="12" width="16.33203125" style="11" customWidth="1"/>
    <col min="13" max="13" width="8.88671875" style="11"/>
    <col min="14" max="14" width="14.44140625" style="11" customWidth="1"/>
    <col min="15" max="15" width="15.44140625" style="11" customWidth="1"/>
    <col min="16" max="16" width="19.33203125" style="11" customWidth="1"/>
    <col min="17" max="17" width="18.33203125" style="11" customWidth="1"/>
    <col min="18" max="18" width="18.109375" style="11" customWidth="1"/>
    <col min="19" max="21" width="13.88671875" style="11" customWidth="1"/>
    <col min="22" max="22" width="16" style="11" customWidth="1"/>
    <col min="23" max="24" width="8.88671875" style="11"/>
    <col min="25" max="25" width="13.6640625" style="11" customWidth="1"/>
    <col min="26" max="28" width="8.88671875" style="11"/>
    <col min="29" max="29" width="12.44140625" style="11" customWidth="1"/>
    <col min="30" max="16384" width="8.88671875" style="11"/>
  </cols>
  <sheetData>
    <row r="1" spans="1:24" ht="29.4" customHeight="1">
      <c r="A1" s="936" t="s">
        <v>716</v>
      </c>
      <c r="B1" s="936"/>
      <c r="C1" s="936"/>
      <c r="D1" s="936"/>
      <c r="E1" s="936"/>
      <c r="F1" s="936"/>
      <c r="G1" s="936"/>
      <c r="H1" s="936"/>
      <c r="I1" s="936" t="s">
        <v>717</v>
      </c>
      <c r="J1" s="936"/>
      <c r="K1" s="936"/>
      <c r="L1" s="937"/>
      <c r="N1" s="662" t="s">
        <v>718</v>
      </c>
      <c r="O1" s="662"/>
      <c r="P1" s="662"/>
      <c r="Q1" s="662"/>
      <c r="R1" s="662"/>
      <c r="S1" s="662"/>
      <c r="T1" s="662"/>
      <c r="U1" s="662"/>
      <c r="V1" s="662"/>
      <c r="W1" s="554"/>
      <c r="X1" s="554"/>
    </row>
    <row r="2" spans="1:24" ht="54" customHeight="1">
      <c r="A2" s="271" t="s">
        <v>10</v>
      </c>
      <c r="B2" s="272" t="s">
        <v>719</v>
      </c>
      <c r="C2" s="273" t="s">
        <v>720</v>
      </c>
      <c r="D2" s="284" t="s">
        <v>721</v>
      </c>
      <c r="E2" s="285" t="s">
        <v>722</v>
      </c>
      <c r="F2" s="273" t="s">
        <v>723</v>
      </c>
      <c r="G2" s="274" t="s">
        <v>724</v>
      </c>
      <c r="H2" s="275" t="s">
        <v>725</v>
      </c>
      <c r="I2" s="276" t="s">
        <v>726</v>
      </c>
      <c r="J2" s="277" t="s">
        <v>727</v>
      </c>
      <c r="K2" s="292" t="s">
        <v>728</v>
      </c>
      <c r="L2" s="294" t="s">
        <v>729</v>
      </c>
      <c r="N2" s="70" t="s">
        <v>10</v>
      </c>
      <c r="O2" s="87" t="s">
        <v>719</v>
      </c>
      <c r="P2" s="87" t="s">
        <v>730</v>
      </c>
      <c r="Q2" s="87" t="s">
        <v>731</v>
      </c>
      <c r="R2" s="87" t="s">
        <v>732</v>
      </c>
      <c r="S2" s="281" t="s">
        <v>733</v>
      </c>
      <c r="T2" s="281" t="s">
        <v>734</v>
      </c>
      <c r="U2" s="289" t="s">
        <v>735</v>
      </c>
      <c r="V2" s="362" t="s">
        <v>736</v>
      </c>
      <c r="W2" s="554"/>
      <c r="X2" s="554"/>
    </row>
    <row r="3" spans="1:24" ht="19.2" customHeight="1">
      <c r="A3" s="934" t="s">
        <v>737</v>
      </c>
      <c r="B3" s="645">
        <v>1</v>
      </c>
      <c r="C3" s="612"/>
      <c r="D3" s="646"/>
      <c r="E3" s="647"/>
      <c r="F3" s="286"/>
      <c r="G3" s="286"/>
      <c r="H3" s="286"/>
      <c r="I3" s="299">
        <v>59.8</v>
      </c>
      <c r="J3" s="283">
        <f>I3*1.25</f>
        <v>74.75</v>
      </c>
      <c r="K3" s="293">
        <f>I3*0.75</f>
        <v>44.849999999999994</v>
      </c>
      <c r="L3" s="295">
        <f>J3-K3</f>
        <v>29.900000000000006</v>
      </c>
      <c r="N3" s="736" t="s">
        <v>738</v>
      </c>
      <c r="O3" s="278">
        <v>1</v>
      </c>
      <c r="P3" s="279">
        <v>5279</v>
      </c>
      <c r="Q3" s="280">
        <v>16.7</v>
      </c>
      <c r="R3" s="280">
        <v>5.01</v>
      </c>
      <c r="S3" s="282">
        <f>(Q3+R3)*3.412</f>
        <v>74.074520000000007</v>
      </c>
      <c r="T3" s="282">
        <f>S3*1.25</f>
        <v>92.593150000000009</v>
      </c>
      <c r="U3" s="290">
        <f>S3*0.75</f>
        <v>55.555890000000005</v>
      </c>
      <c r="V3" s="291">
        <f>T3-U3</f>
        <v>37.037260000000003</v>
      </c>
    </row>
    <row r="4" spans="1:24" ht="19.2" customHeight="1">
      <c r="A4" s="934"/>
      <c r="B4" s="645">
        <v>2</v>
      </c>
      <c r="C4" s="648"/>
      <c r="D4" s="649"/>
      <c r="E4" s="650"/>
      <c r="F4" s="286"/>
      <c r="G4" s="286"/>
      <c r="H4" s="286"/>
      <c r="I4" s="299">
        <v>65.5</v>
      </c>
      <c r="J4" s="283">
        <f t="shared" ref="J4:J18" si="0">I4*1.25</f>
        <v>81.875</v>
      </c>
      <c r="K4" s="293">
        <f t="shared" ref="K4:K18" si="1">I4*0.75</f>
        <v>49.125</v>
      </c>
      <c r="L4" s="295">
        <f t="shared" ref="L4:L18" si="2">J4-K4</f>
        <v>32.75</v>
      </c>
      <c r="N4" s="736"/>
      <c r="O4" s="278">
        <v>2</v>
      </c>
      <c r="P4" s="279">
        <v>12449</v>
      </c>
      <c r="Q4" s="280">
        <v>15.2</v>
      </c>
      <c r="R4" s="280">
        <v>6.24</v>
      </c>
      <c r="S4" s="282">
        <f t="shared" ref="S4:S18" si="3">(Q4+R4)*3.412</f>
        <v>73.153279999999995</v>
      </c>
      <c r="T4" s="282">
        <f t="shared" ref="T4:T18" si="4">S4*1.25</f>
        <v>91.441599999999994</v>
      </c>
      <c r="U4" s="290">
        <f t="shared" ref="U4:U18" si="5">S4*0.75</f>
        <v>54.864959999999996</v>
      </c>
      <c r="V4" s="291">
        <f t="shared" ref="V4:V18" si="6">T4-U4</f>
        <v>36.576639999999998</v>
      </c>
    </row>
    <row r="5" spans="1:24" ht="19.2" customHeight="1">
      <c r="A5" s="934"/>
      <c r="B5" s="645">
        <v>3</v>
      </c>
      <c r="C5" s="648"/>
      <c r="D5" s="649"/>
      <c r="E5" s="650"/>
      <c r="F5" s="286"/>
      <c r="G5" s="286"/>
      <c r="H5" s="286"/>
      <c r="I5" s="299">
        <v>62.2</v>
      </c>
      <c r="J5" s="283">
        <f t="shared" si="0"/>
        <v>77.75</v>
      </c>
      <c r="K5" s="293">
        <f t="shared" si="1"/>
        <v>46.650000000000006</v>
      </c>
      <c r="L5" s="295">
        <f t="shared" si="2"/>
        <v>31.099999999999994</v>
      </c>
      <c r="N5" s="736"/>
      <c r="O5" s="278">
        <v>3</v>
      </c>
      <c r="P5" s="279">
        <v>242565</v>
      </c>
      <c r="Q5" s="280">
        <v>14.3</v>
      </c>
      <c r="R5" s="280">
        <v>4.83</v>
      </c>
      <c r="S5" s="282">
        <f t="shared" si="3"/>
        <v>65.271560000000008</v>
      </c>
      <c r="T5" s="282">
        <f t="shared" si="4"/>
        <v>81.589450000000014</v>
      </c>
      <c r="U5" s="290">
        <f t="shared" si="5"/>
        <v>48.953670000000002</v>
      </c>
      <c r="V5" s="291">
        <f t="shared" si="6"/>
        <v>32.635780000000011</v>
      </c>
    </row>
    <row r="6" spans="1:24" ht="19.2" customHeight="1">
      <c r="A6" s="934"/>
      <c r="B6" s="645">
        <v>4</v>
      </c>
      <c r="C6" s="648"/>
      <c r="D6" s="649"/>
      <c r="E6" s="650"/>
      <c r="F6" s="286"/>
      <c r="G6" s="286"/>
      <c r="H6" s="286"/>
      <c r="I6" s="299">
        <v>67.7</v>
      </c>
      <c r="J6" s="283">
        <f t="shared" si="0"/>
        <v>84.625</v>
      </c>
      <c r="K6" s="293">
        <f t="shared" si="1"/>
        <v>50.775000000000006</v>
      </c>
      <c r="L6" s="295">
        <f t="shared" si="2"/>
        <v>33.849999999999994</v>
      </c>
      <c r="N6" s="736"/>
      <c r="O6" s="278">
        <v>4</v>
      </c>
      <c r="P6" s="279">
        <v>137610</v>
      </c>
      <c r="Q6" s="280">
        <v>14.4</v>
      </c>
      <c r="R6" s="280">
        <v>4.76</v>
      </c>
      <c r="S6" s="282">
        <f t="shared" si="3"/>
        <v>65.373919999999998</v>
      </c>
      <c r="T6" s="282">
        <f t="shared" si="4"/>
        <v>81.717399999999998</v>
      </c>
      <c r="U6" s="290">
        <f t="shared" si="5"/>
        <v>49.030439999999999</v>
      </c>
      <c r="V6" s="291">
        <f t="shared" si="6"/>
        <v>32.686959999999999</v>
      </c>
    </row>
    <row r="7" spans="1:24" ht="19.2" customHeight="1">
      <c r="A7" s="934"/>
      <c r="B7" s="645">
        <v>5</v>
      </c>
      <c r="C7" s="648"/>
      <c r="D7" s="649"/>
      <c r="E7" s="650"/>
      <c r="F7" s="286"/>
      <c r="G7" s="286"/>
      <c r="H7" s="286"/>
      <c r="I7" s="299">
        <v>59.7</v>
      </c>
      <c r="J7" s="283">
        <f t="shared" si="0"/>
        <v>74.625</v>
      </c>
      <c r="K7" s="293">
        <f t="shared" si="1"/>
        <v>44.775000000000006</v>
      </c>
      <c r="L7" s="295">
        <f t="shared" si="2"/>
        <v>29.849999999999994</v>
      </c>
      <c r="N7" s="736"/>
      <c r="O7" s="278">
        <v>5</v>
      </c>
      <c r="P7" s="279">
        <v>3834</v>
      </c>
      <c r="Q7" s="280">
        <v>8.6</v>
      </c>
      <c r="R7" s="280">
        <v>9.32</v>
      </c>
      <c r="S7" s="282">
        <f t="shared" si="3"/>
        <v>61.143040000000006</v>
      </c>
      <c r="T7" s="282">
        <f t="shared" si="4"/>
        <v>76.42880000000001</v>
      </c>
      <c r="U7" s="290">
        <f t="shared" si="5"/>
        <v>45.857280000000003</v>
      </c>
      <c r="V7" s="291">
        <f t="shared" si="6"/>
        <v>30.571520000000007</v>
      </c>
    </row>
    <row r="8" spans="1:24" ht="19.2" customHeight="1">
      <c r="A8" s="934"/>
      <c r="B8" s="645">
        <v>6</v>
      </c>
      <c r="C8" s="648"/>
      <c r="D8" s="649"/>
      <c r="E8" s="650"/>
      <c r="F8" s="286"/>
      <c r="G8" s="286"/>
      <c r="H8" s="286"/>
      <c r="I8" s="299">
        <v>69</v>
      </c>
      <c r="J8" s="283">
        <f t="shared" si="0"/>
        <v>86.25</v>
      </c>
      <c r="K8" s="293">
        <f t="shared" si="1"/>
        <v>51.75</v>
      </c>
      <c r="L8" s="295">
        <f t="shared" si="2"/>
        <v>34.5</v>
      </c>
      <c r="N8" s="736"/>
      <c r="O8" s="278">
        <v>6</v>
      </c>
      <c r="P8" s="279">
        <v>109980</v>
      </c>
      <c r="Q8" s="280">
        <v>10.9</v>
      </c>
      <c r="R8" s="280">
        <v>4.88</v>
      </c>
      <c r="S8" s="282">
        <f t="shared" si="3"/>
        <v>53.841360000000002</v>
      </c>
      <c r="T8" s="282">
        <f t="shared" si="4"/>
        <v>67.301699999999997</v>
      </c>
      <c r="U8" s="290">
        <f t="shared" si="5"/>
        <v>40.381019999999999</v>
      </c>
      <c r="V8" s="291">
        <f t="shared" si="6"/>
        <v>26.920679999999997</v>
      </c>
    </row>
    <row r="9" spans="1:24" ht="19.2" customHeight="1">
      <c r="A9" s="934"/>
      <c r="B9" s="645">
        <v>7</v>
      </c>
      <c r="C9" s="648"/>
      <c r="D9" s="649"/>
      <c r="E9" s="650"/>
      <c r="F9" s="286"/>
      <c r="G9" s="286"/>
      <c r="H9" s="286"/>
      <c r="I9" s="299">
        <v>64.900000000000006</v>
      </c>
      <c r="J9" s="283">
        <f t="shared" si="0"/>
        <v>81.125</v>
      </c>
      <c r="K9" s="293">
        <f t="shared" si="1"/>
        <v>48.675000000000004</v>
      </c>
      <c r="L9" s="295">
        <f t="shared" si="2"/>
        <v>32.449999999999996</v>
      </c>
      <c r="N9" s="736"/>
      <c r="O9" s="278">
        <v>7</v>
      </c>
      <c r="P9" s="279">
        <v>76710</v>
      </c>
      <c r="Q9" s="280">
        <v>14.8</v>
      </c>
      <c r="R9" s="280">
        <v>9.36</v>
      </c>
      <c r="S9" s="282">
        <f t="shared" si="3"/>
        <v>82.433920000000001</v>
      </c>
      <c r="T9" s="282">
        <f t="shared" si="4"/>
        <v>103.0424</v>
      </c>
      <c r="U9" s="290">
        <f t="shared" si="5"/>
        <v>61.82544</v>
      </c>
      <c r="V9" s="291">
        <f t="shared" si="6"/>
        <v>41.21696</v>
      </c>
    </row>
    <row r="10" spans="1:24" ht="19.2" customHeight="1">
      <c r="A10" s="934"/>
      <c r="B10" s="645">
        <v>8</v>
      </c>
      <c r="C10" s="648"/>
      <c r="D10" s="649"/>
      <c r="E10" s="650"/>
      <c r="F10" s="286"/>
      <c r="G10" s="286"/>
      <c r="H10" s="286"/>
      <c r="I10" s="299">
        <v>65.900000000000006</v>
      </c>
      <c r="J10" s="283">
        <f t="shared" si="0"/>
        <v>82.375</v>
      </c>
      <c r="K10" s="293">
        <f t="shared" si="1"/>
        <v>49.425000000000004</v>
      </c>
      <c r="L10" s="295">
        <f t="shared" si="2"/>
        <v>32.949999999999996</v>
      </c>
      <c r="N10" s="736"/>
      <c r="O10" s="278">
        <v>8</v>
      </c>
      <c r="P10" s="279">
        <v>177013</v>
      </c>
      <c r="Q10" s="280">
        <v>10.4</v>
      </c>
      <c r="R10" s="280">
        <v>4.24</v>
      </c>
      <c r="S10" s="282">
        <f t="shared" si="3"/>
        <v>49.951680000000003</v>
      </c>
      <c r="T10" s="282">
        <f t="shared" si="4"/>
        <v>62.439600000000006</v>
      </c>
      <c r="U10" s="290">
        <f t="shared" si="5"/>
        <v>37.463760000000001</v>
      </c>
      <c r="V10" s="291">
        <f t="shared" si="6"/>
        <v>24.975840000000005</v>
      </c>
    </row>
    <row r="11" spans="1:24" ht="19.2" customHeight="1">
      <c r="A11" s="934"/>
      <c r="B11" s="645">
        <v>9</v>
      </c>
      <c r="C11" s="648"/>
      <c r="D11" s="649"/>
      <c r="E11" s="650"/>
      <c r="F11" s="286"/>
      <c r="G11" s="286"/>
      <c r="H11" s="286"/>
      <c r="I11" s="299">
        <v>65.900000000000006</v>
      </c>
      <c r="J11" s="283">
        <f t="shared" si="0"/>
        <v>82.375</v>
      </c>
      <c r="K11" s="293">
        <f t="shared" si="1"/>
        <v>49.425000000000004</v>
      </c>
      <c r="L11" s="295">
        <f t="shared" si="2"/>
        <v>32.949999999999996</v>
      </c>
      <c r="N11" s="736"/>
      <c r="O11" s="278">
        <v>9</v>
      </c>
      <c r="P11" s="279">
        <v>240000</v>
      </c>
      <c r="Q11" s="280">
        <v>10.9</v>
      </c>
      <c r="R11" s="280">
        <v>4.38</v>
      </c>
      <c r="S11" s="282">
        <f t="shared" si="3"/>
        <v>52.135360000000006</v>
      </c>
      <c r="T11" s="282">
        <f t="shared" si="4"/>
        <v>65.169200000000004</v>
      </c>
      <c r="U11" s="290">
        <f t="shared" si="5"/>
        <v>39.101520000000008</v>
      </c>
      <c r="V11" s="291">
        <f t="shared" si="6"/>
        <v>26.067679999999996</v>
      </c>
    </row>
    <row r="12" spans="1:24" ht="19.2" customHeight="1">
      <c r="A12" s="934"/>
      <c r="B12" s="645">
        <v>10</v>
      </c>
      <c r="C12" s="648"/>
      <c r="D12" s="649"/>
      <c r="E12" s="650"/>
      <c r="F12" s="286"/>
      <c r="G12" s="286"/>
      <c r="H12" s="286"/>
      <c r="I12" s="299">
        <v>66.400000000000006</v>
      </c>
      <c r="J12" s="283">
        <f t="shared" si="0"/>
        <v>83</v>
      </c>
      <c r="K12" s="293">
        <f t="shared" si="1"/>
        <v>49.800000000000004</v>
      </c>
      <c r="L12" s="295">
        <f t="shared" si="2"/>
        <v>33.199999999999996</v>
      </c>
      <c r="N12" s="736"/>
      <c r="O12" s="278">
        <v>10</v>
      </c>
      <c r="P12" s="279">
        <v>65927</v>
      </c>
      <c r="Q12" s="280">
        <v>11.9</v>
      </c>
      <c r="R12" s="280">
        <v>7.21</v>
      </c>
      <c r="S12" s="282">
        <f t="shared" si="3"/>
        <v>65.203319999999991</v>
      </c>
      <c r="T12" s="282">
        <f t="shared" si="4"/>
        <v>81.504149999999981</v>
      </c>
      <c r="U12" s="290">
        <f t="shared" si="5"/>
        <v>48.902489999999993</v>
      </c>
      <c r="V12" s="291">
        <f t="shared" si="6"/>
        <v>32.601659999999988</v>
      </c>
    </row>
    <row r="13" spans="1:24" ht="19.2" customHeight="1">
      <c r="A13" s="934"/>
      <c r="B13" s="645">
        <v>11</v>
      </c>
      <c r="C13" s="648"/>
      <c r="D13" s="649"/>
      <c r="E13" s="650"/>
      <c r="F13" s="286"/>
      <c r="G13" s="286"/>
      <c r="H13" s="286"/>
      <c r="I13" s="299">
        <v>68.599999999999994</v>
      </c>
      <c r="J13" s="283">
        <f t="shared" si="0"/>
        <v>85.75</v>
      </c>
      <c r="K13" s="293">
        <f t="shared" si="1"/>
        <v>51.449999999999996</v>
      </c>
      <c r="L13" s="295">
        <f t="shared" si="2"/>
        <v>34.300000000000004</v>
      </c>
      <c r="N13" s="736"/>
      <c r="O13" s="278">
        <v>11</v>
      </c>
      <c r="P13" s="279">
        <v>18413</v>
      </c>
      <c r="Q13" s="280">
        <v>11.4</v>
      </c>
      <c r="R13" s="280">
        <v>4.29</v>
      </c>
      <c r="S13" s="282">
        <f t="shared" si="3"/>
        <v>53.534280000000003</v>
      </c>
      <c r="T13" s="282">
        <f t="shared" si="4"/>
        <v>66.917850000000001</v>
      </c>
      <c r="U13" s="290">
        <f t="shared" si="5"/>
        <v>40.150710000000004</v>
      </c>
      <c r="V13" s="291">
        <f t="shared" si="6"/>
        <v>26.767139999999998</v>
      </c>
    </row>
    <row r="14" spans="1:24" ht="19.2" customHeight="1">
      <c r="A14" s="934"/>
      <c r="B14" s="645">
        <v>12</v>
      </c>
      <c r="C14" s="648"/>
      <c r="D14" s="649"/>
      <c r="E14" s="650"/>
      <c r="F14" s="286"/>
      <c r="G14" s="286"/>
      <c r="H14" s="286"/>
      <c r="I14" s="299">
        <v>67.8</v>
      </c>
      <c r="J14" s="283">
        <f t="shared" si="0"/>
        <v>84.75</v>
      </c>
      <c r="K14" s="293">
        <f t="shared" si="1"/>
        <v>50.849999999999994</v>
      </c>
      <c r="L14" s="295">
        <f t="shared" si="2"/>
        <v>33.900000000000006</v>
      </c>
      <c r="N14" s="736"/>
      <c r="O14" s="278">
        <v>12</v>
      </c>
      <c r="P14" s="279">
        <v>171620</v>
      </c>
      <c r="Q14" s="280">
        <v>14.4</v>
      </c>
      <c r="R14" s="280">
        <v>6.12</v>
      </c>
      <c r="S14" s="282">
        <f t="shared" si="3"/>
        <v>70.014240000000001</v>
      </c>
      <c r="T14" s="282">
        <f t="shared" si="4"/>
        <v>87.517799999999994</v>
      </c>
      <c r="U14" s="290">
        <f t="shared" si="5"/>
        <v>52.510680000000001</v>
      </c>
      <c r="V14" s="291">
        <f t="shared" si="6"/>
        <v>35.007119999999993</v>
      </c>
    </row>
    <row r="15" spans="1:24" ht="19.2" customHeight="1">
      <c r="A15" s="934"/>
      <c r="B15" s="645">
        <v>13</v>
      </c>
      <c r="C15" s="648"/>
      <c r="D15" s="649"/>
      <c r="E15" s="650"/>
      <c r="F15" s="286"/>
      <c r="G15" s="286"/>
      <c r="H15" s="286"/>
      <c r="I15" s="299">
        <v>68.3</v>
      </c>
      <c r="J15" s="283">
        <f t="shared" si="0"/>
        <v>85.375</v>
      </c>
      <c r="K15" s="293">
        <f t="shared" si="1"/>
        <v>51.224999999999994</v>
      </c>
      <c r="L15" s="295">
        <f t="shared" si="2"/>
        <v>34.150000000000006</v>
      </c>
      <c r="N15" s="736"/>
      <c r="O15" s="278">
        <v>13</v>
      </c>
      <c r="P15" s="279">
        <v>19959</v>
      </c>
      <c r="Q15" s="280">
        <v>15.9</v>
      </c>
      <c r="R15" s="280">
        <v>3.71</v>
      </c>
      <c r="S15" s="282">
        <f t="shared" si="3"/>
        <v>66.909319999999994</v>
      </c>
      <c r="T15" s="282">
        <f t="shared" si="4"/>
        <v>83.636649999999989</v>
      </c>
      <c r="U15" s="290">
        <f t="shared" si="5"/>
        <v>50.181989999999999</v>
      </c>
      <c r="V15" s="291">
        <f t="shared" si="6"/>
        <v>33.45465999999999</v>
      </c>
    </row>
    <row r="16" spans="1:24" ht="19.2" customHeight="1">
      <c r="A16" s="934"/>
      <c r="B16" s="645">
        <v>14</v>
      </c>
      <c r="C16" s="648"/>
      <c r="D16" s="649"/>
      <c r="E16" s="650"/>
      <c r="F16" s="286"/>
      <c r="G16" s="286"/>
      <c r="H16" s="286"/>
      <c r="I16" s="299">
        <v>69</v>
      </c>
      <c r="J16" s="283">
        <f t="shared" si="0"/>
        <v>86.25</v>
      </c>
      <c r="K16" s="293">
        <f t="shared" si="1"/>
        <v>51.75</v>
      </c>
      <c r="L16" s="295">
        <f t="shared" si="2"/>
        <v>34.5</v>
      </c>
      <c r="N16" s="736"/>
      <c r="O16" s="278">
        <v>14</v>
      </c>
      <c r="P16" s="279">
        <v>18934</v>
      </c>
      <c r="Q16" s="280">
        <v>9.8000000000000007</v>
      </c>
      <c r="R16" s="280">
        <v>4.4000000000000004</v>
      </c>
      <c r="S16" s="282">
        <f t="shared" si="3"/>
        <v>48.450400000000002</v>
      </c>
      <c r="T16" s="282">
        <f t="shared" si="4"/>
        <v>60.563000000000002</v>
      </c>
      <c r="U16" s="290">
        <f t="shared" si="5"/>
        <v>36.337800000000001</v>
      </c>
      <c r="V16" s="291">
        <f t="shared" si="6"/>
        <v>24.225200000000001</v>
      </c>
    </row>
    <row r="17" spans="1:22" ht="19.2" customHeight="1">
      <c r="A17" s="934"/>
      <c r="B17" s="645">
        <v>15</v>
      </c>
      <c r="C17" s="648"/>
      <c r="D17" s="649"/>
      <c r="E17" s="650"/>
      <c r="F17" s="286"/>
      <c r="G17" s="286"/>
      <c r="H17" s="286"/>
      <c r="I17" s="299">
        <v>67.7</v>
      </c>
      <c r="J17" s="283">
        <f t="shared" si="0"/>
        <v>84.625</v>
      </c>
      <c r="K17" s="293">
        <f t="shared" si="1"/>
        <v>50.775000000000006</v>
      </c>
      <c r="L17" s="295">
        <f t="shared" si="2"/>
        <v>33.849999999999994</v>
      </c>
      <c r="N17" s="736"/>
      <c r="O17" s="278">
        <v>15</v>
      </c>
      <c r="P17" s="279">
        <v>23127</v>
      </c>
      <c r="Q17" s="280">
        <v>9.6999999999999993</v>
      </c>
      <c r="R17" s="280">
        <v>5.14</v>
      </c>
      <c r="S17" s="282">
        <f t="shared" si="3"/>
        <v>50.634079999999997</v>
      </c>
      <c r="T17" s="282">
        <f t="shared" si="4"/>
        <v>63.292599999999993</v>
      </c>
      <c r="U17" s="290">
        <f t="shared" si="5"/>
        <v>37.975560000000002</v>
      </c>
      <c r="V17" s="291">
        <f t="shared" si="6"/>
        <v>25.317039999999992</v>
      </c>
    </row>
    <row r="18" spans="1:22" ht="19.2" customHeight="1">
      <c r="A18" s="935"/>
      <c r="B18" s="651">
        <v>16</v>
      </c>
      <c r="C18" s="652"/>
      <c r="D18" s="653"/>
      <c r="E18" s="654"/>
      <c r="F18" s="287"/>
      <c r="G18" s="287"/>
      <c r="H18" s="287"/>
      <c r="I18" s="300">
        <v>70.599999999999994</v>
      </c>
      <c r="J18" s="296">
        <f t="shared" si="0"/>
        <v>88.25</v>
      </c>
      <c r="K18" s="297">
        <f t="shared" si="1"/>
        <v>52.949999999999996</v>
      </c>
      <c r="L18" s="298">
        <f t="shared" si="2"/>
        <v>35.300000000000004</v>
      </c>
      <c r="N18" s="736"/>
      <c r="O18" s="278">
        <v>16</v>
      </c>
      <c r="P18" s="279">
        <v>39406</v>
      </c>
      <c r="Q18" s="280">
        <v>11.6</v>
      </c>
      <c r="R18" s="280">
        <v>4.42</v>
      </c>
      <c r="S18" s="282">
        <f t="shared" si="3"/>
        <v>54.660239999999995</v>
      </c>
      <c r="T18" s="282">
        <f t="shared" si="4"/>
        <v>68.325299999999999</v>
      </c>
      <c r="U18" s="290">
        <f t="shared" si="5"/>
        <v>40.995179999999998</v>
      </c>
      <c r="V18" s="291">
        <f t="shared" si="6"/>
        <v>27.330120000000001</v>
      </c>
    </row>
    <row r="20" spans="1:22" ht="13.2">
      <c r="N20" s="11" t="s">
        <v>739</v>
      </c>
    </row>
    <row r="21" spans="1:22" ht="13.2">
      <c r="C21" s="384"/>
      <c r="D21" s="384"/>
      <c r="E21" s="384"/>
      <c r="F21" s="384"/>
      <c r="N21" s="11" t="s">
        <v>740</v>
      </c>
    </row>
    <row r="22" spans="1:22" ht="12.75" customHeight="1">
      <c r="C22" s="384"/>
      <c r="D22" s="384"/>
      <c r="E22" s="384"/>
      <c r="F22" s="384"/>
    </row>
    <row r="23" spans="1:22" ht="16.2" customHeight="1">
      <c r="C23" s="384"/>
      <c r="D23" s="384"/>
      <c r="E23" s="384"/>
      <c r="F23" s="384"/>
    </row>
    <row r="24" spans="1:22" ht="12.75" customHeight="1">
      <c r="N24" s="933" t="s">
        <v>741</v>
      </c>
      <c r="O24" s="933"/>
      <c r="P24" s="933"/>
      <c r="Q24" s="933"/>
      <c r="R24" s="933"/>
    </row>
    <row r="25" spans="1:22" ht="12.75" customHeight="1">
      <c r="C25" s="384"/>
      <c r="D25" s="384"/>
      <c r="E25" s="384"/>
      <c r="N25" s="933"/>
      <c r="O25" s="933"/>
      <c r="P25" s="933"/>
      <c r="Q25" s="933"/>
      <c r="R25" s="933"/>
    </row>
    <row r="26" spans="1:22" ht="12.75" customHeight="1">
      <c r="C26" s="384"/>
      <c r="D26" s="384"/>
      <c r="E26" s="384"/>
      <c r="N26" s="933"/>
      <c r="O26" s="933"/>
      <c r="P26" s="933"/>
      <c r="Q26" s="933"/>
      <c r="R26" s="933"/>
    </row>
    <row r="27" spans="1:22" ht="12.75" customHeight="1">
      <c r="C27" s="384"/>
      <c r="D27" s="384"/>
      <c r="E27" s="384"/>
    </row>
    <row r="28" spans="1:22" ht="12.75" customHeight="1">
      <c r="C28" s="384"/>
      <c r="D28" s="384"/>
      <c r="E28" s="384"/>
    </row>
    <row r="29" spans="1:22" ht="12.75" customHeight="1">
      <c r="C29" s="384"/>
      <c r="D29" s="384"/>
      <c r="E29" s="384"/>
    </row>
    <row r="30" spans="1:22" ht="12.75" customHeight="1">
      <c r="C30" s="384"/>
      <c r="D30" s="384"/>
      <c r="E30" s="384"/>
    </row>
    <row r="31" spans="1:22" ht="12.75" customHeight="1">
      <c r="C31" s="384"/>
      <c r="D31" s="384"/>
      <c r="E31" s="384"/>
    </row>
    <row r="32" spans="1:22" ht="12.75" customHeight="1">
      <c r="C32" s="384"/>
      <c r="D32" s="384"/>
      <c r="E32" s="384"/>
    </row>
    <row r="33" spans="3:5" ht="12.75" customHeight="1">
      <c r="C33" s="384"/>
      <c r="D33" s="384"/>
      <c r="E33" s="384"/>
    </row>
    <row r="34" spans="3:5" ht="12.75" customHeight="1">
      <c r="C34" s="384"/>
      <c r="D34" s="384"/>
      <c r="E34" s="384"/>
    </row>
    <row r="35" spans="3:5" ht="12.75" customHeight="1">
      <c r="C35" s="384"/>
      <c r="D35" s="384"/>
      <c r="E35" s="384"/>
    </row>
    <row r="36" spans="3:5" ht="12.75" customHeight="1">
      <c r="C36" s="384"/>
      <c r="D36" s="384"/>
      <c r="E36" s="384"/>
    </row>
    <row r="37" spans="3:5" ht="12.75" customHeight="1">
      <c r="C37" s="384"/>
      <c r="D37" s="384"/>
      <c r="E37" s="384"/>
    </row>
    <row r="38" spans="3:5" ht="12.75" customHeight="1">
      <c r="C38" s="384"/>
      <c r="D38" s="384"/>
      <c r="E38" s="384"/>
    </row>
    <row r="39" spans="3:5" ht="12.75" customHeight="1">
      <c r="C39" s="384"/>
      <c r="D39" s="384"/>
      <c r="E39" s="384"/>
    </row>
    <row r="40" spans="3:5" ht="12.75" customHeight="1">
      <c r="C40" s="384"/>
      <c r="D40" s="384"/>
      <c r="E40" s="384"/>
    </row>
  </sheetData>
  <mergeCells count="6">
    <mergeCell ref="N24:R26"/>
    <mergeCell ref="N3:N18"/>
    <mergeCell ref="A3:A18"/>
    <mergeCell ref="N1:V1"/>
    <mergeCell ref="I1:L1"/>
    <mergeCell ref="A1:H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6"/>
  <dimension ref="A1:J1"/>
  <sheetViews>
    <sheetView workbookViewId="0">
      <selection sqref="A1:J1"/>
    </sheetView>
  </sheetViews>
  <sheetFormatPr defaultRowHeight="14.4"/>
  <sheetData>
    <row r="1" spans="1:10" ht="15.6" customHeight="1">
      <c r="A1" s="938" t="s">
        <v>742</v>
      </c>
      <c r="B1" s="938"/>
      <c r="C1" s="938"/>
      <c r="D1" s="938"/>
      <c r="E1" s="938"/>
      <c r="F1" s="938"/>
      <c r="G1" s="938"/>
      <c r="H1" s="938"/>
      <c r="I1" s="938"/>
      <c r="J1" s="938"/>
    </row>
  </sheetData>
  <mergeCells count="1">
    <mergeCell ref="A1:J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BC34"/>
  <sheetViews>
    <sheetView zoomScaleNormal="70" workbookViewId="0">
      <selection sqref="A1:H1"/>
    </sheetView>
  </sheetViews>
  <sheetFormatPr defaultColWidth="8.88671875" defaultRowHeight="13.2"/>
  <cols>
    <col min="1" max="1" width="21" style="11" customWidth="1"/>
    <col min="2" max="2" width="14.33203125" style="11" customWidth="1"/>
    <col min="3" max="3" width="14.5546875" style="11" customWidth="1"/>
    <col min="4" max="8" width="8.88671875" style="11"/>
    <col min="9" max="9" width="13.88671875" style="11" customWidth="1"/>
    <col min="10" max="10" width="14.44140625" style="11" customWidth="1"/>
    <col min="11" max="16384" width="8.88671875" style="11"/>
  </cols>
  <sheetData>
    <row r="1" spans="1:55" ht="15.6">
      <c r="A1" s="674" t="s">
        <v>743</v>
      </c>
      <c r="B1" s="674"/>
      <c r="C1" s="674"/>
      <c r="D1" s="674"/>
      <c r="E1" s="674"/>
      <c r="F1" s="674"/>
      <c r="G1" s="674"/>
      <c r="H1" s="674"/>
    </row>
    <row r="2" spans="1:55">
      <c r="B2" s="514"/>
      <c r="C2" s="255"/>
      <c r="D2" s="90"/>
      <c r="E2" s="90"/>
    </row>
    <row r="3" spans="1:55">
      <c r="A3" s="550" t="s">
        <v>744</v>
      </c>
      <c r="B3" s="408"/>
      <c r="C3" s="311"/>
      <c r="D3" s="91"/>
      <c r="E3" s="91"/>
    </row>
    <row r="11" spans="1:55" s="30" customFormat="1" hidden="1">
      <c r="A11" s="30" t="s">
        <v>447</v>
      </c>
      <c r="E11" s="31"/>
      <c r="F11" s="32"/>
      <c r="G11" s="33"/>
    </row>
    <row r="12" spans="1:55" hidden="1"/>
    <row r="13" spans="1:55" hidden="1"/>
    <row r="14" spans="1:55" s="93" customFormat="1" ht="13.8" hidden="1" thickBot="1">
      <c r="A14" s="92" t="s">
        <v>745</v>
      </c>
      <c r="K14" s="93" t="s">
        <v>746</v>
      </c>
    </row>
    <row r="15" spans="1:55" ht="13.8" hidden="1" thickBot="1">
      <c r="A15" s="12"/>
      <c r="B15" s="12"/>
      <c r="C15" s="12"/>
      <c r="D15" s="942" t="s">
        <v>747</v>
      </c>
      <c r="E15" s="943"/>
      <c r="F15" s="944"/>
      <c r="I15" s="89"/>
      <c r="J15" s="94"/>
      <c r="K15" s="939" t="s">
        <v>748</v>
      </c>
      <c r="L15" s="940"/>
      <c r="M15" s="940"/>
      <c r="N15" s="940"/>
      <c r="O15" s="940"/>
      <c r="P15" s="940"/>
      <c r="Q15" s="940"/>
      <c r="R15" s="940"/>
      <c r="S15" s="941"/>
      <c r="T15" s="940" t="s">
        <v>749</v>
      </c>
      <c r="U15" s="940"/>
      <c r="V15" s="940"/>
      <c r="W15" s="940"/>
      <c r="X15" s="940"/>
      <c r="Y15" s="940"/>
      <c r="Z15" s="940"/>
      <c r="AA15" s="940"/>
      <c r="AB15" s="941"/>
      <c r="AC15" s="939" t="s">
        <v>750</v>
      </c>
      <c r="AD15" s="940"/>
      <c r="AE15" s="940"/>
      <c r="AF15" s="940"/>
      <c r="AG15" s="940"/>
      <c r="AH15" s="940"/>
      <c r="AI15" s="940"/>
      <c r="AJ15" s="940"/>
      <c r="AK15" s="941"/>
      <c r="AL15" s="939" t="s">
        <v>751</v>
      </c>
      <c r="AM15" s="940"/>
      <c r="AN15" s="940"/>
      <c r="AO15" s="940"/>
      <c r="AP15" s="940"/>
      <c r="AQ15" s="940"/>
      <c r="AR15" s="940"/>
      <c r="AS15" s="940"/>
      <c r="AT15" s="941"/>
      <c r="AU15" s="939" t="s">
        <v>752</v>
      </c>
      <c r="AV15" s="940"/>
      <c r="AW15" s="940"/>
      <c r="AX15" s="940"/>
      <c r="AY15" s="940"/>
      <c r="AZ15" s="940"/>
      <c r="BA15" s="940"/>
      <c r="BB15" s="940"/>
      <c r="BC15" s="941"/>
    </row>
    <row r="16" spans="1:55" ht="39.6" hidden="1">
      <c r="A16" s="58" t="s">
        <v>753</v>
      </c>
      <c r="B16" s="58" t="s">
        <v>754</v>
      </c>
      <c r="C16" s="59" t="s">
        <v>74</v>
      </c>
      <c r="D16" s="95" t="s">
        <v>755</v>
      </c>
      <c r="E16" s="95" t="s">
        <v>129</v>
      </c>
      <c r="F16" s="95" t="s">
        <v>182</v>
      </c>
      <c r="I16" s="96" t="s">
        <v>754</v>
      </c>
      <c r="J16" s="97" t="s">
        <v>74</v>
      </c>
      <c r="K16" s="98" t="s">
        <v>756</v>
      </c>
      <c r="L16" s="99" t="s">
        <v>757</v>
      </c>
      <c r="M16" s="99" t="s">
        <v>758</v>
      </c>
      <c r="N16" s="99" t="s">
        <v>759</v>
      </c>
      <c r="O16" s="99" t="s">
        <v>760</v>
      </c>
      <c r="P16" s="99" t="s">
        <v>761</v>
      </c>
      <c r="Q16" s="99" t="s">
        <v>762</v>
      </c>
      <c r="R16" s="99" t="s">
        <v>763</v>
      </c>
      <c r="S16" s="100" t="s">
        <v>764</v>
      </c>
      <c r="T16" s="101" t="s">
        <v>756</v>
      </c>
      <c r="U16" s="99" t="s">
        <v>757</v>
      </c>
      <c r="V16" s="99" t="s">
        <v>758</v>
      </c>
      <c r="W16" s="99" t="s">
        <v>759</v>
      </c>
      <c r="X16" s="99" t="s">
        <v>760</v>
      </c>
      <c r="Y16" s="99" t="s">
        <v>761</v>
      </c>
      <c r="Z16" s="99" t="s">
        <v>762</v>
      </c>
      <c r="AA16" s="99" t="s">
        <v>763</v>
      </c>
      <c r="AB16" s="99" t="s">
        <v>765</v>
      </c>
      <c r="AC16" s="99" t="s">
        <v>756</v>
      </c>
      <c r="AD16" s="99" t="s">
        <v>757</v>
      </c>
      <c r="AE16" s="99" t="s">
        <v>758</v>
      </c>
      <c r="AF16" s="99" t="s">
        <v>759</v>
      </c>
      <c r="AG16" s="99" t="s">
        <v>760</v>
      </c>
      <c r="AH16" s="99" t="s">
        <v>761</v>
      </c>
      <c r="AI16" s="99" t="s">
        <v>762</v>
      </c>
      <c r="AJ16" s="99" t="s">
        <v>763</v>
      </c>
      <c r="AK16" s="99" t="s">
        <v>766</v>
      </c>
      <c r="AL16" s="99" t="s">
        <v>756</v>
      </c>
      <c r="AM16" s="99" t="s">
        <v>757</v>
      </c>
      <c r="AN16" s="99" t="s">
        <v>758</v>
      </c>
      <c r="AO16" s="99" t="s">
        <v>759</v>
      </c>
      <c r="AP16" s="99" t="s">
        <v>760</v>
      </c>
      <c r="AQ16" s="99" t="s">
        <v>761</v>
      </c>
      <c r="AR16" s="99" t="s">
        <v>762</v>
      </c>
      <c r="AS16" s="99" t="s">
        <v>763</v>
      </c>
      <c r="AT16" s="99" t="s">
        <v>767</v>
      </c>
      <c r="AU16" s="99" t="s">
        <v>756</v>
      </c>
      <c r="AV16" s="99" t="s">
        <v>757</v>
      </c>
      <c r="AW16" s="99" t="s">
        <v>758</v>
      </c>
      <c r="AX16" s="99" t="s">
        <v>759</v>
      </c>
      <c r="AY16" s="99" t="s">
        <v>760</v>
      </c>
      <c r="AZ16" s="99" t="s">
        <v>761</v>
      </c>
      <c r="BA16" s="99" t="s">
        <v>762</v>
      </c>
      <c r="BB16" s="99" t="s">
        <v>763</v>
      </c>
      <c r="BC16" s="99" t="s">
        <v>182</v>
      </c>
    </row>
    <row r="17" spans="1:55" hidden="1">
      <c r="A17" s="655" t="s">
        <v>768</v>
      </c>
      <c r="B17" s="656" t="s">
        <v>769</v>
      </c>
      <c r="C17" s="60" t="s">
        <v>770</v>
      </c>
      <c r="D17" s="62">
        <v>0.91629083545529211</v>
      </c>
      <c r="E17" s="61">
        <v>8.3709164544707934E-2</v>
      </c>
      <c r="F17" s="63">
        <v>1</v>
      </c>
      <c r="I17" s="656" t="s">
        <v>769</v>
      </c>
      <c r="J17" s="60" t="s">
        <v>770</v>
      </c>
      <c r="K17" s="102">
        <v>234.63109419938075</v>
      </c>
      <c r="L17" s="103">
        <v>257.26071009531398</v>
      </c>
      <c r="M17" s="103">
        <v>0</v>
      </c>
      <c r="N17" s="103">
        <v>514.26458157647869</v>
      </c>
      <c r="O17" s="103">
        <v>0</v>
      </c>
      <c r="P17" s="103">
        <v>22.221663997801063</v>
      </c>
      <c r="Q17" s="103">
        <v>197.98307335443729</v>
      </c>
      <c r="R17" s="103">
        <v>0</v>
      </c>
      <c r="S17" s="104">
        <v>1226.3611232234116</v>
      </c>
      <c r="T17" s="102">
        <v>108.94502133589977</v>
      </c>
      <c r="U17" s="103">
        <v>831.31991634954227</v>
      </c>
      <c r="V17" s="103">
        <v>0</v>
      </c>
      <c r="W17" s="103">
        <v>1332.4399257375558</v>
      </c>
      <c r="X17" s="103">
        <v>101.16411121740421</v>
      </c>
      <c r="Y17" s="103">
        <v>78.502372667385458</v>
      </c>
      <c r="Z17" s="103">
        <v>360.40603758226268</v>
      </c>
      <c r="AA17" s="103">
        <v>0</v>
      </c>
      <c r="AB17" s="104">
        <v>2812.7773848900501</v>
      </c>
      <c r="AC17" s="102">
        <v>21.375883128638311</v>
      </c>
      <c r="AD17" s="103">
        <v>0</v>
      </c>
      <c r="AE17" s="103">
        <v>0</v>
      </c>
      <c r="AF17" s="103">
        <v>15.713800739862089</v>
      </c>
      <c r="AG17" s="103">
        <v>0</v>
      </c>
      <c r="AH17" s="103">
        <v>0</v>
      </c>
      <c r="AI17" s="103">
        <v>0</v>
      </c>
      <c r="AJ17" s="103">
        <v>0</v>
      </c>
      <c r="AK17" s="104">
        <v>37.089683868500401</v>
      </c>
      <c r="AL17" s="102">
        <v>56.949890324869315</v>
      </c>
      <c r="AM17" s="103">
        <v>42.147584318104094</v>
      </c>
      <c r="AN17" s="103">
        <v>0</v>
      </c>
      <c r="AO17" s="103">
        <v>212.11012713552492</v>
      </c>
      <c r="AP17" s="103">
        <v>0</v>
      </c>
      <c r="AQ17" s="103">
        <v>25.7419607619861</v>
      </c>
      <c r="AR17" s="103">
        <v>0</v>
      </c>
      <c r="AS17" s="103">
        <v>0</v>
      </c>
      <c r="AT17" s="104">
        <v>336.94956254048441</v>
      </c>
      <c r="AU17" s="102">
        <v>421.90188898878813</v>
      </c>
      <c r="AV17" s="103">
        <v>1130.7282107629603</v>
      </c>
      <c r="AW17" s="103">
        <v>0</v>
      </c>
      <c r="AX17" s="103">
        <v>2074.5284351894215</v>
      </c>
      <c r="AY17" s="103">
        <v>101.16411121740421</v>
      </c>
      <c r="AZ17" s="103">
        <v>126.46599742717262</v>
      </c>
      <c r="BA17" s="103">
        <v>558.38911093670004</v>
      </c>
      <c r="BB17" s="103">
        <v>0</v>
      </c>
      <c r="BC17" s="104">
        <v>4413.1777545224468</v>
      </c>
    </row>
    <row r="18" spans="1:55" hidden="1">
      <c r="A18" s="655" t="s">
        <v>768</v>
      </c>
      <c r="B18" s="656" t="s">
        <v>771</v>
      </c>
      <c r="C18" s="60" t="s">
        <v>770</v>
      </c>
      <c r="D18" s="62">
        <v>0.88474891999606764</v>
      </c>
      <c r="E18" s="61">
        <v>0.11525108000393226</v>
      </c>
      <c r="F18" s="63">
        <v>1</v>
      </c>
      <c r="I18" s="656" t="s">
        <v>771</v>
      </c>
      <c r="J18" s="60" t="s">
        <v>770</v>
      </c>
      <c r="K18" s="102">
        <v>0</v>
      </c>
      <c r="L18" s="103">
        <v>0</v>
      </c>
      <c r="M18" s="103">
        <v>0</v>
      </c>
      <c r="N18" s="103">
        <v>92.114773643401861</v>
      </c>
      <c r="O18" s="103">
        <v>0</v>
      </c>
      <c r="P18" s="103">
        <v>0</v>
      </c>
      <c r="Q18" s="103">
        <v>5.6273316566652944</v>
      </c>
      <c r="R18" s="103">
        <v>0</v>
      </c>
      <c r="S18" s="104">
        <v>97.742105300067152</v>
      </c>
      <c r="T18" s="102">
        <v>0</v>
      </c>
      <c r="U18" s="103">
        <v>290.15374486882479</v>
      </c>
      <c r="V18" s="103">
        <v>0</v>
      </c>
      <c r="W18" s="103">
        <v>73.027736781594768</v>
      </c>
      <c r="X18" s="103">
        <v>95.664638163310002</v>
      </c>
      <c r="Y18" s="103">
        <v>65.739866280452532</v>
      </c>
      <c r="Z18" s="103">
        <v>24.342578927198254</v>
      </c>
      <c r="AA18" s="103">
        <v>0</v>
      </c>
      <c r="AB18" s="104">
        <v>548.92856502138034</v>
      </c>
      <c r="AC18" s="102">
        <v>0</v>
      </c>
      <c r="AD18" s="103">
        <v>0</v>
      </c>
      <c r="AE18" s="103">
        <v>0</v>
      </c>
      <c r="AF18" s="103">
        <v>0</v>
      </c>
      <c r="AG18" s="103">
        <v>0</v>
      </c>
      <c r="AH18" s="103">
        <v>0</v>
      </c>
      <c r="AI18" s="103">
        <v>0</v>
      </c>
      <c r="AJ18" s="103">
        <v>0</v>
      </c>
      <c r="AK18" s="104">
        <v>0</v>
      </c>
      <c r="AL18" s="102">
        <v>0</v>
      </c>
      <c r="AM18" s="103">
        <v>0</v>
      </c>
      <c r="AN18" s="103">
        <v>0</v>
      </c>
      <c r="AO18" s="103">
        <v>27.974784997679031</v>
      </c>
      <c r="AP18" s="103">
        <v>0</v>
      </c>
      <c r="AQ18" s="103">
        <v>24.342578927198254</v>
      </c>
      <c r="AR18" s="103">
        <v>0</v>
      </c>
      <c r="AS18" s="103">
        <v>0</v>
      </c>
      <c r="AT18" s="104">
        <v>52.317363924877284</v>
      </c>
      <c r="AU18" s="102">
        <v>0</v>
      </c>
      <c r="AV18" s="103">
        <v>290.15374486882479</v>
      </c>
      <c r="AW18" s="103">
        <v>0</v>
      </c>
      <c r="AX18" s="103">
        <v>193.11729542267565</v>
      </c>
      <c r="AY18" s="103">
        <v>95.664638163310002</v>
      </c>
      <c r="AZ18" s="103">
        <v>90.082445207650778</v>
      </c>
      <c r="BA18" s="103">
        <v>29.969910583863548</v>
      </c>
      <c r="BB18" s="103">
        <v>0</v>
      </c>
      <c r="BC18" s="104">
        <v>698.98803424632479</v>
      </c>
    </row>
    <row r="19" spans="1:55" hidden="1">
      <c r="A19" s="655" t="s">
        <v>768</v>
      </c>
      <c r="B19" s="656" t="s">
        <v>772</v>
      </c>
      <c r="C19" s="60" t="s">
        <v>770</v>
      </c>
      <c r="D19" s="62">
        <v>0.87664054902524069</v>
      </c>
      <c r="E19" s="61">
        <v>0.12335945097475935</v>
      </c>
      <c r="F19" s="63">
        <v>1</v>
      </c>
      <c r="I19" s="656" t="s">
        <v>772</v>
      </c>
      <c r="J19" s="60" t="s">
        <v>770</v>
      </c>
      <c r="K19" s="102">
        <v>0</v>
      </c>
      <c r="L19" s="103">
        <v>0</v>
      </c>
      <c r="M19" s="103">
        <v>0</v>
      </c>
      <c r="N19" s="103">
        <v>0</v>
      </c>
      <c r="O19" s="103">
        <v>0</v>
      </c>
      <c r="P19" s="103">
        <v>21.013652175205049</v>
      </c>
      <c r="Q19" s="103">
        <v>0</v>
      </c>
      <c r="R19" s="103">
        <v>0</v>
      </c>
      <c r="S19" s="104">
        <v>21.013652175205049</v>
      </c>
      <c r="T19" s="102">
        <v>0</v>
      </c>
      <c r="U19" s="103">
        <v>189.12286957684543</v>
      </c>
      <c r="V19" s="103">
        <v>0</v>
      </c>
      <c r="W19" s="103">
        <v>21.156124021741039</v>
      </c>
      <c r="X19" s="103">
        <v>0</v>
      </c>
      <c r="Y19" s="103">
        <v>0</v>
      </c>
      <c r="Z19" s="103">
        <v>0</v>
      </c>
      <c r="AA19" s="103">
        <v>0</v>
      </c>
      <c r="AB19" s="104">
        <v>210.27899359858648</v>
      </c>
      <c r="AC19" s="102">
        <v>0</v>
      </c>
      <c r="AD19" s="103">
        <v>0</v>
      </c>
      <c r="AE19" s="103">
        <v>0</v>
      </c>
      <c r="AF19" s="103">
        <v>0</v>
      </c>
      <c r="AG19" s="103">
        <v>0</v>
      </c>
      <c r="AH19" s="103">
        <v>0</v>
      </c>
      <c r="AI19" s="103">
        <v>0</v>
      </c>
      <c r="AJ19" s="103">
        <v>0</v>
      </c>
      <c r="AK19" s="104">
        <v>0</v>
      </c>
      <c r="AL19" s="102">
        <v>0</v>
      </c>
      <c r="AM19" s="103">
        <v>0</v>
      </c>
      <c r="AN19" s="103">
        <v>0</v>
      </c>
      <c r="AO19" s="103">
        <v>0</v>
      </c>
      <c r="AP19" s="103">
        <v>0</v>
      </c>
      <c r="AQ19" s="103">
        <v>0</v>
      </c>
      <c r="AR19" s="103">
        <v>0</v>
      </c>
      <c r="AS19" s="103">
        <v>0</v>
      </c>
      <c r="AT19" s="104">
        <v>0</v>
      </c>
      <c r="AU19" s="102">
        <v>0</v>
      </c>
      <c r="AV19" s="103">
        <v>189.12286957684543</v>
      </c>
      <c r="AW19" s="103">
        <v>0</v>
      </c>
      <c r="AX19" s="103">
        <v>21.156124021741039</v>
      </c>
      <c r="AY19" s="103">
        <v>0</v>
      </c>
      <c r="AZ19" s="103">
        <v>21.013652175205049</v>
      </c>
      <c r="BA19" s="103">
        <v>0</v>
      </c>
      <c r="BB19" s="103">
        <v>0</v>
      </c>
      <c r="BC19" s="104">
        <v>231.29264577379152</v>
      </c>
    </row>
    <row r="20" spans="1:55" hidden="1">
      <c r="A20" s="655" t="s">
        <v>768</v>
      </c>
      <c r="B20" s="656" t="s">
        <v>773</v>
      </c>
      <c r="C20" s="60" t="s">
        <v>770</v>
      </c>
      <c r="D20" s="62">
        <v>0.93389783863693032</v>
      </c>
      <c r="E20" s="61">
        <v>6.6102161363069678E-2</v>
      </c>
      <c r="F20" s="63">
        <v>1</v>
      </c>
      <c r="I20" s="656" t="s">
        <v>773</v>
      </c>
      <c r="J20" s="60" t="s">
        <v>770</v>
      </c>
      <c r="K20" s="102">
        <v>0</v>
      </c>
      <c r="L20" s="103">
        <v>78.750981979029874</v>
      </c>
      <c r="M20" s="103">
        <v>0</v>
      </c>
      <c r="N20" s="103">
        <v>0</v>
      </c>
      <c r="O20" s="103">
        <v>0</v>
      </c>
      <c r="P20" s="103">
        <v>0</v>
      </c>
      <c r="Q20" s="103">
        <v>0</v>
      </c>
      <c r="R20" s="103">
        <v>0</v>
      </c>
      <c r="S20" s="104">
        <v>78.750981979029874</v>
      </c>
      <c r="T20" s="102">
        <v>0</v>
      </c>
      <c r="U20" s="103">
        <v>0</v>
      </c>
      <c r="V20" s="103">
        <v>0</v>
      </c>
      <c r="W20" s="103">
        <v>0</v>
      </c>
      <c r="X20" s="103">
        <v>0</v>
      </c>
      <c r="Y20" s="103">
        <v>0</v>
      </c>
      <c r="Z20" s="103">
        <v>0</v>
      </c>
      <c r="AA20" s="103">
        <v>0</v>
      </c>
      <c r="AB20" s="104">
        <v>0</v>
      </c>
      <c r="AC20" s="102">
        <v>0</v>
      </c>
      <c r="AD20" s="103">
        <v>0</v>
      </c>
      <c r="AE20" s="103">
        <v>0</v>
      </c>
      <c r="AF20" s="103">
        <v>0</v>
      </c>
      <c r="AG20" s="103">
        <v>0</v>
      </c>
      <c r="AH20" s="103">
        <v>0</v>
      </c>
      <c r="AI20" s="103">
        <v>0</v>
      </c>
      <c r="AJ20" s="103">
        <v>0</v>
      </c>
      <c r="AK20" s="104">
        <v>0</v>
      </c>
      <c r="AL20" s="102">
        <v>0</v>
      </c>
      <c r="AM20" s="103">
        <v>12.871851042494857</v>
      </c>
      <c r="AN20" s="103">
        <v>0</v>
      </c>
      <c r="AO20" s="103">
        <v>0</v>
      </c>
      <c r="AP20" s="103">
        <v>0</v>
      </c>
      <c r="AQ20" s="103">
        <v>0</v>
      </c>
      <c r="AR20" s="103">
        <v>0</v>
      </c>
      <c r="AS20" s="103">
        <v>0</v>
      </c>
      <c r="AT20" s="104">
        <v>12.871851042494857</v>
      </c>
      <c r="AU20" s="102">
        <v>0</v>
      </c>
      <c r="AV20" s="103">
        <v>91.622833021524727</v>
      </c>
      <c r="AW20" s="103">
        <v>0</v>
      </c>
      <c r="AX20" s="103">
        <v>0</v>
      </c>
      <c r="AY20" s="103">
        <v>0</v>
      </c>
      <c r="AZ20" s="103">
        <v>0</v>
      </c>
      <c r="BA20" s="103">
        <v>0</v>
      </c>
      <c r="BB20" s="103">
        <v>0</v>
      </c>
      <c r="BC20" s="104">
        <v>91.622833021524727</v>
      </c>
    </row>
    <row r="21" spans="1:55" hidden="1">
      <c r="A21" s="655" t="s">
        <v>768</v>
      </c>
      <c r="B21" s="656" t="s">
        <v>774</v>
      </c>
      <c r="C21" s="60" t="s">
        <v>770</v>
      </c>
      <c r="D21" s="62">
        <v>0.82696528750038811</v>
      </c>
      <c r="E21" s="61">
        <v>0.1730347124996118</v>
      </c>
      <c r="F21" s="63">
        <v>1</v>
      </c>
      <c r="I21" s="656" t="s">
        <v>774</v>
      </c>
      <c r="J21" s="60" t="s">
        <v>770</v>
      </c>
      <c r="K21" s="102">
        <v>0</v>
      </c>
      <c r="L21" s="103">
        <v>0</v>
      </c>
      <c r="M21" s="103">
        <v>0</v>
      </c>
      <c r="N21" s="103">
        <v>0</v>
      </c>
      <c r="O21" s="103">
        <v>0</v>
      </c>
      <c r="P21" s="103">
        <v>0</v>
      </c>
      <c r="Q21" s="103">
        <v>0</v>
      </c>
      <c r="R21" s="103">
        <v>0</v>
      </c>
      <c r="S21" s="104">
        <v>0</v>
      </c>
      <c r="T21" s="102">
        <v>0</v>
      </c>
      <c r="U21" s="103">
        <v>0</v>
      </c>
      <c r="V21" s="103">
        <v>0</v>
      </c>
      <c r="W21" s="103">
        <v>44.110009786486408</v>
      </c>
      <c r="X21" s="103">
        <v>0</v>
      </c>
      <c r="Y21" s="103">
        <v>0</v>
      </c>
      <c r="Z21" s="103">
        <v>0</v>
      </c>
      <c r="AA21" s="103">
        <v>0</v>
      </c>
      <c r="AB21" s="104">
        <v>44.110009786486408</v>
      </c>
      <c r="AC21" s="102">
        <v>0</v>
      </c>
      <c r="AD21" s="103">
        <v>0</v>
      </c>
      <c r="AE21" s="103">
        <v>0</v>
      </c>
      <c r="AF21" s="103">
        <v>0</v>
      </c>
      <c r="AG21" s="103">
        <v>0</v>
      </c>
      <c r="AH21" s="103">
        <v>0</v>
      </c>
      <c r="AI21" s="103">
        <v>0</v>
      </c>
      <c r="AJ21" s="103">
        <v>0</v>
      </c>
      <c r="AK21" s="104">
        <v>0</v>
      </c>
      <c r="AL21" s="102">
        <v>0</v>
      </c>
      <c r="AM21" s="103">
        <v>26.98451061311329</v>
      </c>
      <c r="AN21" s="103">
        <v>0</v>
      </c>
      <c r="AO21" s="103">
        <v>0</v>
      </c>
      <c r="AP21" s="103">
        <v>0</v>
      </c>
      <c r="AQ21" s="103">
        <v>0</v>
      </c>
      <c r="AR21" s="103">
        <v>0</v>
      </c>
      <c r="AS21" s="103">
        <v>0</v>
      </c>
      <c r="AT21" s="104">
        <v>26.98451061311329</v>
      </c>
      <c r="AU21" s="102">
        <v>0</v>
      </c>
      <c r="AV21" s="103">
        <v>26.98451061311329</v>
      </c>
      <c r="AW21" s="103">
        <v>0</v>
      </c>
      <c r="AX21" s="103">
        <v>44.110009786486408</v>
      </c>
      <c r="AY21" s="103">
        <v>0</v>
      </c>
      <c r="AZ21" s="103">
        <v>0</v>
      </c>
      <c r="BA21" s="103">
        <v>0</v>
      </c>
      <c r="BB21" s="103">
        <v>0</v>
      </c>
      <c r="BC21" s="104">
        <v>71.094520399599702</v>
      </c>
    </row>
    <row r="22" spans="1:55" hidden="1">
      <c r="A22" s="655" t="s">
        <v>768</v>
      </c>
      <c r="B22" s="656" t="s">
        <v>775</v>
      </c>
      <c r="C22" s="60" t="s">
        <v>770</v>
      </c>
      <c r="D22" s="62">
        <v>0.9639940765832945</v>
      </c>
      <c r="E22" s="61">
        <v>3.6005923416705561E-2</v>
      </c>
      <c r="F22" s="63">
        <v>1</v>
      </c>
      <c r="I22" s="656" t="s">
        <v>775</v>
      </c>
      <c r="J22" s="60" t="s">
        <v>770</v>
      </c>
      <c r="K22" s="102">
        <v>0</v>
      </c>
      <c r="L22" s="103">
        <v>0</v>
      </c>
      <c r="M22" s="103">
        <v>0</v>
      </c>
      <c r="N22" s="103">
        <v>0</v>
      </c>
      <c r="O22" s="103">
        <v>0</v>
      </c>
      <c r="P22" s="103">
        <v>0</v>
      </c>
      <c r="Q22" s="103">
        <v>0</v>
      </c>
      <c r="R22" s="103">
        <v>0</v>
      </c>
      <c r="S22" s="104">
        <v>0</v>
      </c>
      <c r="T22" s="102">
        <v>0</v>
      </c>
      <c r="U22" s="103">
        <v>0</v>
      </c>
      <c r="V22" s="103">
        <v>0</v>
      </c>
      <c r="W22" s="103">
        <v>19.634672986614149</v>
      </c>
      <c r="X22" s="103">
        <v>0</v>
      </c>
      <c r="Y22" s="103">
        <v>0</v>
      </c>
      <c r="Z22" s="103">
        <v>0</v>
      </c>
      <c r="AA22" s="103">
        <v>0</v>
      </c>
      <c r="AB22" s="104">
        <v>19.634672986614149</v>
      </c>
      <c r="AC22" s="102">
        <v>0</v>
      </c>
      <c r="AD22" s="103">
        <v>0</v>
      </c>
      <c r="AE22" s="103">
        <v>0</v>
      </c>
      <c r="AF22" s="103">
        <v>0</v>
      </c>
      <c r="AG22" s="103">
        <v>0</v>
      </c>
      <c r="AH22" s="103">
        <v>0</v>
      </c>
      <c r="AI22" s="103">
        <v>0</v>
      </c>
      <c r="AJ22" s="103">
        <v>0</v>
      </c>
      <c r="AK22" s="104">
        <v>0</v>
      </c>
      <c r="AL22" s="102">
        <v>0</v>
      </c>
      <c r="AM22" s="103">
        <v>0</v>
      </c>
      <c r="AN22" s="103">
        <v>0</v>
      </c>
      <c r="AO22" s="103">
        <v>0</v>
      </c>
      <c r="AP22" s="103">
        <v>0</v>
      </c>
      <c r="AQ22" s="103">
        <v>0</v>
      </c>
      <c r="AR22" s="103">
        <v>0</v>
      </c>
      <c r="AS22" s="103">
        <v>0</v>
      </c>
      <c r="AT22" s="104">
        <v>0</v>
      </c>
      <c r="AU22" s="102">
        <v>0</v>
      </c>
      <c r="AV22" s="103">
        <v>0</v>
      </c>
      <c r="AW22" s="103">
        <v>0</v>
      </c>
      <c r="AX22" s="103">
        <v>19.634672986614149</v>
      </c>
      <c r="AY22" s="103">
        <v>0</v>
      </c>
      <c r="AZ22" s="103">
        <v>0</v>
      </c>
      <c r="BA22" s="103">
        <v>0</v>
      </c>
      <c r="BB22" s="103">
        <v>0</v>
      </c>
      <c r="BC22" s="104">
        <v>19.634672986614149</v>
      </c>
    </row>
    <row r="23" spans="1:55" hidden="1">
      <c r="A23" s="655" t="s">
        <v>768</v>
      </c>
      <c r="B23" s="656" t="s">
        <v>776</v>
      </c>
      <c r="C23" s="60" t="s">
        <v>770</v>
      </c>
      <c r="D23" s="62">
        <v>0.93408299941780015</v>
      </c>
      <c r="E23" s="61">
        <v>6.5917000582199917E-2</v>
      </c>
      <c r="F23" s="63">
        <v>1</v>
      </c>
      <c r="I23" s="656" t="s">
        <v>776</v>
      </c>
      <c r="J23" s="60" t="s">
        <v>770</v>
      </c>
      <c r="K23" s="102">
        <v>0</v>
      </c>
      <c r="L23" s="103">
        <v>0</v>
      </c>
      <c r="M23" s="103">
        <v>0</v>
      </c>
      <c r="N23" s="103">
        <v>0</v>
      </c>
      <c r="O23" s="103">
        <v>0</v>
      </c>
      <c r="P23" s="103">
        <v>0</v>
      </c>
      <c r="Q23" s="103">
        <v>0</v>
      </c>
      <c r="R23" s="103">
        <v>0</v>
      </c>
      <c r="S23" s="104">
        <v>0</v>
      </c>
      <c r="T23" s="102">
        <v>0</v>
      </c>
      <c r="U23" s="103">
        <v>0</v>
      </c>
      <c r="V23" s="103">
        <v>0</v>
      </c>
      <c r="W23" s="103">
        <v>0</v>
      </c>
      <c r="X23" s="103">
        <v>0</v>
      </c>
      <c r="Y23" s="103">
        <v>0</v>
      </c>
      <c r="Z23" s="103">
        <v>0</v>
      </c>
      <c r="AA23" s="103">
        <v>0</v>
      </c>
      <c r="AB23" s="104">
        <v>0</v>
      </c>
      <c r="AC23" s="102">
        <v>0</v>
      </c>
      <c r="AD23" s="103">
        <v>0</v>
      </c>
      <c r="AE23" s="103">
        <v>0</v>
      </c>
      <c r="AF23" s="103">
        <v>0</v>
      </c>
      <c r="AG23" s="103">
        <v>0</v>
      </c>
      <c r="AH23" s="103">
        <v>0</v>
      </c>
      <c r="AI23" s="103">
        <v>0</v>
      </c>
      <c r="AJ23" s="103">
        <v>0</v>
      </c>
      <c r="AK23" s="104">
        <v>0</v>
      </c>
      <c r="AL23" s="102">
        <v>0</v>
      </c>
      <c r="AM23" s="103">
        <v>0</v>
      </c>
      <c r="AN23" s="103">
        <v>0</v>
      </c>
      <c r="AO23" s="103">
        <v>50.284769574735037</v>
      </c>
      <c r="AP23" s="103">
        <v>0</v>
      </c>
      <c r="AQ23" s="103">
        <v>0</v>
      </c>
      <c r="AR23" s="103">
        <v>0</v>
      </c>
      <c r="AS23" s="103">
        <v>0</v>
      </c>
      <c r="AT23" s="104">
        <v>50.284769574735037</v>
      </c>
      <c r="AU23" s="102">
        <v>0</v>
      </c>
      <c r="AV23" s="103">
        <v>0</v>
      </c>
      <c r="AW23" s="103">
        <v>0</v>
      </c>
      <c r="AX23" s="103">
        <v>50.284769574735037</v>
      </c>
      <c r="AY23" s="103">
        <v>0</v>
      </c>
      <c r="AZ23" s="103">
        <v>0</v>
      </c>
      <c r="BA23" s="103">
        <v>0</v>
      </c>
      <c r="BB23" s="103">
        <v>0</v>
      </c>
      <c r="BC23" s="104">
        <v>50.284769574735037</v>
      </c>
    </row>
    <row r="24" spans="1:55" hidden="1">
      <c r="A24" s="655" t="s">
        <v>768</v>
      </c>
      <c r="B24" s="656" t="s">
        <v>777</v>
      </c>
      <c r="C24" s="60" t="s">
        <v>770</v>
      </c>
      <c r="D24" s="62">
        <v>0.91769059534017872</v>
      </c>
      <c r="E24" s="61">
        <v>8.23094046598212E-2</v>
      </c>
      <c r="F24" s="63">
        <v>1</v>
      </c>
      <c r="I24" s="656" t="s">
        <v>777</v>
      </c>
      <c r="J24" s="60" t="s">
        <v>770</v>
      </c>
      <c r="K24" s="102">
        <v>0</v>
      </c>
      <c r="L24" s="103">
        <v>0</v>
      </c>
      <c r="M24" s="103">
        <v>0</v>
      </c>
      <c r="N24" s="103">
        <v>199.11719821988763</v>
      </c>
      <c r="O24" s="103">
        <v>0</v>
      </c>
      <c r="P24" s="103">
        <v>0</v>
      </c>
      <c r="Q24" s="103">
        <v>0</v>
      </c>
      <c r="R24" s="103">
        <v>0</v>
      </c>
      <c r="S24" s="104">
        <v>199.11719821988763</v>
      </c>
      <c r="T24" s="102">
        <v>0</v>
      </c>
      <c r="U24" s="103">
        <v>229.22224785316547</v>
      </c>
      <c r="V24" s="103">
        <v>0</v>
      </c>
      <c r="W24" s="103">
        <v>397.49954616357195</v>
      </c>
      <c r="X24" s="103">
        <v>0</v>
      </c>
      <c r="Y24" s="103">
        <v>0</v>
      </c>
      <c r="Z24" s="103">
        <v>0</v>
      </c>
      <c r="AA24" s="103">
        <v>0</v>
      </c>
      <c r="AB24" s="104">
        <v>626.72179401673748</v>
      </c>
      <c r="AC24" s="102">
        <v>0</v>
      </c>
      <c r="AD24" s="103">
        <v>0</v>
      </c>
      <c r="AE24" s="103">
        <v>0</v>
      </c>
      <c r="AF24" s="103">
        <v>0</v>
      </c>
      <c r="AG24" s="103">
        <v>0</v>
      </c>
      <c r="AH24" s="103">
        <v>0</v>
      </c>
      <c r="AI24" s="103">
        <v>0</v>
      </c>
      <c r="AJ24" s="103">
        <v>0</v>
      </c>
      <c r="AK24" s="104">
        <v>0</v>
      </c>
      <c r="AL24" s="102">
        <v>0</v>
      </c>
      <c r="AM24" s="103">
        <v>0</v>
      </c>
      <c r="AN24" s="103">
        <v>0</v>
      </c>
      <c r="AO24" s="103">
        <v>0</v>
      </c>
      <c r="AP24" s="103">
        <v>0</v>
      </c>
      <c r="AQ24" s="103">
        <v>0</v>
      </c>
      <c r="AR24" s="103">
        <v>0</v>
      </c>
      <c r="AS24" s="103">
        <v>0</v>
      </c>
      <c r="AT24" s="104">
        <v>0</v>
      </c>
      <c r="AU24" s="102">
        <v>0</v>
      </c>
      <c r="AV24" s="103">
        <v>229.22224785316547</v>
      </c>
      <c r="AW24" s="103">
        <v>0</v>
      </c>
      <c r="AX24" s="103">
        <v>596.6167443834596</v>
      </c>
      <c r="AY24" s="103">
        <v>0</v>
      </c>
      <c r="AZ24" s="103">
        <v>0</v>
      </c>
      <c r="BA24" s="103">
        <v>0</v>
      </c>
      <c r="BB24" s="103">
        <v>0</v>
      </c>
      <c r="BC24" s="104">
        <v>825.83899223662513</v>
      </c>
    </row>
    <row r="25" spans="1:55" hidden="1">
      <c r="A25" s="655" t="s">
        <v>768</v>
      </c>
      <c r="B25" s="656" t="s">
        <v>778</v>
      </c>
      <c r="C25" s="60" t="s">
        <v>770</v>
      </c>
      <c r="D25" s="62">
        <v>0.86719579734784979</v>
      </c>
      <c r="E25" s="61">
        <v>0.13280420265215021</v>
      </c>
      <c r="F25" s="63">
        <v>1</v>
      </c>
      <c r="I25" s="656" t="s">
        <v>778</v>
      </c>
      <c r="J25" s="60" t="s">
        <v>770</v>
      </c>
      <c r="K25" s="102">
        <v>0</v>
      </c>
      <c r="L25" s="103">
        <v>0</v>
      </c>
      <c r="M25" s="103">
        <v>0</v>
      </c>
      <c r="N25" s="103">
        <v>0</v>
      </c>
      <c r="O25" s="103">
        <v>0</v>
      </c>
      <c r="P25" s="103">
        <v>0</v>
      </c>
      <c r="Q25" s="103">
        <v>0</v>
      </c>
      <c r="R25" s="103">
        <v>0</v>
      </c>
      <c r="S25" s="104">
        <v>0</v>
      </c>
      <c r="T25" s="102">
        <v>0</v>
      </c>
      <c r="U25" s="103">
        <v>77.628925891035308</v>
      </c>
      <c r="V25" s="103">
        <v>0</v>
      </c>
      <c r="W25" s="103">
        <v>0</v>
      </c>
      <c r="X25" s="103">
        <v>0</v>
      </c>
      <c r="Y25" s="103">
        <v>0</v>
      </c>
      <c r="Z25" s="103">
        <v>0</v>
      </c>
      <c r="AA25" s="103">
        <v>0</v>
      </c>
      <c r="AB25" s="104">
        <v>77.628925891035308</v>
      </c>
      <c r="AC25" s="102">
        <v>0</v>
      </c>
      <c r="AD25" s="103">
        <v>0</v>
      </c>
      <c r="AE25" s="103">
        <v>0</v>
      </c>
      <c r="AF25" s="103">
        <v>14.859568713243839</v>
      </c>
      <c r="AG25" s="103">
        <v>0</v>
      </c>
      <c r="AH25" s="103">
        <v>0</v>
      </c>
      <c r="AI25" s="103">
        <v>0</v>
      </c>
      <c r="AJ25" s="103">
        <v>0</v>
      </c>
      <c r="AK25" s="104">
        <v>14.859568713243839</v>
      </c>
      <c r="AL25" s="102">
        <v>0</v>
      </c>
      <c r="AM25" s="103">
        <v>0</v>
      </c>
      <c r="AN25" s="103">
        <v>0</v>
      </c>
      <c r="AO25" s="103">
        <v>0</v>
      </c>
      <c r="AP25" s="103">
        <v>0</v>
      </c>
      <c r="AQ25" s="103">
        <v>0</v>
      </c>
      <c r="AR25" s="103">
        <v>0</v>
      </c>
      <c r="AS25" s="103">
        <v>0</v>
      </c>
      <c r="AT25" s="104">
        <v>0</v>
      </c>
      <c r="AU25" s="102">
        <v>0</v>
      </c>
      <c r="AV25" s="103">
        <v>77.628925891035308</v>
      </c>
      <c r="AW25" s="103">
        <v>0</v>
      </c>
      <c r="AX25" s="103">
        <v>14.859568713243839</v>
      </c>
      <c r="AY25" s="103">
        <v>0</v>
      </c>
      <c r="AZ25" s="103">
        <v>0</v>
      </c>
      <c r="BA25" s="103">
        <v>0</v>
      </c>
      <c r="BB25" s="103">
        <v>0</v>
      </c>
      <c r="BC25" s="104">
        <v>92.48849460427914</v>
      </c>
    </row>
    <row r="26" spans="1:55" hidden="1">
      <c r="A26" s="655" t="s">
        <v>768</v>
      </c>
      <c r="B26" s="656" t="s">
        <v>779</v>
      </c>
      <c r="C26" s="60" t="s">
        <v>770</v>
      </c>
      <c r="D26" s="62">
        <v>0.90936489436209378</v>
      </c>
      <c r="E26" s="61">
        <v>9.063510563790618E-2</v>
      </c>
      <c r="F26" s="63">
        <v>1</v>
      </c>
      <c r="I26" s="656" t="s">
        <v>779</v>
      </c>
      <c r="J26" s="60" t="s">
        <v>770</v>
      </c>
      <c r="K26" s="102">
        <v>0</v>
      </c>
      <c r="L26" s="103">
        <v>0</v>
      </c>
      <c r="M26" s="103">
        <v>0</v>
      </c>
      <c r="N26" s="103">
        <v>0</v>
      </c>
      <c r="O26" s="103">
        <v>0</v>
      </c>
      <c r="P26" s="103">
        <v>0</v>
      </c>
      <c r="Q26" s="103">
        <v>0</v>
      </c>
      <c r="R26" s="103">
        <v>0</v>
      </c>
      <c r="S26" s="104">
        <v>0</v>
      </c>
      <c r="T26" s="102">
        <v>0</v>
      </c>
      <c r="U26" s="103">
        <v>0</v>
      </c>
      <c r="V26" s="103">
        <v>0</v>
      </c>
      <c r="W26" s="103">
        <v>0</v>
      </c>
      <c r="X26" s="103">
        <v>0</v>
      </c>
      <c r="Y26" s="103">
        <v>0</v>
      </c>
      <c r="Z26" s="103">
        <v>0</v>
      </c>
      <c r="AA26" s="103">
        <v>0</v>
      </c>
      <c r="AB26" s="104">
        <v>0</v>
      </c>
      <c r="AC26" s="102">
        <v>0</v>
      </c>
      <c r="AD26" s="103">
        <v>0</v>
      </c>
      <c r="AE26" s="103">
        <v>0</v>
      </c>
      <c r="AF26" s="103">
        <v>0</v>
      </c>
      <c r="AG26" s="103">
        <v>0</v>
      </c>
      <c r="AH26" s="103">
        <v>0</v>
      </c>
      <c r="AI26" s="103">
        <v>0</v>
      </c>
      <c r="AJ26" s="103">
        <v>0</v>
      </c>
      <c r="AK26" s="104">
        <v>0</v>
      </c>
      <c r="AL26" s="102">
        <v>0</v>
      </c>
      <c r="AM26" s="103">
        <v>0</v>
      </c>
      <c r="AN26" s="103">
        <v>0</v>
      </c>
      <c r="AO26" s="103">
        <v>0</v>
      </c>
      <c r="AP26" s="103">
        <v>0</v>
      </c>
      <c r="AQ26" s="103">
        <v>0</v>
      </c>
      <c r="AR26" s="103">
        <v>0</v>
      </c>
      <c r="AS26" s="103">
        <v>0</v>
      </c>
      <c r="AT26" s="104">
        <v>0</v>
      </c>
      <c r="AU26" s="102">
        <v>0</v>
      </c>
      <c r="AV26" s="103">
        <v>0</v>
      </c>
      <c r="AW26" s="103">
        <v>0</v>
      </c>
      <c r="AX26" s="103">
        <v>0</v>
      </c>
      <c r="AY26" s="103">
        <v>0</v>
      </c>
      <c r="AZ26" s="103">
        <v>0</v>
      </c>
      <c r="BA26" s="103">
        <v>0</v>
      </c>
      <c r="BB26" s="103">
        <v>0</v>
      </c>
      <c r="BC26" s="104">
        <v>0</v>
      </c>
    </row>
    <row r="27" spans="1:55" hidden="1">
      <c r="A27" s="655" t="s">
        <v>768</v>
      </c>
      <c r="B27" s="656" t="s">
        <v>780</v>
      </c>
      <c r="C27" s="60" t="s">
        <v>770</v>
      </c>
      <c r="D27" s="62">
        <v>0.95601441298306766</v>
      </c>
      <c r="E27" s="61">
        <v>4.3985587016932386E-2</v>
      </c>
      <c r="F27" s="63">
        <v>1</v>
      </c>
      <c r="I27" s="656" t="s">
        <v>780</v>
      </c>
      <c r="J27" s="60" t="s">
        <v>770</v>
      </c>
      <c r="K27" s="102">
        <v>0</v>
      </c>
      <c r="L27" s="103">
        <v>0</v>
      </c>
      <c r="M27" s="103">
        <v>0</v>
      </c>
      <c r="N27" s="103">
        <v>27.526762610065123</v>
      </c>
      <c r="O27" s="103">
        <v>0</v>
      </c>
      <c r="P27" s="103">
        <v>0</v>
      </c>
      <c r="Q27" s="103">
        <v>0</v>
      </c>
      <c r="R27" s="103">
        <v>0</v>
      </c>
      <c r="S27" s="104">
        <v>27.526762610065123</v>
      </c>
      <c r="T27" s="102">
        <v>0</v>
      </c>
      <c r="U27" s="103">
        <v>0</v>
      </c>
      <c r="V27" s="103">
        <v>0</v>
      </c>
      <c r="W27" s="103">
        <v>0</v>
      </c>
      <c r="X27" s="103">
        <v>0</v>
      </c>
      <c r="Y27" s="103">
        <v>0</v>
      </c>
      <c r="Z27" s="103">
        <v>0</v>
      </c>
      <c r="AA27" s="103">
        <v>0</v>
      </c>
      <c r="AB27" s="104">
        <v>0</v>
      </c>
      <c r="AC27" s="102">
        <v>0</v>
      </c>
      <c r="AD27" s="103">
        <v>0</v>
      </c>
      <c r="AE27" s="103">
        <v>0</v>
      </c>
      <c r="AF27" s="103">
        <v>0</v>
      </c>
      <c r="AG27" s="103">
        <v>0</v>
      </c>
      <c r="AH27" s="103">
        <v>0</v>
      </c>
      <c r="AI27" s="103">
        <v>0</v>
      </c>
      <c r="AJ27" s="103">
        <v>0</v>
      </c>
      <c r="AK27" s="104">
        <v>0</v>
      </c>
      <c r="AL27" s="102">
        <v>0</v>
      </c>
      <c r="AM27" s="103">
        <v>0</v>
      </c>
      <c r="AN27" s="103">
        <v>0</v>
      </c>
      <c r="AO27" s="103">
        <v>50.160792280915594</v>
      </c>
      <c r="AP27" s="103">
        <v>0</v>
      </c>
      <c r="AQ27" s="103">
        <v>0</v>
      </c>
      <c r="AR27" s="103">
        <v>0</v>
      </c>
      <c r="AS27" s="103">
        <v>0</v>
      </c>
      <c r="AT27" s="104">
        <v>50.160792280915594</v>
      </c>
      <c r="AU27" s="102">
        <v>0</v>
      </c>
      <c r="AV27" s="103">
        <v>0</v>
      </c>
      <c r="AW27" s="103">
        <v>0</v>
      </c>
      <c r="AX27" s="103">
        <v>77.687554890980721</v>
      </c>
      <c r="AY27" s="103">
        <v>0</v>
      </c>
      <c r="AZ27" s="103">
        <v>0</v>
      </c>
      <c r="BA27" s="103">
        <v>0</v>
      </c>
      <c r="BB27" s="103">
        <v>0</v>
      </c>
      <c r="BC27" s="104">
        <v>77.687554890980721</v>
      </c>
    </row>
    <row r="28" spans="1:55" hidden="1">
      <c r="A28" s="655" t="s">
        <v>768</v>
      </c>
      <c r="B28" s="656" t="s">
        <v>781</v>
      </c>
      <c r="C28" s="60" t="s">
        <v>770</v>
      </c>
      <c r="D28" s="62">
        <v>0.87588518856182296</v>
      </c>
      <c r="E28" s="61">
        <v>0.124114811438177</v>
      </c>
      <c r="F28" s="63">
        <v>1</v>
      </c>
      <c r="I28" s="656" t="s">
        <v>781</v>
      </c>
      <c r="J28" s="60" t="s">
        <v>770</v>
      </c>
      <c r="K28" s="102">
        <v>0</v>
      </c>
      <c r="L28" s="103">
        <v>0</v>
      </c>
      <c r="M28" s="103">
        <v>0</v>
      </c>
      <c r="N28" s="103">
        <v>0</v>
      </c>
      <c r="O28" s="103">
        <v>0</v>
      </c>
      <c r="P28" s="103">
        <v>0</v>
      </c>
      <c r="Q28" s="103">
        <v>0</v>
      </c>
      <c r="R28" s="103">
        <v>0</v>
      </c>
      <c r="S28" s="104">
        <v>0</v>
      </c>
      <c r="T28" s="102">
        <v>0</v>
      </c>
      <c r="U28" s="103">
        <v>0</v>
      </c>
      <c r="V28" s="103">
        <v>0</v>
      </c>
      <c r="W28" s="103">
        <v>89.176218358381661</v>
      </c>
      <c r="X28" s="103">
        <v>0</v>
      </c>
      <c r="Y28" s="103">
        <v>0</v>
      </c>
      <c r="Z28" s="103">
        <v>0</v>
      </c>
      <c r="AA28" s="103">
        <v>0</v>
      </c>
      <c r="AB28" s="104">
        <v>89.176218358381661</v>
      </c>
      <c r="AC28" s="102">
        <v>0</v>
      </c>
      <c r="AD28" s="103">
        <v>0</v>
      </c>
      <c r="AE28" s="103">
        <v>0</v>
      </c>
      <c r="AF28" s="103">
        <v>0</v>
      </c>
      <c r="AG28" s="103">
        <v>0</v>
      </c>
      <c r="AH28" s="103">
        <v>0</v>
      </c>
      <c r="AI28" s="103">
        <v>0</v>
      </c>
      <c r="AJ28" s="103">
        <v>0</v>
      </c>
      <c r="AK28" s="104">
        <v>0</v>
      </c>
      <c r="AL28" s="102">
        <v>0</v>
      </c>
      <c r="AM28" s="103">
        <v>0</v>
      </c>
      <c r="AN28" s="103">
        <v>0</v>
      </c>
      <c r="AO28" s="103">
        <v>0</v>
      </c>
      <c r="AP28" s="103">
        <v>0</v>
      </c>
      <c r="AQ28" s="103">
        <v>0</v>
      </c>
      <c r="AR28" s="103">
        <v>0</v>
      </c>
      <c r="AS28" s="103">
        <v>0</v>
      </c>
      <c r="AT28" s="104">
        <v>0</v>
      </c>
      <c r="AU28" s="102">
        <v>0</v>
      </c>
      <c r="AV28" s="103">
        <v>0</v>
      </c>
      <c r="AW28" s="103">
        <v>0</v>
      </c>
      <c r="AX28" s="103">
        <v>89.176218358381661</v>
      </c>
      <c r="AY28" s="103">
        <v>0</v>
      </c>
      <c r="AZ28" s="103">
        <v>0</v>
      </c>
      <c r="BA28" s="103">
        <v>0</v>
      </c>
      <c r="BB28" s="103">
        <v>0</v>
      </c>
      <c r="BC28" s="104">
        <v>89.176218358381661</v>
      </c>
    </row>
    <row r="29" spans="1:55" hidden="1">
      <c r="A29" s="655" t="s">
        <v>768</v>
      </c>
      <c r="B29" s="656" t="s">
        <v>782</v>
      </c>
      <c r="C29" s="60" t="s">
        <v>770</v>
      </c>
      <c r="D29" s="62">
        <v>0.84944115724381652</v>
      </c>
      <c r="E29" s="61">
        <v>0.15055884275618342</v>
      </c>
      <c r="F29" s="63">
        <v>1</v>
      </c>
      <c r="I29" s="656" t="s">
        <v>782</v>
      </c>
      <c r="J29" s="60" t="s">
        <v>770</v>
      </c>
      <c r="K29" s="102">
        <v>148.2735501254345</v>
      </c>
      <c r="L29" s="103">
        <v>164.52454773936284</v>
      </c>
      <c r="M29" s="103">
        <v>0</v>
      </c>
      <c r="N29" s="103">
        <v>144.74774163312946</v>
      </c>
      <c r="O29" s="103">
        <v>0</v>
      </c>
      <c r="P29" s="103">
        <v>0</v>
      </c>
      <c r="Q29" s="103">
        <v>181.59300613891733</v>
      </c>
      <c r="R29" s="103">
        <v>0</v>
      </c>
      <c r="S29" s="104">
        <v>639.13884563684417</v>
      </c>
      <c r="T29" s="102">
        <v>6.1824646651855133</v>
      </c>
      <c r="U29" s="103">
        <v>0</v>
      </c>
      <c r="V29" s="103">
        <v>0</v>
      </c>
      <c r="W29" s="103">
        <v>246.20211949089779</v>
      </c>
      <c r="X29" s="103">
        <v>0</v>
      </c>
      <c r="Y29" s="103">
        <v>8.4949684431757166</v>
      </c>
      <c r="Z29" s="103">
        <v>316.47110254809434</v>
      </c>
      <c r="AA29" s="103">
        <v>0</v>
      </c>
      <c r="AB29" s="104">
        <v>577.35065514735334</v>
      </c>
      <c r="AC29" s="102">
        <v>0</v>
      </c>
      <c r="AD29" s="103">
        <v>0</v>
      </c>
      <c r="AE29" s="103">
        <v>0</v>
      </c>
      <c r="AF29" s="103">
        <v>0</v>
      </c>
      <c r="AG29" s="103">
        <v>0</v>
      </c>
      <c r="AH29" s="103">
        <v>0</v>
      </c>
      <c r="AI29" s="103">
        <v>0</v>
      </c>
      <c r="AJ29" s="103">
        <v>0</v>
      </c>
      <c r="AK29" s="104">
        <v>0</v>
      </c>
      <c r="AL29" s="102">
        <v>0</v>
      </c>
      <c r="AM29" s="103">
        <v>0</v>
      </c>
      <c r="AN29" s="103">
        <v>0</v>
      </c>
      <c r="AO29" s="103">
        <v>49.357364321808859</v>
      </c>
      <c r="AP29" s="103">
        <v>0</v>
      </c>
      <c r="AQ29" s="103">
        <v>0</v>
      </c>
      <c r="AR29" s="103">
        <v>0</v>
      </c>
      <c r="AS29" s="103">
        <v>0</v>
      </c>
      <c r="AT29" s="104">
        <v>49.357364321808859</v>
      </c>
      <c r="AU29" s="102">
        <v>154.45601479062</v>
      </c>
      <c r="AV29" s="103">
        <v>164.52454773936284</v>
      </c>
      <c r="AW29" s="103">
        <v>0</v>
      </c>
      <c r="AX29" s="103">
        <v>440.30722544583614</v>
      </c>
      <c r="AY29" s="103">
        <v>0</v>
      </c>
      <c r="AZ29" s="103">
        <v>8.4949684431757166</v>
      </c>
      <c r="BA29" s="103">
        <v>498.06410868701164</v>
      </c>
      <c r="BB29" s="103">
        <v>0</v>
      </c>
      <c r="BC29" s="104">
        <v>1265.8468651060061</v>
      </c>
    </row>
    <row r="30" spans="1:55" hidden="1">
      <c r="A30" s="655" t="s">
        <v>768</v>
      </c>
      <c r="B30" s="656" t="s">
        <v>783</v>
      </c>
      <c r="C30" s="60" t="s">
        <v>770</v>
      </c>
      <c r="D30" s="62">
        <v>0.94563669068213607</v>
      </c>
      <c r="E30" s="61">
        <v>5.436330931786388E-2</v>
      </c>
      <c r="F30" s="63">
        <v>1</v>
      </c>
      <c r="I30" s="656" t="s">
        <v>783</v>
      </c>
      <c r="J30" s="60" t="s">
        <v>770</v>
      </c>
      <c r="K30" s="102">
        <v>73.602552558930171</v>
      </c>
      <c r="L30" s="103">
        <v>0</v>
      </c>
      <c r="M30" s="103">
        <v>0</v>
      </c>
      <c r="N30" s="103">
        <v>0</v>
      </c>
      <c r="O30" s="103">
        <v>0</v>
      </c>
      <c r="P30" s="103">
        <v>0</v>
      </c>
      <c r="Q30" s="103">
        <v>0</v>
      </c>
      <c r="R30" s="103">
        <v>0</v>
      </c>
      <c r="S30" s="104">
        <v>73.602552558930171</v>
      </c>
      <c r="T30" s="102">
        <v>0</v>
      </c>
      <c r="U30" s="103">
        <v>0</v>
      </c>
      <c r="V30" s="103">
        <v>0</v>
      </c>
      <c r="W30" s="103">
        <v>369.19953535640911</v>
      </c>
      <c r="X30" s="103">
        <v>0</v>
      </c>
      <c r="Y30" s="103">
        <v>0</v>
      </c>
      <c r="Z30" s="103">
        <v>0</v>
      </c>
      <c r="AA30" s="103">
        <v>0</v>
      </c>
      <c r="AB30" s="104">
        <v>369.19953535640911</v>
      </c>
      <c r="AC30" s="102">
        <v>0</v>
      </c>
      <c r="AD30" s="103">
        <v>0</v>
      </c>
      <c r="AE30" s="103">
        <v>0</v>
      </c>
      <c r="AF30" s="103">
        <v>0</v>
      </c>
      <c r="AG30" s="103">
        <v>0</v>
      </c>
      <c r="AH30" s="103">
        <v>0</v>
      </c>
      <c r="AI30" s="103">
        <v>0</v>
      </c>
      <c r="AJ30" s="103">
        <v>0</v>
      </c>
      <c r="AK30" s="104">
        <v>0</v>
      </c>
      <c r="AL30" s="102">
        <v>53.853986219092349</v>
      </c>
      <c r="AM30" s="103">
        <v>0</v>
      </c>
      <c r="AN30" s="103">
        <v>0</v>
      </c>
      <c r="AO30" s="103">
        <v>0</v>
      </c>
      <c r="AP30" s="103">
        <v>0</v>
      </c>
      <c r="AQ30" s="103">
        <v>0</v>
      </c>
      <c r="AR30" s="103">
        <v>0</v>
      </c>
      <c r="AS30" s="103">
        <v>0</v>
      </c>
      <c r="AT30" s="104">
        <v>53.853986219092349</v>
      </c>
      <c r="AU30" s="102">
        <v>127.45653877802252</v>
      </c>
      <c r="AV30" s="103">
        <v>0</v>
      </c>
      <c r="AW30" s="103">
        <v>0</v>
      </c>
      <c r="AX30" s="103">
        <v>369.19953535640911</v>
      </c>
      <c r="AY30" s="103">
        <v>0</v>
      </c>
      <c r="AZ30" s="103">
        <v>0</v>
      </c>
      <c r="BA30" s="103">
        <v>0</v>
      </c>
      <c r="BB30" s="103">
        <v>0</v>
      </c>
      <c r="BC30" s="104">
        <v>496.65607413443161</v>
      </c>
    </row>
    <row r="31" spans="1:55" hidden="1">
      <c r="A31" s="655" t="s">
        <v>768</v>
      </c>
      <c r="B31" s="656" t="s">
        <v>784</v>
      </c>
      <c r="C31" s="60" t="s">
        <v>770</v>
      </c>
      <c r="D31" s="62">
        <v>0.96480768386842664</v>
      </c>
      <c r="E31" s="61">
        <v>3.5192316131573469E-2</v>
      </c>
      <c r="F31" s="63">
        <v>1</v>
      </c>
      <c r="I31" s="656" t="s">
        <v>784</v>
      </c>
      <c r="J31" s="60" t="s">
        <v>770</v>
      </c>
      <c r="K31" s="102">
        <v>0</v>
      </c>
      <c r="L31" s="103">
        <v>0</v>
      </c>
      <c r="M31" s="103">
        <v>0</v>
      </c>
      <c r="N31" s="103">
        <v>22.8017069505925</v>
      </c>
      <c r="O31" s="103">
        <v>0</v>
      </c>
      <c r="P31" s="103">
        <v>0</v>
      </c>
      <c r="Q31" s="103">
        <v>0</v>
      </c>
      <c r="R31" s="103">
        <v>0</v>
      </c>
      <c r="S31" s="104">
        <v>22.8017069505925</v>
      </c>
      <c r="T31" s="102">
        <v>36.198549900463831</v>
      </c>
      <c r="U31" s="103">
        <v>0</v>
      </c>
      <c r="V31" s="103">
        <v>0</v>
      </c>
      <c r="W31" s="103">
        <v>0</v>
      </c>
      <c r="X31" s="103">
        <v>0</v>
      </c>
      <c r="Y31" s="103">
        <v>0</v>
      </c>
      <c r="Z31" s="103">
        <v>0</v>
      </c>
      <c r="AA31" s="103">
        <v>0</v>
      </c>
      <c r="AB31" s="104">
        <v>36.198549900463831</v>
      </c>
      <c r="AC31" s="102">
        <v>0</v>
      </c>
      <c r="AD31" s="103">
        <v>0</v>
      </c>
      <c r="AE31" s="103">
        <v>0</v>
      </c>
      <c r="AF31" s="103">
        <v>0</v>
      </c>
      <c r="AG31" s="103">
        <v>0</v>
      </c>
      <c r="AH31" s="103">
        <v>0</v>
      </c>
      <c r="AI31" s="103">
        <v>0</v>
      </c>
      <c r="AJ31" s="103">
        <v>0</v>
      </c>
      <c r="AK31" s="104">
        <v>0</v>
      </c>
      <c r="AL31" s="102">
        <v>0</v>
      </c>
      <c r="AM31" s="103">
        <v>0</v>
      </c>
      <c r="AN31" s="103">
        <v>0</v>
      </c>
      <c r="AO31" s="103">
        <v>22.8017069505925</v>
      </c>
      <c r="AP31" s="103">
        <v>0</v>
      </c>
      <c r="AQ31" s="103">
        <v>0</v>
      </c>
      <c r="AR31" s="103">
        <v>0</v>
      </c>
      <c r="AS31" s="103">
        <v>0</v>
      </c>
      <c r="AT31" s="104">
        <v>22.8017069505925</v>
      </c>
      <c r="AU31" s="102">
        <v>36.198549900463831</v>
      </c>
      <c r="AV31" s="103">
        <v>0</v>
      </c>
      <c r="AW31" s="103">
        <v>0</v>
      </c>
      <c r="AX31" s="103">
        <v>45.603413901185</v>
      </c>
      <c r="AY31" s="103">
        <v>0</v>
      </c>
      <c r="AZ31" s="103">
        <v>0</v>
      </c>
      <c r="BA31" s="103">
        <v>0</v>
      </c>
      <c r="BB31" s="103">
        <v>0</v>
      </c>
      <c r="BC31" s="104">
        <v>81.801963801648839</v>
      </c>
    </row>
    <row r="32" spans="1:55" hidden="1">
      <c r="A32" s="655" t="s">
        <v>768</v>
      </c>
      <c r="B32" s="656" t="s">
        <v>785</v>
      </c>
      <c r="C32" s="60" t="s">
        <v>770</v>
      </c>
      <c r="D32" s="62">
        <v>0.99338694798732041</v>
      </c>
      <c r="E32" s="61">
        <v>6.6130520126795201E-3</v>
      </c>
      <c r="F32" s="63">
        <v>1</v>
      </c>
      <c r="I32" s="656" t="s">
        <v>785</v>
      </c>
      <c r="J32" s="60" t="s">
        <v>770</v>
      </c>
      <c r="K32" s="102">
        <v>0</v>
      </c>
      <c r="L32" s="103">
        <v>0</v>
      </c>
      <c r="M32" s="103">
        <v>0</v>
      </c>
      <c r="N32" s="103">
        <v>0</v>
      </c>
      <c r="O32" s="103">
        <v>0</v>
      </c>
      <c r="P32" s="103">
        <v>0</v>
      </c>
      <c r="Q32" s="103">
        <v>0</v>
      </c>
      <c r="R32" s="103">
        <v>0</v>
      </c>
      <c r="S32" s="104">
        <v>0</v>
      </c>
      <c r="T32" s="102">
        <v>60.64154867711369</v>
      </c>
      <c r="U32" s="103">
        <v>0</v>
      </c>
      <c r="V32" s="103">
        <v>0</v>
      </c>
      <c r="W32" s="103">
        <v>0</v>
      </c>
      <c r="X32" s="103">
        <v>0</v>
      </c>
      <c r="Y32" s="103">
        <v>0</v>
      </c>
      <c r="Z32" s="103">
        <v>0</v>
      </c>
      <c r="AA32" s="103">
        <v>0</v>
      </c>
      <c r="AB32" s="104">
        <v>60.64154867711369</v>
      </c>
      <c r="AC32" s="102">
        <v>20.213849559037897</v>
      </c>
      <c r="AD32" s="103">
        <v>0</v>
      </c>
      <c r="AE32" s="103">
        <v>0</v>
      </c>
      <c r="AF32" s="103">
        <v>0</v>
      </c>
      <c r="AG32" s="103">
        <v>0</v>
      </c>
      <c r="AH32" s="103">
        <v>0</v>
      </c>
      <c r="AI32" s="103">
        <v>0</v>
      </c>
      <c r="AJ32" s="103">
        <v>0</v>
      </c>
      <c r="AK32" s="104">
        <v>20.213849559037897</v>
      </c>
      <c r="AL32" s="102">
        <v>0</v>
      </c>
      <c r="AM32" s="103">
        <v>0</v>
      </c>
      <c r="AN32" s="103">
        <v>0</v>
      </c>
      <c r="AO32" s="103">
        <v>0</v>
      </c>
      <c r="AP32" s="103">
        <v>0</v>
      </c>
      <c r="AQ32" s="103">
        <v>0</v>
      </c>
      <c r="AR32" s="103">
        <v>0</v>
      </c>
      <c r="AS32" s="103">
        <v>0</v>
      </c>
      <c r="AT32" s="104">
        <v>0</v>
      </c>
      <c r="AU32" s="102">
        <v>80.855398236151586</v>
      </c>
      <c r="AV32" s="103">
        <v>0</v>
      </c>
      <c r="AW32" s="103">
        <v>0</v>
      </c>
      <c r="AX32" s="103">
        <v>0</v>
      </c>
      <c r="AY32" s="103">
        <v>0</v>
      </c>
      <c r="AZ32" s="103">
        <v>0</v>
      </c>
      <c r="BA32" s="103">
        <v>0</v>
      </c>
      <c r="BB32" s="103">
        <v>0</v>
      </c>
      <c r="BC32" s="104">
        <v>80.855398236151586</v>
      </c>
    </row>
    <row r="33" spans="1:55" hidden="1">
      <c r="A33" s="655" t="s">
        <v>768</v>
      </c>
      <c r="B33" s="656" t="s">
        <v>786</v>
      </c>
      <c r="C33" s="60" t="s">
        <v>770</v>
      </c>
      <c r="D33" s="62">
        <v>0.98526125005623133</v>
      </c>
      <c r="E33" s="61">
        <v>1.4738749943768739E-2</v>
      </c>
      <c r="F33" s="63">
        <v>1</v>
      </c>
      <c r="I33" s="656" t="s">
        <v>786</v>
      </c>
      <c r="J33" s="60" t="s">
        <v>770</v>
      </c>
      <c r="K33" s="102">
        <v>0</v>
      </c>
      <c r="L33" s="103">
        <v>0</v>
      </c>
      <c r="M33" s="103">
        <v>0</v>
      </c>
      <c r="N33" s="103">
        <v>0</v>
      </c>
      <c r="O33" s="103">
        <v>0</v>
      </c>
      <c r="P33" s="103">
        <v>0</v>
      </c>
      <c r="Q33" s="103">
        <v>0</v>
      </c>
      <c r="R33" s="103">
        <v>0</v>
      </c>
      <c r="S33" s="104">
        <v>0</v>
      </c>
      <c r="T33" s="102">
        <v>0</v>
      </c>
      <c r="U33" s="103">
        <v>0</v>
      </c>
      <c r="V33" s="103">
        <v>0</v>
      </c>
      <c r="W33" s="103">
        <v>0</v>
      </c>
      <c r="X33" s="103">
        <v>0</v>
      </c>
      <c r="Y33" s="103">
        <v>0</v>
      </c>
      <c r="Z33" s="103">
        <v>0</v>
      </c>
      <c r="AA33" s="103">
        <v>0</v>
      </c>
      <c r="AB33" s="104">
        <v>0</v>
      </c>
      <c r="AC33" s="102">
        <v>0</v>
      </c>
      <c r="AD33" s="103">
        <v>0</v>
      </c>
      <c r="AE33" s="103">
        <v>0</v>
      </c>
      <c r="AF33" s="103">
        <v>0</v>
      </c>
      <c r="AG33" s="103">
        <v>0</v>
      </c>
      <c r="AH33" s="103">
        <v>0</v>
      </c>
      <c r="AI33" s="103">
        <v>0</v>
      </c>
      <c r="AJ33" s="103">
        <v>0</v>
      </c>
      <c r="AK33" s="104">
        <v>0</v>
      </c>
      <c r="AL33" s="102">
        <v>0</v>
      </c>
      <c r="AM33" s="103">
        <v>0</v>
      </c>
      <c r="AN33" s="103">
        <v>0</v>
      </c>
      <c r="AO33" s="103">
        <v>0</v>
      </c>
      <c r="AP33" s="103">
        <v>0</v>
      </c>
      <c r="AQ33" s="103">
        <v>0</v>
      </c>
      <c r="AR33" s="103">
        <v>0</v>
      </c>
      <c r="AS33" s="103">
        <v>0</v>
      </c>
      <c r="AT33" s="104">
        <v>0</v>
      </c>
      <c r="AU33" s="102">
        <v>0</v>
      </c>
      <c r="AV33" s="103">
        <v>0</v>
      </c>
      <c r="AW33" s="103">
        <v>0</v>
      </c>
      <c r="AX33" s="103">
        <v>0</v>
      </c>
      <c r="AY33" s="103">
        <v>0</v>
      </c>
      <c r="AZ33" s="103">
        <v>0</v>
      </c>
      <c r="BA33" s="103">
        <v>0</v>
      </c>
      <c r="BB33" s="103">
        <v>0</v>
      </c>
      <c r="BC33" s="104">
        <v>0</v>
      </c>
    </row>
    <row r="34" spans="1:55" hidden="1"/>
  </sheetData>
  <mergeCells count="7">
    <mergeCell ref="A1:H1"/>
    <mergeCell ref="AU15:BC15"/>
    <mergeCell ref="D15:F15"/>
    <mergeCell ref="K15:S15"/>
    <mergeCell ref="T15:AB15"/>
    <mergeCell ref="AC15:AK15"/>
    <mergeCell ref="AL15:AT1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17F0F-C069-47B3-9BE3-91B273E1D38D}">
  <sheetPr codeName="Sheet24"/>
  <dimension ref="A1:G83"/>
  <sheetViews>
    <sheetView topLeftCell="A26" workbookViewId="0">
      <selection activeCell="A43" sqref="A43"/>
    </sheetView>
  </sheetViews>
  <sheetFormatPr defaultRowHeight="14.4"/>
  <cols>
    <col min="1" max="1" width="58.6640625" customWidth="1"/>
    <col min="2" max="2" width="30.88671875" customWidth="1"/>
    <col min="3" max="3" width="30.33203125" customWidth="1"/>
  </cols>
  <sheetData>
    <row r="1" spans="1:7">
      <c r="A1" t="s">
        <v>787</v>
      </c>
      <c r="B1" t="s">
        <v>788</v>
      </c>
      <c r="C1" t="s">
        <v>788</v>
      </c>
      <c r="D1" s="945" t="s">
        <v>789</v>
      </c>
      <c r="E1" s="945"/>
      <c r="F1" s="945"/>
      <c r="G1" s="945"/>
    </row>
    <row r="2" spans="1:7">
      <c r="A2" s="453" t="s">
        <v>790</v>
      </c>
      <c r="D2">
        <v>2013</v>
      </c>
      <c r="E2">
        <v>2016</v>
      </c>
      <c r="F2">
        <v>2019</v>
      </c>
      <c r="G2">
        <v>2025</v>
      </c>
    </row>
    <row r="3" spans="1:7">
      <c r="A3" s="453" t="s">
        <v>791</v>
      </c>
    </row>
    <row r="4" spans="1:7">
      <c r="A4" t="s">
        <v>792</v>
      </c>
    </row>
    <row r="5" spans="1:7">
      <c r="A5" t="s">
        <v>793</v>
      </c>
    </row>
    <row r="6" spans="1:7">
      <c r="A6" t="s">
        <v>794</v>
      </c>
    </row>
    <row r="7" spans="1:7">
      <c r="A7" t="s">
        <v>795</v>
      </c>
    </row>
    <row r="8" spans="1:7">
      <c r="A8" t="s">
        <v>796</v>
      </c>
    </row>
    <row r="9" spans="1:7">
      <c r="A9" t="s">
        <v>797</v>
      </c>
    </row>
    <row r="10" spans="1:7">
      <c r="A10" t="s">
        <v>798</v>
      </c>
    </row>
    <row r="11" spans="1:7">
      <c r="A11" t="s">
        <v>799</v>
      </c>
    </row>
    <row r="12" spans="1:7">
      <c r="A12" t="s">
        <v>800</v>
      </c>
    </row>
    <row r="13" spans="1:7">
      <c r="A13" t="s">
        <v>801</v>
      </c>
    </row>
    <row r="14" spans="1:7">
      <c r="A14" t="s">
        <v>802</v>
      </c>
    </row>
    <row r="15" spans="1:7">
      <c r="A15" t="s">
        <v>803</v>
      </c>
    </row>
    <row r="16" spans="1:7">
      <c r="A16" t="s">
        <v>804</v>
      </c>
    </row>
    <row r="17" spans="1:1">
      <c r="A17" t="s">
        <v>139</v>
      </c>
    </row>
    <row r="18" spans="1:1">
      <c r="A18" t="s">
        <v>805</v>
      </c>
    </row>
    <row r="19" spans="1:1">
      <c r="A19" t="s">
        <v>165</v>
      </c>
    </row>
    <row r="20" spans="1:1">
      <c r="A20" t="s">
        <v>806</v>
      </c>
    </row>
    <row r="21" spans="1:1">
      <c r="A21" t="s">
        <v>807</v>
      </c>
    </row>
    <row r="22" spans="1:1">
      <c r="A22" t="s">
        <v>808</v>
      </c>
    </row>
    <row r="23" spans="1:1">
      <c r="A23" t="s">
        <v>151</v>
      </c>
    </row>
    <row r="24" spans="1:1">
      <c r="A24" t="s">
        <v>809</v>
      </c>
    </row>
    <row r="25" spans="1:1">
      <c r="A25" t="s">
        <v>810</v>
      </c>
    </row>
    <row r="26" spans="1:1">
      <c r="A26" t="s">
        <v>811</v>
      </c>
    </row>
    <row r="27" spans="1:1">
      <c r="A27" t="s">
        <v>812</v>
      </c>
    </row>
    <row r="28" spans="1:1">
      <c r="A28" t="s">
        <v>813</v>
      </c>
    </row>
    <row r="29" spans="1:1">
      <c r="A29" t="s">
        <v>814</v>
      </c>
    </row>
    <row r="30" spans="1:1">
      <c r="A30" t="s">
        <v>815</v>
      </c>
    </row>
    <row r="31" spans="1:1">
      <c r="A31" t="s">
        <v>816</v>
      </c>
    </row>
    <row r="32" spans="1:1">
      <c r="A32" t="s">
        <v>817</v>
      </c>
    </row>
    <row r="33" spans="1:1">
      <c r="A33" t="s">
        <v>818</v>
      </c>
    </row>
    <row r="34" spans="1:1">
      <c r="A34" t="s">
        <v>819</v>
      </c>
    </row>
    <row r="35" spans="1:1">
      <c r="A35" t="s">
        <v>820</v>
      </c>
    </row>
    <row r="36" spans="1:1">
      <c r="A36" t="s">
        <v>821</v>
      </c>
    </row>
    <row r="37" spans="1:1">
      <c r="A37" t="s">
        <v>822</v>
      </c>
    </row>
    <row r="38" spans="1:1">
      <c r="A38" t="s">
        <v>823</v>
      </c>
    </row>
    <row r="39" spans="1:1">
      <c r="A39" t="s">
        <v>824</v>
      </c>
    </row>
    <row r="40" spans="1:1">
      <c r="A40" t="s">
        <v>825</v>
      </c>
    </row>
    <row r="41" spans="1:1">
      <c r="A41" t="s">
        <v>826</v>
      </c>
    </row>
    <row r="42" spans="1:1">
      <c r="A42" t="s">
        <v>142</v>
      </c>
    </row>
    <row r="43" spans="1:1">
      <c r="A43" t="s">
        <v>827</v>
      </c>
    </row>
    <row r="44" spans="1:1">
      <c r="A44" t="s">
        <v>160</v>
      </c>
    </row>
    <row r="45" spans="1:1">
      <c r="A45" t="s">
        <v>828</v>
      </c>
    </row>
    <row r="46" spans="1:1">
      <c r="A46" t="s">
        <v>829</v>
      </c>
    </row>
    <row r="47" spans="1:1">
      <c r="A47" t="s">
        <v>830</v>
      </c>
    </row>
    <row r="48" spans="1:1">
      <c r="A48" t="s">
        <v>831</v>
      </c>
    </row>
    <row r="49" spans="1:1">
      <c r="A49" t="s">
        <v>832</v>
      </c>
    </row>
    <row r="50" spans="1:1">
      <c r="A50" t="s">
        <v>124</v>
      </c>
    </row>
    <row r="51" spans="1:1">
      <c r="A51" t="s">
        <v>833</v>
      </c>
    </row>
    <row r="52" spans="1:1">
      <c r="A52" t="s">
        <v>834</v>
      </c>
    </row>
    <row r="53" spans="1:1">
      <c r="A53" t="s">
        <v>835</v>
      </c>
    </row>
    <row r="54" spans="1:1">
      <c r="A54" t="s">
        <v>836</v>
      </c>
    </row>
    <row r="55" spans="1:1">
      <c r="A55" t="s">
        <v>837</v>
      </c>
    </row>
    <row r="56" spans="1:1">
      <c r="A56" t="s">
        <v>838</v>
      </c>
    </row>
    <row r="57" spans="1:1">
      <c r="A57" t="s">
        <v>839</v>
      </c>
    </row>
    <row r="58" spans="1:1">
      <c r="A58" t="s">
        <v>840</v>
      </c>
    </row>
    <row r="59" spans="1:1">
      <c r="A59" t="s">
        <v>158</v>
      </c>
    </row>
    <row r="60" spans="1:1">
      <c r="A60" t="s">
        <v>163</v>
      </c>
    </row>
    <row r="61" spans="1:1">
      <c r="A61" t="s">
        <v>841</v>
      </c>
    </row>
    <row r="62" spans="1:1">
      <c r="A62" t="s">
        <v>842</v>
      </c>
    </row>
    <row r="63" spans="1:1">
      <c r="A63" t="s">
        <v>843</v>
      </c>
    </row>
    <row r="64" spans="1:1">
      <c r="A64" t="s">
        <v>146</v>
      </c>
    </row>
    <row r="65" spans="1:1">
      <c r="A65" t="s">
        <v>844</v>
      </c>
    </row>
    <row r="66" spans="1:1">
      <c r="A66" t="s">
        <v>845</v>
      </c>
    </row>
    <row r="67" spans="1:1">
      <c r="A67" t="s">
        <v>846</v>
      </c>
    </row>
    <row r="68" spans="1:1">
      <c r="A68" t="s">
        <v>847</v>
      </c>
    </row>
    <row r="69" spans="1:1">
      <c r="A69" t="s">
        <v>848</v>
      </c>
    </row>
    <row r="70" spans="1:1">
      <c r="A70" t="s">
        <v>849</v>
      </c>
    </row>
    <row r="71" spans="1:1">
      <c r="A71" t="s">
        <v>850</v>
      </c>
    </row>
    <row r="72" spans="1:1">
      <c r="A72" t="s">
        <v>851</v>
      </c>
    </row>
    <row r="73" spans="1:1">
      <c r="A73" t="s">
        <v>852</v>
      </c>
    </row>
    <row r="74" spans="1:1">
      <c r="A74" t="s">
        <v>853</v>
      </c>
    </row>
    <row r="75" spans="1:1">
      <c r="A75" t="s">
        <v>854</v>
      </c>
    </row>
    <row r="76" spans="1:1">
      <c r="A76" t="s">
        <v>855</v>
      </c>
    </row>
    <row r="77" spans="1:1">
      <c r="A77" t="s">
        <v>856</v>
      </c>
    </row>
    <row r="78" spans="1:1">
      <c r="A78" t="s">
        <v>857</v>
      </c>
    </row>
    <row r="79" spans="1:1">
      <c r="A79" t="s">
        <v>554</v>
      </c>
    </row>
    <row r="80" spans="1:1">
      <c r="A80" t="s">
        <v>173</v>
      </c>
    </row>
    <row r="81" spans="1:1">
      <c r="A81" t="s">
        <v>154</v>
      </c>
    </row>
    <row r="82" spans="1:1">
      <c r="A82" t="s">
        <v>858</v>
      </c>
    </row>
    <row r="83" spans="1:1">
      <c r="A83" t="s">
        <v>859</v>
      </c>
    </row>
  </sheetData>
  <mergeCells count="1">
    <mergeCell ref="D1:G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M22"/>
  <sheetViews>
    <sheetView workbookViewId="0">
      <selection sqref="A1:G1"/>
    </sheetView>
  </sheetViews>
  <sheetFormatPr defaultColWidth="8.88671875" defaultRowHeight="13.2"/>
  <cols>
    <col min="1" max="1" width="17.33203125" style="11" customWidth="1"/>
    <col min="2" max="2" width="15.44140625" style="11" customWidth="1"/>
    <col min="3" max="6" width="13.6640625" style="11" customWidth="1"/>
    <col min="7" max="7" width="13.33203125" style="11" customWidth="1"/>
    <col min="8" max="8" width="12.6640625" style="11" bestFit="1" customWidth="1"/>
    <col min="9" max="9" width="14" style="11" customWidth="1"/>
    <col min="10" max="10" width="18.6640625" style="11" customWidth="1"/>
    <col min="11" max="11" width="19" style="11" customWidth="1"/>
    <col min="12" max="12" width="17.6640625" style="11" customWidth="1"/>
    <col min="13" max="13" width="8.88671875" style="11"/>
    <col min="14" max="14" width="37.109375" style="11" customWidth="1"/>
    <col min="15" max="15" width="11.109375" style="11" bestFit="1" customWidth="1"/>
    <col min="16" max="16" width="11.109375" style="11" customWidth="1"/>
    <col min="17" max="17" width="9.109375" style="11" bestFit="1" customWidth="1"/>
    <col min="18" max="16384" width="8.88671875" style="11"/>
  </cols>
  <sheetData>
    <row r="1" spans="1:13" ht="28.95" customHeight="1">
      <c r="A1" s="949" t="s">
        <v>860</v>
      </c>
      <c r="B1" s="674"/>
      <c r="C1" s="674"/>
      <c r="D1" s="674"/>
      <c r="E1" s="674"/>
      <c r="F1" s="674"/>
      <c r="G1" s="674"/>
      <c r="H1" s="933" t="s">
        <v>861</v>
      </c>
      <c r="I1" s="933"/>
      <c r="J1" s="933"/>
      <c r="K1" s="933"/>
      <c r="L1" s="933"/>
      <c r="M1" s="933"/>
    </row>
    <row r="2" spans="1:13" ht="28.95" customHeight="1">
      <c r="A2" s="111" t="s">
        <v>10</v>
      </c>
      <c r="B2" s="111" t="s">
        <v>719</v>
      </c>
      <c r="C2" s="951" t="s">
        <v>202</v>
      </c>
      <c r="D2" s="952"/>
      <c r="E2" s="952"/>
      <c r="F2" s="953"/>
      <c r="G2" s="111"/>
      <c r="H2" s="933"/>
      <c r="I2" s="933"/>
      <c r="J2" s="933"/>
      <c r="K2" s="933"/>
      <c r="L2" s="933"/>
      <c r="M2" s="933"/>
    </row>
    <row r="3" spans="1:13" ht="27" customHeight="1">
      <c r="A3" s="111" t="s">
        <v>10</v>
      </c>
      <c r="B3" s="111" t="s">
        <v>719</v>
      </c>
      <c r="C3" s="111" t="s">
        <v>862</v>
      </c>
      <c r="D3" s="111" t="s">
        <v>227</v>
      </c>
      <c r="E3" s="111" t="s">
        <v>229</v>
      </c>
      <c r="F3" s="111" t="s">
        <v>231</v>
      </c>
      <c r="G3" s="111"/>
      <c r="H3" s="933"/>
      <c r="I3" s="933"/>
      <c r="J3" s="933"/>
      <c r="K3" s="933"/>
      <c r="L3" s="933"/>
      <c r="M3" s="933"/>
    </row>
    <row r="4" spans="1:13" ht="16.95" customHeight="1">
      <c r="A4" s="946" t="s">
        <v>738</v>
      </c>
      <c r="B4" s="260">
        <v>1</v>
      </c>
      <c r="C4" s="263"/>
      <c r="D4" s="263"/>
      <c r="E4" s="263"/>
      <c r="F4" s="263"/>
      <c r="G4" s="263"/>
      <c r="H4" s="64">
        <f>SUM(C4:F4)</f>
        <v>0</v>
      </c>
      <c r="J4" s="950" t="s">
        <v>863</v>
      </c>
      <c r="K4" s="950"/>
      <c r="L4" s="950"/>
    </row>
    <row r="5" spans="1:13" ht="16.95" customHeight="1">
      <c r="A5" s="947"/>
      <c r="B5" s="261">
        <v>2</v>
      </c>
      <c r="C5" s="263"/>
      <c r="D5" s="263"/>
      <c r="E5" s="263"/>
      <c r="F5" s="263"/>
      <c r="G5" s="263"/>
      <c r="H5" s="64">
        <f t="shared" ref="H5:H18" si="0">SUM(C5:F5)</f>
        <v>0</v>
      </c>
      <c r="I5" s="12"/>
      <c r="J5" s="657" t="s">
        <v>770</v>
      </c>
      <c r="K5" s="657" t="s">
        <v>864</v>
      </c>
      <c r="L5" s="657" t="s">
        <v>865</v>
      </c>
      <c r="M5" s="13"/>
    </row>
    <row r="6" spans="1:13" ht="16.95" customHeight="1">
      <c r="A6" s="947"/>
      <c r="B6" s="261">
        <v>3</v>
      </c>
      <c r="C6" s="263"/>
      <c r="D6" s="263"/>
      <c r="E6" s="263"/>
      <c r="F6" s="263"/>
      <c r="G6" s="263"/>
      <c r="H6" s="64">
        <f t="shared" si="0"/>
        <v>0</v>
      </c>
      <c r="J6" s="140">
        <v>0.35389988454261673</v>
      </c>
      <c r="K6" s="140">
        <v>0.29432530367139048</v>
      </c>
      <c r="L6" s="140">
        <v>0.35177481178599351</v>
      </c>
      <c r="M6" s="139"/>
    </row>
    <row r="7" spans="1:13" ht="16.95" customHeight="1">
      <c r="A7" s="947"/>
      <c r="B7" s="261">
        <v>4</v>
      </c>
      <c r="C7" s="263"/>
      <c r="D7" s="263"/>
      <c r="E7" s="263"/>
      <c r="F7" s="263"/>
      <c r="G7" s="263"/>
      <c r="H7" s="64">
        <f t="shared" si="0"/>
        <v>0</v>
      </c>
    </row>
    <row r="8" spans="1:13" ht="16.95" customHeight="1">
      <c r="A8" s="947"/>
      <c r="B8" s="261">
        <v>5</v>
      </c>
      <c r="C8" s="263"/>
      <c r="D8" s="263"/>
      <c r="E8" s="263"/>
      <c r="F8" s="263"/>
      <c r="G8" s="263"/>
      <c r="H8" s="64">
        <f t="shared" si="0"/>
        <v>0</v>
      </c>
    </row>
    <row r="9" spans="1:13" ht="16.95" customHeight="1">
      <c r="A9" s="947"/>
      <c r="B9" s="261">
        <v>6</v>
      </c>
      <c r="C9" s="263"/>
      <c r="D9" s="263"/>
      <c r="E9" s="263"/>
      <c r="F9" s="263"/>
      <c r="G9" s="263"/>
      <c r="H9" s="64">
        <f t="shared" si="0"/>
        <v>0</v>
      </c>
    </row>
    <row r="10" spans="1:13" ht="16.95" customHeight="1">
      <c r="A10" s="947"/>
      <c r="B10" s="261">
        <v>7</v>
      </c>
      <c r="C10" s="263"/>
      <c r="D10" s="263"/>
      <c r="E10" s="263"/>
      <c r="F10" s="263"/>
      <c r="G10" s="263"/>
      <c r="H10" s="64">
        <f t="shared" si="0"/>
        <v>0</v>
      </c>
    </row>
    <row r="11" spans="1:13" ht="16.95" customHeight="1">
      <c r="A11" s="947"/>
      <c r="B11" s="261">
        <v>8</v>
      </c>
      <c r="C11" s="263"/>
      <c r="D11" s="263"/>
      <c r="E11" s="263"/>
      <c r="F11" s="263"/>
      <c r="G11" s="263"/>
      <c r="H11" s="64">
        <f t="shared" si="0"/>
        <v>0</v>
      </c>
    </row>
    <row r="12" spans="1:13" ht="16.95" customHeight="1">
      <c r="A12" s="947"/>
      <c r="B12" s="261">
        <v>9</v>
      </c>
      <c r="C12" s="263"/>
      <c r="D12" s="263"/>
      <c r="E12" s="263"/>
      <c r="F12" s="263"/>
      <c r="G12" s="263"/>
      <c r="H12" s="64">
        <f t="shared" si="0"/>
        <v>0</v>
      </c>
    </row>
    <row r="13" spans="1:13" ht="16.95" customHeight="1">
      <c r="A13" s="947"/>
      <c r="B13" s="261">
        <v>10</v>
      </c>
      <c r="C13" s="263"/>
      <c r="D13" s="263"/>
      <c r="E13" s="263"/>
      <c r="F13" s="263"/>
      <c r="G13" s="263"/>
      <c r="H13" s="64">
        <f t="shared" si="0"/>
        <v>0</v>
      </c>
    </row>
    <row r="14" spans="1:13" ht="16.95" customHeight="1">
      <c r="A14" s="947"/>
      <c r="B14" s="261">
        <v>11</v>
      </c>
      <c r="C14" s="263"/>
      <c r="D14" s="263"/>
      <c r="E14" s="263"/>
      <c r="F14" s="263"/>
      <c r="G14" s="263"/>
      <c r="H14" s="64">
        <f t="shared" si="0"/>
        <v>0</v>
      </c>
    </row>
    <row r="15" spans="1:13" ht="16.95" customHeight="1">
      <c r="A15" s="947"/>
      <c r="B15" s="261">
        <v>12</v>
      </c>
      <c r="C15" s="263"/>
      <c r="D15" s="263"/>
      <c r="E15" s="263"/>
      <c r="F15" s="263"/>
      <c r="G15" s="263"/>
      <c r="H15" s="64">
        <f t="shared" si="0"/>
        <v>0</v>
      </c>
    </row>
    <row r="16" spans="1:13" ht="16.95" customHeight="1">
      <c r="A16" s="947"/>
      <c r="B16" s="261">
        <v>13</v>
      </c>
      <c r="C16" s="263"/>
      <c r="D16" s="263"/>
      <c r="E16" s="263"/>
      <c r="F16" s="263"/>
      <c r="G16" s="263"/>
      <c r="H16" s="64">
        <f t="shared" si="0"/>
        <v>0</v>
      </c>
    </row>
    <row r="17" spans="1:8" ht="16.95" customHeight="1">
      <c r="A17" s="947"/>
      <c r="B17" s="261">
        <v>14</v>
      </c>
      <c r="C17" s="263"/>
      <c r="D17" s="263"/>
      <c r="E17" s="263"/>
      <c r="F17" s="263"/>
      <c r="G17" s="263"/>
      <c r="H17" s="64">
        <f t="shared" si="0"/>
        <v>0</v>
      </c>
    </row>
    <row r="18" spans="1:8" ht="16.95" customHeight="1">
      <c r="A18" s="947"/>
      <c r="B18" s="261">
        <v>15</v>
      </c>
      <c r="C18" s="263"/>
      <c r="D18" s="263"/>
      <c r="E18" s="263"/>
      <c r="F18" s="263"/>
      <c r="G18" s="263"/>
      <c r="H18" s="64">
        <f t="shared" si="0"/>
        <v>0</v>
      </c>
    </row>
    <row r="19" spans="1:8" ht="16.95" customHeight="1">
      <c r="A19" s="948"/>
      <c r="B19" s="262">
        <v>16</v>
      </c>
      <c r="C19" s="263"/>
      <c r="D19" s="263"/>
      <c r="E19" s="263"/>
      <c r="F19" s="263"/>
      <c r="G19" s="263"/>
      <c r="H19" s="64">
        <f>SUM(C19:F19)</f>
        <v>0</v>
      </c>
    </row>
    <row r="20" spans="1:8">
      <c r="B20" s="11" t="s">
        <v>769</v>
      </c>
      <c r="C20" s="264"/>
      <c r="D20" s="264"/>
      <c r="E20" s="264"/>
      <c r="F20" s="264"/>
      <c r="G20" s="264"/>
    </row>
    <row r="22" spans="1:8">
      <c r="A22" s="11" t="s">
        <v>866</v>
      </c>
    </row>
  </sheetData>
  <mergeCells count="5">
    <mergeCell ref="A4:A19"/>
    <mergeCell ref="A1:G1"/>
    <mergeCell ref="H1:M3"/>
    <mergeCell ref="J4:L4"/>
    <mergeCell ref="C2:F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960521-1E4F-4ECC-83B0-3A3026DBF3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50E500-BC42-4E3A-A847-DD7ABD1E93A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F2EB33A-C44F-48CA-AEAC-E6F758ED54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PV</vt:lpstr>
      <vt:lpstr>EV Charger</vt:lpstr>
      <vt:lpstr>Data</vt:lpstr>
      <vt:lpstr>Weights</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2026-10-09T08:18:00Z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xd_ProgID">
    <vt:lpwstr/>
  </property>
  <property fmtid="{D5CDD505-2E9C-101B-9397-08002B2CF9AE}" pid="18" name="ComplianceAssetId">
    <vt:lpwstr/>
  </property>
  <property fmtid="{D5CDD505-2E9C-101B-9397-08002B2CF9AE}" pid="19" name="TemplateUrl">
    <vt:lpwstr/>
  </property>
  <property fmtid="{D5CDD505-2E9C-101B-9397-08002B2CF9AE}" pid="20" name="_ExtendedDescription">
    <vt:lpwstr/>
  </property>
  <property fmtid="{D5CDD505-2E9C-101B-9397-08002B2CF9AE}" pid="21" name="TriggerFlowInfo">
    <vt:lpwstr/>
  </property>
  <property fmtid="{D5CDD505-2E9C-101B-9397-08002B2CF9AE}" pid="22" name="xd_Signature">
    <vt:bool>false</vt:bool>
  </property>
  <property fmtid="{D5CDD505-2E9C-101B-9397-08002B2CF9AE}" pid="23" name="MSIP_Label_aa7be39c-9e9f-446a-a199-286f73f56a3f_Tag">
    <vt:lpwstr>10, 3, 0, 2</vt:lpwstr>
  </property>
</Properties>
</file>