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src\NOR-Codes-Stds\CalBEM-Prototypes\Specifications\Nonresidential\v2.0\"/>
    </mc:Choice>
  </mc:AlternateContent>
  <xr:revisionPtr revIDLastSave="0" documentId="13_ncr:1_{2FC0A96D-6D65-4DA7-B6B6-642E1A1909B1}" xr6:coauthVersionLast="47" xr6:coauthVersionMax="47" xr10:uidLastSave="{00000000-0000-0000-0000-000000000000}"/>
  <bookViews>
    <workbookView xWindow="-108" yWindow="-108" windowWidth="23256" windowHeight="13896" tabRatio="704" activeTab="1" xr2:uid="{EAC23EE3-0CA0-4FF8-990D-9B21A59FA3E0}"/>
  </bookViews>
  <sheets>
    <sheet name="Notes" sheetId="23" r:id="rId1"/>
    <sheet name="Prototype" sheetId="2" r:id="rId2"/>
    <sheet name="Zones" sheetId="13" r:id="rId3"/>
    <sheet name="Envelope" sheetId="1" r:id="rId4"/>
    <sheet name="Thermostat" sheetId="31" r:id="rId5"/>
    <sheet name="HVAC System" sheetId="14"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2" state="hidden" r:id="rId17"/>
  </sheets>
  <definedNames>
    <definedName name="_xlnm._FilterDatabase" localSheetId="16" hidden="1">Data!$D$1:$G$1</definedName>
    <definedName name="_xlnm._FilterDatabase" localSheetId="6" hidden="1">Ventilation!$A$2:$N$122</definedName>
    <definedName name="_xlnm._FilterDatabase" localSheetId="2" hidden="1">Zones!$A$2:$M$121</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36" i="28" l="1"/>
  <c r="AB136" i="28"/>
  <c r="AA136" i="28"/>
  <c r="Z136" i="28"/>
  <c r="Y136" i="28"/>
  <c r="X136" i="28"/>
  <c r="W136" i="28"/>
  <c r="V136" i="28"/>
  <c r="U136" i="28"/>
  <c r="T136" i="28"/>
  <c r="S136" i="28"/>
  <c r="R136" i="28"/>
  <c r="Q136" i="28"/>
  <c r="P136" i="28"/>
  <c r="O136" i="28"/>
  <c r="N136" i="28"/>
  <c r="M136" i="28"/>
  <c r="L136" i="28"/>
  <c r="K136" i="28"/>
  <c r="J136" i="28"/>
  <c r="I136" i="28"/>
  <c r="H136" i="28"/>
  <c r="G136" i="28"/>
  <c r="F136" i="28"/>
  <c r="AC135" i="28"/>
  <c r="AB135" i="28"/>
  <c r="AA135" i="28"/>
  <c r="Z135" i="28"/>
  <c r="Y135" i="28"/>
  <c r="X135" i="28"/>
  <c r="W135" i="28"/>
  <c r="V135" i="28"/>
  <c r="U135" i="28"/>
  <c r="T135" i="28"/>
  <c r="S135" i="28"/>
  <c r="R135" i="28"/>
  <c r="Q135" i="28"/>
  <c r="P135" i="28"/>
  <c r="O135" i="28"/>
  <c r="N135" i="28"/>
  <c r="M135" i="28"/>
  <c r="L135" i="28"/>
  <c r="K135" i="28"/>
  <c r="J135" i="28"/>
  <c r="I135" i="28"/>
  <c r="H135" i="28"/>
  <c r="G135" i="28"/>
  <c r="F135" i="28"/>
  <c r="AC134" i="28"/>
  <c r="AB134" i="28"/>
  <c r="AA134" i="28"/>
  <c r="Z134" i="28"/>
  <c r="Y134" i="28"/>
  <c r="X134" i="28"/>
  <c r="W134" i="28"/>
  <c r="V134" i="28"/>
  <c r="U134" i="28"/>
  <c r="T134" i="28"/>
  <c r="S134" i="28"/>
  <c r="R134" i="28"/>
  <c r="Q134" i="28"/>
  <c r="P134" i="28"/>
  <c r="O134" i="28"/>
  <c r="N134" i="28"/>
  <c r="M134" i="28"/>
  <c r="L134" i="28"/>
  <c r="K134" i="28"/>
  <c r="J134" i="28"/>
  <c r="I134" i="28"/>
  <c r="H134" i="28"/>
  <c r="G134" i="28"/>
  <c r="F134" i="28"/>
  <c r="A176" i="18"/>
  <c r="B176" i="18"/>
  <c r="D176" i="18" s="1"/>
  <c r="H176" i="18"/>
  <c r="A177" i="18"/>
  <c r="B177" i="18"/>
  <c r="D177" i="18" s="1"/>
  <c r="H177" i="18"/>
  <c r="A178" i="18"/>
  <c r="B178" i="18"/>
  <c r="H178" i="18"/>
  <c r="A179" i="18"/>
  <c r="B179" i="18"/>
  <c r="D179" i="18" s="1"/>
  <c r="H179" i="18"/>
  <c r="A180" i="18"/>
  <c r="B180" i="18"/>
  <c r="D180" i="18" s="1"/>
  <c r="H180" i="18"/>
  <c r="A181" i="18"/>
  <c r="B181" i="18"/>
  <c r="D181" i="18" s="1"/>
  <c r="H181" i="18"/>
  <c r="A182" i="18"/>
  <c r="B182" i="18"/>
  <c r="D182" i="18" s="1"/>
  <c r="H182" i="18"/>
  <c r="A183" i="18"/>
  <c r="B183" i="18"/>
  <c r="D183" i="18" s="1"/>
  <c r="H183" i="18"/>
  <c r="A184" i="18"/>
  <c r="B184" i="18"/>
  <c r="C184" i="18"/>
  <c r="A185" i="18"/>
  <c r="B185" i="18"/>
  <c r="C185" i="18"/>
  <c r="A186" i="18"/>
  <c r="B186" i="18"/>
  <c r="D186" i="18" s="1"/>
  <c r="I186" i="18" s="1"/>
  <c r="A187" i="18"/>
  <c r="B187" i="18"/>
  <c r="C187" i="18"/>
  <c r="A188" i="18"/>
  <c r="B188" i="18"/>
  <c r="D188" i="18" s="1"/>
  <c r="I188" i="18" s="1"/>
  <c r="C188" i="18"/>
  <c r="A189" i="18"/>
  <c r="B189" i="18"/>
  <c r="D189" i="18" s="1"/>
  <c r="I189" i="18" s="1"/>
  <c r="C189" i="18"/>
  <c r="A190" i="18"/>
  <c r="B190" i="18"/>
  <c r="C190" i="18"/>
  <c r="A191" i="18"/>
  <c r="B191" i="18"/>
  <c r="C191" i="18"/>
  <c r="A192" i="18"/>
  <c r="B192" i="18"/>
  <c r="C192" i="18"/>
  <c r="A193" i="18"/>
  <c r="B193" i="18"/>
  <c r="D193" i="18" s="1"/>
  <c r="I193" i="18" s="1"/>
  <c r="C193" i="18"/>
  <c r="A194" i="18"/>
  <c r="B194" i="18"/>
  <c r="C194" i="18"/>
  <c r="A195" i="18"/>
  <c r="B195" i="18"/>
  <c r="C195" i="18"/>
  <c r="A196" i="18"/>
  <c r="B196" i="18"/>
  <c r="D196" i="18" s="1"/>
  <c r="I196" i="18" s="1"/>
  <c r="C196" i="18"/>
  <c r="A197" i="18"/>
  <c r="B197" i="18"/>
  <c r="C197" i="18"/>
  <c r="C14" i="25"/>
  <c r="C13" i="25"/>
  <c r="AD60" i="28"/>
  <c r="G4" i="33"/>
  <c r="F4" i="33"/>
  <c r="E4" i="33"/>
  <c r="F126" i="33"/>
  <c r="C126" i="33"/>
  <c r="A126" i="33"/>
  <c r="F125" i="33"/>
  <c r="C125" i="33"/>
  <c r="A125" i="33"/>
  <c r="C124" i="33"/>
  <c r="A124" i="33"/>
  <c r="F123" i="33"/>
  <c r="C123" i="33"/>
  <c r="A123" i="33"/>
  <c r="F122" i="33"/>
  <c r="C122" i="33"/>
  <c r="A122" i="33"/>
  <c r="F121" i="33"/>
  <c r="C121" i="33"/>
  <c r="A121" i="33"/>
  <c r="F120" i="33"/>
  <c r="C120" i="33"/>
  <c r="A120" i="33"/>
  <c r="F119" i="33"/>
  <c r="C119" i="33"/>
  <c r="A119" i="33"/>
  <c r="F118" i="33"/>
  <c r="C118" i="33"/>
  <c r="A118" i="33"/>
  <c r="F117" i="33"/>
  <c r="C117" i="33"/>
  <c r="A117" i="33"/>
  <c r="F116" i="33"/>
  <c r="C116" i="33"/>
  <c r="A116" i="33"/>
  <c r="F115" i="33"/>
  <c r="C115" i="33"/>
  <c r="A115" i="33"/>
  <c r="F114" i="33"/>
  <c r="C114" i="33"/>
  <c r="A114" i="33"/>
  <c r="F113" i="33"/>
  <c r="C113" i="33"/>
  <c r="A113" i="33"/>
  <c r="F112" i="33"/>
  <c r="C112" i="33"/>
  <c r="A112" i="33"/>
  <c r="F111" i="33"/>
  <c r="C111" i="33"/>
  <c r="A111" i="33"/>
  <c r="F110" i="33"/>
  <c r="C110" i="33"/>
  <c r="A110" i="33"/>
  <c r="F109" i="33"/>
  <c r="C109" i="33"/>
  <c r="A109" i="33"/>
  <c r="F108" i="33"/>
  <c r="C108" i="33"/>
  <c r="A108" i="33"/>
  <c r="F107" i="33"/>
  <c r="C107" i="33"/>
  <c r="A107" i="33"/>
  <c r="F106" i="33"/>
  <c r="C106" i="33"/>
  <c r="A106" i="33"/>
  <c r="F105" i="33"/>
  <c r="C105" i="33"/>
  <c r="A105" i="33"/>
  <c r="F104" i="33"/>
  <c r="C104" i="33"/>
  <c r="A104" i="33"/>
  <c r="F103" i="33"/>
  <c r="C103" i="33"/>
  <c r="A103" i="33"/>
  <c r="F102" i="33"/>
  <c r="C102" i="33"/>
  <c r="A102" i="33"/>
  <c r="F101" i="33"/>
  <c r="C101" i="33"/>
  <c r="A101" i="33"/>
  <c r="F100" i="33"/>
  <c r="C100" i="33"/>
  <c r="A100" i="33"/>
  <c r="F99" i="33"/>
  <c r="C99" i="33"/>
  <c r="A99" i="33"/>
  <c r="F98" i="33"/>
  <c r="C98" i="33"/>
  <c r="A98" i="33"/>
  <c r="F97" i="33"/>
  <c r="C97" i="33"/>
  <c r="A97" i="33"/>
  <c r="F96" i="33"/>
  <c r="C96" i="33"/>
  <c r="A96" i="33"/>
  <c r="F95" i="33"/>
  <c r="C95" i="33"/>
  <c r="A95" i="33"/>
  <c r="F94" i="33"/>
  <c r="C94" i="33"/>
  <c r="A94" i="33"/>
  <c r="F93" i="33"/>
  <c r="C93" i="33"/>
  <c r="A93" i="33"/>
  <c r="F92" i="33"/>
  <c r="C92" i="33"/>
  <c r="A92" i="33"/>
  <c r="F91" i="33"/>
  <c r="C91" i="33"/>
  <c r="A91" i="33"/>
  <c r="F90" i="33"/>
  <c r="C90" i="33"/>
  <c r="A90" i="33"/>
  <c r="F89" i="33"/>
  <c r="C89" i="33"/>
  <c r="A89" i="33"/>
  <c r="F88" i="33"/>
  <c r="C88" i="33"/>
  <c r="A88" i="33"/>
  <c r="F87" i="33"/>
  <c r="C87" i="33"/>
  <c r="A87" i="33"/>
  <c r="F86" i="33"/>
  <c r="C86" i="33"/>
  <c r="A86" i="33"/>
  <c r="F85" i="33"/>
  <c r="C85" i="33"/>
  <c r="A85" i="33"/>
  <c r="F84" i="33"/>
  <c r="C84" i="33"/>
  <c r="A84" i="33"/>
  <c r="F83" i="33"/>
  <c r="C83" i="33"/>
  <c r="A83" i="33"/>
  <c r="F82" i="33"/>
  <c r="C82" i="33"/>
  <c r="A82" i="33"/>
  <c r="F81" i="33"/>
  <c r="C81" i="33"/>
  <c r="A81" i="33"/>
  <c r="F80" i="33"/>
  <c r="C80" i="33"/>
  <c r="A80" i="33"/>
  <c r="F79" i="33"/>
  <c r="C79" i="33"/>
  <c r="A79" i="33"/>
  <c r="F78" i="33"/>
  <c r="C78" i="33"/>
  <c r="A78" i="33"/>
  <c r="F77" i="33"/>
  <c r="C77" i="33"/>
  <c r="A77" i="33"/>
  <c r="F76" i="33"/>
  <c r="C76" i="33"/>
  <c r="A76" i="33"/>
  <c r="F75" i="33"/>
  <c r="C75" i="33"/>
  <c r="A75" i="33"/>
  <c r="F74" i="33"/>
  <c r="C74" i="33"/>
  <c r="A74" i="33"/>
  <c r="F73" i="33"/>
  <c r="C73" i="33"/>
  <c r="A73" i="33"/>
  <c r="F72" i="33"/>
  <c r="C72" i="33"/>
  <c r="A72" i="33"/>
  <c r="F71" i="33"/>
  <c r="C71" i="33"/>
  <c r="A71" i="33"/>
  <c r="F70" i="33"/>
  <c r="C70" i="33"/>
  <c r="A70" i="33"/>
  <c r="F69" i="33"/>
  <c r="C69" i="33"/>
  <c r="A69" i="33"/>
  <c r="F68" i="33"/>
  <c r="C68" i="33"/>
  <c r="A68" i="33"/>
  <c r="F67" i="33"/>
  <c r="C67" i="33"/>
  <c r="A67" i="33"/>
  <c r="F66" i="33"/>
  <c r="C66" i="33"/>
  <c r="A66" i="33"/>
  <c r="F65" i="33"/>
  <c r="C65" i="33"/>
  <c r="A65" i="33"/>
  <c r="F64" i="33"/>
  <c r="C64" i="33"/>
  <c r="A64" i="33"/>
  <c r="F63" i="33"/>
  <c r="C63" i="33"/>
  <c r="A63" i="33"/>
  <c r="F62" i="33"/>
  <c r="C62" i="33"/>
  <c r="A62" i="33"/>
  <c r="F61" i="33"/>
  <c r="C61" i="33"/>
  <c r="A61" i="33"/>
  <c r="F60" i="33"/>
  <c r="C60" i="33"/>
  <c r="A60" i="33"/>
  <c r="F59" i="33"/>
  <c r="C59" i="33"/>
  <c r="A59" i="33"/>
  <c r="F58" i="33"/>
  <c r="C58" i="33"/>
  <c r="A58" i="33"/>
  <c r="F57" i="33"/>
  <c r="C57" i="33"/>
  <c r="A57" i="33"/>
  <c r="F56" i="33"/>
  <c r="C56" i="33"/>
  <c r="A56" i="33"/>
  <c r="F55" i="33"/>
  <c r="C55" i="33"/>
  <c r="A55" i="33"/>
  <c r="F54" i="33"/>
  <c r="C54" i="33"/>
  <c r="A54" i="33"/>
  <c r="F53" i="33"/>
  <c r="C53" i="33"/>
  <c r="A53" i="33"/>
  <c r="F52" i="33"/>
  <c r="C52" i="33"/>
  <c r="A52" i="33"/>
  <c r="F51" i="33"/>
  <c r="C51" i="33"/>
  <c r="A51" i="33"/>
  <c r="F50" i="33"/>
  <c r="C50" i="33"/>
  <c r="A50" i="33"/>
  <c r="F49" i="33"/>
  <c r="C49" i="33"/>
  <c r="A49" i="33"/>
  <c r="F48" i="33"/>
  <c r="C48" i="33"/>
  <c r="A48" i="33"/>
  <c r="F47" i="33"/>
  <c r="C47" i="33"/>
  <c r="A47" i="33"/>
  <c r="F46" i="33"/>
  <c r="C46" i="33"/>
  <c r="A46" i="33"/>
  <c r="F45" i="33"/>
  <c r="C45" i="33"/>
  <c r="A45" i="33"/>
  <c r="F44" i="33"/>
  <c r="C44" i="33"/>
  <c r="A44" i="33"/>
  <c r="F43" i="33"/>
  <c r="C43" i="33"/>
  <c r="A43" i="33"/>
  <c r="F42" i="33"/>
  <c r="C42" i="33"/>
  <c r="A42" i="33"/>
  <c r="F41" i="33"/>
  <c r="C41" i="33"/>
  <c r="A41" i="33"/>
  <c r="F40" i="33"/>
  <c r="C40" i="33"/>
  <c r="A40" i="33"/>
  <c r="F39" i="33"/>
  <c r="C39" i="33"/>
  <c r="A39" i="33"/>
  <c r="F38" i="33"/>
  <c r="C38" i="33"/>
  <c r="A38" i="33"/>
  <c r="F37" i="33"/>
  <c r="C37" i="33"/>
  <c r="A37" i="33"/>
  <c r="F36" i="33"/>
  <c r="C36" i="33"/>
  <c r="A36" i="33"/>
  <c r="F35" i="33"/>
  <c r="C35" i="33"/>
  <c r="A35" i="33"/>
  <c r="F34" i="33"/>
  <c r="C34" i="33"/>
  <c r="A34" i="33"/>
  <c r="F33" i="33"/>
  <c r="C33" i="33"/>
  <c r="A33" i="33"/>
  <c r="F32" i="33"/>
  <c r="C32" i="33"/>
  <c r="A32" i="33"/>
  <c r="F31" i="33"/>
  <c r="C31" i="33"/>
  <c r="A31" i="33"/>
  <c r="F30" i="33"/>
  <c r="C30" i="33"/>
  <c r="A30" i="33"/>
  <c r="F29" i="33"/>
  <c r="C29" i="33"/>
  <c r="A29" i="33"/>
  <c r="F28" i="33"/>
  <c r="C28" i="33"/>
  <c r="A28" i="33"/>
  <c r="F27" i="33"/>
  <c r="C27" i="33"/>
  <c r="A27" i="33"/>
  <c r="F26" i="33"/>
  <c r="C26" i="33"/>
  <c r="A26" i="33"/>
  <c r="F25" i="33"/>
  <c r="C25" i="33"/>
  <c r="A25" i="33"/>
  <c r="F24" i="33"/>
  <c r="C24" i="33"/>
  <c r="A24" i="33"/>
  <c r="F23" i="33"/>
  <c r="C23" i="33"/>
  <c r="A23" i="33"/>
  <c r="F22" i="33"/>
  <c r="C22" i="33"/>
  <c r="A22" i="33"/>
  <c r="F21" i="33"/>
  <c r="C21" i="33"/>
  <c r="A21" i="33"/>
  <c r="F20" i="33"/>
  <c r="C20" i="33"/>
  <c r="A20" i="33"/>
  <c r="F19" i="33"/>
  <c r="C19" i="33"/>
  <c r="A19" i="33"/>
  <c r="F18" i="33"/>
  <c r="C18" i="33"/>
  <c r="A18" i="33"/>
  <c r="F17" i="33"/>
  <c r="C17" i="33"/>
  <c r="A17" i="33"/>
  <c r="F16" i="33"/>
  <c r="C16" i="33"/>
  <c r="A16" i="33"/>
  <c r="F15" i="33"/>
  <c r="C15" i="33"/>
  <c r="A15" i="33"/>
  <c r="F14" i="33"/>
  <c r="C14" i="33"/>
  <c r="A14" i="33"/>
  <c r="F13" i="33"/>
  <c r="C13" i="33"/>
  <c r="A13" i="33"/>
  <c r="F12" i="33"/>
  <c r="C12" i="33"/>
  <c r="A12" i="33"/>
  <c r="F11" i="33"/>
  <c r="C11" i="33"/>
  <c r="A11" i="33"/>
  <c r="F10" i="33"/>
  <c r="C10" i="33"/>
  <c r="A10" i="33"/>
  <c r="F9" i="33"/>
  <c r="C9" i="33"/>
  <c r="A9" i="33"/>
  <c r="A1" i="33"/>
  <c r="J158" i="33"/>
  <c r="I31" i="29"/>
  <c r="H31" i="29"/>
  <c r="I30" i="29"/>
  <c r="H30" i="29"/>
  <c r="C12" i="9"/>
  <c r="G12" i="9" s="1"/>
  <c r="D184" i="18" l="1"/>
  <c r="I184" i="18" s="1"/>
  <c r="D197" i="18"/>
  <c r="I197" i="18" s="1"/>
  <c r="D187" i="18"/>
  <c r="I187" i="18" s="1"/>
  <c r="D192" i="18"/>
  <c r="I192" i="18" s="1"/>
  <c r="D191" i="18"/>
  <c r="I191" i="18" s="1"/>
  <c r="D194" i="18"/>
  <c r="I194" i="18" s="1"/>
  <c r="D185" i="18"/>
  <c r="I185" i="18" s="1"/>
  <c r="B198" i="18"/>
  <c r="D190" i="18"/>
  <c r="I183" i="18"/>
  <c r="D195" i="18"/>
  <c r="I195" i="18" s="1"/>
  <c r="I182" i="18"/>
  <c r="I180" i="18"/>
  <c r="I179" i="18"/>
  <c r="D178" i="18"/>
  <c r="D198" i="18" s="1"/>
  <c r="I181" i="18"/>
  <c r="G9" i="9"/>
  <c r="AC105" i="28"/>
  <c r="AB105" i="28"/>
  <c r="AA105" i="28"/>
  <c r="Z105" i="28"/>
  <c r="Y105" i="28"/>
  <c r="X105" i="28"/>
  <c r="W105" i="28"/>
  <c r="V105" i="28"/>
  <c r="U105" i="28"/>
  <c r="T105" i="28"/>
  <c r="S105" i="28"/>
  <c r="R105" i="28"/>
  <c r="Q105" i="28"/>
  <c r="P105" i="28"/>
  <c r="O105" i="28"/>
  <c r="N105" i="28"/>
  <c r="M105" i="28"/>
  <c r="L105" i="28"/>
  <c r="K105" i="28"/>
  <c r="J105" i="28"/>
  <c r="I105" i="28"/>
  <c r="H105" i="28"/>
  <c r="G105" i="28"/>
  <c r="F105" i="28"/>
  <c r="AC104" i="28"/>
  <c r="AB104" i="28"/>
  <c r="AA104" i="28"/>
  <c r="Z104" i="28"/>
  <c r="Y104" i="28"/>
  <c r="X104" i="28"/>
  <c r="W104" i="28"/>
  <c r="V104" i="28"/>
  <c r="U104" i="28"/>
  <c r="T104" i="28"/>
  <c r="S104" i="28"/>
  <c r="R104" i="28"/>
  <c r="Q104" i="28"/>
  <c r="P104" i="28"/>
  <c r="O104" i="28"/>
  <c r="N104" i="28"/>
  <c r="M104" i="28"/>
  <c r="L104" i="28"/>
  <c r="K104" i="28"/>
  <c r="J104" i="28"/>
  <c r="I104" i="28"/>
  <c r="H104" i="28"/>
  <c r="G104" i="28"/>
  <c r="F104" i="28"/>
  <c r="AC103" i="28"/>
  <c r="AB103" i="28"/>
  <c r="AA103" i="28"/>
  <c r="Z103" i="28"/>
  <c r="Y103" i="28"/>
  <c r="X103" i="28"/>
  <c r="W103" i="28"/>
  <c r="V103" i="28"/>
  <c r="U103" i="28"/>
  <c r="T103" i="28"/>
  <c r="S103" i="28"/>
  <c r="R103" i="28"/>
  <c r="Q103" i="28"/>
  <c r="P103" i="28"/>
  <c r="O103" i="28"/>
  <c r="N103" i="28"/>
  <c r="M103" i="28"/>
  <c r="L103" i="28"/>
  <c r="K103" i="28"/>
  <c r="J103" i="28"/>
  <c r="I103" i="28"/>
  <c r="H103" i="28"/>
  <c r="G103" i="28"/>
  <c r="F103" i="28"/>
  <c r="K102" i="13"/>
  <c r="E108" i="33" s="1"/>
  <c r="G108" i="33" s="1"/>
  <c r="H108" i="33" s="1"/>
  <c r="I198" i="18" l="1"/>
  <c r="K120" i="13"/>
  <c r="E126" i="33" s="1"/>
  <c r="G126" i="33" s="1"/>
  <c r="H126" i="33" s="1"/>
  <c r="K119" i="13"/>
  <c r="E125" i="33" s="1"/>
  <c r="G125" i="33" s="1"/>
  <c r="H125" i="33" s="1"/>
  <c r="K118" i="13"/>
  <c r="E124" i="33" s="1"/>
  <c r="G124" i="33" s="1"/>
  <c r="H124" i="33" s="1"/>
  <c r="K117" i="13"/>
  <c r="E123" i="33" s="1"/>
  <c r="G123" i="33" s="1"/>
  <c r="H123" i="33" s="1"/>
  <c r="K115" i="13"/>
  <c r="E121" i="33" s="1"/>
  <c r="G121" i="33" s="1"/>
  <c r="H121" i="33" s="1"/>
  <c r="K114" i="13"/>
  <c r="E120" i="33" s="1"/>
  <c r="G120" i="33" s="1"/>
  <c r="H120" i="33" s="1"/>
  <c r="K113" i="13"/>
  <c r="E119" i="33" s="1"/>
  <c r="G119" i="33" s="1"/>
  <c r="H119" i="33" s="1"/>
  <c r="K112" i="13"/>
  <c r="E118" i="33" s="1"/>
  <c r="G118" i="33" s="1"/>
  <c r="H118" i="33" s="1"/>
  <c r="K111" i="13"/>
  <c r="E117" i="33" s="1"/>
  <c r="G117" i="33" s="1"/>
  <c r="H117" i="33" s="1"/>
  <c r="K110" i="13"/>
  <c r="E116" i="33" s="1"/>
  <c r="G116" i="33" s="1"/>
  <c r="H116" i="33" s="1"/>
  <c r="K109" i="13"/>
  <c r="E115" i="33" s="1"/>
  <c r="G115" i="33" s="1"/>
  <c r="H115" i="33" s="1"/>
  <c r="K108" i="13"/>
  <c r="E114" i="33" s="1"/>
  <c r="G114" i="33" s="1"/>
  <c r="H114" i="33" s="1"/>
  <c r="K107" i="13"/>
  <c r="E113" i="33" s="1"/>
  <c r="G113" i="33" s="1"/>
  <c r="H113" i="33" s="1"/>
  <c r="K106" i="13"/>
  <c r="E112" i="33" s="1"/>
  <c r="G112" i="33" s="1"/>
  <c r="H112" i="33" s="1"/>
  <c r="K105" i="13"/>
  <c r="E111" i="33" s="1"/>
  <c r="G111" i="33" s="1"/>
  <c r="H111" i="33" s="1"/>
  <c r="K103" i="13"/>
  <c r="E109" i="33" s="1"/>
  <c r="G109" i="33" s="1"/>
  <c r="H109" i="33" s="1"/>
  <c r="K101" i="13"/>
  <c r="E107" i="33" s="1"/>
  <c r="G107" i="33" s="1"/>
  <c r="H107" i="33" s="1"/>
  <c r="K100" i="13"/>
  <c r="E106" i="33" s="1"/>
  <c r="G106" i="33" s="1"/>
  <c r="H106" i="33" s="1"/>
  <c r="K99" i="13"/>
  <c r="E105" i="33" s="1"/>
  <c r="G105" i="33" s="1"/>
  <c r="H105" i="33" s="1"/>
  <c r="K98" i="13"/>
  <c r="E104" i="33" s="1"/>
  <c r="G104" i="33" s="1"/>
  <c r="H104" i="33" s="1"/>
  <c r="K96" i="13"/>
  <c r="E102" i="33" s="1"/>
  <c r="G102" i="33" s="1"/>
  <c r="H102" i="33" s="1"/>
  <c r="K94" i="13"/>
  <c r="E100" i="33" s="1"/>
  <c r="G100" i="33" s="1"/>
  <c r="H100" i="33" s="1"/>
  <c r="K93" i="13"/>
  <c r="E99" i="33" s="1"/>
  <c r="G99" i="33" s="1"/>
  <c r="H99" i="33" s="1"/>
  <c r="K92" i="13"/>
  <c r="E98" i="33" s="1"/>
  <c r="G98" i="33" s="1"/>
  <c r="H98" i="33" s="1"/>
  <c r="K90" i="13"/>
  <c r="E96" i="33" s="1"/>
  <c r="G96" i="33" s="1"/>
  <c r="H96" i="33" s="1"/>
  <c r="K89" i="13"/>
  <c r="E95" i="33" s="1"/>
  <c r="G95" i="33" s="1"/>
  <c r="H95" i="33" s="1"/>
  <c r="K88" i="13"/>
  <c r="E94" i="33" s="1"/>
  <c r="G94" i="33" s="1"/>
  <c r="H94" i="33" s="1"/>
  <c r="K87" i="13"/>
  <c r="E93" i="33" s="1"/>
  <c r="G93" i="33" s="1"/>
  <c r="H93" i="33" s="1"/>
  <c r="K84" i="13"/>
  <c r="E90" i="33" s="1"/>
  <c r="G90" i="33" s="1"/>
  <c r="H90" i="33" s="1"/>
  <c r="K83" i="13"/>
  <c r="E89" i="33" s="1"/>
  <c r="G89" i="33" s="1"/>
  <c r="H89" i="33" s="1"/>
  <c r="K81" i="13"/>
  <c r="E87" i="33" s="1"/>
  <c r="G87" i="33" s="1"/>
  <c r="H87" i="33" s="1"/>
  <c r="K79" i="13"/>
  <c r="E85" i="33" s="1"/>
  <c r="G85" i="33" s="1"/>
  <c r="H85" i="33" s="1"/>
  <c r="K78" i="13"/>
  <c r="E84" i="33" s="1"/>
  <c r="G84" i="33" s="1"/>
  <c r="H84" i="33" s="1"/>
  <c r="K77" i="13"/>
  <c r="E83" i="33" s="1"/>
  <c r="G83" i="33" s="1"/>
  <c r="H83" i="33" s="1"/>
  <c r="K76" i="13"/>
  <c r="E82" i="33" s="1"/>
  <c r="G82" i="33" s="1"/>
  <c r="H82" i="33" s="1"/>
  <c r="K75" i="13"/>
  <c r="E81" i="33" s="1"/>
  <c r="G81" i="33" s="1"/>
  <c r="H81" i="33" s="1"/>
  <c r="K74" i="13"/>
  <c r="E80" i="33" s="1"/>
  <c r="G80" i="33" s="1"/>
  <c r="H80" i="33" s="1"/>
  <c r="K73" i="13"/>
  <c r="E79" i="33" s="1"/>
  <c r="G79" i="33" s="1"/>
  <c r="H79" i="33" s="1"/>
  <c r="K72" i="13"/>
  <c r="E78" i="33" s="1"/>
  <c r="G78" i="33" s="1"/>
  <c r="H78" i="33" s="1"/>
  <c r="K71" i="13"/>
  <c r="E77" i="33" s="1"/>
  <c r="G77" i="33" s="1"/>
  <c r="H77" i="33" s="1"/>
  <c r="K70" i="13"/>
  <c r="E76" i="33" s="1"/>
  <c r="G76" i="33" s="1"/>
  <c r="H76" i="33" s="1"/>
  <c r="K69" i="13"/>
  <c r="E75" i="33" s="1"/>
  <c r="G75" i="33" s="1"/>
  <c r="H75" i="33" s="1"/>
  <c r="K68" i="13"/>
  <c r="E74" i="33" s="1"/>
  <c r="G74" i="33" s="1"/>
  <c r="H74" i="33" s="1"/>
  <c r="K67" i="13"/>
  <c r="E73" i="33" s="1"/>
  <c r="G73" i="33" s="1"/>
  <c r="H73" i="33" s="1"/>
  <c r="K66" i="13"/>
  <c r="E72" i="33" s="1"/>
  <c r="G72" i="33" s="1"/>
  <c r="H72" i="33" s="1"/>
  <c r="K65" i="13"/>
  <c r="E71" i="33" s="1"/>
  <c r="G71" i="33" s="1"/>
  <c r="H71" i="33" s="1"/>
  <c r="K64" i="13"/>
  <c r="E70" i="33" s="1"/>
  <c r="G70" i="33" s="1"/>
  <c r="H70" i="33" s="1"/>
  <c r="K63" i="13"/>
  <c r="E69" i="33" s="1"/>
  <c r="G69" i="33" s="1"/>
  <c r="H69" i="33" s="1"/>
  <c r="K62" i="13"/>
  <c r="E68" i="33" s="1"/>
  <c r="G68" i="33" s="1"/>
  <c r="H68" i="33" s="1"/>
  <c r="K61" i="13"/>
  <c r="E67" i="33" s="1"/>
  <c r="G67" i="33" s="1"/>
  <c r="H67" i="33" s="1"/>
  <c r="K59" i="13"/>
  <c r="E65" i="33" s="1"/>
  <c r="G65" i="33" s="1"/>
  <c r="H65" i="33" s="1"/>
  <c r="K57" i="13"/>
  <c r="E63" i="33" s="1"/>
  <c r="G63" i="33" s="1"/>
  <c r="H63" i="33" s="1"/>
  <c r="K56" i="13"/>
  <c r="E62" i="33" s="1"/>
  <c r="G62" i="33" s="1"/>
  <c r="H62" i="33" s="1"/>
  <c r="K55" i="13"/>
  <c r="E61" i="33" s="1"/>
  <c r="G61" i="33" s="1"/>
  <c r="H61" i="33" s="1"/>
  <c r="K54" i="13"/>
  <c r="E60" i="33" s="1"/>
  <c r="G60" i="33" s="1"/>
  <c r="H60" i="33" s="1"/>
  <c r="K53" i="13"/>
  <c r="E59" i="33" s="1"/>
  <c r="G59" i="33" s="1"/>
  <c r="H59" i="33" s="1"/>
  <c r="K52" i="13"/>
  <c r="E58" i="33" s="1"/>
  <c r="G58" i="33" s="1"/>
  <c r="H58" i="33" s="1"/>
  <c r="K51" i="13"/>
  <c r="E57" i="33" s="1"/>
  <c r="G57" i="33" s="1"/>
  <c r="H57" i="33" s="1"/>
  <c r="K50" i="13"/>
  <c r="E56" i="33" s="1"/>
  <c r="G56" i="33" s="1"/>
  <c r="H56" i="33" s="1"/>
  <c r="K49" i="13"/>
  <c r="E55" i="33" s="1"/>
  <c r="G55" i="33" s="1"/>
  <c r="H55" i="33" s="1"/>
  <c r="K48" i="13"/>
  <c r="E54" i="33" s="1"/>
  <c r="G54" i="33" s="1"/>
  <c r="H54" i="33" s="1"/>
  <c r="K47" i="13"/>
  <c r="E53" i="33" s="1"/>
  <c r="G53" i="33" s="1"/>
  <c r="H53" i="33" s="1"/>
  <c r="K46" i="13"/>
  <c r="E52" i="33" s="1"/>
  <c r="G52" i="33" s="1"/>
  <c r="H52" i="33" s="1"/>
  <c r="K45" i="13"/>
  <c r="E51" i="33" s="1"/>
  <c r="G51" i="33" s="1"/>
  <c r="H51" i="33" s="1"/>
  <c r="K43" i="13"/>
  <c r="E49" i="33" s="1"/>
  <c r="G49" i="33" s="1"/>
  <c r="H49" i="33" s="1"/>
  <c r="K42" i="13"/>
  <c r="E48" i="33" s="1"/>
  <c r="G48" i="33" s="1"/>
  <c r="H48" i="33" s="1"/>
  <c r="K40" i="13"/>
  <c r="E46" i="33" s="1"/>
  <c r="G46" i="33" s="1"/>
  <c r="H46" i="33" s="1"/>
  <c r="K39" i="13"/>
  <c r="E45" i="33" s="1"/>
  <c r="G45" i="33" s="1"/>
  <c r="H45" i="33" s="1"/>
  <c r="K38" i="13"/>
  <c r="E44" i="33" s="1"/>
  <c r="G44" i="33" s="1"/>
  <c r="H44" i="33" s="1"/>
  <c r="K37" i="13"/>
  <c r="E43" i="33" s="1"/>
  <c r="G43" i="33" s="1"/>
  <c r="H43" i="33" s="1"/>
  <c r="K36" i="13"/>
  <c r="E42" i="33" s="1"/>
  <c r="G42" i="33" s="1"/>
  <c r="H42" i="33" s="1"/>
  <c r="K35" i="13"/>
  <c r="E41" i="33" s="1"/>
  <c r="G41" i="33" s="1"/>
  <c r="H41" i="33" s="1"/>
  <c r="K34" i="13"/>
  <c r="E40" i="33" s="1"/>
  <c r="G40" i="33" s="1"/>
  <c r="H40" i="33" s="1"/>
  <c r="K33" i="13"/>
  <c r="E39" i="33" s="1"/>
  <c r="G39" i="33" s="1"/>
  <c r="H39" i="33" s="1"/>
  <c r="K32" i="13"/>
  <c r="E38" i="33" s="1"/>
  <c r="G38" i="33" s="1"/>
  <c r="H38" i="33" s="1"/>
  <c r="K30" i="13"/>
  <c r="E36" i="33" s="1"/>
  <c r="G36" i="33" s="1"/>
  <c r="H36" i="33" s="1"/>
  <c r="K29" i="13"/>
  <c r="E35" i="33" s="1"/>
  <c r="G35" i="33" s="1"/>
  <c r="H35" i="33" s="1"/>
  <c r="K28" i="13"/>
  <c r="E34" i="33" s="1"/>
  <c r="G34" i="33" s="1"/>
  <c r="H34" i="33" s="1"/>
  <c r="K27" i="13"/>
  <c r="E33" i="33" s="1"/>
  <c r="G33" i="33" s="1"/>
  <c r="H33" i="33" s="1"/>
  <c r="K26" i="13"/>
  <c r="E32" i="33" s="1"/>
  <c r="G32" i="33" s="1"/>
  <c r="H32" i="33" s="1"/>
  <c r="K25" i="13"/>
  <c r="E31" i="33" s="1"/>
  <c r="G31" i="33" s="1"/>
  <c r="H31" i="33" s="1"/>
  <c r="K24" i="13"/>
  <c r="E30" i="33" s="1"/>
  <c r="G30" i="33" s="1"/>
  <c r="H30" i="33" s="1"/>
  <c r="K23" i="13"/>
  <c r="E29" i="33" s="1"/>
  <c r="G29" i="33" s="1"/>
  <c r="H29" i="33" s="1"/>
  <c r="K22" i="13"/>
  <c r="E28" i="33" s="1"/>
  <c r="G28" i="33" s="1"/>
  <c r="H28" i="33" s="1"/>
  <c r="K21" i="13"/>
  <c r="E27" i="33" s="1"/>
  <c r="G27" i="33" s="1"/>
  <c r="H27" i="33" s="1"/>
  <c r="K20" i="13"/>
  <c r="E26" i="33" s="1"/>
  <c r="G26" i="33" s="1"/>
  <c r="H26" i="33" s="1"/>
  <c r="K19" i="13"/>
  <c r="E25" i="33" s="1"/>
  <c r="G25" i="33" s="1"/>
  <c r="H25" i="33" s="1"/>
  <c r="K18" i="13"/>
  <c r="E24" i="33" s="1"/>
  <c r="G24" i="33" s="1"/>
  <c r="H24" i="33" s="1"/>
  <c r="K17" i="13"/>
  <c r="E23" i="33" s="1"/>
  <c r="G23" i="33" s="1"/>
  <c r="H23" i="33" s="1"/>
  <c r="K16" i="13"/>
  <c r="E22" i="33" s="1"/>
  <c r="G22" i="33" s="1"/>
  <c r="H22" i="33" s="1"/>
  <c r="K15" i="13"/>
  <c r="E21" i="33" s="1"/>
  <c r="G21" i="33" s="1"/>
  <c r="H21" i="33" s="1"/>
  <c r="K13" i="13"/>
  <c r="E19" i="33" s="1"/>
  <c r="G19" i="33" s="1"/>
  <c r="H19" i="33" s="1"/>
  <c r="K11" i="13"/>
  <c r="E17" i="33" s="1"/>
  <c r="G17" i="33" s="1"/>
  <c r="H17" i="33" s="1"/>
  <c r="K10" i="13"/>
  <c r="E16" i="33" s="1"/>
  <c r="G16" i="33" s="1"/>
  <c r="H16" i="33" s="1"/>
  <c r="K5" i="13"/>
  <c r="E11" i="33" s="1"/>
  <c r="G11" i="33" s="1"/>
  <c r="H11" i="33" s="1"/>
  <c r="K6" i="13"/>
  <c r="E12" i="33" s="1"/>
  <c r="G12" i="33" s="1"/>
  <c r="H12" i="33" s="1"/>
  <c r="K7" i="13"/>
  <c r="E13" i="33" s="1"/>
  <c r="G13" i="33" s="1"/>
  <c r="H13" i="33" s="1"/>
  <c r="K4" i="13"/>
  <c r="E10" i="33" s="1"/>
  <c r="G10" i="33" s="1"/>
  <c r="H10" i="33" s="1"/>
  <c r="K3" i="13"/>
  <c r="E9" i="33" s="1"/>
  <c r="G9" i="33" s="1"/>
  <c r="H9" i="33" l="1"/>
  <c r="C58" i="29"/>
  <c r="J3" i="20"/>
  <c r="K3" i="20"/>
  <c r="L3" i="20"/>
  <c r="U4" i="20"/>
  <c r="V4" i="20"/>
  <c r="U5" i="20"/>
  <c r="V5" i="20"/>
  <c r="U6" i="20"/>
  <c r="V6" i="20"/>
  <c r="U7" i="20"/>
  <c r="V7" i="20"/>
  <c r="U8" i="20"/>
  <c r="V8" i="20"/>
  <c r="U9" i="20"/>
  <c r="V9" i="20"/>
  <c r="U10" i="20"/>
  <c r="V10" i="20"/>
  <c r="U11" i="20"/>
  <c r="V11" i="20"/>
  <c r="U12" i="20"/>
  <c r="V12" i="20"/>
  <c r="U13" i="20"/>
  <c r="V13" i="20"/>
  <c r="U14" i="20"/>
  <c r="V14" i="20"/>
  <c r="U15" i="20"/>
  <c r="V15" i="20"/>
  <c r="U16" i="20"/>
  <c r="V16" i="20"/>
  <c r="U17" i="20"/>
  <c r="V17" i="20"/>
  <c r="U18" i="20"/>
  <c r="V18" i="20"/>
  <c r="T3" i="20"/>
  <c r="V3" i="20" s="1"/>
  <c r="J4" i="20"/>
  <c r="K4" i="20"/>
  <c r="J5" i="20"/>
  <c r="K5" i="20"/>
  <c r="J6" i="20"/>
  <c r="K6" i="20"/>
  <c r="J7" i="20"/>
  <c r="K7" i="20"/>
  <c r="J8" i="20"/>
  <c r="K8" i="20"/>
  <c r="J9" i="20"/>
  <c r="K9" i="20"/>
  <c r="J10" i="20"/>
  <c r="K10" i="20"/>
  <c r="L10" i="20" s="1"/>
  <c r="J11" i="20"/>
  <c r="K11" i="20"/>
  <c r="J12" i="20"/>
  <c r="L12" i="20" s="1"/>
  <c r="K12" i="20"/>
  <c r="J13" i="20"/>
  <c r="L13" i="20" s="1"/>
  <c r="K13" i="20"/>
  <c r="J14" i="20"/>
  <c r="L14" i="20" s="1"/>
  <c r="K14" i="20"/>
  <c r="J15" i="20"/>
  <c r="K15" i="20"/>
  <c r="J16" i="20"/>
  <c r="K16" i="20"/>
  <c r="J17" i="20"/>
  <c r="K17" i="20"/>
  <c r="J18" i="20"/>
  <c r="K18" i="20"/>
  <c r="L4" i="20"/>
  <c r="L6" i="20"/>
  <c r="L7" i="20"/>
  <c r="L8" i="20"/>
  <c r="L9" i="20"/>
  <c r="L11" i="20"/>
  <c r="L15" i="20"/>
  <c r="O3" i="20"/>
  <c r="O1" i="20"/>
  <c r="T18" i="20"/>
  <c r="T17" i="20"/>
  <c r="T16" i="20"/>
  <c r="T15" i="20"/>
  <c r="T14" i="20"/>
  <c r="T13" i="20"/>
  <c r="T12" i="20"/>
  <c r="T11" i="20"/>
  <c r="T10" i="20"/>
  <c r="T9" i="20"/>
  <c r="T8" i="20"/>
  <c r="T7" i="20"/>
  <c r="T6" i="20"/>
  <c r="T5" i="20"/>
  <c r="T4" i="20"/>
  <c r="G30" i="29" l="1"/>
  <c r="J30" i="29" s="1"/>
  <c r="G31" i="29"/>
  <c r="J31" i="29" s="1"/>
  <c r="U3" i="20"/>
  <c r="L18" i="20"/>
  <c r="L5" i="20"/>
  <c r="L17" i="20"/>
  <c r="L16" i="20"/>
  <c r="W13" i="20"/>
  <c r="W15" i="20"/>
  <c r="W3" i="20"/>
  <c r="W14" i="20"/>
  <c r="W4" i="20"/>
  <c r="W10" i="20"/>
  <c r="W5" i="20"/>
  <c r="W6" i="20"/>
  <c r="W7" i="20"/>
  <c r="W18" i="20"/>
  <c r="W8" i="20"/>
  <c r="W16" i="20"/>
  <c r="W17" i="20"/>
  <c r="W9" i="20"/>
  <c r="W11" i="20"/>
  <c r="W12" i="20"/>
  <c r="G22" i="28" l="1"/>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G56" i="28" l="1"/>
  <c r="H56" i="28"/>
  <c r="I56" i="28"/>
  <c r="J56" i="28"/>
  <c r="K56" i="28"/>
  <c r="L56" i="28"/>
  <c r="M56" i="28"/>
  <c r="N56" i="28"/>
  <c r="O56" i="28"/>
  <c r="P56" i="28"/>
  <c r="Q56" i="28"/>
  <c r="R56" i="28"/>
  <c r="S56" i="28"/>
  <c r="T56" i="28"/>
  <c r="U56" i="28"/>
  <c r="V56" i="28"/>
  <c r="W56" i="28"/>
  <c r="X56" i="28"/>
  <c r="Y56" i="28"/>
  <c r="Z56" i="28"/>
  <c r="AA56" i="28"/>
  <c r="AB56" i="28"/>
  <c r="AC56" i="28"/>
  <c r="G57" i="28"/>
  <c r="H57" i="28"/>
  <c r="I57" i="28"/>
  <c r="J57" i="28"/>
  <c r="K57" i="28"/>
  <c r="L57" i="28"/>
  <c r="M57" i="28"/>
  <c r="N57" i="28"/>
  <c r="O57" i="28"/>
  <c r="P57" i="28"/>
  <c r="Q57" i="28"/>
  <c r="R57" i="28"/>
  <c r="S57" i="28"/>
  <c r="T57" i="28"/>
  <c r="U57" i="28"/>
  <c r="V57" i="28"/>
  <c r="W57" i="28"/>
  <c r="X57" i="28"/>
  <c r="Y57" i="28"/>
  <c r="Z57" i="28"/>
  <c r="AA57" i="28"/>
  <c r="AB57" i="28"/>
  <c r="AC57" i="28"/>
  <c r="G58" i="28"/>
  <c r="H58" i="28"/>
  <c r="I58" i="28"/>
  <c r="J58" i="28"/>
  <c r="K58" i="28"/>
  <c r="L58" i="28"/>
  <c r="M58" i="28"/>
  <c r="N58" i="28"/>
  <c r="O58" i="28"/>
  <c r="P58" i="28"/>
  <c r="Q58" i="28"/>
  <c r="R58" i="28"/>
  <c r="S58" i="28"/>
  <c r="T58" i="28"/>
  <c r="U58" i="28"/>
  <c r="V58" i="28"/>
  <c r="W58" i="28"/>
  <c r="X58" i="28"/>
  <c r="Y58" i="28"/>
  <c r="Z58" i="28"/>
  <c r="AA58" i="28"/>
  <c r="AB58" i="28"/>
  <c r="AC58" i="28"/>
  <c r="F57" i="28"/>
  <c r="F58" i="28"/>
  <c r="F56" i="28"/>
  <c r="G53" i="28"/>
  <c r="H53" i="28"/>
  <c r="I53" i="28"/>
  <c r="J53" i="28"/>
  <c r="K53" i="28"/>
  <c r="L53" i="28"/>
  <c r="M53" i="28"/>
  <c r="N53" i="28"/>
  <c r="O53" i="28"/>
  <c r="P53" i="28"/>
  <c r="Q53" i="28"/>
  <c r="R53" i="28"/>
  <c r="S53" i="28"/>
  <c r="T53" i="28"/>
  <c r="U53" i="28"/>
  <c r="V53" i="28"/>
  <c r="W53" i="28"/>
  <c r="X53" i="28"/>
  <c r="Y53" i="28"/>
  <c r="Z53" i="28"/>
  <c r="AA53" i="28"/>
  <c r="AB53" i="28"/>
  <c r="AC53" i="28"/>
  <c r="G54" i="28"/>
  <c r="H54" i="28"/>
  <c r="I54" i="28"/>
  <c r="J54" i="28"/>
  <c r="K54" i="28"/>
  <c r="L54" i="28"/>
  <c r="M54" i="28"/>
  <c r="N54" i="28"/>
  <c r="O54" i="28"/>
  <c r="P54" i="28"/>
  <c r="Q54" i="28"/>
  <c r="R54" i="28"/>
  <c r="S54" i="28"/>
  <c r="T54" i="28"/>
  <c r="U54" i="28"/>
  <c r="V54" i="28"/>
  <c r="W54" i="28"/>
  <c r="X54" i="28"/>
  <c r="Y54" i="28"/>
  <c r="Z54" i="28"/>
  <c r="AA54" i="28"/>
  <c r="AB54" i="28"/>
  <c r="AC54" i="28"/>
  <c r="G55" i="28"/>
  <c r="H55" i="28"/>
  <c r="I55" i="28"/>
  <c r="J55" i="28"/>
  <c r="K55" i="28"/>
  <c r="L55" i="28"/>
  <c r="M55" i="28"/>
  <c r="N55" i="28"/>
  <c r="O55" i="28"/>
  <c r="P55" i="28"/>
  <c r="Q55" i="28"/>
  <c r="R55" i="28"/>
  <c r="S55" i="28"/>
  <c r="T55" i="28"/>
  <c r="U55" i="28"/>
  <c r="V55" i="28"/>
  <c r="W55" i="28"/>
  <c r="X55" i="28"/>
  <c r="Y55" i="28"/>
  <c r="Z55" i="28"/>
  <c r="AA55" i="28"/>
  <c r="AB55" i="28"/>
  <c r="AC55" i="28"/>
  <c r="F54" i="28"/>
  <c r="F55" i="28"/>
  <c r="F53" i="28"/>
  <c r="D118" i="18" l="1"/>
  <c r="L118" i="18" s="1"/>
  <c r="B118" i="18"/>
  <c r="B119" i="18"/>
  <c r="D119" i="18"/>
  <c r="L119" i="18" s="1"/>
  <c r="B120" i="18"/>
  <c r="D120" i="18"/>
  <c r="L120" i="18" s="1"/>
  <c r="B121" i="18"/>
  <c r="A120" i="18"/>
  <c r="A121" i="18"/>
  <c r="A118" i="18"/>
  <c r="A119" i="18"/>
  <c r="A25" i="29"/>
  <c r="A26" i="25"/>
  <c r="B24" i="29"/>
  <c r="A24" i="29"/>
  <c r="B25" i="25"/>
  <c r="A25" i="25"/>
  <c r="K118" i="18" l="1"/>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G31" i="28"/>
  <c r="H31" i="28"/>
  <c r="I31" i="28"/>
  <c r="J31" i="28"/>
  <c r="K31" i="28"/>
  <c r="L31" i="28"/>
  <c r="M31" i="28"/>
  <c r="N31" i="28"/>
  <c r="O31" i="28"/>
  <c r="P31" i="28"/>
  <c r="Q31" i="28"/>
  <c r="R31" i="28"/>
  <c r="S31" i="28"/>
  <c r="T31" i="28"/>
  <c r="U31" i="28"/>
  <c r="V31" i="28"/>
  <c r="W31" i="28"/>
  <c r="X31" i="28"/>
  <c r="Y31" i="28"/>
  <c r="Z31" i="28"/>
  <c r="AA31" i="28"/>
  <c r="AB31" i="28"/>
  <c r="AC31" i="28"/>
  <c r="G32" i="28"/>
  <c r="H32" i="28"/>
  <c r="I32" i="28"/>
  <c r="J32" i="28"/>
  <c r="K32" i="28"/>
  <c r="L32" i="28"/>
  <c r="M32" i="28"/>
  <c r="N32" i="28"/>
  <c r="O32" i="28"/>
  <c r="P32" i="28"/>
  <c r="Q32" i="28"/>
  <c r="R32" i="28"/>
  <c r="S32" i="28"/>
  <c r="T32" i="28"/>
  <c r="U32" i="28"/>
  <c r="V32" i="28"/>
  <c r="W32" i="28"/>
  <c r="X32" i="28"/>
  <c r="Y32" i="28"/>
  <c r="Z32" i="28"/>
  <c r="AA32" i="28"/>
  <c r="AB32" i="28"/>
  <c r="AC32" i="28"/>
  <c r="G33" i="28"/>
  <c r="H33" i="28"/>
  <c r="I33" i="28"/>
  <c r="J33" i="28"/>
  <c r="K33" i="28"/>
  <c r="L33" i="28"/>
  <c r="M33" i="28"/>
  <c r="N33" i="28"/>
  <c r="O33" i="28"/>
  <c r="P33" i="28"/>
  <c r="Q33" i="28"/>
  <c r="R33" i="28"/>
  <c r="S33" i="28"/>
  <c r="T33" i="28"/>
  <c r="U33" i="28"/>
  <c r="V33" i="28"/>
  <c r="W33" i="28"/>
  <c r="X33" i="28"/>
  <c r="Y33" i="28"/>
  <c r="Z33" i="28"/>
  <c r="AA33" i="28"/>
  <c r="AB33" i="28"/>
  <c r="AC33" i="28"/>
  <c r="F32" i="28"/>
  <c r="F33" i="28"/>
  <c r="F31" i="28"/>
  <c r="F29" i="28"/>
  <c r="F30" i="28"/>
  <c r="F28" i="28"/>
  <c r="B18" i="18" l="1"/>
  <c r="L39" i="18"/>
  <c r="L30" i="18"/>
  <c r="L25" i="18"/>
  <c r="L106" i="18"/>
  <c r="L93" i="18"/>
  <c r="H84" i="18"/>
  <c r="L84" i="18" s="1"/>
  <c r="L59" i="18"/>
  <c r="H4" i="21" l="1"/>
  <c r="A1" i="13"/>
  <c r="A1" i="1"/>
  <c r="A1" i="14"/>
  <c r="A1" i="25"/>
  <c r="A1" i="29"/>
  <c r="A1" i="28"/>
  <c r="A1" i="22"/>
  <c r="A1" i="27"/>
  <c r="A1" i="21"/>
  <c r="J1" i="21"/>
  <c r="A6" i="9" l="1"/>
  <c r="A1" i="18"/>
  <c r="G11" i="9" l="1"/>
  <c r="G13" i="9" l="1"/>
  <c r="G10" i="9"/>
  <c r="G15" i="9" l="1"/>
  <c r="H109" i="18" l="1"/>
  <c r="L109" i="18" s="1"/>
  <c r="H101" i="18"/>
  <c r="L101" i="18" s="1"/>
  <c r="A1" i="9" l="1"/>
  <c r="B20" i="9"/>
  <c r="C9" i="9" s="1"/>
  <c r="A1" i="31"/>
  <c r="I14" i="1" l="1"/>
  <c r="I13" i="1"/>
  <c r="G8" i="9" l="1"/>
  <c r="G14" i="9" s="1"/>
  <c r="G16" i="9" s="1"/>
  <c r="J19" i="1" l="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I18" i="1"/>
  <c r="J14" i="1"/>
  <c r="K14" i="1"/>
  <c r="L14" i="1"/>
  <c r="M14" i="1"/>
  <c r="N14" i="1"/>
  <c r="O14" i="1"/>
  <c r="P14" i="1"/>
  <c r="Q14" i="1"/>
  <c r="R14" i="1"/>
  <c r="S14" i="1"/>
  <c r="T14" i="1"/>
  <c r="U14" i="1"/>
  <c r="V14" i="1"/>
  <c r="W14" i="1"/>
  <c r="X14" i="1"/>
  <c r="J13" i="1"/>
  <c r="K13" i="1"/>
  <c r="L13" i="1"/>
  <c r="M13" i="1"/>
  <c r="N13" i="1"/>
  <c r="O13" i="1"/>
  <c r="P13" i="1"/>
  <c r="Q13" i="1"/>
  <c r="R13" i="1"/>
  <c r="S13" i="1"/>
  <c r="T13" i="1"/>
  <c r="U13" i="1"/>
  <c r="V13" i="1"/>
  <c r="W13" i="1"/>
  <c r="X13" i="1"/>
  <c r="B3" i="9" l="1"/>
  <c r="A3" i="9"/>
  <c r="C3" i="9" s="1"/>
  <c r="D59" i="18"/>
  <c r="D60" i="18"/>
  <c r="L60" i="18" s="1"/>
  <c r="D61" i="18"/>
  <c r="L61" i="18" s="1"/>
  <c r="D62" i="18"/>
  <c r="L62" i="18" s="1"/>
  <c r="D63" i="18"/>
  <c r="L63" i="18" s="1"/>
  <c r="D64" i="18"/>
  <c r="L64" i="18" s="1"/>
  <c r="D65" i="18"/>
  <c r="L65" i="18" s="1"/>
  <c r="D66" i="18"/>
  <c r="L66" i="18" s="1"/>
  <c r="D67" i="18"/>
  <c r="L67" i="18" s="1"/>
  <c r="D68" i="18"/>
  <c r="L68" i="18" s="1"/>
  <c r="D69" i="18"/>
  <c r="L69" i="18" s="1"/>
  <c r="D70" i="18"/>
  <c r="L70" i="18" s="1"/>
  <c r="D71" i="18"/>
  <c r="L71" i="18" s="1"/>
  <c r="D72" i="18"/>
  <c r="L72" i="18" s="1"/>
  <c r="D73" i="18"/>
  <c r="L73" i="18" s="1"/>
  <c r="D74" i="18"/>
  <c r="L74" i="18" s="1"/>
  <c r="D75" i="18"/>
  <c r="L75" i="18" s="1"/>
  <c r="D76" i="18"/>
  <c r="L76" i="18" s="1"/>
  <c r="D77" i="18"/>
  <c r="L77" i="18" s="1"/>
  <c r="D78" i="18"/>
  <c r="L78" i="18" s="1"/>
  <c r="D79" i="18"/>
  <c r="L79" i="18" s="1"/>
  <c r="D80" i="18"/>
  <c r="L80" i="18" s="1"/>
  <c r="D81" i="18"/>
  <c r="L81" i="18" s="1"/>
  <c r="D82" i="18"/>
  <c r="L82" i="18" s="1"/>
  <c r="D83" i="18"/>
  <c r="L83" i="18" s="1"/>
  <c r="D84" i="18"/>
  <c r="D85" i="18"/>
  <c r="L85" i="18" s="1"/>
  <c r="D86" i="18"/>
  <c r="L86" i="18" s="1"/>
  <c r="D87" i="18"/>
  <c r="L87" i="18" s="1"/>
  <c r="D88" i="18"/>
  <c r="L88" i="18" s="1"/>
  <c r="D89" i="18"/>
  <c r="L89" i="18" s="1"/>
  <c r="D90" i="18"/>
  <c r="L90" i="18" s="1"/>
  <c r="D91" i="18"/>
  <c r="L91" i="18" s="1"/>
  <c r="D92" i="18"/>
  <c r="L92" i="18" s="1"/>
  <c r="D93" i="18"/>
  <c r="D94" i="18"/>
  <c r="L94" i="18" s="1"/>
  <c r="D95" i="18"/>
  <c r="L95" i="18" s="1"/>
  <c r="D96" i="18"/>
  <c r="L96" i="18" s="1"/>
  <c r="D97" i="18"/>
  <c r="L97" i="18" s="1"/>
  <c r="D98" i="18"/>
  <c r="L98" i="18" s="1"/>
  <c r="D99" i="18"/>
  <c r="L99" i="18" s="1"/>
  <c r="D100" i="18"/>
  <c r="L100" i="18" s="1"/>
  <c r="D101" i="18"/>
  <c r="D102" i="18"/>
  <c r="L102" i="18" s="1"/>
  <c r="D103" i="18"/>
  <c r="L103" i="18" s="1"/>
  <c r="D104" i="18"/>
  <c r="L104" i="18" s="1"/>
  <c r="D105" i="18"/>
  <c r="L105" i="18" s="1"/>
  <c r="D106" i="18"/>
  <c r="D107" i="18"/>
  <c r="L107" i="18" s="1"/>
  <c r="D108" i="18"/>
  <c r="L108" i="18" s="1"/>
  <c r="D109" i="18"/>
  <c r="D110" i="18"/>
  <c r="L110" i="18" s="1"/>
  <c r="D111" i="18"/>
  <c r="L111" i="18" s="1"/>
  <c r="D112" i="18"/>
  <c r="L112" i="18" s="1"/>
  <c r="D113" i="18"/>
  <c r="L113" i="18" s="1"/>
  <c r="D114" i="18"/>
  <c r="L114" i="18" s="1"/>
  <c r="D115" i="18"/>
  <c r="L115" i="18" s="1"/>
  <c r="D116" i="18"/>
  <c r="L116" i="18" s="1"/>
  <c r="D117" i="18"/>
  <c r="L117" i="18" s="1"/>
  <c r="D4" i="18"/>
  <c r="L4" i="18" s="1"/>
  <c r="D5" i="18"/>
  <c r="L5" i="18" s="1"/>
  <c r="D6" i="18"/>
  <c r="L6" i="18" s="1"/>
  <c r="D7" i="18"/>
  <c r="L7" i="18" s="1"/>
  <c r="D8" i="18"/>
  <c r="L8" i="18" s="1"/>
  <c r="D9" i="18"/>
  <c r="L9" i="18" s="1"/>
  <c r="D10" i="18"/>
  <c r="L10" i="18" s="1"/>
  <c r="D11" i="18"/>
  <c r="L11" i="18" s="1"/>
  <c r="D12" i="18"/>
  <c r="L12" i="18" s="1"/>
  <c r="D13" i="18"/>
  <c r="L13" i="18" s="1"/>
  <c r="D14" i="18"/>
  <c r="L14" i="18" s="1"/>
  <c r="D15" i="18"/>
  <c r="L15" i="18" s="1"/>
  <c r="D16" i="18"/>
  <c r="L16" i="18" s="1"/>
  <c r="D17" i="18"/>
  <c r="D18" i="18"/>
  <c r="L18" i="18" s="1"/>
  <c r="D19" i="18"/>
  <c r="L19" i="18" s="1"/>
  <c r="D20" i="18"/>
  <c r="L20" i="18" s="1"/>
  <c r="D21" i="18"/>
  <c r="L21" i="18" s="1"/>
  <c r="D22" i="18"/>
  <c r="L22" i="18" s="1"/>
  <c r="D23" i="18"/>
  <c r="L23" i="18" s="1"/>
  <c r="D24" i="18"/>
  <c r="L24" i="18" s="1"/>
  <c r="D25" i="18"/>
  <c r="D26" i="18"/>
  <c r="L26" i="18" s="1"/>
  <c r="D27" i="18"/>
  <c r="L27" i="18" s="1"/>
  <c r="D28" i="18"/>
  <c r="L28" i="18" s="1"/>
  <c r="D29" i="18"/>
  <c r="L29" i="18" s="1"/>
  <c r="D30" i="18"/>
  <c r="D31" i="18"/>
  <c r="L31" i="18" s="1"/>
  <c r="D32" i="18"/>
  <c r="L32" i="18" s="1"/>
  <c r="D33" i="18"/>
  <c r="L33" i="18" s="1"/>
  <c r="D34" i="18"/>
  <c r="L34" i="18" s="1"/>
  <c r="D35" i="18"/>
  <c r="L35" i="18" s="1"/>
  <c r="D36" i="18"/>
  <c r="L36" i="18" s="1"/>
  <c r="D37" i="18"/>
  <c r="L37" i="18" s="1"/>
  <c r="D38" i="18"/>
  <c r="L38" i="18" s="1"/>
  <c r="D39" i="18"/>
  <c r="D40" i="18"/>
  <c r="L40" i="18" s="1"/>
  <c r="D41" i="18"/>
  <c r="L41" i="18" s="1"/>
  <c r="D42" i="18"/>
  <c r="L42" i="18" s="1"/>
  <c r="D43" i="18"/>
  <c r="L43" i="18" s="1"/>
  <c r="D44" i="18"/>
  <c r="L44" i="18" s="1"/>
  <c r="D45" i="18"/>
  <c r="L45" i="18" s="1"/>
  <c r="D46" i="18"/>
  <c r="L46" i="18" s="1"/>
  <c r="D47" i="18"/>
  <c r="L47" i="18" s="1"/>
  <c r="D48" i="18"/>
  <c r="L48" i="18" s="1"/>
  <c r="D49" i="18"/>
  <c r="L49" i="18" s="1"/>
  <c r="D50" i="18"/>
  <c r="L50" i="18" s="1"/>
  <c r="D51" i="18"/>
  <c r="L51" i="18" s="1"/>
  <c r="D52" i="18"/>
  <c r="L52" i="18" s="1"/>
  <c r="D53" i="18"/>
  <c r="L53" i="18" s="1"/>
  <c r="D54" i="18"/>
  <c r="L54" i="18" s="1"/>
  <c r="D55" i="18"/>
  <c r="L55" i="18" s="1"/>
  <c r="D56" i="18"/>
  <c r="L56" i="18" s="1"/>
  <c r="D57" i="18"/>
  <c r="L57" i="18" s="1"/>
  <c r="D58" i="18"/>
  <c r="L58" i="18" s="1"/>
  <c r="D3"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4" i="18"/>
  <c r="B5" i="18"/>
  <c r="B6" i="18"/>
  <c r="B7" i="18"/>
  <c r="B8" i="18"/>
  <c r="B9" i="18"/>
  <c r="B10" i="18"/>
  <c r="B11" i="18"/>
  <c r="B12" i="18"/>
  <c r="B13" i="18"/>
  <c r="B14" i="18"/>
  <c r="B15" i="18"/>
  <c r="B16" i="18"/>
  <c r="B17"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3" i="18"/>
  <c r="A113" i="18"/>
  <c r="A114" i="18"/>
  <c r="A115" i="18"/>
  <c r="A116" i="18"/>
  <c r="A117" i="18"/>
  <c r="A106" i="18"/>
  <c r="A107" i="18"/>
  <c r="A108" i="18"/>
  <c r="A109" i="18"/>
  <c r="A110" i="18"/>
  <c r="A111" i="18"/>
  <c r="A112" i="18"/>
  <c r="A91" i="18"/>
  <c r="A92" i="18"/>
  <c r="A93" i="18"/>
  <c r="A94" i="18"/>
  <c r="A95" i="18"/>
  <c r="A96" i="18"/>
  <c r="A97" i="18"/>
  <c r="A98" i="18"/>
  <c r="A99" i="18"/>
  <c r="A100" i="18"/>
  <c r="A101" i="18"/>
  <c r="A102" i="18"/>
  <c r="A103" i="18"/>
  <c r="A104" i="18"/>
  <c r="A105"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3" i="18"/>
  <c r="L3" i="18" l="1"/>
  <c r="H121" i="13" l="1"/>
  <c r="A13" i="29"/>
  <c r="A12" i="29"/>
  <c r="A11" i="29"/>
  <c r="A10" i="29"/>
  <c r="A9" i="29"/>
  <c r="A8" i="29"/>
  <c r="A7" i="29"/>
  <c r="K14" i="13"/>
  <c r="E20" i="33" s="1"/>
  <c r="G20" i="33" s="1"/>
  <c r="H20" i="33" s="1"/>
  <c r="K31" i="13"/>
  <c r="E37" i="33" s="1"/>
  <c r="G37" i="33" s="1"/>
  <c r="H37" i="33" s="1"/>
  <c r="K41" i="13"/>
  <c r="E47" i="33" s="1"/>
  <c r="G47" i="33" s="1"/>
  <c r="H47" i="33" s="1"/>
  <c r="K44" i="13"/>
  <c r="E50" i="33" s="1"/>
  <c r="G50" i="33" s="1"/>
  <c r="H50" i="33" s="1"/>
  <c r="K58" i="13"/>
  <c r="E64" i="33" s="1"/>
  <c r="G64" i="33" s="1"/>
  <c r="H64" i="33" s="1"/>
  <c r="K60" i="13"/>
  <c r="E66" i="33" s="1"/>
  <c r="G66" i="33" s="1"/>
  <c r="H66" i="33" s="1"/>
  <c r="K80" i="13"/>
  <c r="E86" i="33" s="1"/>
  <c r="G86" i="33" s="1"/>
  <c r="H86" i="33" s="1"/>
  <c r="K82" i="13"/>
  <c r="E88" i="33" s="1"/>
  <c r="G88" i="33" s="1"/>
  <c r="H88" i="33" s="1"/>
  <c r="K85" i="13"/>
  <c r="E91" i="33" s="1"/>
  <c r="G91" i="33" s="1"/>
  <c r="H91" i="33" s="1"/>
  <c r="K86" i="13"/>
  <c r="E92" i="33" s="1"/>
  <c r="G92" i="33" s="1"/>
  <c r="H92" i="33" s="1"/>
  <c r="K91" i="13"/>
  <c r="E97" i="33" s="1"/>
  <c r="G97" i="33" s="1"/>
  <c r="H97" i="33" s="1"/>
  <c r="K95" i="13"/>
  <c r="E101" i="33" s="1"/>
  <c r="G101" i="33" s="1"/>
  <c r="H101" i="33" s="1"/>
  <c r="K97" i="13"/>
  <c r="E103" i="33" s="1"/>
  <c r="G103" i="33" s="1"/>
  <c r="H103" i="33" s="1"/>
  <c r="K104" i="13"/>
  <c r="E110" i="33" s="1"/>
  <c r="G110" i="33" s="1"/>
  <c r="H110" i="33" s="1"/>
  <c r="K116" i="13"/>
  <c r="E122" i="33" s="1"/>
  <c r="G122" i="33" s="1"/>
  <c r="H122" i="33" s="1"/>
  <c r="C119" i="18"/>
  <c r="J119" i="18" s="1"/>
  <c r="C120" i="18"/>
  <c r="J120" i="18" s="1"/>
  <c r="C4" i="18"/>
  <c r="J4" i="18" s="1"/>
  <c r="K8" i="13"/>
  <c r="E14" i="33" s="1"/>
  <c r="G14" i="33" s="1"/>
  <c r="K9" i="13"/>
  <c r="E15" i="33" s="1"/>
  <c r="G15" i="33" s="1"/>
  <c r="H15" i="33" s="1"/>
  <c r="K12" i="13"/>
  <c r="E18" i="33" s="1"/>
  <c r="G18" i="33" s="1"/>
  <c r="H18" i="33" s="1"/>
  <c r="H14" i="33" l="1"/>
  <c r="G128" i="33"/>
  <c r="G127" i="33"/>
  <c r="I3" i="18"/>
  <c r="F84" i="18"/>
  <c r="F59" i="18"/>
  <c r="F25" i="18"/>
  <c r="F39" i="18"/>
  <c r="F17" i="18"/>
  <c r="F30" i="18"/>
  <c r="F11" i="18"/>
  <c r="F106" i="18"/>
  <c r="F101" i="18"/>
  <c r="F93" i="18"/>
  <c r="K93" i="18" s="1"/>
  <c r="D121" i="18"/>
  <c r="C118" i="18"/>
  <c r="J118" i="18" s="1"/>
  <c r="M118" i="18" s="1"/>
  <c r="F119" i="18"/>
  <c r="K119" i="18" s="1"/>
  <c r="M119" i="18" s="1"/>
  <c r="I120" i="18"/>
  <c r="I119" i="18"/>
  <c r="F120" i="18"/>
  <c r="K120" i="18" s="1"/>
  <c r="M120" i="18" s="1"/>
  <c r="C11" i="18"/>
  <c r="J11" i="18" s="1"/>
  <c r="C84" i="18"/>
  <c r="J84" i="18" s="1"/>
  <c r="C62" i="18"/>
  <c r="J62" i="18" s="1"/>
  <c r="C40" i="18"/>
  <c r="J40" i="18" s="1"/>
  <c r="C17" i="18"/>
  <c r="J17" i="18" s="1"/>
  <c r="C39" i="18"/>
  <c r="J39" i="18" s="1"/>
  <c r="C103" i="18"/>
  <c r="J103" i="18" s="1"/>
  <c r="C18" i="18"/>
  <c r="J18" i="18" s="1"/>
  <c r="C106" i="18"/>
  <c r="J106" i="18" s="1"/>
  <c r="C9" i="18"/>
  <c r="J9" i="18" s="1"/>
  <c r="C60" i="18"/>
  <c r="J60" i="18" s="1"/>
  <c r="C15" i="18"/>
  <c r="J15" i="18" s="1"/>
  <c r="C8" i="18"/>
  <c r="J8" i="18" s="1"/>
  <c r="C81" i="18"/>
  <c r="J81" i="18" s="1"/>
  <c r="C59" i="18"/>
  <c r="J59" i="18" s="1"/>
  <c r="C37" i="18"/>
  <c r="J37" i="18" s="1"/>
  <c r="C14" i="18"/>
  <c r="J14" i="18" s="1"/>
  <c r="C99" i="18"/>
  <c r="J99" i="18" s="1"/>
  <c r="C77" i="18"/>
  <c r="J77" i="18" s="1"/>
  <c r="C55" i="18"/>
  <c r="J55" i="18" s="1"/>
  <c r="C33" i="18"/>
  <c r="J33" i="18" s="1"/>
  <c r="C76" i="18"/>
  <c r="J76" i="18" s="1"/>
  <c r="C32" i="18"/>
  <c r="J32" i="18" s="1"/>
  <c r="C96" i="18"/>
  <c r="J96" i="18" s="1"/>
  <c r="C74" i="18"/>
  <c r="J74" i="18" s="1"/>
  <c r="C52" i="18"/>
  <c r="J52" i="18" s="1"/>
  <c r="C30" i="18"/>
  <c r="J30" i="18" s="1"/>
  <c r="C117" i="18"/>
  <c r="J117" i="18" s="1"/>
  <c r="C73" i="18"/>
  <c r="J73" i="18" s="1"/>
  <c r="C29" i="18"/>
  <c r="J29" i="18" s="1"/>
  <c r="C13" i="18"/>
  <c r="J13" i="18" s="1"/>
  <c r="C108" i="18"/>
  <c r="J108" i="18" s="1"/>
  <c r="C86" i="18"/>
  <c r="J86" i="18" s="1"/>
  <c r="C64" i="18"/>
  <c r="J64" i="18" s="1"/>
  <c r="C42" i="18"/>
  <c r="J42" i="18" s="1"/>
  <c r="C19" i="18"/>
  <c r="J19" i="18" s="1"/>
  <c r="C82" i="18"/>
  <c r="J82" i="18" s="1"/>
  <c r="C5" i="18"/>
  <c r="J5" i="18" s="1"/>
  <c r="C100" i="18"/>
  <c r="J100" i="18" s="1"/>
  <c r="C78" i="18"/>
  <c r="J78" i="18" s="1"/>
  <c r="C56" i="18"/>
  <c r="J56" i="18" s="1"/>
  <c r="C34" i="18"/>
  <c r="J34" i="18" s="1"/>
  <c r="C98" i="18"/>
  <c r="J98" i="18" s="1"/>
  <c r="C54" i="18"/>
  <c r="J54" i="18" s="1"/>
  <c r="C115" i="18"/>
  <c r="J115" i="18" s="1"/>
  <c r="C113" i="18"/>
  <c r="J113" i="18" s="1"/>
  <c r="C91" i="18"/>
  <c r="J91" i="18" s="1"/>
  <c r="C69" i="18"/>
  <c r="J69" i="18" s="1"/>
  <c r="C47" i="18"/>
  <c r="J47" i="18" s="1"/>
  <c r="C24" i="18"/>
  <c r="J24" i="18" s="1"/>
  <c r="C109" i="18"/>
  <c r="J109" i="18" s="1"/>
  <c r="C87" i="18"/>
  <c r="J87" i="18" s="1"/>
  <c r="C65" i="18"/>
  <c r="J65" i="18" s="1"/>
  <c r="C43" i="18"/>
  <c r="J43" i="18" s="1"/>
  <c r="C20" i="18"/>
  <c r="J20" i="18" s="1"/>
  <c r="C12" i="18"/>
  <c r="J12" i="18" s="1"/>
  <c r="C107" i="18"/>
  <c r="J107" i="18" s="1"/>
  <c r="C85" i="18"/>
  <c r="J85" i="18" s="1"/>
  <c r="C63" i="18"/>
  <c r="J63" i="18" s="1"/>
  <c r="C41" i="18"/>
  <c r="J41" i="18" s="1"/>
  <c r="C7" i="18"/>
  <c r="J7" i="18" s="1"/>
  <c r="C102" i="18"/>
  <c r="J102" i="18" s="1"/>
  <c r="C80" i="18"/>
  <c r="J80" i="18" s="1"/>
  <c r="C58" i="18"/>
  <c r="J58" i="18" s="1"/>
  <c r="C36" i="18"/>
  <c r="J36" i="18" s="1"/>
  <c r="C26" i="18"/>
  <c r="J26" i="18" s="1"/>
  <c r="C6" i="18"/>
  <c r="J6" i="18" s="1"/>
  <c r="C101" i="18"/>
  <c r="J101" i="18" s="1"/>
  <c r="C79" i="18"/>
  <c r="J79" i="18" s="1"/>
  <c r="C57" i="18"/>
  <c r="J57" i="18" s="1"/>
  <c r="C35" i="18"/>
  <c r="J35" i="18" s="1"/>
  <c r="C97" i="18"/>
  <c r="J97" i="18" s="1"/>
  <c r="C75" i="18"/>
  <c r="J75" i="18" s="1"/>
  <c r="C53" i="18"/>
  <c r="J53" i="18" s="1"/>
  <c r="C31" i="18"/>
  <c r="J31" i="18" s="1"/>
  <c r="C111" i="18"/>
  <c r="J111" i="18" s="1"/>
  <c r="C89" i="18"/>
  <c r="J89" i="18" s="1"/>
  <c r="C67" i="18"/>
  <c r="J67" i="18" s="1"/>
  <c r="C45" i="18"/>
  <c r="J45" i="18" s="1"/>
  <c r="C22" i="18"/>
  <c r="J22" i="18" s="1"/>
  <c r="C105" i="18"/>
  <c r="J105" i="18" s="1"/>
  <c r="C83" i="18"/>
  <c r="J83" i="18" s="1"/>
  <c r="C61" i="18"/>
  <c r="J61" i="18" s="1"/>
  <c r="C16" i="18"/>
  <c r="J16" i="18" s="1"/>
  <c r="C104" i="18"/>
  <c r="J104" i="18" s="1"/>
  <c r="C38" i="18"/>
  <c r="J38" i="18" s="1"/>
  <c r="C95" i="18"/>
  <c r="J95" i="18" s="1"/>
  <c r="C51" i="18"/>
  <c r="J51" i="18" s="1"/>
  <c r="C116" i="18"/>
  <c r="J116" i="18" s="1"/>
  <c r="C94" i="18"/>
  <c r="J94" i="18" s="1"/>
  <c r="C72" i="18"/>
  <c r="J72" i="18" s="1"/>
  <c r="C50" i="18"/>
  <c r="J50" i="18" s="1"/>
  <c r="C28" i="18"/>
  <c r="J28" i="18" s="1"/>
  <c r="C93" i="18"/>
  <c r="J93" i="18" s="1"/>
  <c r="C71" i="18"/>
  <c r="J71" i="18" s="1"/>
  <c r="C49" i="18"/>
  <c r="J49" i="18" s="1"/>
  <c r="C27" i="18"/>
  <c r="J27" i="18" s="1"/>
  <c r="C114" i="18"/>
  <c r="J114" i="18" s="1"/>
  <c r="C92" i="18"/>
  <c r="J92" i="18" s="1"/>
  <c r="C70" i="18"/>
  <c r="J70" i="18" s="1"/>
  <c r="C48" i="18"/>
  <c r="J48" i="18" s="1"/>
  <c r="C25" i="18"/>
  <c r="J25" i="18" s="1"/>
  <c r="C112" i="18"/>
  <c r="J112" i="18" s="1"/>
  <c r="C90" i="18"/>
  <c r="J90" i="18" s="1"/>
  <c r="C68" i="18"/>
  <c r="J68" i="18" s="1"/>
  <c r="C46" i="18"/>
  <c r="J46" i="18" s="1"/>
  <c r="C23" i="18"/>
  <c r="J23" i="18" s="1"/>
  <c r="C110" i="18"/>
  <c r="J110" i="18" s="1"/>
  <c r="C88" i="18"/>
  <c r="J88" i="18" s="1"/>
  <c r="C66" i="18"/>
  <c r="J66" i="18" s="1"/>
  <c r="C44" i="18"/>
  <c r="J44" i="18" s="1"/>
  <c r="C21" i="18"/>
  <c r="J21" i="18" s="1"/>
  <c r="C10" i="18"/>
  <c r="J10" i="18" s="1"/>
  <c r="G3" i="13"/>
  <c r="G4" i="13"/>
  <c r="I99" i="18"/>
  <c r="I62" i="18"/>
  <c r="I69" i="18"/>
  <c r="I24" i="18"/>
  <c r="I55" i="18"/>
  <c r="I75" i="18"/>
  <c r="I67" i="18"/>
  <c r="I33" i="18"/>
  <c r="I53" i="18"/>
  <c r="I30" i="18"/>
  <c r="I113" i="18"/>
  <c r="I92" i="18"/>
  <c r="I11" i="18"/>
  <c r="I31" i="18"/>
  <c r="I8" i="18"/>
  <c r="I22" i="18"/>
  <c r="I76" i="18"/>
  <c r="I28" i="18"/>
  <c r="I84" i="18"/>
  <c r="I104" i="18"/>
  <c r="I74" i="18"/>
  <c r="I47" i="18"/>
  <c r="I40" i="18"/>
  <c r="I117" i="18"/>
  <c r="I66" i="18"/>
  <c r="I83" i="18"/>
  <c r="I115" i="18"/>
  <c r="I112" i="18"/>
  <c r="I71" i="18"/>
  <c r="I41" i="18"/>
  <c r="I95" i="18"/>
  <c r="I48" i="18"/>
  <c r="I56" i="18"/>
  <c r="I97" i="18"/>
  <c r="I78" i="18"/>
  <c r="I105" i="18"/>
  <c r="I87" i="18"/>
  <c r="I103" i="18"/>
  <c r="I5" i="18"/>
  <c r="I108" i="18"/>
  <c r="I88" i="18"/>
  <c r="I6" i="18"/>
  <c r="I57" i="18"/>
  <c r="I9" i="18"/>
  <c r="I4" i="18"/>
  <c r="I102" i="18"/>
  <c r="I96" i="18"/>
  <c r="I100" i="18"/>
  <c r="I91" i="18"/>
  <c r="I98" i="18"/>
  <c r="I39" i="18"/>
  <c r="I14" i="18"/>
  <c r="I64" i="18"/>
  <c r="I82" i="18"/>
  <c r="I13" i="18"/>
  <c r="I42" i="18"/>
  <c r="I19" i="18"/>
  <c r="I37" i="18"/>
  <c r="I20" i="18"/>
  <c r="I29" i="18"/>
  <c r="I10" i="18"/>
  <c r="I80" i="18"/>
  <c r="I101" i="18"/>
  <c r="I63" i="18"/>
  <c r="I25" i="18"/>
  <c r="I109" i="18"/>
  <c r="I12" i="18"/>
  <c r="I72" i="18"/>
  <c r="I50" i="18"/>
  <c r="I32" i="18"/>
  <c r="I7" i="18"/>
  <c r="I54" i="18"/>
  <c r="I18" i="18"/>
  <c r="I61" i="18"/>
  <c r="I58" i="18"/>
  <c r="I60" i="18"/>
  <c r="I46" i="18"/>
  <c r="I73" i="18"/>
  <c r="I89" i="18"/>
  <c r="I70" i="18"/>
  <c r="I45" i="18"/>
  <c r="I35" i="18"/>
  <c r="I36" i="18"/>
  <c r="I52" i="18"/>
  <c r="I114" i="18"/>
  <c r="I65" i="18"/>
  <c r="I15" i="18"/>
  <c r="I85" i="18"/>
  <c r="I49" i="18"/>
  <c r="I17" i="18"/>
  <c r="I111" i="18"/>
  <c r="I106" i="18"/>
  <c r="I26" i="18"/>
  <c r="I90" i="18"/>
  <c r="I38" i="18"/>
  <c r="I68" i="18"/>
  <c r="I51" i="18"/>
  <c r="I93" i="18"/>
  <c r="I79" i="18"/>
  <c r="I110" i="18"/>
  <c r="I107" i="18"/>
  <c r="I23" i="18"/>
  <c r="I34" i="18"/>
  <c r="I116" i="18"/>
  <c r="I44" i="18"/>
  <c r="I16" i="18"/>
  <c r="I81" i="18"/>
  <c r="I59" i="18"/>
  <c r="I94" i="18"/>
  <c r="I27" i="18"/>
  <c r="I21" i="18"/>
  <c r="I43" i="18"/>
  <c r="I77" i="18"/>
  <c r="I86" i="18"/>
  <c r="F51" i="18"/>
  <c r="K51" i="18" s="1"/>
  <c r="F20" i="18"/>
  <c r="K20" i="18" s="1"/>
  <c r="F110" i="18"/>
  <c r="K110" i="18" s="1"/>
  <c r="F108" i="18"/>
  <c r="F16" i="18"/>
  <c r="K16" i="18" s="1"/>
  <c r="F31" i="18"/>
  <c r="K31" i="18" s="1"/>
  <c r="F9" i="18"/>
  <c r="K9" i="18" s="1"/>
  <c r="F113" i="18"/>
  <c r="K113" i="18" s="1"/>
  <c r="F46" i="18"/>
  <c r="F8" i="18"/>
  <c r="K8" i="18" s="1"/>
  <c r="M8" i="18" s="1"/>
  <c r="F77" i="18"/>
  <c r="K77" i="18" s="1"/>
  <c r="F86" i="18"/>
  <c r="K86" i="18" s="1"/>
  <c r="F105" i="18"/>
  <c r="K105" i="18" s="1"/>
  <c r="F57" i="18"/>
  <c r="K57" i="18" s="1"/>
  <c r="F82" i="18"/>
  <c r="K82" i="18" s="1"/>
  <c r="F97" i="18"/>
  <c r="K97" i="18" s="1"/>
  <c r="F23" i="18"/>
  <c r="K23" i="18" s="1"/>
  <c r="F73" i="18"/>
  <c r="K73" i="18" s="1"/>
  <c r="F80" i="18"/>
  <c r="K80" i="18" s="1"/>
  <c r="F32" i="18"/>
  <c r="F26" i="18"/>
  <c r="K26" i="18" s="1"/>
  <c r="F78" i="18"/>
  <c r="F66" i="18"/>
  <c r="F10" i="18"/>
  <c r="F27" i="18"/>
  <c r="K27" i="18" s="1"/>
  <c r="F35" i="18"/>
  <c r="F12" i="18"/>
  <c r="K12" i="18" s="1"/>
  <c r="F100" i="18"/>
  <c r="K100" i="18" s="1"/>
  <c r="F68" i="18"/>
  <c r="F54" i="18"/>
  <c r="K54" i="18" s="1"/>
  <c r="F83" i="18"/>
  <c r="K83" i="18" s="1"/>
  <c r="F61" i="18"/>
  <c r="F88" i="18"/>
  <c r="K88" i="18" s="1"/>
  <c r="F63" i="18"/>
  <c r="F15" i="18"/>
  <c r="K15" i="18" s="1"/>
  <c r="F49" i="18"/>
  <c r="F111" i="18"/>
  <c r="K111" i="18" s="1"/>
  <c r="F56" i="18"/>
  <c r="K56" i="18" s="1"/>
  <c r="F74" i="18"/>
  <c r="K74" i="18" s="1"/>
  <c r="F99" i="18"/>
  <c r="F92" i="18"/>
  <c r="K92" i="18" s="1"/>
  <c r="F115" i="18"/>
  <c r="K115" i="18" s="1"/>
  <c r="F67" i="18"/>
  <c r="F91" i="18"/>
  <c r="K91" i="18" s="1"/>
  <c r="F96" i="18"/>
  <c r="K96" i="18" s="1"/>
  <c r="F18" i="18"/>
  <c r="F75" i="18"/>
  <c r="K75" i="18" s="1"/>
  <c r="F72" i="18"/>
  <c r="K72" i="18" s="1"/>
  <c r="F28" i="18"/>
  <c r="K28" i="18" s="1"/>
  <c r="F41" i="18"/>
  <c r="K41" i="18" s="1"/>
  <c r="F13" i="18"/>
  <c r="K13" i="18" s="1"/>
  <c r="F38" i="18"/>
  <c r="F107" i="18"/>
  <c r="F95" i="18"/>
  <c r="K95" i="18" s="1"/>
  <c r="F45" i="18"/>
  <c r="K45" i="18" s="1"/>
  <c r="F4" i="18"/>
  <c r="F44" i="18"/>
  <c r="K44" i="18" s="1"/>
  <c r="F3" i="18"/>
  <c r="F43" i="18"/>
  <c r="F48" i="18"/>
  <c r="F19" i="18"/>
  <c r="K19" i="18" s="1"/>
  <c r="F109" i="18"/>
  <c r="F5" i="18"/>
  <c r="K5" i="18" s="1"/>
  <c r="F47" i="18"/>
  <c r="F114" i="18"/>
  <c r="K114" i="18" s="1"/>
  <c r="F36" i="18"/>
  <c r="K36" i="18" s="1"/>
  <c r="F116" i="18"/>
  <c r="K116" i="18" s="1"/>
  <c r="F58" i="18"/>
  <c r="K58" i="18" s="1"/>
  <c r="F87" i="18"/>
  <c r="K87" i="18" s="1"/>
  <c r="F98" i="18"/>
  <c r="K98" i="18" s="1"/>
  <c r="F94" i="18"/>
  <c r="F50" i="18"/>
  <c r="K50" i="18" s="1"/>
  <c r="F62" i="18"/>
  <c r="F64" i="18"/>
  <c r="F6" i="18"/>
  <c r="F103" i="18"/>
  <c r="K103" i="18" s="1"/>
  <c r="F55" i="18"/>
  <c r="K55" i="18" s="1"/>
  <c r="F117" i="18"/>
  <c r="K117" i="18" s="1"/>
  <c r="F33" i="18"/>
  <c r="F90" i="18"/>
  <c r="K90" i="18" s="1"/>
  <c r="F79" i="18"/>
  <c r="F76" i="18"/>
  <c r="K76" i="18" s="1"/>
  <c r="F21" i="18"/>
  <c r="F34" i="18"/>
  <c r="F70" i="18"/>
  <c r="K70" i="18" s="1"/>
  <c r="F29" i="18"/>
  <c r="F22" i="18"/>
  <c r="F65" i="18"/>
  <c r="F14" i="18"/>
  <c r="K14" i="18" s="1"/>
  <c r="F37" i="18"/>
  <c r="F85" i="18"/>
  <c r="K85" i="18" s="1"/>
  <c r="F104" i="18"/>
  <c r="K104" i="18" s="1"/>
  <c r="F112" i="18"/>
  <c r="F81" i="18"/>
  <c r="K81" i="18" s="1"/>
  <c r="F53" i="18"/>
  <c r="K53" i="18" s="1"/>
  <c r="F7" i="18"/>
  <c r="F24" i="18"/>
  <c r="F40" i="18"/>
  <c r="F71" i="18"/>
  <c r="K71" i="18" s="1"/>
  <c r="F52" i="18"/>
  <c r="K52" i="18" s="1"/>
  <c r="F69" i="18"/>
  <c r="F89" i="18"/>
  <c r="K89" i="18" s="1"/>
  <c r="F42" i="18"/>
  <c r="K42" i="18" s="1"/>
  <c r="F102" i="18"/>
  <c r="F60" i="18"/>
  <c r="K60" i="18" s="1"/>
  <c r="A4" i="29"/>
  <c r="A5" i="29"/>
  <c r="A6" i="29"/>
  <c r="A15" i="29"/>
  <c r="A16" i="25"/>
  <c r="A16" i="29"/>
  <c r="A17" i="25"/>
  <c r="A17" i="29"/>
  <c r="A18" i="25"/>
  <c r="A18" i="29"/>
  <c r="A19" i="25"/>
  <c r="A20" i="25"/>
  <c r="A19" i="29"/>
  <c r="A21" i="25"/>
  <c r="A20" i="29"/>
  <c r="A22" i="25"/>
  <c r="A21" i="29"/>
  <c r="A22" i="29"/>
  <c r="A23" i="25"/>
  <c r="A14" i="29"/>
  <c r="A15" i="25"/>
  <c r="A23" i="29"/>
  <c r="A24" i="25"/>
  <c r="K30" i="18" l="1"/>
  <c r="K39" i="18"/>
  <c r="K18" i="18"/>
  <c r="K59" i="18"/>
  <c r="M59" i="18" s="1"/>
  <c r="G139" i="33"/>
  <c r="G140" i="33"/>
  <c r="G141" i="33"/>
  <c r="G142" i="33"/>
  <c r="G143" i="33"/>
  <c r="G144" i="33"/>
  <c r="G145" i="33"/>
  <c r="G146" i="33"/>
  <c r="G147" i="33"/>
  <c r="G148" i="33"/>
  <c r="G149" i="33"/>
  <c r="G150" i="33"/>
  <c r="G151" i="33"/>
  <c r="G152" i="33"/>
  <c r="G153" i="33"/>
  <c r="C139" i="33"/>
  <c r="E139" i="33" s="1"/>
  <c r="F139" i="33" s="1"/>
  <c r="C140" i="33"/>
  <c r="E140" i="33" s="1"/>
  <c r="F140" i="33" s="1"/>
  <c r="C141" i="33"/>
  <c r="E141" i="33" s="1"/>
  <c r="F141" i="33" s="1"/>
  <c r="C142" i="33"/>
  <c r="E142" i="33" s="1"/>
  <c r="F142" i="33" s="1"/>
  <c r="C143" i="33"/>
  <c r="E143" i="33" s="1"/>
  <c r="F143" i="33" s="1"/>
  <c r="C144" i="33"/>
  <c r="E144" i="33" s="1"/>
  <c r="F144" i="33" s="1"/>
  <c r="C145" i="33"/>
  <c r="E145" i="33" s="1"/>
  <c r="F145" i="33" s="1"/>
  <c r="C146" i="33"/>
  <c r="E146" i="33" s="1"/>
  <c r="F146" i="33" s="1"/>
  <c r="C147" i="33"/>
  <c r="E147" i="33" s="1"/>
  <c r="F147" i="33" s="1"/>
  <c r="C148" i="33"/>
  <c r="E148" i="33" s="1"/>
  <c r="F148" i="33" s="1"/>
  <c r="C149" i="33"/>
  <c r="E149" i="33" s="1"/>
  <c r="F149" i="33" s="1"/>
  <c r="C150" i="33"/>
  <c r="E150" i="33" s="1"/>
  <c r="F150" i="33" s="1"/>
  <c r="C151" i="33"/>
  <c r="E151" i="33" s="1"/>
  <c r="F151" i="33" s="1"/>
  <c r="C152" i="33"/>
  <c r="E152" i="33" s="1"/>
  <c r="F152" i="33" s="1"/>
  <c r="C153" i="33"/>
  <c r="E153" i="33" s="1"/>
  <c r="F153" i="33" s="1"/>
  <c r="G138" i="33"/>
  <c r="C138" i="33"/>
  <c r="E138" i="33" s="1"/>
  <c r="F138" i="33" s="1"/>
  <c r="K84" i="18"/>
  <c r="M84" i="18" s="1"/>
  <c r="K11" i="18"/>
  <c r="M11" i="18" s="1"/>
  <c r="K25" i="18"/>
  <c r="M25" i="18" s="1"/>
  <c r="K17" i="18"/>
  <c r="K101" i="18"/>
  <c r="M101" i="18" s="1"/>
  <c r="K106" i="18"/>
  <c r="M106" i="18" s="1"/>
  <c r="M71" i="18"/>
  <c r="M55" i="18"/>
  <c r="M23" i="18"/>
  <c r="M53" i="18"/>
  <c r="M88" i="18"/>
  <c r="K99" i="18"/>
  <c r="M99" i="18" s="1"/>
  <c r="M57" i="18"/>
  <c r="M86" i="18"/>
  <c r="K109" i="18"/>
  <c r="M109" i="18" s="1"/>
  <c r="K10" i="18"/>
  <c r="M10" i="18" s="1"/>
  <c r="K102" i="18"/>
  <c r="M102" i="18" s="1"/>
  <c r="M58" i="18"/>
  <c r="M54" i="18"/>
  <c r="M13" i="18"/>
  <c r="M85" i="18"/>
  <c r="M114" i="18"/>
  <c r="M18" i="18"/>
  <c r="M73" i="18"/>
  <c r="M74" i="18"/>
  <c r="M103" i="18"/>
  <c r="M44" i="18"/>
  <c r="M81" i="18"/>
  <c r="M111" i="18"/>
  <c r="M82" i="18"/>
  <c r="M72" i="18"/>
  <c r="M52" i="18"/>
  <c r="M45" i="18"/>
  <c r="M95" i="18"/>
  <c r="M15" i="18"/>
  <c r="M104" i="18"/>
  <c r="M50" i="18"/>
  <c r="M105" i="18"/>
  <c r="M30" i="18"/>
  <c r="M113" i="18"/>
  <c r="M116" i="18"/>
  <c r="M12" i="18"/>
  <c r="M70" i="18"/>
  <c r="M20" i="18"/>
  <c r="M76" i="18"/>
  <c r="M51" i="18"/>
  <c r="M19" i="18"/>
  <c r="M92" i="18"/>
  <c r="K121" i="18"/>
  <c r="L121" i="18"/>
  <c r="M42" i="18"/>
  <c r="M96" i="18"/>
  <c r="M89" i="18"/>
  <c r="M90" i="18"/>
  <c r="M115" i="18"/>
  <c r="M26" i="18"/>
  <c r="M117" i="18"/>
  <c r="M80" i="18"/>
  <c r="M97" i="18"/>
  <c r="M100" i="18"/>
  <c r="M83" i="18"/>
  <c r="M41" i="18"/>
  <c r="M28" i="18"/>
  <c r="M60" i="18"/>
  <c r="M36" i="18"/>
  <c r="M75" i="18"/>
  <c r="M9" i="18"/>
  <c r="M14" i="18"/>
  <c r="M31" i="18"/>
  <c r="M56" i="18"/>
  <c r="M98" i="18"/>
  <c r="M87" i="18"/>
  <c r="M39" i="18"/>
  <c r="M16" i="18"/>
  <c r="M93" i="18"/>
  <c r="M77" i="18"/>
  <c r="M27" i="18"/>
  <c r="M5" i="18"/>
  <c r="M91" i="18"/>
  <c r="M110" i="18"/>
  <c r="K38" i="18"/>
  <c r="M38" i="18" s="1"/>
  <c r="K34" i="18"/>
  <c r="M34" i="18" s="1"/>
  <c r="K68" i="18"/>
  <c r="M68" i="18" s="1"/>
  <c r="K35" i="18"/>
  <c r="M35" i="18" s="1"/>
  <c r="K32" i="18"/>
  <c r="M32" i="18" s="1"/>
  <c r="K66" i="18"/>
  <c r="M66" i="18" s="1"/>
  <c r="K49" i="18"/>
  <c r="M49" i="18" s="1"/>
  <c r="K24" i="18"/>
  <c r="M24" i="18" s="1"/>
  <c r="K94" i="18"/>
  <c r="M94" i="18" s="1"/>
  <c r="K6" i="18"/>
  <c r="M6" i="18" s="1"/>
  <c r="K29" i="18"/>
  <c r="M29" i="18" s="1"/>
  <c r="K79" i="18"/>
  <c r="M79" i="18" s="1"/>
  <c r="K43" i="18"/>
  <c r="M43" i="18" s="1"/>
  <c r="K40" i="18"/>
  <c r="M40" i="18" s="1"/>
  <c r="K64" i="18"/>
  <c r="M64" i="18" s="1"/>
  <c r="K7" i="18"/>
  <c r="M7" i="18" s="1"/>
  <c r="K108" i="18"/>
  <c r="M108" i="18" s="1"/>
  <c r="K62" i="18"/>
  <c r="M62" i="18" s="1"/>
  <c r="K37" i="18"/>
  <c r="M37" i="18" s="1"/>
  <c r="K4" i="18"/>
  <c r="M4" i="18" s="1"/>
  <c r="K112" i="18"/>
  <c r="M112" i="18" s="1"/>
  <c r="K67" i="18"/>
  <c r="M67" i="18" s="1"/>
  <c r="K63" i="18"/>
  <c r="M63" i="18" s="1"/>
  <c r="K46" i="18"/>
  <c r="M46" i="18" s="1"/>
  <c r="K22" i="18"/>
  <c r="M22" i="18" s="1"/>
  <c r="K33" i="18"/>
  <c r="M33" i="18" s="1"/>
  <c r="K69" i="18"/>
  <c r="M69" i="18" s="1"/>
  <c r="K47" i="18"/>
  <c r="M47" i="18" s="1"/>
  <c r="K61" i="18"/>
  <c r="M61" i="18" s="1"/>
  <c r="K65" i="18"/>
  <c r="M65" i="18" s="1"/>
  <c r="K3" i="18"/>
  <c r="K107" i="18"/>
  <c r="M107" i="18" s="1"/>
  <c r="K48" i="18"/>
  <c r="M48" i="18" s="1"/>
  <c r="K21" i="18"/>
  <c r="M21" i="18" s="1"/>
  <c r="K78" i="18"/>
  <c r="M78" i="18" s="1"/>
  <c r="H145" i="33" l="1"/>
  <c r="J145" i="33" s="1"/>
  <c r="H150" i="33"/>
  <c r="J150" i="33" s="1"/>
  <c r="H149" i="33"/>
  <c r="J149" i="33" s="1"/>
  <c r="H148" i="33"/>
  <c r="J148" i="33" s="1"/>
  <c r="H144" i="33"/>
  <c r="J144" i="33" s="1"/>
  <c r="H147" i="33"/>
  <c r="J147" i="33" s="1"/>
  <c r="H146" i="33"/>
  <c r="J146" i="33" s="1"/>
  <c r="H141" i="33"/>
  <c r="J141" i="33" s="1"/>
  <c r="H138" i="33"/>
  <c r="J138" i="33" s="1"/>
  <c r="H143" i="33"/>
  <c r="J143" i="33" s="1"/>
  <c r="H140" i="33"/>
  <c r="J140" i="33" s="1"/>
  <c r="H152" i="33"/>
  <c r="J152" i="33" s="1"/>
  <c r="H142" i="33"/>
  <c r="J142" i="33" s="1"/>
  <c r="H139" i="33"/>
  <c r="J139" i="33" s="1"/>
  <c r="H153" i="33"/>
  <c r="J153" i="33" s="1"/>
  <c r="H151" i="33"/>
  <c r="J151" i="33" s="1"/>
  <c r="C3" i="18"/>
  <c r="J3" i="18" s="1"/>
  <c r="M3" i="18" s="1"/>
  <c r="K121" i="13"/>
  <c r="C121" i="18" s="1"/>
  <c r="J121" i="18" s="1"/>
  <c r="M121" i="18" s="1"/>
  <c r="B3" i="1"/>
  <c r="B18" i="1" s="1"/>
  <c r="B8" i="1" l="1"/>
  <c r="B13" i="1"/>
  <c r="A8" i="25" l="1"/>
  <c r="A9" i="25"/>
  <c r="A7" i="25"/>
  <c r="A6" i="25"/>
  <c r="A14" i="25"/>
  <c r="J121" i="13" l="1"/>
  <c r="A11" i="25" l="1"/>
  <c r="A13" i="25"/>
  <c r="A10" i="25"/>
  <c r="A12" i="25"/>
  <c r="A5" i="25"/>
  <c r="A3" i="29"/>
  <c r="A4" i="25"/>
  <c r="G26" i="13" l="1"/>
  <c r="G48" i="13"/>
  <c r="G70" i="13"/>
  <c r="G92" i="13"/>
  <c r="G114" i="13"/>
  <c r="G6" i="13"/>
  <c r="G50" i="13"/>
  <c r="G72" i="13"/>
  <c r="G116" i="13"/>
  <c r="G51" i="13"/>
  <c r="G95" i="13"/>
  <c r="G8" i="13"/>
  <c r="G74" i="13"/>
  <c r="G118" i="13"/>
  <c r="G31" i="13"/>
  <c r="G75" i="13"/>
  <c r="G97" i="13"/>
  <c r="G54" i="13"/>
  <c r="G120" i="13"/>
  <c r="G11" i="13"/>
  <c r="G55" i="13"/>
  <c r="G99" i="13"/>
  <c r="G12" i="13"/>
  <c r="G56" i="13"/>
  <c r="G78" i="13"/>
  <c r="G16" i="13"/>
  <c r="G82" i="13"/>
  <c r="G17" i="13"/>
  <c r="G83" i="13"/>
  <c r="G18" i="13"/>
  <c r="G62" i="13"/>
  <c r="G106" i="13"/>
  <c r="G19" i="13"/>
  <c r="G85" i="13"/>
  <c r="G42" i="13"/>
  <c r="G64" i="13"/>
  <c r="G86" i="13"/>
  <c r="G21" i="13"/>
  <c r="G43" i="13"/>
  <c r="G87" i="13"/>
  <c r="G44" i="13"/>
  <c r="G88" i="13"/>
  <c r="G45" i="13"/>
  <c r="G89" i="13"/>
  <c r="G46" i="13"/>
  <c r="G112" i="13"/>
  <c r="G25" i="13"/>
  <c r="G69" i="13"/>
  <c r="G91" i="13"/>
  <c r="G5" i="13"/>
  <c r="G27" i="13"/>
  <c r="G49" i="13"/>
  <c r="G71" i="13"/>
  <c r="G93" i="13"/>
  <c r="G115" i="13"/>
  <c r="G28" i="13"/>
  <c r="G94" i="13"/>
  <c r="G29" i="13"/>
  <c r="G73" i="13"/>
  <c r="G117" i="13"/>
  <c r="G30" i="13"/>
  <c r="G52" i="13"/>
  <c r="G96" i="13"/>
  <c r="G9" i="13"/>
  <c r="G53" i="13"/>
  <c r="G119" i="13"/>
  <c r="G10" i="13"/>
  <c r="G32" i="13"/>
  <c r="G76" i="13"/>
  <c r="G98" i="13"/>
  <c r="G33" i="13"/>
  <c r="G77" i="13"/>
  <c r="G34" i="13"/>
  <c r="G100" i="13"/>
  <c r="G13" i="13"/>
  <c r="G35" i="13"/>
  <c r="G57" i="13"/>
  <c r="G79" i="13"/>
  <c r="G101" i="13"/>
  <c r="G14" i="13"/>
  <c r="G36" i="13"/>
  <c r="G58" i="13"/>
  <c r="G80" i="13"/>
  <c r="G102" i="13"/>
  <c r="G15" i="13"/>
  <c r="G37" i="13"/>
  <c r="G59" i="13"/>
  <c r="G81" i="13"/>
  <c r="G103" i="13"/>
  <c r="G38" i="13"/>
  <c r="G60" i="13"/>
  <c r="G104" i="13"/>
  <c r="G39" i="13"/>
  <c r="G61" i="13"/>
  <c r="G105" i="13"/>
  <c r="G40" i="13"/>
  <c r="G84" i="13"/>
  <c r="G63" i="13"/>
  <c r="G107" i="13"/>
  <c r="G20" i="13"/>
  <c r="G108" i="13"/>
  <c r="G109" i="13"/>
  <c r="G22" i="13"/>
  <c r="G66" i="13"/>
  <c r="G23" i="13"/>
  <c r="G67" i="13"/>
  <c r="G24" i="13"/>
  <c r="G68" i="13"/>
  <c r="G47" i="13"/>
  <c r="G7" i="13"/>
  <c r="G41" i="13"/>
  <c r="G65" i="13"/>
  <c r="G110" i="13"/>
  <c r="G111" i="13"/>
  <c r="G90" i="13"/>
  <c r="G113" i="13"/>
  <c r="AB4" i="21" l="1"/>
  <c r="AB5" i="21"/>
  <c r="AB6" i="21"/>
  <c r="AB7" i="21"/>
  <c r="AB8" i="21"/>
  <c r="H5" i="21"/>
  <c r="H6" i="21"/>
  <c r="H7" i="21"/>
  <c r="H8" i="21"/>
  <c r="H9" i="21"/>
  <c r="H10" i="21"/>
  <c r="H11" i="21"/>
  <c r="H12" i="21"/>
  <c r="H13" i="21"/>
  <c r="H14" i="21"/>
  <c r="H15" i="21"/>
  <c r="H16" i="21"/>
  <c r="H17" i="21"/>
  <c r="H18" i="21"/>
  <c r="H19" i="21"/>
</calcChain>
</file>

<file path=xl/sharedStrings.xml><?xml version="1.0" encoding="utf-8"?>
<sst xmlns="http://schemas.openxmlformats.org/spreadsheetml/2006/main" count="2119" uniqueCount="788">
  <si>
    <t>Data Sources</t>
  </si>
  <si>
    <t>Dataset</t>
  </si>
  <si>
    <t>Dodge 2023</t>
  </si>
  <si>
    <r>
      <rPr>
        <sz val="10"/>
        <color rgb="FF000000"/>
        <rFont val="Arial"/>
        <family val="2"/>
      </rPr>
      <t xml:space="preserve">Commercial End-Use Survey </t>
    </r>
    <r>
      <rPr>
        <sz val="10"/>
        <color theme="1"/>
        <rFont val="Arial"/>
        <family val="2"/>
      </rPr>
      <t>(CEUS) 2022</t>
    </r>
  </si>
  <si>
    <t>https://www.energy.ca.gov/publications/2023/2022-california-commercial-end-use-survey-ceus-final-report</t>
  </si>
  <si>
    <t xml:space="preserve"> </t>
  </si>
  <si>
    <r>
      <rPr>
        <sz val="10"/>
        <color rgb="FF000000"/>
        <rFont val="Arial"/>
        <family val="2"/>
      </rPr>
      <t>Commercial Buildings Energy Consumption Survey</t>
    </r>
    <r>
      <rPr>
        <sz val="10"/>
        <color theme="1"/>
        <rFont val="Arial"/>
        <family val="2"/>
      </rPr>
      <t xml:space="preserve"> (CBECS) 2018</t>
    </r>
  </si>
  <si>
    <t>https://www.eia.gov/consumption/commercial/data/2018/index.php</t>
  </si>
  <si>
    <t>ComStock 2023</t>
  </si>
  <si>
    <t>https://www.nrel.gov/buildings/comstock</t>
  </si>
  <si>
    <t>Prototype</t>
  </si>
  <si>
    <r>
      <rPr>
        <sz val="10"/>
        <color rgb="FF000000"/>
        <rFont val="Arial"/>
        <family val="2"/>
      </rPr>
      <t>Pacific Northwest National Laboratory</t>
    </r>
    <r>
      <rPr>
        <sz val="10"/>
        <color rgb="FF000000"/>
        <rFont val="Arial"/>
        <family val="2"/>
      </rPr>
      <t xml:space="preserve"> (PNNL) Outpatient prototype (90.1-2022)</t>
    </r>
  </si>
  <si>
    <t>https://www.energycodes.gov/prototype-building-models#Commercial</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</si>
  <si>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</si>
  <si>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</si>
  <si>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</si>
  <si>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</si>
  <si>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</si>
  <si>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rPr>
        <sz val="10"/>
        <color rgb="FF000000"/>
        <rFont val="Arial"/>
        <family val="2"/>
      </rPr>
      <t>American Society of Heating, Refrigerating and Air-Conditioning Engineers</t>
    </r>
    <r>
      <rPr>
        <sz val="10"/>
        <color theme="1"/>
        <rFont val="Arial"/>
        <family val="2"/>
      </rPr>
      <t xml:space="preserve"> (ASHRAE) 90.1 (2022)</t>
    </r>
  </si>
  <si>
    <t>https://www.ashrae.org/technical-resources/standards-and-guidelines/read-only-versions-of-ashrae-standards</t>
  </si>
  <si>
    <r>
      <rPr>
        <sz val="10"/>
        <color rgb="FF000000"/>
        <rFont val="Arial"/>
        <family val="2"/>
      </rPr>
      <t>Code of Federal Regulations</t>
    </r>
    <r>
      <rPr>
        <sz val="10"/>
        <color rgb="FF000000"/>
        <rFont val="Arial"/>
        <family val="2"/>
      </rPr>
      <t xml:space="preserve"> (CFR) Title 10 (2008, 2010)</t>
    </r>
  </si>
  <si>
    <t>https://www.govinfo.gov/content/pkg/FR-2009-03-23/pdf/FR-2009-03-23.pdf</t>
  </si>
  <si>
    <t>ASHRAE 170/OSHPD</t>
  </si>
  <si>
    <t>https://www.ashrae.org/technical-resources/bookstore/health-care-facilities-resources</t>
  </si>
  <si>
    <t>2022 California Mechanical Code (Title 24, Part 4)</t>
  </si>
  <si>
    <t>https://up.codes/viewer/california/ca-mechanical-code-2022</t>
  </si>
  <si>
    <r>
      <rPr>
        <sz val="10"/>
        <color rgb="FF000000"/>
        <rFont val="Arial"/>
        <family val="2"/>
      </rPr>
      <t>Facility Guidelines Institute Codes</t>
    </r>
    <r>
      <rPr>
        <sz val="10"/>
        <color rgb="FF000000"/>
        <rFont val="Arial"/>
        <family val="2"/>
      </rPr>
      <t xml:space="preserve"> (FGI) 2022 Guidelines for Design and Construction of Outpatient Facilities</t>
    </r>
  </si>
  <si>
    <t>https://onesource.fgicodes.org/products/2022-guidelines-for-design-and-construction-of-outpatient-facilities</t>
  </si>
  <si>
    <t>Other</t>
  </si>
  <si>
    <r>
      <rPr>
        <sz val="10"/>
        <color rgb="FF000000"/>
        <rFont val="Arial"/>
        <family val="2"/>
      </rPr>
      <t>Alternative Calculation Method</t>
    </r>
    <r>
      <rPr>
        <sz val="10"/>
        <color theme="1"/>
        <rFont val="Arial"/>
        <family val="2"/>
      </rPr>
      <t xml:space="preserve"> (ACM) (2022)</t>
    </r>
  </si>
  <si>
    <t>https://www.energy.ca.gov/publications/2022/2022-nonresidential-and-multifamily-alternative-calculation-method-reference</t>
  </si>
  <si>
    <r>
      <rPr>
        <sz val="10"/>
        <color rgb="FF000000"/>
        <rFont val="Arial"/>
        <family val="2"/>
      </rPr>
      <t>Nonres ACM 2022,</t>
    </r>
    <r>
      <rPr>
        <sz val="10"/>
        <color theme="1"/>
        <rFont val="Arial"/>
        <family val="2"/>
      </rPr>
      <t xml:space="preserve"> Appendix 5.4A and Appendix 5.4B</t>
    </r>
  </si>
  <si>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</si>
  <si>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</si>
  <si>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</si>
  <si>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</si>
  <si>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</si>
  <si>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</si>
  <si>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PNNL-26949</t>
  </si>
  <si>
    <t>https://www.pnnl.gov/main/publications/external/technical_reports/PNNL-26949.pdf</t>
  </si>
  <si>
    <t>Air leakage Memo, NORESCO, 2025</t>
  </si>
  <si>
    <t>https://2050partners.sharepoint.com/:w:/r/sites/CalBEMCollaborativeEfforts/_layouts/15/Doc.aspx?sourcedoc=%7B3BEF8F74-7FAC-44F2-A70C-D76617660066%7D&amp;file=Infiltration_rate_report_14May2025-Short-Version.docx&amp;wdLOR=c494C5A60-5F8A-438B-874B-578DCB850072&amp;action=default&amp;mobileredirect=true</t>
  </si>
  <si>
    <t>2019 High Efficiency Fume Hoods in Laboratory Spaces CASE Report</t>
  </si>
  <si>
    <t>https://title24stakeholders.com/wp-content/uploads/2017/09/2019-T24-CASE-Report_Fume-Hoods_Final_September-2017.pdf?</t>
  </si>
  <si>
    <t>Targeting 100! Envisioning the High Performance Hospital: Implications for a New, Low Energy, High Performance Prototype</t>
  </si>
  <si>
    <t>https://idl.be.uw.edu/wp-content/uploads/sites/32/2017/08/Targeting100_FullReport_063010.pdf</t>
  </si>
  <si>
    <t xml:space="preserve">ASHRAE's Advanced Energy Design Guide for Large Hospitals-50% (AEDG)  </t>
  </si>
  <si>
    <t>https://www.ashrae.org/technical-resources/aedgs/50-percent-aedg-free-download</t>
  </si>
  <si>
    <t>American Hospital Association (AHA) Statistics  data for Hospital</t>
  </si>
  <si>
    <t>https://www.ahadata.com/aha-hospital-statistics</t>
  </si>
  <si>
    <t>AEDG TSD: Bonnema, E., Doebber, I., Pless, S., Torcellini, P. (2010). NREL/TP-550-46314.</t>
  </si>
  <si>
    <t>https://docs.nlr.gov/docs/fy10osti/46314.pdf</t>
  </si>
  <si>
    <t>Yousefi, F., Athalye, R., (2025), "Determining Vintage Bins for Prototype Development: An Analysis of California Commercial Buildings," ASHRAE Annual Conference</t>
  </si>
  <si>
    <t>https://www.thefreelibrary.com/Determining+Vintage+Bins+for+Prototype+Development%3a+An+Analysis+of...-a0879271125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</si>
  <si>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</si>
  <si>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</si>
  <si>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</si>
  <si>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</si>
  <si>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</si>
  <si>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</si>
  <si>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</si>
  <si>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 the general healthcare trends which apply to the broader Healthcare category, not outpatient.</t>
  </si>
  <si>
    <t>Notes</t>
  </si>
  <si>
    <t>Outpatient</t>
  </si>
  <si>
    <r>
      <t xml:space="preserve">An outpatient healthcare facility (also called an ambulatory care facility, outpatient clinic, or clinic) provides diagnostic, treatment, or surgical services to patients who go home the same day. There is no overnight inpatient stay. The building may be freestanding or attached to a hospital. It typically operates about 8–10 hours per day, not 24/7.
FGI Guidelines for Design and Construction of Outpatient Facilities (2022), Part 2, splits this building family by program (surgery, imaging, urgent care, primary care, and others). Those programs do not share the same layout or HVAC, so they are not all represented by one energy model.
</t>
    </r>
    <r>
      <rPr>
        <b/>
        <sz val="11"/>
        <color rgb="FF000000"/>
        <rFont val="Arial"/>
        <family val="2"/>
      </rPr>
      <t xml:space="preserve">This CalBEM prototype </t>
    </r>
    <r>
      <rPr>
        <sz val="11"/>
        <color rgb="FF000000"/>
        <rFont val="Arial"/>
        <family val="2"/>
      </rPr>
      <t>is a ~41,000 ft², three-story outpatient surgical/diagnostic building (PNNL/NREL geometry). Floor 1 is surgery and recovery; floors 2–3 are exam, office, and physical therapy. It represents FGI 2.7 Outpatient Surgery, with 2.3 Imaging, 2.2 General and Specialty Medical Services, and 2.12 Rehabilitation Therapy as they appear on that floor plan. HVAC follows healthcare ventilation (ASHRAE 170 / FGI / CMC Table 4-A) for procedure, imaging, and operating rooms.
This prototype is not:
a hospital (overnight / 24-hour inpatient care; CBECS inpatient mean 264,800 ft²);
a medical office without diagnostic equipment (Office prototype);
a typical small diagnostic medical office (CBECS mean 9,900 ft²);
an urgent care, only, birth center, infusion, freestanding ED, endoscopy-only, dialysis, behavioral health, mobile unit, or dental facility (FGI 2.4–2.6, 2.8–2.11, 2.13–2.14). Those types would need a different layout and model.</t>
    </r>
  </si>
  <si>
    <t>EIA, 2018 CBECS</t>
  </si>
  <si>
    <t>On average, hospitals were 264,800 square feet per building, but outpatient health care buildings averaged 13,700 square feet.</t>
  </si>
  <si>
    <t>Source</t>
  </si>
  <si>
    <t>https://www.eia.gov/consumption/commercial/</t>
  </si>
  <si>
    <t>NORESCO, Updated September 2026</t>
  </si>
  <si>
    <t>Characteristic</t>
  </si>
  <si>
    <t>Value</t>
  </si>
  <si>
    <t>Building Type</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</si>
  <si>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</si>
  <si>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</si>
  <si>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</si>
  <si>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</si>
  <si>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</si>
  <si>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</si>
  <si>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</si>
  <si>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</si>
  <si>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The analysis uses prototype geometry originally developed by PNNL. </t>
  </si>
  <si>
    <t>Total Floor Area (ft²)</t>
  </si>
  <si>
    <t>Assumption; based on AEDG TSD (Table ES-1 / Table 4-2 (41,000 ft²); Appendix D (40,946 ft²). Rounded.)</t>
  </si>
  <si>
    <t>Aspect Ratio</t>
  </si>
  <si>
    <t>n/a</t>
  </si>
  <si>
    <t>Assumption; based on AEDG TSD  §4.2, Figures 4-5–4-7 (non-rectangular plates)</t>
  </si>
  <si>
    <t>Number of Floors</t>
  </si>
  <si>
    <t>Assumption; based on AEDG TSD (Table ES-1 / Table 4-2</t>
  </si>
  <si>
    <t>Roof type</t>
  </si>
  <si>
    <t>Flat roof</t>
  </si>
  <si>
    <t>Assumption; based on AEDG TSD (Table ES-1 / Table 4-2 (insulation entirely above deck); §5.3</t>
  </si>
  <si>
    <t>WWR</t>
  </si>
  <si>
    <t>North: 20.5%, East:19.1%, South: 24.1%, West: 12.9%
Average Total: 20%</t>
  </si>
  <si>
    <t>Assumption; based on AEDG TSD (Average: Table 4-2 / Table 5-1. By façade: Appendix D)</t>
  </si>
  <si>
    <t>Shading Geometry</t>
  </si>
  <si>
    <t>Fixed entrance canopy (12 ft)</t>
  </si>
  <si>
    <t>Assumption; based on review feedback</t>
  </si>
  <si>
    <t>Floor to floor height (feet)</t>
  </si>
  <si>
    <t xml:space="preserve">10 ft </t>
  </si>
  <si>
    <t>Assumption; based on AEDG Table TSD (5-1 ceiling 10 ft; no plenums, §5.2.1)</t>
  </si>
  <si>
    <t>Floor to ceiling height (feet)</t>
  </si>
  <si>
    <t>10 ft</t>
  </si>
  <si>
    <t>Glazing sill height (feet)</t>
  </si>
  <si>
    <t>3 ft (4 ft high windows)</t>
  </si>
  <si>
    <t>Typical window sill height-PNNL</t>
  </si>
  <si>
    <t>Above grade wall area (ft²)</t>
  </si>
  <si>
    <t>Gross wall area  (ft²)</t>
  </si>
  <si>
    <t>Roof area  (ft²)</t>
  </si>
  <si>
    <t>Underground Gross Wall Area  (ft²)</t>
  </si>
  <si>
    <t>Building</t>
  </si>
  <si>
    <t>Space/ Thermal Zone</t>
  </si>
  <si>
    <r>
      <rPr>
        <b/>
        <sz val="10"/>
        <color rgb="FF000000"/>
        <rFont val="Arial"/>
        <family val="2"/>
      </rPr>
      <t xml:space="preserve">Space Type 
</t>
    </r>
    <r>
      <rPr>
        <b/>
        <sz val="10"/>
        <color rgb="FF000000"/>
        <rFont val="Arial"/>
        <family val="2"/>
      </rPr>
      <t>Primarily from [T24, 2022 Appendix 5.4A] - See Notes column</t>
    </r>
  </si>
  <si>
    <t>HVAC System Name</t>
  </si>
  <si>
    <t>Schedule Category</t>
  </si>
  <si>
    <t>Conditioned (Y/N)</t>
  </si>
  <si>
    <t>Area Fraction</t>
  </si>
  <si>
    <t>Area (ft²)</t>
  </si>
  <si>
    <t>Volume (ft³)</t>
  </si>
  <si>
    <t>Multipliers</t>
  </si>
  <si>
    <t>Number of People</t>
  </si>
  <si>
    <t xml:space="preserve">People 
(Persons/1,000 ft²)
[T24, 2025,Table 120.1-A and NACM Appendix 5.4A] </t>
  </si>
  <si>
    <t>Floor 1 Anesthesia</t>
  </si>
  <si>
    <t>Healthcare Facility and Hospitals (Exam/Treatment Room)</t>
  </si>
  <si>
    <t>AHU-4</t>
  </si>
  <si>
    <t>Health</t>
  </si>
  <si>
    <t>Yes</t>
  </si>
  <si>
    <t>Floor 1 Bio Haz</t>
  </si>
  <si>
    <t>Healthcare Facility and Hospitals (Medical Supply Room)</t>
  </si>
  <si>
    <t>AHU-1</t>
  </si>
  <si>
    <t>Floor 1 Café</t>
  </si>
  <si>
    <t>Dining Area (Cafeteria/Fast Food)</t>
  </si>
  <si>
    <t>Floor 1 Clean</t>
  </si>
  <si>
    <t>Floor 1 Clean Work</t>
  </si>
  <si>
    <t>Floor 1 Dictation</t>
  </si>
  <si>
    <t>Office Area (&lt;250 square feet)</t>
  </si>
  <si>
    <t>Office</t>
  </si>
  <si>
    <t>Floor 1 Dressing Room</t>
  </si>
  <si>
    <t>Floor 1 Electrical Room</t>
  </si>
  <si>
    <t>Electrical, Mechanical, Telephone Rooms</t>
  </si>
  <si>
    <t>Ancillary</t>
  </si>
  <si>
    <t>Floor 1 Elevator Pump Room</t>
  </si>
  <si>
    <t>Floor 1 Humid</t>
  </si>
  <si>
    <t>Floor 1 IT Hall</t>
  </si>
  <si>
    <t>Corridor Area</t>
  </si>
  <si>
    <t>Floor 1 IT Room</t>
  </si>
  <si>
    <t>Floor 1 Lobby</t>
  </si>
  <si>
    <t>Lobby, Main Entry</t>
  </si>
  <si>
    <t>Floor 1 Lobby Hall</t>
  </si>
  <si>
    <t>Floor 1 Lobby Toilet</t>
  </si>
  <si>
    <t>Restrooms</t>
  </si>
  <si>
    <t>Floor 1 Locker Room</t>
  </si>
  <si>
    <t>Locker Room</t>
  </si>
  <si>
    <t>Floor 1 Locker Room Hall</t>
  </si>
  <si>
    <t>Floor 1 Lounge</t>
  </si>
  <si>
    <t>Lounge, Breakroom, or Waiting Area</t>
  </si>
  <si>
    <t>Floor 1 Med Gas</t>
  </si>
  <si>
    <t>Floor 1 MRI Control Room</t>
  </si>
  <si>
    <t>Healthcare Facility and Hospitals (Imaging Room)</t>
  </si>
  <si>
    <t>Floor 1 MRI Hall</t>
  </si>
  <si>
    <t>Floor 1 MRI Room</t>
  </si>
  <si>
    <t>Floor 1 MRI Toilet</t>
  </si>
  <si>
    <t>Floor 1 Nourishment</t>
  </si>
  <si>
    <t>Kitchen/Food Preparation Area</t>
  </si>
  <si>
    <t>Floor 1 Nurse Hall</t>
  </si>
  <si>
    <t>Floor 1 Nurse Janitor</t>
  </si>
  <si>
    <t>Storage (General)</t>
  </si>
  <si>
    <t>Floor 1 Nurse Station</t>
  </si>
  <si>
    <t>Healthcare Facility and Hospitals (Nurse's Station)</t>
  </si>
  <si>
    <t>Floor 1 Nurse Toilet</t>
  </si>
  <si>
    <t>Floor 1 Office</t>
  </si>
  <si>
    <t>Office Area (&gt;250 square feet)</t>
  </si>
  <si>
    <t>Floor 1 Operating Room 1</t>
  </si>
  <si>
    <t>Healthcare Facility and Hospitals (Operating Room)</t>
  </si>
  <si>
    <t>Floor 1 Operating Room 2</t>
  </si>
  <si>
    <t>Floor 1 Operating Room 3</t>
  </si>
  <si>
    <t>Floor 1 PACU</t>
  </si>
  <si>
    <t>Healthcare Facility and Hospitals (Recovery Room)</t>
  </si>
  <si>
    <t>Floor 1 Pre-Op Hall</t>
  </si>
  <si>
    <t>Floor 1 Pre-Op Room 1</t>
  </si>
  <si>
    <t>Healthcare Facility and Hospitals (Patient Room)</t>
  </si>
  <si>
    <t>Floor 1 Pre-Op Room 2</t>
  </si>
  <si>
    <t>Floor 1 Pre-Op Toilet</t>
  </si>
  <si>
    <t>Floor 1 Procedure Room</t>
  </si>
  <si>
    <t>Floor 1 Reception</t>
  </si>
  <si>
    <t>Reception area</t>
  </si>
  <si>
    <t>Floor 1 Reception Hall</t>
  </si>
  <si>
    <t>Floor 1 Recovery Room</t>
  </si>
  <si>
    <t>Floor 1 Scheduling</t>
  </si>
  <si>
    <t>Floor 1 Scrub</t>
  </si>
  <si>
    <t>Floor 1 Soil</t>
  </si>
  <si>
    <t>Floor 1 Soil Hold</t>
  </si>
  <si>
    <t>Floor 1 Soil Work</t>
  </si>
  <si>
    <t>Floor 1 Step Down</t>
  </si>
  <si>
    <t>Floor 1 Sterile Hall</t>
  </si>
  <si>
    <t>Floor 1 Sterile Storage</t>
  </si>
  <si>
    <t>Floor 1 Storage</t>
  </si>
  <si>
    <t>Floor 1 Sub-Sterile</t>
  </si>
  <si>
    <t>Floor 1 Utility Hall</t>
  </si>
  <si>
    <t>Floor 1 Utility Janitor</t>
  </si>
  <si>
    <t>Floor 1 Utility Room</t>
  </si>
  <si>
    <t>Floor 1 Vestibule</t>
  </si>
  <si>
    <t>Floor 2 Conference</t>
  </si>
  <si>
    <t>Convention, Conference, Multipurpose and Meeting Area</t>
  </si>
  <si>
    <t>AHU-2</t>
  </si>
  <si>
    <t>Floor 2 Conference Toilet</t>
  </si>
  <si>
    <t>Floor 2 Dictation</t>
  </si>
  <si>
    <t>Floor 2 Exam 1</t>
  </si>
  <si>
    <t>Floor 2 Exam 2</t>
  </si>
  <si>
    <t>Floor 2 Exam 3</t>
  </si>
  <si>
    <t>Floor 2 Exam 4</t>
  </si>
  <si>
    <t>Floor 2 Exam 5</t>
  </si>
  <si>
    <t>Floor 2 Exam 6</t>
  </si>
  <si>
    <t>Floor 2 Exam 7</t>
  </si>
  <si>
    <t>Floor 2 Exam 8</t>
  </si>
  <si>
    <t>Floor 2 Exam 9</t>
  </si>
  <si>
    <t>Floor 2 Exam Hall 1</t>
  </si>
  <si>
    <t>Floor 2 Exam Hall 2</t>
  </si>
  <si>
    <t>Floor 2 Exam Hall 3</t>
  </si>
  <si>
    <t>Floor 2 Exam Hall 4</t>
  </si>
  <si>
    <t>Floor 2 Exam Hall 5</t>
  </si>
  <si>
    <t>Floor 2 Exam Hall 6</t>
  </si>
  <si>
    <t>Floor 2 Janitor</t>
  </si>
  <si>
    <t>Floor 2 Lounge</t>
  </si>
  <si>
    <t>Floor 2 Nurse Station 1</t>
  </si>
  <si>
    <t>Floor 2 Nurse Station 2</t>
  </si>
  <si>
    <t>Floor 2 Office</t>
  </si>
  <si>
    <t>Floor 2 Office Hall</t>
  </si>
  <si>
    <t>Floor 2 Reception</t>
  </si>
  <si>
    <t>Floor 2 Reception Hall</t>
  </si>
  <si>
    <t>Floor 2 Reception Toilet</t>
  </si>
  <si>
    <t>Floor 2 Scheduling 1</t>
  </si>
  <si>
    <t>Floor 2 Scheduling 2</t>
  </si>
  <si>
    <t>Floor 2 Storage 1</t>
  </si>
  <si>
    <t>Floor 2 Storage 2</t>
  </si>
  <si>
    <t>Floor 2 Storage 3</t>
  </si>
  <si>
    <t>Floor 2 Utility</t>
  </si>
  <si>
    <t>Floor 2 Work</t>
  </si>
  <si>
    <t>Floor 2 Work Hall</t>
  </si>
  <si>
    <t>Floor 2 Work Toilet</t>
  </si>
  <si>
    <t>Floor 2 X-Ray</t>
  </si>
  <si>
    <t>Floor 3 Dressing Room</t>
  </si>
  <si>
    <t>AHU-3</t>
  </si>
  <si>
    <t>Floor 3 Elevator Hall</t>
  </si>
  <si>
    <t>Floor 3 Humid</t>
  </si>
  <si>
    <t>Floor 3 Janitor</t>
  </si>
  <si>
    <t>Floor 3 Locker</t>
  </si>
  <si>
    <t>Floor 3 Lounge</t>
  </si>
  <si>
    <t>Floor 3 Lounge Toilet</t>
  </si>
  <si>
    <t>Floor 3 Mechanical</t>
  </si>
  <si>
    <t>Floor 3 Mechanical Hall</t>
  </si>
  <si>
    <t>Floor 3 Office</t>
  </si>
  <si>
    <t>Floor 3 Office Hall</t>
  </si>
  <si>
    <t>Floor 3 Office Toilet</t>
  </si>
  <si>
    <t>Floor 3 Physical Therapy 1</t>
  </si>
  <si>
    <t>Healthcare Facility and Hospitals (Physical Therapy Room)</t>
  </si>
  <si>
    <t>Floor 3 Physical Therapy 2</t>
  </si>
  <si>
    <t>Floor 3 Physical Therapy Toilet</t>
  </si>
  <si>
    <t>Floor 3 Storage 1</t>
  </si>
  <si>
    <t>Floor 3 Storage 2</t>
  </si>
  <si>
    <t>Floor 3 Treatment</t>
  </si>
  <si>
    <t>Floor 3 Undeveloped 1</t>
  </si>
  <si>
    <t>Floor 3 Undeveloped 2</t>
  </si>
  <si>
    <t>Floor 3 Utility</t>
  </si>
  <si>
    <t>Floor 3 Work</t>
  </si>
  <si>
    <t>NE Stair</t>
  </si>
  <si>
    <t>Stairwell</t>
  </si>
  <si>
    <t>NW Elevator</t>
  </si>
  <si>
    <t>Elevator</t>
  </si>
  <si>
    <t>Unconditioned</t>
  </si>
  <si>
    <t>NW Stair</t>
  </si>
  <si>
    <t>SW Stair</t>
  </si>
  <si>
    <t>Total (1 Building)</t>
  </si>
  <si>
    <t>Total ( 118 spaces)</t>
  </si>
  <si>
    <t>Total (23 Space types)</t>
  </si>
  <si>
    <t>Total ( Thermal Zones)</t>
  </si>
  <si>
    <t xml:space="preserve"> Total ( 118 Conditioned zones)</t>
  </si>
  <si>
    <t>Element</t>
  </si>
  <si>
    <t xml:space="preserve"> Assembly Type</t>
  </si>
  <si>
    <t>Construction</t>
  </si>
  <si>
    <t>Unit</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</si>
  <si>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</si>
  <si>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</si>
  <si>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</si>
  <si>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</si>
  <si>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</si>
  <si>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</si>
  <si>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</si>
  <si>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</si>
  <si>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</si>
  <si>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</si>
  <si>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</si>
  <si>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</si>
  <si>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</si>
  <si>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</si>
  <si>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</si>
  <si>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</si>
  <si>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</si>
  <si>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</si>
  <si>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</si>
  <si>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</si>
  <si>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r>
      <rPr>
        <sz val="10"/>
        <color rgb="FF000000"/>
        <rFont val="Arial"/>
        <family val="2"/>
      </rPr>
      <t xml:space="preserve">Metal framed wall:
</t>
    </r>
    <r>
      <rPr>
        <sz val="10"/>
        <color rgb="FF000000"/>
        <rFont val="Arial"/>
        <family val="2"/>
      </rPr>
      <t>Metal frame + insulation + gypsum board (Same as PNNL model, Analysis for Building Envelopes and Mechanical Systems Using 2012 CBECS Data, PNNL-26949, March 2018.)</t>
    </r>
  </si>
  <si>
    <t>U-value IP</t>
  </si>
  <si>
    <t>Pre 1978</t>
  </si>
  <si>
    <t>N/A</t>
  </si>
  <si>
    <t>ASHRAE 90.1,2022 Table A3.3.3.1, 3.5", R-0</t>
  </si>
  <si>
    <t>1978-1997</t>
  </si>
  <si>
    <t>Copied from High-rise office alternative requirements (Table 2-53W): Package A with heat capacity between 10-14.99 (Btu/F-ft²)
*T24, 1986, Table 2-53BB presents U-factors less than the next vintage (for wall density of 26-40 lb/ft² &amp; Degree day&lt;3500)!</t>
  </si>
  <si>
    <t>1998-2007</t>
  </si>
  <si>
    <t>Table 1-H</t>
  </si>
  <si>
    <t>2008-2018</t>
  </si>
  <si>
    <t>Table 140.3-B</t>
  </si>
  <si>
    <t>Existing</t>
  </si>
  <si>
    <t>2019+</t>
  </si>
  <si>
    <t>Roof</t>
  </si>
  <si>
    <t>FlatRoof_WoodFramedAndOther_NonRes</t>
  </si>
  <si>
    <r>
      <rPr>
        <sz val="10"/>
        <color rgb="FF000000"/>
        <rFont val="Arial"/>
        <family val="2"/>
      </rPr>
      <t xml:space="preserve">Metal deck roof: 
</t>
    </r>
    <r>
      <rPr>
        <sz val="10"/>
        <color rgb="FF000000"/>
        <rFont val="Arial"/>
        <family val="2"/>
      </rPr>
      <t>Roof membrane + roof insulation + metal decking (Same as PNNL)</t>
    </r>
  </si>
  <si>
    <t>Considering 30 years for roof/ insulation replacement.</t>
  </si>
  <si>
    <t>New Construction</t>
  </si>
  <si>
    <t>Windows</t>
  </si>
  <si>
    <t>FixedWindow_NonRes</t>
  </si>
  <si>
    <t xml:space="preserve">Single pane </t>
  </si>
  <si>
    <t>ASHRAE Handbook of Fundamentals (Table 4-Ch15) for single pane &amp; T24, 2013  for double pane(88%-12%)*</t>
  </si>
  <si>
    <t>Double pane</t>
  </si>
  <si>
    <t>SHGC</t>
  </si>
  <si>
    <t>ASHRAE Handbook of Fundamentals (Table 10-Ch15) for single pane &amp; T24, 2013  for double pane(88%-12%)*</t>
  </si>
  <si>
    <t>Table 1-H (Non North, WWR:11-20% )</t>
  </si>
  <si>
    <t xml:space="preserve">*(According to CBECS 2018, ~ 88% of windows of healthcare buildings built before 2000 are single pane) </t>
  </si>
  <si>
    <t xml:space="preserve">Infiltration </t>
  </si>
  <si>
    <t>Zones</t>
  </si>
  <si>
    <t>I_75
6-sdied Infiltration rate @ 75 pa</t>
  </si>
  <si>
    <t>Note</t>
  </si>
  <si>
    <t xml:space="preserve"> I-design (cfm/ft²) 
(4-sided Infiltration rate at normal pressure) 
(Design flow rate approach and Flow/Exterior Wall Area calculation method) </t>
  </si>
  <si>
    <t>Infiltration</t>
  </si>
  <si>
    <t>2022 CASE report (Table 38)</t>
  </si>
  <si>
    <t>2022 CASE report (Table 38) &amp;
T24, 2008-2016 (Table 140.3-B)--Air barrier is required in CZ 10-16</t>
  </si>
  <si>
    <t>2022 CASE report (Table 38) &amp;  
T24, 2025 (Table 140.3-B)--Air barrier is required in all CZs</t>
  </si>
  <si>
    <t>Source:  Title 24 air barrier requirements (all editions) and the standardized infiltration rate reported in the 2022 CASE report and Dodge 2023 data</t>
  </si>
  <si>
    <t xml:space="preserve">Air Leakage Memo: </t>
  </si>
  <si>
    <t>Infiltration_rate_report_14May2025-Short-Version.docx</t>
  </si>
  <si>
    <t>Setpoint</t>
  </si>
  <si>
    <t>Health Heating Setpoint (F)</t>
  </si>
  <si>
    <t>T24 2022 - Appendix 5.4B</t>
  </si>
  <si>
    <t>PNNL Healthcare-Outpatient prototype use this setpoints: Administration zones: 72°F Cooling/70°F Heating, Critical zones: 72°F Cooling/70°F Heating, Operating rooms: 65°F Cooling/65°F Heating---PNNL Healthcare-Outpatient prototype use this setbacks: 77°F Cooling/65°F Heating, Critical zones: no setback, Operating rooms: 72°F Cooling/65°F Heating</t>
  </si>
  <si>
    <t>Health Heating Setback (F)</t>
  </si>
  <si>
    <t>Health Cooling Setpoint (F)</t>
  </si>
  <si>
    <t>Health Cooling Setback (F)</t>
  </si>
  <si>
    <t>Kitchen Heating Setpoint (F)</t>
  </si>
  <si>
    <t>PNNL 09.1, 2022 Restaurant prototype</t>
  </si>
  <si>
    <t>Kitchen Heating Setback (F)</t>
  </si>
  <si>
    <t>Kitchen Cooling Setpoint (F)</t>
  </si>
  <si>
    <t>Kitchen Cooling Setback (F)</t>
  </si>
  <si>
    <t>Ancillary Heating Setpoint (F)</t>
  </si>
  <si>
    <t xml:space="preserve">Enginnering Judgment </t>
  </si>
  <si>
    <t>Ancillary Heating Setback (F)</t>
  </si>
  <si>
    <t>Ancillary Cooling Setpoint (F)</t>
  </si>
  <si>
    <t>Ancillary Cooling Setback (F)</t>
  </si>
  <si>
    <t>Spaces</t>
  </si>
  <si>
    <t xml:space="preserve">Heating </t>
  </si>
  <si>
    <t>Cooling</t>
  </si>
  <si>
    <t>Air Distribution</t>
  </si>
  <si>
    <t xml:space="preserve">Conditioned zones </t>
  </si>
  <si>
    <t>Gas Boiler for Hydronic Reheat and Gas Furnace for Heating</t>
  </si>
  <si>
    <t>RTU DX</t>
  </si>
  <si>
    <t>Single Duct CAV--Outdoor air often supplied through RTU economizers or dedicated OA section</t>
  </si>
  <si>
    <t>CEUS 2022 (Other system based on T24 and Engineering judgement)</t>
  </si>
  <si>
    <t>Packaged RTU</t>
  </si>
  <si>
    <t>VAV + Hydronic Reheat</t>
  </si>
  <si>
    <t xml:space="preserve">T24 2025 ACM 2025, Table 2 and 3 
</t>
  </si>
  <si>
    <t xml:space="preserve">System 5 – PVAV </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</si>
  <si>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</si>
  <si>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</si>
  <si>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DX Cooling</t>
  </si>
  <si>
    <t>Gas Furnace</t>
  </si>
  <si>
    <t>Gas Boiler</t>
  </si>
  <si>
    <t>EER=9.5 (≥ 240,000 Btu/h 
and 
&lt; 760,000 Btu/h)</t>
  </si>
  <si>
    <t xml:space="preserve">
≥225,000 Btu/h--80% Et</t>
  </si>
  <si>
    <t>80% Ec</t>
  </si>
  <si>
    <t xml:space="preserve">T24, 2008 , Table 112-A (for DX Coil) -Title 24-2008 §111 / Title 20 Table E-3 (and 10 CFR 431.87 as in effect through March 1, 2012) for Boiler Efficiency- 10 CFR 431.77, in force since 1 Jan 1994 for furnace efficiency 
</t>
  </si>
  <si>
    <t>EER=10 (≥ 240,000 Btu/h 
and 
&lt; 760,000 Btu/h)</t>
  </si>
  <si>
    <t>80% Et</t>
  </si>
  <si>
    <t>Gas-Fired Boiler &gt; 300,000 Btu/h and 
≤2,500,000 Btu/h-- 80% Et 
Gas-Fired Boiler &gt; 2,500,000 Btu/h -- 82% Ec</t>
  </si>
  <si>
    <t xml:space="preserve">T24, 2013 , Table 110.2-A (for DX Coil) -Table  110.2-J (for Gas Furnace thermal efficiency) - - Table 110.2-K (for Boiler thermal efficiency). </t>
  </si>
  <si>
    <t>81% Et</t>
  </si>
  <si>
    <t xml:space="preserve">T24, 2025 , Table 110.2-A (for DX Coil) - - 10 CFR 431.86 , section § 431.87 Table 1 (for Boiler thermal efficiency) --Title 24-2008 §111 / Title 20 Table E-3 (and 10 CFR 431.87 as in effect through March 1, 2012) </t>
  </si>
  <si>
    <t>* Et = Thermal efficiency</t>
  </si>
  <si>
    <t>* Ec = Combustion efficiency</t>
  </si>
  <si>
    <t>Fan power</t>
  </si>
  <si>
    <t>Approach</t>
  </si>
  <si>
    <t>System</t>
  </si>
  <si>
    <t>Total Static Pressure (TSP)
(in w.c.)</t>
  </si>
  <si>
    <t>Fan Efficiency
[ACM 2025]</t>
  </si>
  <si>
    <t xml:space="preserve">Motor Efficiency </t>
  </si>
  <si>
    <t xml:space="preserve"> Fan Power Index 
(W/cfm)</t>
  </si>
  <si>
    <t>Data Source</t>
  </si>
  <si>
    <t>PNNL 90.1-2011, TSP</t>
  </si>
  <si>
    <t>Packaged RTU-CAV</t>
  </si>
  <si>
    <r>
      <rPr>
        <sz val="10"/>
        <color rgb="FF000000"/>
        <rFont val="Arial"/>
        <family val="2"/>
      </rPr>
      <t>ASHRAE 90.1, 2004, Table 10.8 *</t>
    </r>
    <r>
      <rPr>
        <sz val="10"/>
        <color rgb="FF000000"/>
        <rFont val="Arial"/>
        <family val="2"/>
      </rPr>
      <t xml:space="preserve"> </t>
    </r>
  </si>
  <si>
    <t>Fan power formula: PNNL 20405, 2010, section 5.2.2.5
TSP and fan efficiency: PNNL 20405, 2010, Table 5.11, 90.1-04ac values
Motor efficiency: ASHRAE 90.1, 2004, Table 10.8</t>
  </si>
  <si>
    <t>Brake horsepower (bhp) = (Supply cfm × TSP in w.c.) / (6356 × fan efficiency)</t>
  </si>
  <si>
    <t>Fan power (w/cfm) = (bhp ×  746) / ( supply cfm × motor efficiency )</t>
  </si>
  <si>
    <t>ACM 2025</t>
  </si>
  <si>
    <r>
      <rPr>
        <sz val="10"/>
        <color rgb="FF000000"/>
        <rFont val="Arial"/>
        <family val="2"/>
      </rPr>
      <t xml:space="preserve">Packaged RTU-CAV </t>
    </r>
    <r>
      <rPr>
        <sz val="10"/>
        <color rgb="FF000000"/>
        <rFont val="Arial"/>
        <family val="2"/>
      </rPr>
      <t>&gt;5,000 cfm; &lt;= 10,000 cfm</t>
    </r>
  </si>
  <si>
    <t xml:space="preserve">TSP (in w.c.) = fan power (W/cfm) × motor efficiency  × fan efficiency × 6356  / 746 </t>
  </si>
  <si>
    <t>2025 ACM Table 12 **</t>
  </si>
  <si>
    <t>Fan power index: [ACM 2025,  Table 13]
Motot efficiency: [ ACM 2025, Table 12]</t>
  </si>
  <si>
    <t>Packaged RTU-CAV &gt;10,000 cfm</t>
  </si>
  <si>
    <t>System 5-PVAV System &gt;5,000 cfm; &lt;= 10,000 cfm</t>
  </si>
  <si>
    <t>System 5-PVAV System &gt;10,000 cfm</t>
  </si>
  <si>
    <t xml:space="preserve">TSP = fan power × motor efficiency  × fan efficiency × 6356  / 746 </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</si>
  <si>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</si>
  <si>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t>
  </si>
  <si>
    <t>Space Type</t>
  </si>
  <si>
    <t>Space/Thermal Zone</t>
  </si>
  <si>
    <t>Floor Area (ft²)</t>
  </si>
  <si>
    <t>cfm/person 
[T24, 2025, Equation 120.1-F and Table 120.1-A]</t>
  </si>
  <si>
    <t>cfm/ft²
 [T24, 2025, Equation 120.1-F and Table 120.1-A]</t>
  </si>
  <si>
    <t>Required Exhaust Rate (cfm/ft²)
 [T24, 2025, Table 120.1-B – minimum exhaust rates OR CMC Table 4-A for Healthcare]</t>
  </si>
  <si>
    <t>Required Exhaust Rate (cfm) 
[T24, 2025, Table 120.1-B – minimum exhaust rates]</t>
  </si>
  <si>
    <t>Min OA Ventilation Requirement (cfm/ft²)
[Table 4-A, 2022 California Mechanical Code]*</t>
  </si>
  <si>
    <t>Total cfm 
Driven by People</t>
  </si>
  <si>
    <t>Total cfm 
Driven by Area</t>
  </si>
  <si>
    <t>Total cfm 
Driven by Exhaust</t>
  </si>
  <si>
    <t>Total cfm</t>
  </si>
  <si>
    <t xml:space="preserve">All Room air exhausted directly to the outdoor, according to Table 4-A, 2022 California Mechanical Code). </t>
  </si>
  <si>
    <t>*Restrooms in California per 2025 T24 and CALGreen (Part 11) require mechanical exhaust ventilation, but they do not require additional dedicated outdoor air (OA) beyond that local exhaust. Bathroom exhaust and exhaust fan energy will be captured in the models. We will assume make-up air is drawn from adjacent spaces.</t>
  </si>
  <si>
    <t>Exhaust Rate assumed according to PNNL outpatient model.The PNNL outpatient model used ASHRAE 170 / CMC Table 4-A (Negative Pressure Soiled utility/workroom or soiled holding , exhaust Required))</t>
  </si>
  <si>
    <t>Exhaust Rate assumed according to PNNL outpatient model.The PNNL outpatient model used ASHRAE 170 / CMC Table 4-A (Negative Pressure X-ray room , exhaust Required))</t>
  </si>
  <si>
    <t>Toilet rooms, intermittent exhaust 50 cfm per toilet</t>
  </si>
  <si>
    <t>* calculated from CMC Table 4-A minimum outdoor ACH; cfm/ft² = ACH × 10 ft ceiling / 60. Table 4-A does not list cfm/ft².</t>
  </si>
  <si>
    <t>Outdoor Airflow Rate per space type</t>
  </si>
  <si>
    <t>Min. Occupancy Load (persons/1000 ft²)</t>
  </si>
  <si>
    <t xml:space="preserve">Total Number of Occupants </t>
  </si>
  <si>
    <t>cfm/ft² (Table 120.1-A – Minimum Ventilation Rates)</t>
  </si>
  <si>
    <t>Required Exhaust Rate-cfm/ft² (Table 120.1-B – Minimum Exhaust Rates)</t>
  </si>
  <si>
    <t>Min OA Ventilation Requirement-ACH-(Table 4-A, 2022 California Mechanical Code)</t>
  </si>
  <si>
    <t>Min OA Ventilation Requirement-cfm/ft²-(Table 4-A, 2022 California Mechanical Code)</t>
  </si>
  <si>
    <t>cfm</t>
  </si>
  <si>
    <t>Floor 1 Soil, Floor 1 Soil Hold, and Floor 1 Soil Work</t>
  </si>
  <si>
    <t>Floor 1 MRI Room, Floor 1 MRI Control Room, Floor 2 X-Ray</t>
  </si>
  <si>
    <t>50/70 cfm/Unit</t>
  </si>
  <si>
    <t>Total</t>
  </si>
  <si>
    <t>WH Type</t>
  </si>
  <si>
    <t>Efficiency</t>
  </si>
  <si>
    <t>Number of WH</t>
  </si>
  <si>
    <t>Tank Volume (gal)</t>
  </si>
  <si>
    <t>Tank Loss</t>
  </si>
  <si>
    <t xml:space="preserve">Existing  </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</si>
  <si>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</si>
  <si>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</si>
  <si>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</si>
  <si>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</si>
  <si>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</si>
  <si>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</si>
  <si>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</si>
  <si>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</si>
  <si>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</si>
  <si>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</si>
  <si>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</si>
  <si>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</si>
  <si>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</si>
  <si>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</si>
  <si>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</si>
  <si>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</si>
  <si>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</si>
  <si>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</si>
  <si>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</si>
  <si>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</si>
  <si>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</si>
  <si>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</si>
  <si>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</si>
  <si>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</si>
  <si>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</si>
  <si>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</si>
  <si>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</si>
  <si>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</si>
  <si>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</si>
  <si>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</si>
  <si>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</si>
  <si>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</si>
  <si>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</si>
  <si>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</si>
  <si>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</si>
  <si>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</si>
  <si>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</si>
  <si>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</si>
  <si>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</si>
  <si>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</si>
  <si>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</si>
  <si>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</si>
  <si>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</si>
  <si>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</si>
  <si>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</si>
  <si>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</si>
  <si>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</si>
  <si>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</si>
  <si>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</si>
  <si>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</si>
  <si>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</si>
  <si>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</si>
  <si>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</si>
  <si>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</si>
  <si>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</si>
  <si>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</si>
  <si>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</si>
  <si>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Space</t>
  </si>
  <si>
    <t xml:space="preserve">New Construction </t>
  </si>
  <si>
    <t>LPD (W/ft²)</t>
  </si>
  <si>
    <t>Additional LPD for Portable Lighting (W/ft²)</t>
  </si>
  <si>
    <t xml:space="preserve">LPD (W/ft²) </t>
  </si>
  <si>
    <t xml:space="preserve">T24, 2025, Table 140.6 C 
 (Area category method) </t>
  </si>
  <si>
    <t xml:space="preserve">T24, 2016, Table 140.6 C 
 (Area category method) </t>
  </si>
  <si>
    <t>Additional lighting for: decorative/display</t>
  </si>
  <si>
    <t>Additional lighting for: detailed task work</t>
  </si>
  <si>
    <t>Additional lighting for: tunable white or dim-to-warm</t>
  </si>
  <si>
    <t>Additional lighting for: decorative/display
It is assumed that 50% of the additional allowance lighting is in use.</t>
  </si>
  <si>
    <t>Motion Controlled Luminaires (W)</t>
  </si>
  <si>
    <t>Non-motion Controlled Luminaires (W)</t>
  </si>
  <si>
    <t>Total (W)</t>
  </si>
  <si>
    <t>T24, 2022 &amp; 2025
2019 Outdoor Lighting CASE report 
 PNNL 90.1-2010 TSD</t>
  </si>
  <si>
    <t>Items (Assume LZ2)</t>
  </si>
  <si>
    <r>
      <rPr>
        <b/>
        <sz val="10"/>
        <color rgb="FF000000"/>
        <rFont val="Arial"/>
        <family val="2"/>
      </rPr>
      <t xml:space="preserve">Assumptions
</t>
    </r>
    <r>
      <rPr>
        <b/>
        <sz val="10"/>
        <color rgb="FF000000"/>
        <rFont val="Arial"/>
        <family val="2"/>
      </rPr>
      <t>[2019 Outdoor Lighting CASE Report]</t>
    </r>
  </si>
  <si>
    <t>Lighting Power Allowance 
[Title 24, 2025, Table 140.7-A &amp; 140.7-B]</t>
  </si>
  <si>
    <t>Exterior Lighting Power (W)</t>
  </si>
  <si>
    <t>IWA (Initial Wattage Allowance)</t>
  </si>
  <si>
    <t>Lighting Zone 3</t>
  </si>
  <si>
    <t>(W)</t>
  </si>
  <si>
    <t>Parking area</t>
  </si>
  <si>
    <r>
      <t xml:space="preserve"> 400 ft² for every parking space </t>
    </r>
    <r>
      <rPr>
        <sz val="10"/>
        <color rgb="FF000000"/>
        <rFont val="Arial"/>
        <family val="2"/>
      </rPr>
      <t xml:space="preserve"> [2019 Lighting CASE report, Appendix H]</t>
    </r>
    <r>
      <rPr>
        <sz val="10"/>
        <color rgb="FF000000"/>
        <rFont val="Arial"/>
        <family val="2"/>
      </rPr>
      <t xml:space="preserve">
1 parking space per 360 ft² of gross building area </t>
    </r>
    <r>
      <rPr>
        <sz val="10"/>
        <color rgb="FF000000"/>
        <rFont val="Arial"/>
        <family val="2"/>
      </rPr>
      <t xml:space="preserve"> [2019 Lighting CASE report,Table 38]</t>
    </r>
  </si>
  <si>
    <t>(ft²)</t>
  </si>
  <si>
    <t>(W/ft²)</t>
  </si>
  <si>
    <t>Building Entrance</t>
  </si>
  <si>
    <t>14 building entrance Per building Geometry</t>
  </si>
  <si>
    <t>(count)</t>
  </si>
  <si>
    <t>(W/ea)</t>
  </si>
  <si>
    <t>Hardscape Ornamental Light</t>
  </si>
  <si>
    <r>
      <t xml:space="preserve">0.1 ft² per 1 ft² of gross building area  </t>
    </r>
    <r>
      <rPr>
        <sz val="10"/>
        <color rgb="FF000000"/>
        <rFont val="Arial"/>
        <family val="2"/>
      </rPr>
      <t>[2019 Lighting CASE report,Table 36]</t>
    </r>
  </si>
  <si>
    <t>Building façade</t>
  </si>
  <si>
    <t>0.1 W per 1 ft² of facade area
Façade Area = Perimeter × 0.5 × 30 ft (30 ft is the max height that is lit) *
The 0.5 factor assumes that only half of the perimeter walls are lit.
-Formula ia developed based on the 2019 Outdoor Lighting CASE report</t>
  </si>
  <si>
    <t>Non-sales canopy</t>
  </si>
  <si>
    <t>Non-motion-controlled Luminaires</t>
  </si>
  <si>
    <t>Total floor area</t>
  </si>
  <si>
    <t xml:space="preserve">Perimeter </t>
  </si>
  <si>
    <t>Floors</t>
  </si>
  <si>
    <t>Plug load Power Density (W/ft²)</t>
  </si>
  <si>
    <t>Gas Power Density (Btu/hr-ft²)</t>
  </si>
  <si>
    <t>Refrigeration Power Density (W/ft²)</t>
  </si>
  <si>
    <t>T24 2022 - Appendix 5.4A, DOE / PNNL Commercial Prototype Building Models, AEDG 50%</t>
  </si>
  <si>
    <t xml:space="preserve"> Appendix 5.4A: Gas equipment=1.1259 Btu/h-ft²--CEC model has the Gas equipment for 3.59 Btu/h-ft²</t>
  </si>
  <si>
    <t>PNNL has EPD=10 for Imaging room</t>
  </si>
  <si>
    <t>AEDG 50%</t>
  </si>
  <si>
    <t>CEC: Refrig Load = 0.25 w/ft²</t>
  </si>
  <si>
    <t>Plug load and schedules project with CEC, 2025</t>
  </si>
  <si>
    <t xml:space="preserve"> Appendix 5.4A: Gas equipment=17.53768  --  CEC: Refrig Load = 1.12 w/ft²</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</si>
  <si>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</si>
  <si>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</si>
  <si>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</si>
  <si>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</si>
  <si>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</si>
  <si>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</si>
  <si>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</si>
  <si>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</si>
  <si>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</si>
  <si>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</si>
  <si>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</si>
  <si>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</si>
  <si>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</si>
  <si>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</si>
  <si>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</si>
  <si>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Outpatient Health Care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</si>
  <si>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</si>
  <si>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</si>
  <si>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</si>
  <si>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</si>
  <si>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</si>
  <si>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</si>
  <si>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</si>
  <si>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</si>
  <si>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</si>
  <si>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</si>
  <si>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</si>
  <si>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</si>
  <si>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</si>
  <si>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</si>
  <si>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</si>
  <si>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</si>
  <si>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</si>
  <si>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</si>
  <si>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</si>
  <si>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</si>
  <si>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</si>
  <si>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</si>
  <si>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</si>
  <si>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</si>
  <si>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</si>
  <si>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Assumed for multifamily and commercial prototypes</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</si>
  <si>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</si>
  <si>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</si>
  <si>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</si>
  <si>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</si>
  <si>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</si>
  <si>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</si>
  <si>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</si>
  <si>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</si>
  <si>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</si>
  <si>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</si>
  <si>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</si>
  <si>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</si>
  <si>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</si>
  <si>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</si>
  <si>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</si>
  <si>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</si>
  <si>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</si>
  <si>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</si>
  <si>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</si>
  <si>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</si>
  <si>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</si>
  <si>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</si>
  <si>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</si>
  <si>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</si>
  <si>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</si>
  <si>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</si>
  <si>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</si>
  <si>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</si>
  <si>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</si>
  <si>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</si>
  <si>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</si>
  <si>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</si>
  <si>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</si>
  <si>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</si>
  <si>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</si>
  <si>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</si>
  <si>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</si>
  <si>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</si>
  <si>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</si>
  <si>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</si>
  <si>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</si>
  <si>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</si>
  <si>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</si>
  <si>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</si>
  <si>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</si>
  <si>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</si>
  <si>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</si>
  <si>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</si>
  <si>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</si>
  <si>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</si>
  <si>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</si>
  <si>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</si>
  <si>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</si>
  <si>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</si>
  <si>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</si>
  <si>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</si>
  <si>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</si>
  <si>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</si>
  <si>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</si>
  <si>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</si>
  <si>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</si>
  <si>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All the zones except those with space type of office or conference</t>
  </si>
  <si>
    <t>Occupancy</t>
  </si>
  <si>
    <t>T24 2022 - Appendix 5.4B, [Health]</t>
  </si>
  <si>
    <t>Weekday</t>
  </si>
  <si>
    <t>Saturday</t>
  </si>
  <si>
    <t>Sunday</t>
  </si>
  <si>
    <t>Lights</t>
  </si>
  <si>
    <t xml:space="preserve">ElecEquipment </t>
  </si>
  <si>
    <t>ServiceHotWater</t>
  </si>
  <si>
    <t>GasEquipment</t>
  </si>
  <si>
    <t>Refrigeration</t>
  </si>
  <si>
    <t>HVACAvail</t>
  </si>
  <si>
    <t>HtgSetpt</t>
  </si>
  <si>
    <t>ClgSetpt</t>
  </si>
  <si>
    <t xml:space="preserve">Zones with space type of Office or conference </t>
  </si>
  <si>
    <r>
      <t xml:space="preserve">T24 2022 - Appendix 5.4B, [Office]
</t>
    </r>
    <r>
      <rPr>
        <sz val="9"/>
        <color rgb="FF0070C0"/>
        <rFont val="Arial"/>
        <family val="2"/>
      </rPr>
      <t xml:space="preserve">
Updated base on Plug load and schedules project with CEC, 2025</t>
    </r>
  </si>
  <si>
    <t>T24 2022 - Appendix 5.4B, [Office]</t>
  </si>
  <si>
    <t xml:space="preserve">Plug load and schedules project with CEC, 2025 </t>
  </si>
  <si>
    <r>
      <t xml:space="preserve">T24 2022 - Appendix 5.4B, [Office]
</t>
    </r>
    <r>
      <rPr>
        <sz val="9"/>
        <color rgb="FF0070C0"/>
        <rFont val="Arial"/>
        <family val="2"/>
      </rPr>
      <t>Updated base on Plug load and schedules project with CEC, 202</t>
    </r>
  </si>
  <si>
    <t>Honeywell-INNCOM e7 Thermostat User Guide 
&amp; Engineering Judgement</t>
  </si>
  <si>
    <t>ExtLightingNonMotionCtrl</t>
  </si>
  <si>
    <t>PNNL Hospital Prototype (2022)</t>
  </si>
  <si>
    <t>ExtLightingMotionCtrl</t>
  </si>
  <si>
    <t>PNNL Hospital Prototype (2022) Modified to 0 for 11 pm to 5 am during weekday and 12 am to 5 am during weekend</t>
  </si>
  <si>
    <t>Office, Exam Room,Nurse Station, Recovery Room,Operating Room. Patient Room,Physical Therapy, Imaging Room, Medical Supply Room</t>
  </si>
  <si>
    <t>FunctionalAreaPeopleActivityLevel</t>
  </si>
  <si>
    <t>CEC Hospital Prototype</t>
  </si>
  <si>
    <t>Corridor, Lobby, Restroom, Mechanical Room, Elevator, Stairwell, Reception rea, Lounge and Breakroom</t>
  </si>
  <si>
    <t>CommonAreaPeopleActivityLevel</t>
  </si>
  <si>
    <t>Dining</t>
  </si>
  <si>
    <t>DiningAreaPeopleActivityLevel</t>
  </si>
  <si>
    <t>Kitchen</t>
  </si>
  <si>
    <t>KitchenPeopleActivityLevel</t>
  </si>
  <si>
    <t>Locker room</t>
  </si>
  <si>
    <t>LockerRoomPeopleActivityLevel</t>
  </si>
  <si>
    <t>Health OR</t>
  </si>
  <si>
    <t>All the zones</t>
  </si>
  <si>
    <t>Perimeter zones under Health category</t>
  </si>
  <si>
    <t>CalBEM Energy Consumption - Outpatient</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</si>
  <si>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</si>
  <si>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</si>
  <si>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</si>
  <si>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</si>
  <si>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</si>
  <si>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</si>
  <si>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</si>
  <si>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</si>
  <si>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</si>
  <si>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</si>
  <si>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</si>
  <si>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</si>
  <si>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</si>
  <si>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</si>
  <si>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</si>
  <si>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</si>
  <si>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</si>
  <si>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</si>
  <si>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healthcare.</t>
  </si>
  <si>
    <t>Background Data [To be deleted prior to publication]</t>
  </si>
  <si>
    <t>Vintage Bin</t>
  </si>
  <si>
    <t>Pre-1978</t>
  </si>
  <si>
    <t>Not available</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</si>
  <si>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</si>
  <si>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</si>
  <si>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</si>
  <si>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</si>
  <si>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</si>
  <si>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</si>
  <si>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</si>
  <si>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</si>
  <si>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</si>
  <si>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</si>
  <si>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</si>
  <si>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</si>
  <si>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</si>
  <si>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</si>
  <si>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</si>
  <si>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</si>
  <si>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</si>
  <si>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</si>
  <si>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</si>
  <si>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</si>
  <si>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</si>
  <si>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</si>
  <si>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</si>
  <si>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(Family and Leisure)</t>
  </si>
  <si>
    <t>Exercise/Fitness Center and Gymnasium Areas</t>
  </si>
  <si>
    <t>Financial Transaction Area</t>
  </si>
  <si>
    <t>Healthcare Facility and Hospitals (Nursery)</t>
  </si>
  <si>
    <t>Hotel Function Area</t>
  </si>
  <si>
    <t>Kitchenette or Residential Kitchen</t>
  </si>
  <si>
    <t>Laboratory, Scientific</t>
  </si>
  <si>
    <t xml:space="preserve">Laundry Area </t>
  </si>
  <si>
    <t>Library (Reading Area)</t>
  </si>
  <si>
    <t>Library (Stacks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</si>
  <si>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</si>
  <si>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</si>
  <si>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</si>
  <si>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</si>
  <si>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</si>
  <si>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</si>
  <si>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</si>
  <si>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</si>
  <si>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</si>
  <si>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</si>
  <si>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</si>
  <si>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</si>
  <si>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</si>
  <si>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</si>
  <si>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</si>
  <si>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</si>
  <si>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</si>
  <si>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</si>
  <si>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</si>
  <si>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</si>
  <si>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</si>
  <si>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</si>
  <si>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</si>
  <si>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</si>
  <si>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</si>
  <si>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</si>
  <si>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</si>
  <si>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</si>
  <si>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Plenum</t>
  </si>
  <si>
    <t>IT Room (EPD 12)</t>
  </si>
  <si>
    <t>Computer Room (EPD 20)</t>
  </si>
  <si>
    <t>Server Room (EPD 45)</t>
  </si>
  <si>
    <t>No</t>
  </si>
  <si>
    <t>HealthOR</t>
  </si>
  <si>
    <t>Engineering Judgement</t>
  </si>
  <si>
    <t>Indirectly conditioned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</si>
</sst>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_(* #,##0.000_);_(* \(#,##0.000\);_(* &quot;-&quot;??_);_(@_)"/>
    <numFmt numFmtId="171" formatCode="#,##0.000"/>
    <numFmt numFmtId="172" formatCode="#,##0;\-0;[Color15]0"/>
    <numFmt numFmtId="173" formatCode="_(* #,##0.0_);_(* \(#,##0.0\);_(* &quot;-&quot;??_);_(@_)"/>
    <numFmt numFmtId="174" formatCode="_(* #,##0.0000_);_(* \(#,##0.0000\);_(* &quot;-&quot;??_);_(@_)"/>
  </numFmts>
  <fonts count="68">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2"/>
      <color theme="1"/>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sz val="11"/>
      <color theme="0"/>
      <name val="Arial"/>
      <family val="2"/>
    </font>
    <font>
      <b/>
      <sz val="10"/>
      <color rgb="FF002F8E"/>
      <name val="Arial"/>
      <family val="2"/>
    </font>
    <font>
      <sz val="10"/>
      <color theme="0"/>
      <name val="Arial"/>
      <family val="2"/>
    </font>
    <font>
      <b/>
      <u/>
      <sz val="11"/>
      <color theme="10"/>
      <name val="Calibri"/>
      <family val="2"/>
      <scheme val="minor"/>
    </font>
    <font>
      <b/>
      <sz val="12"/>
      <color rgb="FFFFFFFF"/>
      <name val="Arial"/>
      <family val="2"/>
    </font>
    <font>
      <sz val="11"/>
      <color rgb="FF000000"/>
      <name val="Arial"/>
      <family val="2"/>
    </font>
    <font>
      <sz val="9"/>
      <color rgb="FF000000"/>
      <name val="Arial"/>
      <family val="2"/>
    </font>
    <font>
      <sz val="10"/>
      <color rgb="FFA6A6A6"/>
      <name val="Arial"/>
      <family val="2"/>
    </font>
    <font>
      <sz val="10"/>
      <color rgb="FF0070C0"/>
      <name val="Arial"/>
      <family val="2"/>
    </font>
    <font>
      <sz val="9"/>
      <color rgb="FF0070C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sz val="8"/>
      <color indexed="8"/>
      <name val="MS Sans Serif"/>
      <charset val="1"/>
    </font>
    <font>
      <sz val="11"/>
      <color rgb="FF9C6500"/>
      <name val="Calibri"/>
      <family val="2"/>
      <scheme val="minor"/>
    </font>
    <font>
      <sz val="11"/>
      <color theme="1"/>
      <name val="Calibri"/>
      <family val="2"/>
      <charset val="134"/>
      <scheme val="minor"/>
    </font>
    <font>
      <b/>
      <sz val="18"/>
      <color theme="3"/>
      <name val="Calibri Light"/>
      <family val="2"/>
      <scheme val="major"/>
    </font>
    <font>
      <u/>
      <sz val="10"/>
      <color theme="10"/>
      <name val="Arial Narrow"/>
      <family val="2"/>
    </font>
    <font>
      <b/>
      <sz val="11"/>
      <name val="Calibri"/>
      <family val="2"/>
    </font>
    <font>
      <sz val="11"/>
      <color rgb="FF000000"/>
      <name val="Calibri"/>
      <family val="2"/>
    </font>
    <font>
      <b/>
      <sz val="14"/>
      <color rgb="FFFFFFFF"/>
      <name val="Calibri"/>
      <family val="2"/>
    </font>
    <font>
      <b/>
      <sz val="9"/>
      <color theme="1"/>
      <name val="Arial"/>
      <family val="2"/>
    </font>
    <font>
      <b/>
      <sz val="11"/>
      <color rgb="FF000000"/>
      <name val="Arial"/>
      <family val="2"/>
    </font>
    <font>
      <sz val="11"/>
      <color theme="1"/>
      <name val="Calibri"/>
      <family val="2"/>
    </font>
    <font>
      <sz val="11"/>
      <color theme="1"/>
      <name val="Segoe UI"/>
      <family val="2"/>
    </font>
    <font>
      <u/>
      <sz val="10"/>
      <color theme="10"/>
      <name val="Calibri"/>
      <family val="2"/>
      <scheme val="minor"/>
    </font>
    <font>
      <b/>
      <sz val="11"/>
      <color rgb="FF000000"/>
      <name val="Calibri"/>
      <family val="2"/>
    </font>
    <font>
      <sz val="10"/>
      <color rgb="FFFFFFFF"/>
      <name val="Arial"/>
      <family val="2"/>
    </font>
    <font>
      <b/>
      <sz val="10"/>
      <color theme="0"/>
      <name val="Arial"/>
      <family val="2"/>
    </font>
    <font>
      <u/>
      <sz val="10"/>
      <color rgb="FF0070C0"/>
      <name val="Arial"/>
      <family val="2"/>
    </font>
    <font>
      <u/>
      <sz val="11"/>
      <color rgb="FF0070C0"/>
      <name val="Calibri"/>
      <family val="2"/>
      <scheme val="minor"/>
    </font>
  </fonts>
  <fills count="55">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4.9989318521683403E-2"/>
        <bgColor rgb="FF000000"/>
      </patternFill>
    </fill>
    <fill>
      <patternFill patternType="solid">
        <fgColor rgb="FF203764"/>
        <bgColor rgb="FF000000"/>
      </patternFill>
    </fill>
    <fill>
      <patternFill patternType="solid">
        <fgColor rgb="FFFFFFFF"/>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2CC"/>
        <bgColor rgb="FF000000"/>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2F2F2"/>
        <bgColor indexed="64"/>
      </patternFill>
    </fill>
    <fill>
      <patternFill patternType="solid">
        <fgColor rgb="FF8C8B8B"/>
        <bgColor indexed="64"/>
      </patternFill>
    </fill>
    <fill>
      <patternFill patternType="solid">
        <fgColor rgb="FF8C8C8C"/>
        <bgColor indexed="64"/>
      </patternFill>
    </fill>
  </fills>
  <borders count="162">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808080"/>
      </left>
      <right style="thin">
        <color rgb="FF808080"/>
      </right>
      <top style="thin">
        <color rgb="FF808080"/>
      </top>
      <bottom style="thin">
        <color rgb="FF808080"/>
      </bottom>
      <diagonal/>
    </border>
    <border>
      <left style="thin">
        <color rgb="FF595959"/>
      </left>
      <right style="thin">
        <color rgb="FF595959"/>
      </right>
      <top style="thin">
        <color rgb="FF595959"/>
      </top>
      <bottom style="thin">
        <color rgb="FF595959"/>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rgb="FF000000"/>
      </left>
      <right style="thin">
        <color rgb="FF000000"/>
      </right>
      <top/>
      <bottom/>
      <diagonal/>
    </border>
    <border>
      <left style="medium">
        <color indexed="64"/>
      </left>
      <right style="thin">
        <color indexed="64"/>
      </right>
      <top/>
      <bottom style="medium">
        <color indexed="64"/>
      </bottom>
      <diagonal/>
    </border>
    <border>
      <left style="thin">
        <color rgb="FF000000"/>
      </left>
      <right style="medium">
        <color indexed="64"/>
      </right>
      <top style="medium">
        <color indexed="64"/>
      </top>
      <bottom style="thin">
        <color rgb="FF000000"/>
      </bottom>
      <diagonal/>
    </border>
    <border>
      <left style="thin">
        <color rgb="FF595959"/>
      </left>
      <right style="thin">
        <color rgb="FF595959"/>
      </right>
      <top/>
      <bottom style="thin">
        <color rgb="FF59595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theme="1" tint="0.34998626667073579"/>
      </bottom>
      <diagonal/>
    </border>
    <border>
      <left/>
      <right style="thin">
        <color theme="1" tint="0.34998626667073579"/>
      </right>
      <top/>
      <bottom/>
      <diagonal/>
    </border>
    <border>
      <left style="medium">
        <color indexed="64"/>
      </left>
      <right style="thin">
        <color indexed="64"/>
      </right>
      <top style="medium">
        <color indexed="64"/>
      </top>
      <bottom style="thin">
        <color theme="1" tint="0.34998626667073579"/>
      </bottom>
      <diagonal/>
    </border>
    <border>
      <left style="thin">
        <color indexed="64"/>
      </left>
      <right style="thin">
        <color indexed="64"/>
      </right>
      <top style="medium">
        <color indexed="64"/>
      </top>
      <bottom style="thin">
        <color theme="1" tint="0.34998626667073579"/>
      </bottom>
      <diagonal/>
    </border>
    <border>
      <left style="thin">
        <color indexed="64"/>
      </left>
      <right style="medium">
        <color indexed="64"/>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indexed="64"/>
      </left>
      <right style="medium">
        <color indexed="64"/>
      </right>
      <top/>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indexed="64"/>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indexed="64"/>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right style="thin">
        <color theme="1" tint="0.34998626667073579"/>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theme="1" tint="0.34998626667073579"/>
      </right>
      <top/>
      <bottom style="thin">
        <color theme="1" tint="0.34998626667073579"/>
      </bottom>
      <diagonal/>
    </border>
    <border>
      <left style="thin">
        <color indexed="64"/>
      </left>
      <right style="thin">
        <color theme="1" tint="0.34998626667073579"/>
      </right>
      <top style="thin">
        <color theme="1" tint="0.34998626667073579"/>
      </top>
      <bottom style="thin">
        <color theme="1" tint="0.34998626667073579"/>
      </bottom>
      <diagonal/>
    </border>
    <border>
      <left style="thin">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style="medium">
        <color theme="1" tint="0.34998626667073579"/>
      </bottom>
      <diagonal/>
    </border>
    <border>
      <left style="thin">
        <color indexed="64"/>
      </left>
      <right style="thin">
        <color theme="1" tint="0.34998626667073579"/>
      </right>
      <top style="medium">
        <color theme="1" tint="0.34998626667073579"/>
      </top>
      <bottom style="thin">
        <color theme="1" tint="0.34998626667073579"/>
      </bottom>
      <diagonal/>
    </border>
    <border>
      <left style="thin">
        <color indexed="64"/>
      </left>
      <right style="thin">
        <color theme="1" tint="0.34998626667073579"/>
      </right>
      <top style="thin">
        <color theme="1" tint="0.34998626667073579"/>
      </top>
      <bottom style="medium">
        <color theme="1" tint="0.34998626667073579"/>
      </bottom>
      <diagonal/>
    </border>
    <border>
      <left style="thin">
        <color indexed="64"/>
      </left>
      <right style="medium">
        <color indexed="64"/>
      </right>
      <top style="medium">
        <color indexed="64"/>
      </top>
      <bottom style="thin">
        <color theme="1" tint="0.34998626667073579"/>
      </bottom>
      <diagonal/>
    </border>
    <border>
      <left style="thin">
        <color indexed="64"/>
      </left>
      <right style="medium">
        <color indexed="64"/>
      </right>
      <top style="thin">
        <color theme="1" tint="0.34998626667073579"/>
      </top>
      <bottom style="thin">
        <color theme="1" tint="0.34998626667073579"/>
      </bottom>
      <diagonal/>
    </border>
    <border>
      <left style="thin">
        <color indexed="64"/>
      </left>
      <right style="medium">
        <color indexed="64"/>
      </right>
      <top style="thin">
        <color theme="1" tint="0.34998626667073579"/>
      </top>
      <bottom style="medium">
        <color indexed="64"/>
      </bottom>
      <diagonal/>
    </border>
    <border>
      <left style="thin">
        <color indexed="64"/>
      </left>
      <right style="medium">
        <color indexed="64"/>
      </right>
      <top/>
      <bottom style="thin">
        <color theme="1" tint="0.34998626667073579"/>
      </bottom>
      <diagonal/>
    </border>
    <border>
      <left style="thin">
        <color indexed="64"/>
      </left>
      <right style="medium">
        <color indexed="64"/>
      </right>
      <top style="thin">
        <color theme="1" tint="0.34998626667073579"/>
      </top>
      <bottom/>
      <diagonal/>
    </border>
    <border>
      <left/>
      <right/>
      <top style="medium">
        <color indexed="64"/>
      </top>
      <bottom style="thin">
        <color indexed="64"/>
      </bottom>
      <diagonal/>
    </border>
    <border>
      <left/>
      <right/>
      <top style="thin">
        <color indexed="64"/>
      </top>
      <bottom/>
      <diagonal/>
    </border>
    <border>
      <left/>
      <right/>
      <top style="thin">
        <color indexed="64"/>
      </top>
      <bottom style="medium">
        <color indexed="64"/>
      </bottom>
      <diagonal/>
    </border>
    <border>
      <left/>
      <right/>
      <top/>
      <bottom style="thin">
        <color rgb="FF000000"/>
      </bottom>
      <diagonal/>
    </border>
    <border>
      <left style="thin">
        <color indexed="64"/>
      </left>
      <right/>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right/>
      <top style="thin">
        <color rgb="FF000000"/>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indexed="64"/>
      </top>
      <bottom style="thin">
        <color theme="1" tint="0.34998626667073579"/>
      </bottom>
      <diagonal/>
    </border>
    <border>
      <left style="thin">
        <color indexed="64"/>
      </left>
      <right style="thin">
        <color indexed="64"/>
      </right>
      <top style="thin">
        <color theme="1" tint="0.34998626667073579"/>
      </top>
      <bottom style="thin">
        <color indexed="64"/>
      </bottom>
      <diagonal/>
    </border>
    <border>
      <left style="thin">
        <color rgb="FF000000"/>
      </left>
      <right/>
      <top style="thin">
        <color rgb="FF595959"/>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theme="1" tint="0.34998626667073579"/>
      </top>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right style="thin">
        <color rgb="FF595959"/>
      </right>
      <top style="thin">
        <color rgb="FF595959"/>
      </top>
      <bottom style="thin">
        <color rgb="FF595959"/>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000000"/>
      </bottom>
      <diagonal/>
    </border>
    <border>
      <left style="thin">
        <color indexed="64"/>
      </left>
      <right style="medium">
        <color rgb="FF000000"/>
      </right>
      <top style="medium">
        <color indexed="64"/>
      </top>
      <bottom/>
      <diagonal/>
    </border>
    <border>
      <left style="thin">
        <color indexed="64"/>
      </left>
      <right style="medium">
        <color rgb="FF000000"/>
      </right>
      <top/>
      <bottom/>
      <diagonal/>
    </border>
    <border>
      <left style="thin">
        <color indexed="64"/>
      </left>
      <right style="medium">
        <color rgb="FF000000"/>
      </right>
      <top/>
      <bottom style="medium">
        <color indexed="64"/>
      </bottom>
      <diagonal/>
    </border>
    <border>
      <left/>
      <right style="thin">
        <color theme="1" tint="0.34998626667073579"/>
      </right>
      <top style="medium">
        <color indexed="64"/>
      </top>
      <bottom style="medium">
        <color indexed="64"/>
      </bottom>
      <diagonal/>
    </border>
  </borders>
  <cellStyleXfs count="428">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0" fontId="2" fillId="0" borderId="0"/>
    <xf numFmtId="9" fontId="7" fillId="0" borderId="0" applyFont="0" applyFill="0" applyBorder="0" applyAlignment="0" applyProtection="0"/>
    <xf numFmtId="0" fontId="15" fillId="0" borderId="0"/>
    <xf numFmtId="0" fontId="17" fillId="0" borderId="0" applyNumberFormat="0" applyFill="0" applyBorder="0" applyAlignment="0" applyProtection="0"/>
    <xf numFmtId="0" fontId="7" fillId="0" borderId="0"/>
    <xf numFmtId="0" fontId="7" fillId="0" borderId="0"/>
    <xf numFmtId="0" fontId="37" fillId="0" borderId="0" applyNumberFormat="0" applyFill="0" applyBorder="0" applyAlignment="0" applyProtection="0"/>
    <xf numFmtId="0" fontId="38" fillId="0" borderId="104" applyNumberFormat="0" applyFill="0" applyAlignment="0" applyProtection="0"/>
    <xf numFmtId="0" fontId="39" fillId="0" borderId="105" applyNumberFormat="0" applyFill="0" applyAlignment="0" applyProtection="0"/>
    <xf numFmtId="0" fontId="40" fillId="0" borderId="106" applyNumberFormat="0" applyFill="0" applyAlignment="0" applyProtection="0"/>
    <xf numFmtId="0" fontId="40" fillId="0" borderId="0" applyNumberFormat="0" applyFill="0" applyBorder="0" applyAlignment="0" applyProtection="0"/>
    <xf numFmtId="0" fontId="41" fillId="13" borderId="0" applyNumberFormat="0" applyBorder="0" applyAlignment="0" applyProtection="0"/>
    <xf numFmtId="0" fontId="42" fillId="14" borderId="0" applyNumberFormat="0" applyBorder="0" applyAlignment="0" applyProtection="0"/>
    <xf numFmtId="0" fontId="43" fillId="15" borderId="0" applyNumberFormat="0" applyBorder="0" applyAlignment="0" applyProtection="0"/>
    <xf numFmtId="0" fontId="44" fillId="16" borderId="107" applyNumberFormat="0" applyAlignment="0" applyProtection="0"/>
    <xf numFmtId="0" fontId="45" fillId="17" borderId="108" applyNumberFormat="0" applyAlignment="0" applyProtection="0"/>
    <xf numFmtId="0" fontId="46" fillId="17" borderId="107" applyNumberFormat="0" applyAlignment="0" applyProtection="0"/>
    <xf numFmtId="0" fontId="47" fillId="0" borderId="109" applyNumberFormat="0" applyFill="0" applyAlignment="0" applyProtection="0"/>
    <xf numFmtId="0" fontId="10" fillId="18" borderId="110" applyNumberFormat="0" applyAlignment="0" applyProtection="0"/>
    <xf numFmtId="0" fontId="48" fillId="0" borderId="0" applyNumberFormat="0" applyFill="0" applyBorder="0" applyAlignment="0" applyProtection="0"/>
    <xf numFmtId="0" fontId="2" fillId="19" borderId="111" applyNumberFormat="0" applyFont="0" applyAlignment="0" applyProtection="0"/>
    <xf numFmtId="0" fontId="49" fillId="0" borderId="0" applyNumberFormat="0" applyFill="0" applyBorder="0" applyAlignment="0" applyProtection="0"/>
    <xf numFmtId="0" fontId="3" fillId="0" borderId="112" applyNumberFormat="0" applyFill="0" applyAlignment="0" applyProtection="0"/>
    <xf numFmtId="0" fontId="1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1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1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1" fillId="0" borderId="0"/>
    <xf numFmtId="0" fontId="2" fillId="0" borderId="0"/>
    <xf numFmtId="0" fontId="2" fillId="0" borderId="0"/>
    <xf numFmtId="9" fontId="1" fillId="0" borderId="0" applyFont="0" applyFill="0" applyBorder="0" applyAlignment="0" applyProtection="0"/>
    <xf numFmtId="0" fontId="2" fillId="0" borderId="0"/>
    <xf numFmtId="0" fontId="50" fillId="0" borderId="0" applyNumberFormat="0" applyFill="0" applyBorder="0" applyAlignment="0" applyProtection="0"/>
    <xf numFmtId="0" fontId="12" fillId="23" borderId="0" applyNumberFormat="0" applyBorder="0" applyAlignment="0" applyProtection="0"/>
    <xf numFmtId="0" fontId="12" fillId="27" borderId="0" applyNumberFormat="0" applyBorder="0" applyAlignment="0" applyProtection="0"/>
    <xf numFmtId="0" fontId="12" fillId="31" borderId="0" applyNumberFormat="0" applyBorder="0" applyAlignment="0" applyProtection="0"/>
    <xf numFmtId="0" fontId="12" fillId="35" borderId="0" applyNumberFormat="0" applyBorder="0" applyAlignment="0" applyProtection="0"/>
    <xf numFmtId="0" fontId="12" fillId="39" borderId="0" applyNumberFormat="0" applyBorder="0" applyAlignment="0" applyProtection="0"/>
    <xf numFmtId="0" fontId="12" fillId="43"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51" fillId="1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5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2" fillId="0" borderId="0"/>
    <xf numFmtId="0" fontId="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19" borderId="111"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6" fillId="0" borderId="0"/>
    <xf numFmtId="9" fontId="6" fillId="0" borderId="0" applyFont="0" applyFill="0" applyBorder="0" applyAlignment="0" applyProtection="0"/>
    <xf numFmtId="0" fontId="6" fillId="0" borderId="0"/>
    <xf numFmtId="0" fontId="2" fillId="0" borderId="0"/>
    <xf numFmtId="43" fontId="6" fillId="0" borderId="0" applyFont="0" applyFill="0" applyBorder="0" applyAlignment="0" applyProtection="0"/>
    <xf numFmtId="9" fontId="6" fillId="0" borderId="0" applyFont="0" applyFill="0" applyBorder="0" applyAlignment="0" applyProtection="0"/>
    <xf numFmtId="0" fontId="60" fillId="0" borderId="0"/>
  </cellStyleXfs>
  <cellXfs count="751">
    <xf numFmtId="0" fontId="0" fillId="0" borderId="0" xfId="0"/>
    <xf numFmtId="0" fontId="9" fillId="0" borderId="0" xfId="5"/>
    <xf numFmtId="165" fontId="0" fillId="0" borderId="2" xfId="0" applyNumberFormat="1" applyBorder="1"/>
    <xf numFmtId="0" fontId="13" fillId="0" borderId="0" xfId="0" applyFont="1"/>
    <xf numFmtId="0" fontId="13"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vertical="center"/>
    </xf>
    <xf numFmtId="0" fontId="7" fillId="0" borderId="0" xfId="0" applyFont="1" applyAlignment="1">
      <alignment horizontal="center" vertical="center" wrapText="1"/>
    </xf>
    <xf numFmtId="0" fontId="17" fillId="0" borderId="0" xfId="5" applyFont="1"/>
    <xf numFmtId="0" fontId="7" fillId="0" borderId="0" xfId="0" applyFont="1" applyAlignment="1">
      <alignment wrapText="1"/>
    </xf>
    <xf numFmtId="0" fontId="16" fillId="0" borderId="0" xfId="0" applyFont="1" applyAlignment="1">
      <alignment vertical="center"/>
    </xf>
    <xf numFmtId="3" fontId="7" fillId="0" borderId="2" xfId="7" applyNumberFormat="1" applyFont="1" applyBorder="1" applyAlignment="1">
      <alignment horizontal="center" vertical="center"/>
    </xf>
    <xf numFmtId="3" fontId="11" fillId="0" borderId="2" xfId="3" applyNumberFormat="1" applyFont="1" applyBorder="1" applyAlignment="1">
      <alignment horizontal="center" vertical="center" wrapText="1"/>
    </xf>
    <xf numFmtId="165" fontId="7" fillId="0" borderId="0" xfId="0" applyNumberFormat="1" applyFont="1" applyAlignment="1">
      <alignment horizontal="center" vertical="center"/>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21" fillId="6" borderId="2" xfId="0" applyFont="1" applyFill="1" applyBorder="1" applyAlignment="1">
      <alignment horizontal="center" vertical="center" wrapText="1"/>
    </xf>
    <xf numFmtId="0" fontId="20" fillId="6" borderId="2" xfId="0" applyFont="1" applyFill="1" applyBorder="1" applyAlignment="1">
      <alignment horizontal="center" vertical="center"/>
    </xf>
    <xf numFmtId="9" fontId="7" fillId="0" borderId="0" xfId="2" applyFont="1" applyFill="1" applyBorder="1" applyAlignment="1">
      <alignment horizontal="center" vertical="center"/>
    </xf>
    <xf numFmtId="0" fontId="8" fillId="0" borderId="0" xfId="0" applyFont="1" applyAlignment="1">
      <alignment horizontal="center"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9" fontId="7" fillId="0" borderId="0" xfId="0" applyNumberFormat="1" applyFont="1" applyAlignment="1">
      <alignment vertical="center"/>
    </xf>
    <xf numFmtId="0" fontId="8" fillId="0" borderId="0" xfId="0" applyFont="1" applyAlignment="1">
      <alignment vertical="center"/>
    </xf>
    <xf numFmtId="0" fontId="23" fillId="0" borderId="0" xfId="0" applyFont="1" applyAlignment="1">
      <alignment horizontal="center" vertical="center"/>
    </xf>
    <xf numFmtId="0" fontId="25" fillId="4" borderId="0" xfId="0" applyFont="1" applyFill="1" applyAlignment="1">
      <alignment vertical="center" wrapText="1"/>
    </xf>
    <xf numFmtId="0" fontId="23" fillId="4" borderId="0" xfId="0" applyFont="1" applyFill="1" applyAlignment="1">
      <alignment horizontal="center" vertical="center"/>
    </xf>
    <xf numFmtId="165" fontId="23" fillId="4" borderId="0" xfId="0" applyNumberFormat="1" applyFont="1" applyFill="1" applyAlignment="1">
      <alignment horizontal="center" vertical="center"/>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7" fillId="0" borderId="0" xfId="8" applyNumberFormat="1" applyFont="1" applyFill="1" applyBorder="1" applyAlignment="1">
      <alignment horizontal="center"/>
    </xf>
    <xf numFmtId="3" fontId="7" fillId="0" borderId="0" xfId="0" applyNumberFormat="1" applyFont="1" applyAlignment="1">
      <alignment horizontal="center" vertical="center"/>
    </xf>
    <xf numFmtId="0" fontId="8" fillId="2" borderId="0" xfId="0" applyFont="1" applyFill="1" applyAlignment="1">
      <alignment horizontal="center" vertical="center"/>
    </xf>
    <xf numFmtId="168" fontId="23" fillId="0" borderId="0" xfId="0" applyNumberFormat="1" applyFont="1" applyAlignment="1">
      <alignment horizontal="center" vertical="center"/>
    </xf>
    <xf numFmtId="3" fontId="7" fillId="0" borderId="0" xfId="7" applyNumberFormat="1" applyFont="1" applyAlignment="1">
      <alignment horizontal="center" vertical="center"/>
    </xf>
    <xf numFmtId="0" fontId="26" fillId="0" borderId="0" xfId="0" applyFont="1"/>
    <xf numFmtId="0" fontId="27" fillId="0" borderId="0" xfId="0" quotePrefix="1" applyFont="1"/>
    <xf numFmtId="0" fontId="26" fillId="0" borderId="0" xfId="0" applyFont="1" applyAlignment="1">
      <alignment wrapText="1"/>
    </xf>
    <xf numFmtId="0" fontId="26" fillId="0" borderId="0" xfId="0" applyFont="1" applyAlignment="1">
      <alignment horizontal="center"/>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11" fillId="0" borderId="2" xfId="3" applyFont="1" applyFill="1" applyBorder="1" applyAlignment="1">
      <alignment horizontal="center" vertical="center" wrapText="1"/>
    </xf>
    <xf numFmtId="169" fontId="11" fillId="0" borderId="2" xfId="6" applyNumberFormat="1" applyFont="1" applyBorder="1" applyAlignment="1">
      <alignment horizontal="center" vertical="center" wrapText="1"/>
    </xf>
    <xf numFmtId="0" fontId="7" fillId="0" borderId="5" xfId="0" applyFont="1" applyBorder="1" applyAlignment="1">
      <alignment horizontal="center" vertical="center"/>
    </xf>
    <xf numFmtId="0" fontId="7" fillId="0" borderId="9" xfId="0" applyFont="1" applyBorder="1" applyAlignment="1">
      <alignment horizontal="center" vertical="center"/>
    </xf>
    <xf numFmtId="0" fontId="29" fillId="0" borderId="0" xfId="0" applyFont="1" applyAlignment="1">
      <alignment vertical="center" wrapText="1"/>
    </xf>
    <xf numFmtId="0" fontId="13" fillId="0" borderId="0" xfId="0" applyFont="1" applyAlignment="1">
      <alignment horizontal="center"/>
    </xf>
    <xf numFmtId="0" fontId="7" fillId="0" borderId="2" xfId="0" applyFont="1" applyBorder="1"/>
    <xf numFmtId="0" fontId="14" fillId="0" borderId="0" xfId="0" applyFont="1" applyAlignment="1">
      <alignment vertical="center" wrapText="1"/>
    </xf>
    <xf numFmtId="1" fontId="7" fillId="0" borderId="0" xfId="0" applyNumberFormat="1" applyFont="1" applyAlignment="1">
      <alignment horizontal="left" vertical="center" wrapText="1"/>
    </xf>
    <xf numFmtId="0" fontId="1" fillId="0" borderId="0" xfId="0" applyFont="1" applyAlignment="1">
      <alignment horizontal="center" vertical="center" wrapText="1"/>
    </xf>
    <xf numFmtId="0" fontId="22" fillId="0" borderId="0" xfId="0" applyFont="1"/>
    <xf numFmtId="16" fontId="0" fillId="0" borderId="0" xfId="0" applyNumberFormat="1"/>
    <xf numFmtId="0" fontId="7" fillId="0" borderId="2" xfId="0" quotePrefix="1" applyFont="1" applyBorder="1" applyAlignment="1">
      <alignment horizontal="center" vertical="center" wrapText="1"/>
    </xf>
    <xf numFmtId="2" fontId="7" fillId="0" borderId="2" xfId="0" applyNumberFormat="1" applyFont="1" applyBorder="1" applyAlignment="1">
      <alignment horizontal="center" vertical="center"/>
    </xf>
    <xf numFmtId="0" fontId="11" fillId="0" borderId="0" xfId="3" applyFont="1" applyFill="1" applyBorder="1" applyAlignment="1">
      <alignment horizontal="left" vertical="top" wrapText="1"/>
    </xf>
    <xf numFmtId="0" fontId="13" fillId="2" borderId="0" xfId="0" applyFont="1" applyFill="1"/>
    <xf numFmtId="0" fontId="8" fillId="2" borderId="0" xfId="0" applyFont="1" applyFill="1" applyAlignment="1">
      <alignment vertical="center"/>
    </xf>
    <xf numFmtId="1" fontId="7" fillId="0" borderId="0" xfId="0" applyNumberFormat="1" applyFont="1" applyAlignment="1">
      <alignment horizontal="left" vertical="center"/>
    </xf>
    <xf numFmtId="0" fontId="13" fillId="0" borderId="0" xfId="0" applyFont="1" applyAlignment="1">
      <alignment wrapText="1"/>
    </xf>
    <xf numFmtId="0" fontId="11" fillId="0" borderId="0" xfId="3" applyFont="1" applyBorder="1" applyAlignment="1">
      <alignment horizontal="center" vertical="top" wrapText="1"/>
    </xf>
    <xf numFmtId="0" fontId="11" fillId="0" borderId="2" xfId="3" applyFont="1" applyFill="1" applyBorder="1" applyAlignment="1">
      <alignment horizontal="left" vertical="center" wrapText="1"/>
    </xf>
    <xf numFmtId="0" fontId="11" fillId="0" borderId="2" xfId="3" applyFont="1" applyBorder="1" applyAlignment="1">
      <alignment horizontal="center" vertical="center" wrapText="1"/>
    </xf>
    <xf numFmtId="164" fontId="7" fillId="0" borderId="2" xfId="2" applyNumberFormat="1" applyFont="1" applyBorder="1" applyAlignment="1">
      <alignment horizontal="center" vertical="center"/>
    </xf>
    <xf numFmtId="169" fontId="11" fillId="0" borderId="2" xfId="6" applyNumberFormat="1" applyFont="1" applyFill="1" applyBorder="1" applyAlignment="1">
      <alignment horizontal="left" vertical="center" wrapText="1"/>
    </xf>
    <xf numFmtId="1" fontId="1" fillId="0" borderId="2" xfId="0" applyNumberFormat="1" applyFont="1" applyBorder="1" applyAlignment="1">
      <alignment horizontal="left" vertical="center" wrapText="1"/>
    </xf>
    <xf numFmtId="3" fontId="11" fillId="0" borderId="2" xfId="3" applyNumberFormat="1" applyFont="1" applyFill="1" applyBorder="1" applyAlignment="1">
      <alignment vertical="center" wrapText="1"/>
    </xf>
    <xf numFmtId="0" fontId="17" fillId="0" borderId="0" xfId="5" applyFont="1" applyAlignment="1">
      <alignment vertical="center"/>
    </xf>
    <xf numFmtId="168" fontId="17" fillId="0" borderId="0" xfId="5" applyNumberFormat="1" applyFont="1" applyAlignment="1">
      <alignment horizontal="left" vertical="center"/>
    </xf>
    <xf numFmtId="168" fontId="17" fillId="0" borderId="0" xfId="5" applyNumberFormat="1" applyFont="1" applyAlignment="1">
      <alignment vertical="center"/>
    </xf>
    <xf numFmtId="0" fontId="9" fillId="0" borderId="2" xfId="5" applyBorder="1" applyAlignment="1">
      <alignment horizontal="center" vertical="center"/>
    </xf>
    <xf numFmtId="0" fontId="14" fillId="0" borderId="0" xfId="0" applyFont="1" applyAlignment="1">
      <alignment vertical="center"/>
    </xf>
    <xf numFmtId="0" fontId="29" fillId="0" borderId="0" xfId="0" applyFont="1"/>
    <xf numFmtId="1" fontId="11" fillId="0" borderId="2" xfId="3" applyNumberFormat="1" applyFont="1" applyBorder="1" applyAlignment="1">
      <alignment horizontal="left" vertical="center" wrapText="1"/>
    </xf>
    <xf numFmtId="0" fontId="11" fillId="0" borderId="2" xfId="3" applyFont="1" applyBorder="1" applyAlignment="1">
      <alignment horizontal="left" vertical="center" wrapText="1"/>
    </xf>
    <xf numFmtId="1" fontId="7" fillId="0" borderId="2" xfId="0" applyNumberFormat="1" applyFont="1" applyBorder="1" applyAlignment="1">
      <alignment horizontal="center" vertical="center"/>
    </xf>
    <xf numFmtId="43" fontId="7" fillId="0" borderId="2" xfId="0" applyNumberFormat="1" applyFont="1" applyBorder="1" applyAlignment="1">
      <alignment horizontal="center" vertical="center" wrapText="1"/>
    </xf>
    <xf numFmtId="169" fontId="7" fillId="0" borderId="2" xfId="6" applyNumberFormat="1" applyFont="1" applyFill="1" applyBorder="1" applyAlignment="1">
      <alignment horizontal="center" vertical="center"/>
    </xf>
    <xf numFmtId="0" fontId="7" fillId="0" borderId="2" xfId="4" applyBorder="1" applyAlignment="1">
      <alignment horizontal="center" vertical="center"/>
    </xf>
    <xf numFmtId="3" fontId="7" fillId="0" borderId="0" xfId="0" applyNumberFormat="1" applyFont="1"/>
    <xf numFmtId="0" fontId="24" fillId="9" borderId="2" xfId="0" applyFont="1" applyFill="1" applyBorder="1" applyAlignment="1">
      <alignment horizontal="center" vertical="center" wrapText="1"/>
    </xf>
    <xf numFmtId="0" fontId="24" fillId="9" borderId="2" xfId="0" applyFont="1" applyFill="1" applyBorder="1" applyAlignment="1">
      <alignment horizontal="center" vertical="center"/>
    </xf>
    <xf numFmtId="0" fontId="8" fillId="0" borderId="0" xfId="0" applyFont="1" applyAlignment="1">
      <alignment horizontal="center" vertical="center"/>
    </xf>
    <xf numFmtId="0" fontId="34" fillId="0" borderId="32" xfId="0" applyFont="1" applyBorder="1" applyAlignment="1">
      <alignment horizontal="left" vertical="top" wrapText="1"/>
    </xf>
    <xf numFmtId="3" fontId="34" fillId="0" borderId="32" xfId="0" applyNumberFormat="1" applyFont="1" applyBorder="1" applyAlignment="1">
      <alignment horizontal="center" vertical="center" wrapText="1"/>
    </xf>
    <xf numFmtId="0" fontId="24" fillId="9" borderId="33"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7" fillId="0" borderId="12" xfId="0" applyFont="1" applyBorder="1"/>
    <xf numFmtId="0" fontId="18" fillId="0" borderId="0" xfId="0" applyFont="1" applyAlignment="1">
      <alignment vertical="center"/>
    </xf>
    <xf numFmtId="0" fontId="33" fillId="12" borderId="0" xfId="0" applyFont="1" applyFill="1" applyAlignment="1">
      <alignment horizontal="center" vertical="center"/>
    </xf>
    <xf numFmtId="0" fontId="33" fillId="0" borderId="0" xfId="0" applyFont="1" applyAlignment="1">
      <alignment horizontal="center" vertical="center"/>
    </xf>
    <xf numFmtId="2" fontId="7" fillId="0" borderId="1" xfId="0" applyNumberFormat="1" applyFont="1" applyBorder="1" applyAlignment="1">
      <alignment horizontal="center" vertical="center"/>
    </xf>
    <xf numFmtId="2" fontId="7" fillId="0" borderId="16" xfId="0" applyNumberFormat="1" applyFont="1" applyBorder="1" applyAlignment="1">
      <alignment horizontal="center" vertical="center"/>
    </xf>
    <xf numFmtId="0" fontId="24" fillId="9" borderId="2" xfId="0" applyFont="1" applyFill="1" applyBorder="1" applyAlignment="1">
      <alignment vertical="center" wrapText="1"/>
    </xf>
    <xf numFmtId="0" fontId="20" fillId="6" borderId="20" xfId="0" applyFont="1" applyFill="1" applyBorder="1" applyAlignment="1">
      <alignment horizontal="center" vertical="center" wrapText="1"/>
    </xf>
    <xf numFmtId="0" fontId="24" fillId="9" borderId="20" xfId="0" applyFont="1" applyFill="1" applyBorder="1" applyAlignment="1">
      <alignment horizontal="center" vertical="center"/>
    </xf>
    <xf numFmtId="3" fontId="7" fillId="0" borderId="20" xfId="0" applyNumberFormat="1" applyFont="1" applyBorder="1" applyAlignment="1">
      <alignment horizontal="center" vertical="center"/>
    </xf>
    <xf numFmtId="0" fontId="24" fillId="6" borderId="20" xfId="0" applyFont="1" applyFill="1" applyBorder="1" applyAlignment="1">
      <alignment horizontal="left" vertical="center" wrapText="1"/>
    </xf>
    <xf numFmtId="0" fontId="7" fillId="0" borderId="20" xfId="0" applyFont="1" applyBorder="1" applyAlignment="1">
      <alignment vertical="center"/>
    </xf>
    <xf numFmtId="172" fontId="7" fillId="0" borderId="20" xfId="0" applyNumberFormat="1" applyFont="1" applyBorder="1" applyAlignment="1">
      <alignment vertical="center"/>
    </xf>
    <xf numFmtId="172" fontId="1" fillId="0" borderId="20" xfId="0" applyNumberFormat="1" applyFont="1" applyBorder="1" applyAlignment="1">
      <alignment vertical="center"/>
    </xf>
    <xf numFmtId="1" fontId="7" fillId="0" borderId="20" xfId="0" applyNumberFormat="1" applyFont="1" applyBorder="1" applyAlignment="1">
      <alignment horizontal="left" vertical="center"/>
    </xf>
    <xf numFmtId="165" fontId="7" fillId="0" borderId="20" xfId="0" applyNumberFormat="1" applyFont="1" applyBorder="1" applyAlignment="1">
      <alignment horizontal="center" vertical="center"/>
    </xf>
    <xf numFmtId="0" fontId="7" fillId="0" borderId="20" xfId="0" applyFont="1" applyBorder="1"/>
    <xf numFmtId="2" fontId="7" fillId="0" borderId="20" xfId="0" applyNumberFormat="1" applyFont="1" applyBorder="1" applyAlignment="1">
      <alignment horizontal="center" vertical="center"/>
    </xf>
    <xf numFmtId="0" fontId="24" fillId="9" borderId="20" xfId="0" applyFont="1" applyFill="1" applyBorder="1" applyAlignment="1">
      <alignment horizontal="center" vertical="center" wrapText="1"/>
    </xf>
    <xf numFmtId="0" fontId="11" fillId="0" borderId="20" xfId="3" applyFont="1" applyFill="1" applyBorder="1" applyAlignment="1">
      <alignment horizontal="left" vertical="center" wrapText="1"/>
    </xf>
    <xf numFmtId="0" fontId="20" fillId="6" borderId="20" xfId="0" applyFont="1" applyFill="1" applyBorder="1" applyAlignment="1">
      <alignment horizontal="center" vertical="center"/>
    </xf>
    <xf numFmtId="0" fontId="20" fillId="9" borderId="20" xfId="0" applyFont="1" applyFill="1" applyBorder="1" applyAlignment="1">
      <alignment horizontal="center" vertical="center"/>
    </xf>
    <xf numFmtId="0" fontId="21" fillId="6" borderId="20" xfId="0" applyFont="1" applyFill="1" applyBorder="1" applyAlignment="1">
      <alignment horizontal="center" vertical="center" wrapText="1"/>
    </xf>
    <xf numFmtId="3" fontId="7" fillId="0" borderId="20" xfId="7" applyNumberFormat="1" applyFont="1" applyBorder="1" applyAlignment="1">
      <alignment horizontal="center" vertical="center"/>
    </xf>
    <xf numFmtId="4" fontId="7" fillId="0" borderId="20" xfId="7" applyNumberFormat="1" applyFont="1" applyBorder="1" applyAlignment="1">
      <alignment horizontal="center" vertical="center"/>
    </xf>
    <xf numFmtId="171" fontId="7" fillId="0" borderId="20" xfId="7" applyNumberFormat="1" applyFont="1" applyBorder="1" applyAlignment="1">
      <alignment horizontal="center" vertical="center"/>
    </xf>
    <xf numFmtId="0" fontId="20" fillId="6" borderId="20" xfId="0" applyFont="1" applyFill="1" applyBorder="1" applyAlignment="1">
      <alignment vertical="center"/>
    </xf>
    <xf numFmtId="0" fontId="20" fillId="6" borderId="20" xfId="0" applyFont="1" applyFill="1" applyBorder="1" applyAlignment="1">
      <alignment horizontal="left" vertical="center"/>
    </xf>
    <xf numFmtId="0" fontId="1" fillId="0" borderId="20" xfId="1" applyBorder="1" applyAlignment="1">
      <alignment vertical="center" wrapText="1"/>
    </xf>
    <xf numFmtId="3" fontId="1" fillId="0" borderId="20" xfId="1" applyNumberFormat="1" applyBorder="1" applyAlignment="1">
      <alignment horizontal="center" vertical="center" wrapText="1"/>
    </xf>
    <xf numFmtId="166" fontId="1" fillId="0" borderId="20" xfId="1" applyNumberFormat="1" applyBorder="1" applyAlignment="1">
      <alignment horizontal="center" vertical="center" wrapText="1"/>
    </xf>
    <xf numFmtId="0" fontId="1" fillId="0" borderId="20" xfId="1" applyBorder="1" applyAlignment="1">
      <alignment vertical="center"/>
    </xf>
    <xf numFmtId="1" fontId="7" fillId="0" borderId="20" xfId="0" applyNumberFormat="1" applyFont="1" applyBorder="1" applyAlignment="1">
      <alignment horizontal="left" vertical="center" wrapText="1"/>
    </xf>
    <xf numFmtId="169" fontId="7" fillId="0" borderId="20" xfId="6" applyNumberFormat="1" applyFont="1" applyBorder="1" applyAlignment="1">
      <alignment horizontal="center" vertical="center"/>
    </xf>
    <xf numFmtId="0" fontId="11" fillId="0" borderId="20" xfId="3" applyFont="1" applyBorder="1" applyAlignment="1">
      <alignment horizontal="left" vertical="center" wrapText="1"/>
    </xf>
    <xf numFmtId="1" fontId="11" fillId="0" borderId="20" xfId="3" applyNumberFormat="1" applyFont="1" applyBorder="1" applyAlignment="1">
      <alignment horizontal="left" vertical="center" wrapText="1"/>
    </xf>
    <xf numFmtId="169" fontId="7" fillId="0" borderId="20" xfId="6" applyNumberFormat="1" applyFont="1" applyBorder="1" applyAlignment="1">
      <alignment horizontal="center" vertical="center" wrapText="1"/>
    </xf>
    <xf numFmtId="170" fontId="7" fillId="0" borderId="20" xfId="6" applyNumberFormat="1" applyFont="1" applyBorder="1" applyAlignment="1">
      <alignment horizontal="center" vertical="center"/>
    </xf>
    <xf numFmtId="0" fontId="7" fillId="0" borderId="7" xfId="0" applyFont="1" applyBorder="1" applyAlignment="1">
      <alignment horizontal="center" vertical="center"/>
    </xf>
    <xf numFmtId="0" fontId="7" fillId="0" borderId="21" xfId="0" applyFont="1" applyBorder="1" applyAlignment="1">
      <alignment horizontal="center" vertical="center"/>
    </xf>
    <xf numFmtId="0" fontId="7" fillId="0" borderId="27"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2" xfId="0" applyFont="1" applyBorder="1" applyAlignment="1">
      <alignment horizontal="center" vertical="center"/>
    </xf>
    <xf numFmtId="2" fontId="7" fillId="0" borderId="5"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28" xfId="0" applyNumberFormat="1" applyFont="1" applyBorder="1" applyAlignment="1">
      <alignment horizontal="center" vertical="center"/>
    </xf>
    <xf numFmtId="2" fontId="7" fillId="0" borderId="9" xfId="0" applyNumberFormat="1" applyFont="1" applyBorder="1" applyAlignment="1">
      <alignment horizontal="center" vertical="center"/>
    </xf>
    <xf numFmtId="172" fontId="1" fillId="7" borderId="20" xfId="0" applyNumberFormat="1" applyFont="1" applyFill="1" applyBorder="1" applyAlignment="1">
      <alignment vertical="center"/>
    </xf>
    <xf numFmtId="0" fontId="7" fillId="0" borderId="20" xfId="0" applyFont="1" applyBorder="1" applyAlignment="1">
      <alignment wrapText="1"/>
    </xf>
    <xf numFmtId="9" fontId="8" fillId="0" borderId="0" xfId="2" applyFont="1"/>
    <xf numFmtId="0" fontId="8" fillId="0" borderId="0" xfId="0" applyFont="1" applyAlignment="1">
      <alignment wrapText="1"/>
    </xf>
    <xf numFmtId="0" fontId="8" fillId="0" borderId="0" xfId="0" applyFont="1" applyAlignment="1">
      <alignment horizontal="left"/>
    </xf>
    <xf numFmtId="0" fontId="8" fillId="0" borderId="0" xfId="0" applyFont="1" applyAlignment="1">
      <alignment horizontal="center"/>
    </xf>
    <xf numFmtId="0" fontId="8" fillId="0" borderId="20" xfId="0" applyFont="1" applyBorder="1"/>
    <xf numFmtId="0" fontId="7" fillId="0" borderId="16" xfId="0" applyFont="1" applyBorder="1"/>
    <xf numFmtId="0" fontId="8" fillId="0" borderId="20" xfId="0" applyFont="1" applyBorder="1" applyAlignment="1">
      <alignment vertical="center"/>
    </xf>
    <xf numFmtId="9" fontId="7" fillId="0" borderId="2" xfId="0" applyNumberFormat="1" applyFont="1" applyBorder="1" applyAlignment="1">
      <alignment horizontal="center"/>
    </xf>
    <xf numFmtId="0" fontId="20" fillId="6" borderId="51" xfId="0" applyFont="1" applyFill="1" applyBorder="1" applyAlignment="1">
      <alignment horizontal="center" vertical="center" wrapText="1"/>
    </xf>
    <xf numFmtId="0" fontId="7" fillId="0" borderId="2" xfId="0" applyFont="1" applyBorder="1" applyAlignment="1">
      <alignment vertical="center"/>
    </xf>
    <xf numFmtId="168" fontId="7" fillId="0" borderId="2" xfId="0" applyNumberFormat="1" applyFont="1" applyBorder="1" applyAlignment="1">
      <alignment vertical="center"/>
    </xf>
    <xf numFmtId="170" fontId="7" fillId="0" borderId="51" xfId="6" applyNumberFormat="1" applyFont="1" applyBorder="1" applyAlignment="1">
      <alignment horizontal="center" vertical="center"/>
    </xf>
    <xf numFmtId="0" fontId="7" fillId="0" borderId="20" xfId="0" applyFont="1" applyBorder="1" applyAlignment="1">
      <alignment vertical="center" wrapText="1"/>
    </xf>
    <xf numFmtId="0" fontId="23" fillId="0" borderId="53" xfId="0" applyFont="1" applyBorder="1" applyAlignment="1">
      <alignment horizontal="center" vertical="center"/>
    </xf>
    <xf numFmtId="1" fontId="23" fillId="0" borderId="1" xfId="0" applyNumberFormat="1" applyFont="1" applyBorder="1" applyAlignment="1">
      <alignment horizontal="center" vertical="center"/>
    </xf>
    <xf numFmtId="1" fontId="23" fillId="0" borderId="5" xfId="0" applyNumberFormat="1" applyFont="1" applyBorder="1" applyAlignment="1">
      <alignment horizontal="center" vertical="center"/>
    </xf>
    <xf numFmtId="0" fontId="23" fillId="0" borderId="11" xfId="0" applyFont="1" applyBorder="1" applyAlignment="1">
      <alignment horizontal="center" vertical="center"/>
    </xf>
    <xf numFmtId="1" fontId="23" fillId="0" borderId="2" xfId="0" applyNumberFormat="1" applyFont="1" applyBorder="1" applyAlignment="1">
      <alignment horizontal="center" vertical="center"/>
    </xf>
    <xf numFmtId="1" fontId="23" fillId="0" borderId="7" xfId="0" applyNumberFormat="1" applyFont="1" applyBorder="1" applyAlignment="1">
      <alignment horizontal="center" vertical="center"/>
    </xf>
    <xf numFmtId="0" fontId="23" fillId="0" borderId="54" xfId="0" applyFont="1" applyBorder="1" applyAlignment="1">
      <alignment horizontal="center" vertical="center"/>
    </xf>
    <xf numFmtId="1" fontId="23" fillId="0" borderId="28" xfId="0" applyNumberFormat="1" applyFont="1" applyBorder="1" applyAlignment="1">
      <alignment horizontal="center" vertical="center"/>
    </xf>
    <xf numFmtId="1" fontId="23" fillId="0" borderId="9" xfId="0" applyNumberFormat="1" applyFont="1" applyBorder="1" applyAlignment="1">
      <alignment horizontal="center" vertical="center"/>
    </xf>
    <xf numFmtId="0" fontId="23" fillId="0" borderId="19" xfId="0" applyFont="1" applyBorder="1" applyAlignment="1">
      <alignment horizontal="center" vertical="center"/>
    </xf>
    <xf numFmtId="1" fontId="23" fillId="0" borderId="16" xfId="0" applyNumberFormat="1" applyFont="1" applyBorder="1" applyAlignment="1">
      <alignment horizontal="center" vertical="center"/>
    </xf>
    <xf numFmtId="1" fontId="23" fillId="0" borderId="56" xfId="0" applyNumberFormat="1" applyFont="1" applyBorder="1" applyAlignment="1">
      <alignment horizontal="center" vertical="center"/>
    </xf>
    <xf numFmtId="0" fontId="23" fillId="0" borderId="13" xfId="0" applyFont="1" applyBorder="1" applyAlignment="1">
      <alignment horizontal="center" vertical="center"/>
    </xf>
    <xf numFmtId="1" fontId="23" fillId="0" borderId="12" xfId="0" applyNumberFormat="1" applyFont="1" applyBorder="1" applyAlignment="1">
      <alignment horizontal="center" vertical="center"/>
    </xf>
    <xf numFmtId="1" fontId="23" fillId="0" borderId="52" xfId="0" applyNumberFormat="1" applyFont="1" applyBorder="1" applyAlignment="1">
      <alignment horizontal="center" vertical="center"/>
    </xf>
    <xf numFmtId="0" fontId="23" fillId="0" borderId="66" xfId="0" applyFont="1" applyBorder="1" applyAlignment="1">
      <alignment horizontal="center" vertical="center"/>
    </xf>
    <xf numFmtId="1" fontId="23" fillId="0" borderId="43" xfId="0" applyNumberFormat="1" applyFont="1" applyBorder="1" applyAlignment="1">
      <alignment horizontal="center" vertical="center"/>
    </xf>
    <xf numFmtId="1" fontId="23" fillId="0" borderId="67" xfId="0" applyNumberFormat="1" applyFont="1" applyBorder="1" applyAlignment="1">
      <alignment horizontal="center" vertical="center"/>
    </xf>
    <xf numFmtId="0" fontId="23" fillId="0" borderId="69" xfId="0" applyFont="1" applyBorder="1" applyAlignment="1">
      <alignment horizontal="center" vertical="center"/>
    </xf>
    <xf numFmtId="1" fontId="23" fillId="0" borderId="70" xfId="0" applyNumberFormat="1" applyFont="1" applyBorder="1" applyAlignment="1">
      <alignment horizontal="center" vertical="center"/>
    </xf>
    <xf numFmtId="1" fontId="23" fillId="0" borderId="71" xfId="0" applyNumberFormat="1" applyFont="1" applyBorder="1" applyAlignment="1">
      <alignment horizontal="center" vertical="center"/>
    </xf>
    <xf numFmtId="0" fontId="23" fillId="0" borderId="48" xfId="0" applyFont="1" applyBorder="1" applyAlignment="1">
      <alignment horizontal="center" vertical="center"/>
    </xf>
    <xf numFmtId="0" fontId="23" fillId="0" borderId="46" xfId="0" applyFont="1" applyBorder="1" applyAlignment="1">
      <alignment horizontal="center" vertical="center"/>
    </xf>
    <xf numFmtId="0" fontId="23" fillId="0" borderId="5" xfId="0" applyFont="1" applyBorder="1" applyAlignment="1">
      <alignment horizontal="center" vertical="center"/>
    </xf>
    <xf numFmtId="0" fontId="23" fillId="0" borderId="7" xfId="0" applyFont="1" applyBorder="1" applyAlignment="1">
      <alignment horizontal="center" vertical="center"/>
    </xf>
    <xf numFmtId="0" fontId="23" fillId="0" borderId="9" xfId="0" applyFont="1" applyBorder="1" applyAlignment="1">
      <alignment horizontal="center" vertical="center"/>
    </xf>
    <xf numFmtId="2" fontId="7" fillId="0" borderId="12" xfId="0" applyNumberFormat="1" applyFont="1" applyBorder="1" applyAlignment="1">
      <alignment horizontal="center" vertical="center"/>
    </xf>
    <xf numFmtId="2" fontId="7" fillId="0" borderId="52" xfId="0" applyNumberFormat="1" applyFont="1" applyBorder="1" applyAlignment="1">
      <alignment horizontal="center" vertical="center"/>
    </xf>
    <xf numFmtId="0" fontId="23" fillId="0" borderId="4" xfId="0" applyFont="1" applyBorder="1" applyAlignment="1">
      <alignment horizontal="center" vertical="center"/>
    </xf>
    <xf numFmtId="0" fontId="23" fillId="0" borderId="6" xfId="0" applyFont="1" applyBorder="1" applyAlignment="1">
      <alignment horizontal="center" vertical="center"/>
    </xf>
    <xf numFmtId="0" fontId="23" fillId="0" borderId="8" xfId="0" applyFont="1" applyBorder="1" applyAlignment="1">
      <alignment horizontal="center" vertical="center"/>
    </xf>
    <xf numFmtId="0" fontId="8" fillId="6" borderId="51" xfId="0" applyFont="1" applyFill="1" applyBorder="1" applyAlignment="1">
      <alignment horizontal="center" vertical="center" wrapText="1"/>
    </xf>
    <xf numFmtId="0" fontId="8" fillId="6" borderId="12" xfId="0" applyFont="1" applyFill="1" applyBorder="1" applyAlignment="1">
      <alignment horizontal="center" vertical="center" wrapText="1"/>
    </xf>
    <xf numFmtId="1" fontId="7" fillId="0" borderId="20" xfId="0" applyNumberFormat="1" applyFont="1" applyBorder="1"/>
    <xf numFmtId="2" fontId="23" fillId="0" borderId="1" xfId="0" applyNumberFormat="1" applyFont="1" applyBorder="1" applyAlignment="1">
      <alignment horizontal="center" vertical="center"/>
    </xf>
    <xf numFmtId="2" fontId="23" fillId="0" borderId="5"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36" fillId="0" borderId="12" xfId="0" applyNumberFormat="1" applyFont="1" applyBorder="1" applyAlignment="1">
      <alignment horizontal="center" vertical="center"/>
    </xf>
    <xf numFmtId="2" fontId="36" fillId="0" borderId="2" xfId="0" applyNumberFormat="1" applyFont="1" applyBorder="1" applyAlignment="1">
      <alignment horizontal="center" vertical="center"/>
    </xf>
    <xf numFmtId="2" fontId="23" fillId="0" borderId="7" xfId="0" applyNumberFormat="1" applyFont="1" applyBorder="1" applyAlignment="1">
      <alignment horizontal="center" vertical="center"/>
    </xf>
    <xf numFmtId="2" fontId="23" fillId="0" borderId="12" xfId="0" applyNumberFormat="1" applyFont="1" applyBorder="1" applyAlignment="1">
      <alignment horizontal="center" vertical="center"/>
    </xf>
    <xf numFmtId="2" fontId="23" fillId="0" borderId="52" xfId="0" applyNumberFormat="1" applyFont="1" applyBorder="1" applyAlignment="1">
      <alignment horizontal="center" vertical="center"/>
    </xf>
    <xf numFmtId="0" fontId="23" fillId="0" borderId="77" xfId="0" applyFont="1" applyBorder="1" applyAlignment="1">
      <alignment horizontal="center" vertical="center"/>
    </xf>
    <xf numFmtId="2" fontId="23" fillId="0" borderId="28" xfId="0" applyNumberFormat="1" applyFont="1" applyBorder="1" applyAlignment="1">
      <alignment horizontal="center" vertical="center"/>
    </xf>
    <xf numFmtId="2" fontId="23" fillId="0" borderId="9" xfId="0" applyNumberFormat="1" applyFont="1" applyBorder="1" applyAlignment="1">
      <alignment horizontal="center" vertical="center"/>
    </xf>
    <xf numFmtId="2" fontId="36" fillId="0" borderId="78" xfId="0" applyNumberFormat="1" applyFont="1" applyBorder="1" applyAlignment="1">
      <alignment horizontal="center" vertical="center"/>
    </xf>
    <xf numFmtId="2" fontId="36" fillId="0" borderId="79" xfId="0" applyNumberFormat="1" applyFont="1" applyBorder="1" applyAlignment="1">
      <alignment horizontal="center" vertical="center"/>
    </xf>
    <xf numFmtId="2" fontId="36" fillId="0" borderId="80" xfId="0" applyNumberFormat="1" applyFont="1" applyBorder="1" applyAlignment="1">
      <alignment horizontal="center" vertical="center"/>
    </xf>
    <xf numFmtId="2" fontId="36" fillId="0" borderId="81" xfId="0" applyNumberFormat="1" applyFont="1" applyBorder="1" applyAlignment="1">
      <alignment horizontal="center" vertical="center"/>
    </xf>
    <xf numFmtId="0" fontId="23" fillId="0" borderId="82" xfId="0" applyFont="1" applyBorder="1" applyAlignment="1">
      <alignment horizontal="center" vertical="center"/>
    </xf>
    <xf numFmtId="2" fontId="36" fillId="0" borderId="83" xfId="0" applyNumberFormat="1" applyFont="1" applyBorder="1" applyAlignment="1">
      <alignment horizontal="center" vertical="center"/>
    </xf>
    <xf numFmtId="2" fontId="36" fillId="0" borderId="84" xfId="0" applyNumberFormat="1" applyFont="1" applyBorder="1" applyAlignment="1">
      <alignment horizontal="center" vertical="center"/>
    </xf>
    <xf numFmtId="2" fontId="23" fillId="0" borderId="16" xfId="0" applyNumberFormat="1" applyFont="1" applyBorder="1" applyAlignment="1">
      <alignment horizontal="center" vertical="center"/>
    </xf>
    <xf numFmtId="2" fontId="23" fillId="0" borderId="56" xfId="0" applyNumberFormat="1" applyFont="1" applyBorder="1" applyAlignment="1">
      <alignment horizontal="center" vertical="center"/>
    </xf>
    <xf numFmtId="2" fontId="23" fillId="0" borderId="73" xfId="0" applyNumberFormat="1" applyFont="1" applyBorder="1" applyAlignment="1">
      <alignment horizontal="center" vertical="center"/>
    </xf>
    <xf numFmtId="2" fontId="23" fillId="0" borderId="85" xfId="0" applyNumberFormat="1" applyFont="1" applyBorder="1" applyAlignment="1">
      <alignment horizontal="center" vertical="center"/>
    </xf>
    <xf numFmtId="2" fontId="23" fillId="0" borderId="43" xfId="0" applyNumberFormat="1" applyFont="1" applyBorder="1" applyAlignment="1">
      <alignment horizontal="center" vertical="center"/>
    </xf>
    <xf numFmtId="2" fontId="23" fillId="0" borderId="86" xfId="0" applyNumberFormat="1" applyFont="1" applyBorder="1" applyAlignment="1">
      <alignment horizontal="center" vertical="center"/>
    </xf>
    <xf numFmtId="2" fontId="23" fillId="0" borderId="87" xfId="0" applyNumberFormat="1" applyFont="1" applyBorder="1" applyAlignment="1">
      <alignment horizontal="center" vertical="center"/>
    </xf>
    <xf numFmtId="2" fontId="23" fillId="0" borderId="88" xfId="0" applyNumberFormat="1" applyFont="1" applyBorder="1" applyAlignment="1">
      <alignment horizontal="center" vertical="center"/>
    </xf>
    <xf numFmtId="0" fontId="23" fillId="0" borderId="55" xfId="0" applyFont="1" applyBorder="1" applyAlignment="1">
      <alignment horizontal="center" vertical="center"/>
    </xf>
    <xf numFmtId="0" fontId="7" fillId="0" borderId="89" xfId="0" applyFont="1" applyBorder="1" applyAlignment="1">
      <alignment horizontal="left" vertical="center"/>
    </xf>
    <xf numFmtId="0" fontId="7" fillId="0" borderId="23" xfId="0" applyFont="1" applyBorder="1" applyAlignment="1">
      <alignment horizontal="left" vertical="center"/>
    </xf>
    <xf numFmtId="0" fontId="7" fillId="0" borderId="91" xfId="0" applyFont="1" applyBorder="1" applyAlignment="1">
      <alignment horizontal="left" vertical="center"/>
    </xf>
    <xf numFmtId="0" fontId="24" fillId="9" borderId="51" xfId="0" applyFont="1" applyFill="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7" fillId="0" borderId="94" xfId="0" applyFont="1" applyBorder="1" applyAlignment="1">
      <alignment horizontal="center" vertical="center"/>
    </xf>
    <xf numFmtId="0" fontId="7" fillId="0" borderId="23" xfId="0" applyFont="1" applyBorder="1" applyAlignment="1">
      <alignment horizontal="center" vertical="center"/>
    </xf>
    <xf numFmtId="0" fontId="7" fillId="0" borderId="91" xfId="0" applyFont="1" applyBorder="1" applyAlignment="1">
      <alignment horizontal="center" vertical="center"/>
    </xf>
    <xf numFmtId="0" fontId="7" fillId="0" borderId="89" xfId="0" applyFont="1" applyBorder="1" applyAlignment="1">
      <alignment horizontal="center" vertical="center"/>
    </xf>
    <xf numFmtId="0" fontId="7" fillId="0" borderId="90" xfId="0" applyFont="1" applyBorder="1" applyAlignment="1">
      <alignment horizontal="center" vertical="center"/>
    </xf>
    <xf numFmtId="2" fontId="7" fillId="0" borderId="56" xfId="0" applyNumberFormat="1" applyFont="1" applyBorder="1" applyAlignment="1">
      <alignment horizontal="center" vertical="center"/>
    </xf>
    <xf numFmtId="0" fontId="7" fillId="0" borderId="95" xfId="0" applyFont="1" applyBorder="1" applyAlignment="1">
      <alignment horizontal="center" vertical="center"/>
    </xf>
    <xf numFmtId="2" fontId="7" fillId="0" borderId="96" xfId="0" applyNumberFormat="1" applyFont="1" applyBorder="1" applyAlignment="1">
      <alignment horizontal="center" vertical="center"/>
    </xf>
    <xf numFmtId="2" fontId="7" fillId="0" borderId="97" xfId="0" applyNumberFormat="1" applyFont="1" applyBorder="1" applyAlignment="1">
      <alignment horizontal="center" vertical="center"/>
    </xf>
    <xf numFmtId="0" fontId="7" fillId="0" borderId="98" xfId="0" applyFont="1" applyBorder="1" applyAlignment="1">
      <alignment horizontal="center" vertical="center"/>
    </xf>
    <xf numFmtId="2" fontId="7" fillId="0" borderId="99" xfId="0" applyNumberFormat="1" applyFont="1" applyBorder="1" applyAlignment="1">
      <alignment horizontal="center" vertical="center"/>
    </xf>
    <xf numFmtId="0" fontId="7" fillId="0" borderId="100" xfId="0" applyFont="1" applyBorder="1" applyAlignment="1">
      <alignment horizontal="center" vertical="center"/>
    </xf>
    <xf numFmtId="2" fontId="7" fillId="0" borderId="101" xfId="0" applyNumberFormat="1" applyFont="1" applyBorder="1" applyAlignment="1">
      <alignment horizontal="center" vertical="center"/>
    </xf>
    <xf numFmtId="2" fontId="7" fillId="0" borderId="102" xfId="0" applyNumberFormat="1" applyFont="1" applyBorder="1" applyAlignment="1">
      <alignment horizontal="center" vertical="center"/>
    </xf>
    <xf numFmtId="2" fontId="23" fillId="0" borderId="103" xfId="0" applyNumberFormat="1" applyFont="1" applyBorder="1" applyAlignment="1">
      <alignment horizontal="center" vertical="center"/>
    </xf>
    <xf numFmtId="0" fontId="20" fillId="44" borderId="2" xfId="0" applyFont="1" applyFill="1" applyBorder="1" applyAlignment="1">
      <alignment horizontal="center" vertical="center" wrapText="1"/>
    </xf>
    <xf numFmtId="165" fontId="15" fillId="0" borderId="2" xfId="0" applyNumberFormat="1" applyFont="1" applyBorder="1"/>
    <xf numFmtId="169" fontId="7" fillId="0" borderId="2" xfId="6" applyNumberFormat="1" applyFont="1" applyBorder="1" applyAlignment="1">
      <alignment horizontal="center" vertical="center"/>
    </xf>
    <xf numFmtId="173" fontId="7" fillId="0" borderId="2" xfId="6" applyNumberFormat="1" applyFont="1" applyBorder="1" applyAlignment="1">
      <alignment horizontal="center" vertical="center"/>
    </xf>
    <xf numFmtId="173" fontId="7" fillId="0" borderId="2" xfId="0" applyNumberFormat="1" applyFont="1" applyBorder="1"/>
    <xf numFmtId="165" fontId="7" fillId="0" borderId="2" xfId="7" applyNumberFormat="1" applyFont="1" applyBorder="1" applyAlignment="1">
      <alignment horizontal="center" vertical="center"/>
    </xf>
    <xf numFmtId="165" fontId="1" fillId="0" borderId="2" xfId="7" applyNumberFormat="1" applyFont="1" applyBorder="1" applyAlignment="1">
      <alignment horizontal="center" vertical="center"/>
    </xf>
    <xf numFmtId="0" fontId="7" fillId="0" borderId="0" xfId="0" applyFont="1" applyAlignment="1">
      <alignment horizontal="left" vertical="center" wrapText="1"/>
    </xf>
    <xf numFmtId="0" fontId="20" fillId="6" borderId="113" xfId="0" applyFont="1" applyFill="1" applyBorder="1" applyAlignment="1">
      <alignment horizontal="center" vertical="center" wrapText="1"/>
    </xf>
    <xf numFmtId="0" fontId="20" fillId="6" borderId="114" xfId="0" applyFont="1" applyFill="1" applyBorder="1" applyAlignment="1">
      <alignment horizontal="center" vertical="center" wrapText="1"/>
    </xf>
    <xf numFmtId="0" fontId="20" fillId="6" borderId="115" xfId="0" applyFont="1" applyFill="1" applyBorder="1" applyAlignment="1">
      <alignment horizontal="center" vertical="center" wrapText="1"/>
    </xf>
    <xf numFmtId="0" fontId="58" fillId="0" borderId="0" xfId="0" applyFont="1" applyAlignment="1">
      <alignment horizontal="center" vertical="center"/>
    </xf>
    <xf numFmtId="1" fontId="23" fillId="0" borderId="0" xfId="0" applyNumberFormat="1" applyFont="1" applyAlignment="1">
      <alignment horizontal="center" vertical="center"/>
    </xf>
    <xf numFmtId="0" fontId="56" fillId="0" borderId="0" xfId="0" applyFont="1" applyAlignment="1">
      <alignment horizontal="center" vertical="center" wrapText="1"/>
    </xf>
    <xf numFmtId="0" fontId="55" fillId="0" borderId="0" xfId="0" applyFont="1" applyAlignment="1">
      <alignment horizontal="center" vertical="center" wrapText="1"/>
    </xf>
    <xf numFmtId="0" fontId="11" fillId="0" borderId="0" xfId="3" applyFont="1" applyFill="1" applyBorder="1" applyAlignment="1">
      <alignment horizontal="left" vertical="top"/>
    </xf>
    <xf numFmtId="0" fontId="22" fillId="0" borderId="2" xfId="3" applyFont="1" applyBorder="1" applyAlignment="1">
      <alignment horizontal="center" vertical="center" wrapText="1"/>
    </xf>
    <xf numFmtId="0" fontId="7" fillId="0" borderId="0" xfId="0" applyFont="1" applyAlignment="1">
      <alignment horizontal="center" vertical="center"/>
    </xf>
    <xf numFmtId="0" fontId="62" fillId="0" borderId="0" xfId="5" applyFont="1" applyAlignment="1">
      <alignment horizontal="left"/>
    </xf>
    <xf numFmtId="0" fontId="14" fillId="0" borderId="0" xfId="0" applyFont="1" applyAlignment="1">
      <alignment horizontal="center" vertical="center" wrapText="1"/>
    </xf>
    <xf numFmtId="0" fontId="8" fillId="9" borderId="2" xfId="0" applyFont="1" applyFill="1" applyBorder="1" applyAlignment="1">
      <alignment horizontal="center" vertical="center" wrapText="1"/>
    </xf>
    <xf numFmtId="0" fontId="8" fillId="9" borderId="132" xfId="0" applyFont="1" applyFill="1" applyBorder="1" applyAlignment="1">
      <alignment horizontal="center" vertical="center" wrapText="1"/>
    </xf>
    <xf numFmtId="0" fontId="20" fillId="0" borderId="0" xfId="0" applyFont="1" applyAlignment="1">
      <alignment horizontal="center" vertical="center" wrapText="1"/>
    </xf>
    <xf numFmtId="2" fontId="7" fillId="0" borderId="2" xfId="0" applyNumberFormat="1" applyFont="1" applyBorder="1" applyAlignment="1">
      <alignment horizontal="center" vertical="center" wrapText="1"/>
    </xf>
    <xf numFmtId="0" fontId="7" fillId="0" borderId="133" xfId="0" applyFont="1" applyBorder="1" applyAlignment="1">
      <alignment vertical="center"/>
    </xf>
    <xf numFmtId="0" fontId="20" fillId="6" borderId="12" xfId="0" applyFont="1" applyFill="1" applyBorder="1" applyAlignment="1">
      <alignment horizontal="center" vertical="center" wrapText="1"/>
    </xf>
    <xf numFmtId="174" fontId="7" fillId="0" borderId="40" xfId="0" applyNumberFormat="1" applyFont="1" applyBorder="1" applyAlignment="1">
      <alignment vertical="center"/>
    </xf>
    <xf numFmtId="43" fontId="7" fillId="0" borderId="40" xfId="0" applyNumberFormat="1" applyFont="1" applyBorder="1" applyAlignment="1">
      <alignment vertical="center"/>
    </xf>
    <xf numFmtId="43" fontId="7" fillId="0" borderId="2" xfId="6" applyFont="1" applyBorder="1" applyAlignment="1">
      <alignment horizontal="center" vertical="center"/>
    </xf>
    <xf numFmtId="0" fontId="7" fillId="0" borderId="0" xfId="427" applyFont="1"/>
    <xf numFmtId="0" fontId="56" fillId="0" borderId="0" xfId="427" applyFont="1" applyAlignment="1">
      <alignment vertical="center" wrapText="1"/>
    </xf>
    <xf numFmtId="0" fontId="56" fillId="0" borderId="0" xfId="427" applyFont="1" applyAlignment="1">
      <alignment vertical="center"/>
    </xf>
    <xf numFmtId="0" fontId="7" fillId="0" borderId="0" xfId="427" applyFont="1" applyAlignment="1">
      <alignment horizontal="left"/>
    </xf>
    <xf numFmtId="0" fontId="60" fillId="0" borderId="0" xfId="427"/>
    <xf numFmtId="0" fontId="9" fillId="0" borderId="0" xfId="5" applyAlignment="1">
      <alignment horizontal="left" vertical="top"/>
    </xf>
    <xf numFmtId="0" fontId="7" fillId="0" borderId="0" xfId="427" applyFont="1" applyAlignment="1">
      <alignment wrapText="1"/>
    </xf>
    <xf numFmtId="0" fontId="60" fillId="0" borderId="0" xfId="427" applyAlignment="1">
      <alignment horizontal="left" vertical="center"/>
    </xf>
    <xf numFmtId="0" fontId="7" fillId="0" borderId="0" xfId="427" applyFont="1" applyAlignment="1">
      <alignment horizontal="left" vertical="center"/>
    </xf>
    <xf numFmtId="0" fontId="63" fillId="46" borderId="20" xfId="0" applyFont="1" applyFill="1" applyBorder="1" applyAlignment="1">
      <alignment horizontal="center" vertical="center" wrapText="1"/>
    </xf>
    <xf numFmtId="10" fontId="22" fillId="0" borderId="20" xfId="0" applyNumberFormat="1" applyFont="1" applyBorder="1" applyAlignment="1">
      <alignment horizontal="center" vertical="center" wrapText="1"/>
    </xf>
    <xf numFmtId="0" fontId="22" fillId="0" borderId="20" xfId="1" applyFont="1" applyBorder="1" applyAlignment="1">
      <alignment vertical="center"/>
    </xf>
    <xf numFmtId="0" fontId="22" fillId="0" borderId="20" xfId="1" applyFont="1" applyBorder="1" applyAlignment="1">
      <alignment vertical="center" wrapText="1"/>
    </xf>
    <xf numFmtId="0" fontId="22" fillId="0" borderId="20" xfId="1" applyFont="1" applyBorder="1" applyAlignment="1">
      <alignment horizontal="center" vertical="center" wrapText="1"/>
    </xf>
    <xf numFmtId="0" fontId="22" fillId="0" borderId="20" xfId="0" applyFont="1" applyBorder="1" applyAlignment="1">
      <alignment horizontal="center" vertical="center" wrapText="1"/>
    </xf>
    <xf numFmtId="0" fontId="22" fillId="0" borderId="20" xfId="0" applyFont="1" applyBorder="1"/>
    <xf numFmtId="169" fontId="22" fillId="0" borderId="20" xfId="6" applyNumberFormat="1" applyFont="1" applyBorder="1" applyAlignment="1">
      <alignment horizontal="right" vertical="center" wrapText="1"/>
    </xf>
    <xf numFmtId="0" fontId="22" fillId="0" borderId="20" xfId="0" applyFont="1" applyBorder="1" applyAlignment="1">
      <alignment horizontal="right" vertical="center"/>
    </xf>
    <xf numFmtId="169" fontId="22" fillId="0" borderId="20" xfId="0" applyNumberFormat="1" applyFont="1" applyBorder="1" applyAlignment="1">
      <alignment horizontal="right" vertical="center"/>
    </xf>
    <xf numFmtId="0" fontId="22" fillId="0" borderId="5" xfId="0" applyFont="1" applyBorder="1" applyAlignment="1">
      <alignment horizontal="center" vertical="center"/>
    </xf>
    <xf numFmtId="0" fontId="22" fillId="0" borderId="7" xfId="0" applyFont="1" applyBorder="1" applyAlignment="1">
      <alignment horizontal="center" vertical="center"/>
    </xf>
    <xf numFmtId="0" fontId="22" fillId="0" borderId="9" xfId="0" applyFont="1" applyBorder="1" applyAlignment="1">
      <alignment horizontal="center" vertical="center"/>
    </xf>
    <xf numFmtId="0" fontId="22" fillId="0" borderId="21" xfId="0" applyFont="1" applyBorder="1" applyAlignment="1">
      <alignment horizontal="center" vertical="center"/>
    </xf>
    <xf numFmtId="0" fontId="22" fillId="0" borderId="27" xfId="0"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6" xfId="0" applyFont="1" applyBorder="1" applyAlignment="1">
      <alignment horizontal="center" vertical="center"/>
    </xf>
    <xf numFmtId="0" fontId="22" fillId="0" borderId="22" xfId="0" applyFont="1" applyBorder="1" applyAlignment="1">
      <alignment horizontal="center" vertical="center"/>
    </xf>
    <xf numFmtId="2" fontId="22" fillId="0" borderId="1" xfId="0" applyNumberFormat="1" applyFont="1" applyBorder="1" applyAlignment="1">
      <alignment horizontal="center" vertical="center"/>
    </xf>
    <xf numFmtId="2" fontId="22" fillId="0" borderId="5"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7" xfId="0" applyNumberFormat="1" applyFont="1" applyBorder="1" applyAlignment="1">
      <alignment horizontal="center" vertical="center"/>
    </xf>
    <xf numFmtId="2" fontId="22" fillId="0" borderId="28" xfId="0" applyNumberFormat="1" applyFont="1" applyBorder="1" applyAlignment="1">
      <alignment horizontal="center" vertical="center"/>
    </xf>
    <xf numFmtId="2" fontId="22" fillId="0" borderId="9" xfId="0" applyNumberFormat="1" applyFont="1" applyBorder="1" applyAlignment="1">
      <alignment horizontal="center" vertical="center"/>
    </xf>
    <xf numFmtId="0" fontId="22" fillId="0" borderId="51" xfId="0" applyFont="1" applyBorder="1" applyAlignment="1">
      <alignment horizontal="center" vertical="center"/>
    </xf>
    <xf numFmtId="2" fontId="22" fillId="0" borderId="12" xfId="0" applyNumberFormat="1" applyFont="1" applyBorder="1" applyAlignment="1">
      <alignment horizontal="center" vertical="center"/>
    </xf>
    <xf numFmtId="2" fontId="22" fillId="0" borderId="52" xfId="0" applyNumberFormat="1" applyFont="1" applyBorder="1" applyAlignment="1">
      <alignment horizontal="center" vertical="center"/>
    </xf>
    <xf numFmtId="0" fontId="22" fillId="0" borderId="53" xfId="0" applyFont="1" applyBorder="1" applyAlignment="1">
      <alignment horizontal="center" vertical="center"/>
    </xf>
    <xf numFmtId="1" fontId="22" fillId="0" borderId="1" xfId="0" applyNumberFormat="1" applyFont="1" applyBorder="1" applyAlignment="1">
      <alignment horizontal="center" vertical="center"/>
    </xf>
    <xf numFmtId="1" fontId="22" fillId="0" borderId="5" xfId="0" applyNumberFormat="1" applyFont="1" applyBorder="1" applyAlignment="1">
      <alignment horizontal="center" vertical="center"/>
    </xf>
    <xf numFmtId="0" fontId="22" fillId="0" borderId="11" xfId="0" applyFont="1" applyBorder="1" applyAlignment="1">
      <alignment horizontal="center" vertical="center"/>
    </xf>
    <xf numFmtId="1" fontId="22" fillId="0" borderId="2" xfId="0" applyNumberFormat="1" applyFont="1" applyBorder="1" applyAlignment="1">
      <alignment horizontal="center" vertical="center"/>
    </xf>
    <xf numFmtId="1" fontId="22" fillId="0" borderId="7" xfId="0" applyNumberFormat="1" applyFont="1" applyBorder="1" applyAlignment="1">
      <alignment horizontal="center" vertical="center"/>
    </xf>
    <xf numFmtId="0" fontId="22" fillId="0" borderId="13" xfId="0" applyFont="1" applyBorder="1" applyAlignment="1">
      <alignment horizontal="center" vertical="center"/>
    </xf>
    <xf numFmtId="1" fontId="22" fillId="0" borderId="12" xfId="0" applyNumberFormat="1" applyFont="1" applyBorder="1" applyAlignment="1">
      <alignment horizontal="center" vertical="center"/>
    </xf>
    <xf numFmtId="1" fontId="22" fillId="0" borderId="52" xfId="0" applyNumberFormat="1" applyFont="1" applyBorder="1" applyAlignment="1">
      <alignment horizontal="center" vertical="center"/>
    </xf>
    <xf numFmtId="0" fontId="22" fillId="0" borderId="127" xfId="0" applyFont="1" applyBorder="1" applyAlignment="1">
      <alignment horizontal="center" vertical="center"/>
    </xf>
    <xf numFmtId="1" fontId="22" fillId="0" borderId="4" xfId="0" applyNumberFormat="1" applyFont="1" applyBorder="1" applyAlignment="1">
      <alignment horizontal="center" vertical="center"/>
    </xf>
    <xf numFmtId="0" fontId="22" fillId="0" borderId="10" xfId="0" applyFont="1" applyBorder="1" applyAlignment="1">
      <alignment horizontal="center" vertical="center"/>
    </xf>
    <xf numFmtId="1" fontId="22" fillId="0" borderId="6" xfId="0" applyNumberFormat="1" applyFont="1" applyBorder="1" applyAlignment="1">
      <alignment horizontal="center" vertical="center"/>
    </xf>
    <xf numFmtId="0" fontId="22" fillId="0" borderId="128" xfId="0" applyFont="1" applyBorder="1" applyAlignment="1">
      <alignment horizontal="center" vertical="center"/>
    </xf>
    <xf numFmtId="1" fontId="22" fillId="0" borderId="8" xfId="0" applyNumberFormat="1" applyFont="1" applyBorder="1" applyAlignment="1">
      <alignment horizontal="center" vertical="center"/>
    </xf>
    <xf numFmtId="1" fontId="22" fillId="0" borderId="28" xfId="0" applyNumberFormat="1" applyFont="1" applyBorder="1" applyAlignment="1">
      <alignment horizontal="center" vertical="center"/>
    </xf>
    <xf numFmtId="1" fontId="22" fillId="0" borderId="9" xfId="0" applyNumberFormat="1" applyFont="1" applyBorder="1" applyAlignment="1">
      <alignment horizontal="center" vertical="center"/>
    </xf>
    <xf numFmtId="1" fontId="22" fillId="0" borderId="55" xfId="0" applyNumberFormat="1" applyFont="1" applyBorder="1" applyAlignment="1">
      <alignment horizontal="center" vertical="center"/>
    </xf>
    <xf numFmtId="1" fontId="22" fillId="0" borderId="16" xfId="0" applyNumberFormat="1" applyFont="1" applyBorder="1" applyAlignment="1">
      <alignment horizontal="center" vertical="center"/>
    </xf>
    <xf numFmtId="1" fontId="22" fillId="0" borderId="56" xfId="0" applyNumberFormat="1" applyFont="1" applyBorder="1" applyAlignment="1">
      <alignment horizontal="center" vertical="center"/>
    </xf>
    <xf numFmtId="0" fontId="8" fillId="6" borderId="75" xfId="0" applyFont="1" applyFill="1" applyBorder="1" applyAlignment="1">
      <alignment horizontal="center" vertical="center" wrapText="1"/>
    </xf>
    <xf numFmtId="0" fontId="22" fillId="0" borderId="2" xfId="0" applyFont="1" applyBorder="1" applyAlignment="1">
      <alignment vertical="center"/>
    </xf>
    <xf numFmtId="0" fontId="7" fillId="0" borderId="2" xfId="0" applyFont="1" applyBorder="1" applyAlignment="1">
      <alignment horizontal="right" vertical="center"/>
    </xf>
    <xf numFmtId="0" fontId="22" fillId="7" borderId="0" xfId="427" applyFont="1" applyFill="1" applyAlignment="1">
      <alignment horizontal="left" vertical="center"/>
    </xf>
    <xf numFmtId="0" fontId="22" fillId="7" borderId="144" xfId="427" applyFont="1" applyFill="1" applyBorder="1" applyAlignment="1">
      <alignment horizontal="left" vertical="center"/>
    </xf>
    <xf numFmtId="3" fontId="22" fillId="51" borderId="0" xfId="6" applyNumberFormat="1" applyFont="1" applyFill="1" applyBorder="1" applyAlignment="1">
      <alignment horizontal="left" vertical="center"/>
    </xf>
    <xf numFmtId="3" fontId="22" fillId="0" borderId="32" xfId="427" applyNumberFormat="1" applyFont="1" applyBorder="1" applyAlignment="1">
      <alignment horizontal="center" vertical="center" wrapText="1"/>
    </xf>
    <xf numFmtId="2" fontId="22" fillId="49" borderId="138" xfId="427" applyNumberFormat="1" applyFont="1" applyFill="1" applyBorder="1" applyAlignment="1">
      <alignment horizontal="center" vertical="center" wrapText="1"/>
    </xf>
    <xf numFmtId="0" fontId="7" fillId="0" borderId="145" xfId="0" applyFont="1" applyBorder="1" applyAlignment="1">
      <alignment horizontal="center" vertical="center"/>
    </xf>
    <xf numFmtId="0" fontId="8" fillId="6" borderId="75" xfId="0" applyFont="1" applyFill="1" applyBorder="1" applyAlignment="1">
      <alignment horizontal="center" vertical="center"/>
    </xf>
    <xf numFmtId="0" fontId="8" fillId="9" borderId="75" xfId="0" applyFont="1" applyFill="1" applyBorder="1" applyAlignment="1">
      <alignment horizontal="center" vertical="center" wrapText="1"/>
    </xf>
    <xf numFmtId="0" fontId="35" fillId="12" borderId="147" xfId="0" applyFont="1" applyFill="1" applyBorder="1" applyAlignment="1">
      <alignment horizontal="left" vertical="center"/>
    </xf>
    <xf numFmtId="0" fontId="35" fillId="12" borderId="133" xfId="0" applyFont="1" applyFill="1" applyBorder="1" applyAlignment="1">
      <alignment horizontal="left" vertical="center"/>
    </xf>
    <xf numFmtId="0" fontId="7" fillId="3" borderId="145" xfId="0" applyFont="1" applyFill="1" applyBorder="1"/>
    <xf numFmtId="0" fontId="9" fillId="0" borderId="44" xfId="5" applyBorder="1" applyAlignment="1">
      <alignment horizontal="center" vertical="center"/>
    </xf>
    <xf numFmtId="0" fontId="22" fillId="0" borderId="145" xfId="0" applyFont="1" applyBorder="1" applyAlignment="1">
      <alignment vertical="center" wrapText="1"/>
    </xf>
    <xf numFmtId="2" fontId="22" fillId="0" borderId="141" xfId="0" applyNumberFormat="1" applyFont="1" applyBorder="1" applyAlignment="1">
      <alignment horizontal="center" vertical="center" wrapText="1"/>
    </xf>
    <xf numFmtId="0" fontId="9" fillId="0" borderId="0" xfId="5" applyAlignment="1"/>
    <xf numFmtId="0" fontId="22" fillId="51" borderId="0" xfId="427" applyFont="1" applyFill="1" applyAlignment="1">
      <alignment horizontal="left" vertical="center"/>
    </xf>
    <xf numFmtId="169" fontId="22" fillId="0" borderId="2" xfId="0" applyNumberFormat="1" applyFont="1" applyBorder="1" applyAlignment="1">
      <alignment horizontal="center" vertical="center" wrapText="1"/>
    </xf>
    <xf numFmtId="3" fontId="22" fillId="0" borderId="2" xfId="0" applyNumberFormat="1" applyFont="1" applyBorder="1" applyAlignment="1">
      <alignment horizontal="center" vertical="center" wrapText="1"/>
    </xf>
    <xf numFmtId="0" fontId="22" fillId="51" borderId="49" xfId="427" applyFont="1" applyFill="1" applyBorder="1" applyAlignment="1">
      <alignment horizontal="left" vertical="center"/>
    </xf>
    <xf numFmtId="0" fontId="22" fillId="51" borderId="142" xfId="427" applyFont="1" applyFill="1" applyBorder="1" applyAlignment="1">
      <alignment horizontal="left" vertical="center"/>
    </xf>
    <xf numFmtId="3" fontId="22" fillId="51" borderId="142" xfId="6" applyNumberFormat="1" applyFont="1" applyFill="1" applyBorder="1" applyAlignment="1">
      <alignment horizontal="left" vertical="center"/>
    </xf>
    <xf numFmtId="0" fontId="22" fillId="51" borderId="133" xfId="427" applyFont="1" applyFill="1" applyBorder="1" applyAlignment="1">
      <alignment horizontal="left" vertical="center"/>
    </xf>
    <xf numFmtId="0" fontId="22" fillId="52" borderId="19" xfId="427" applyFont="1" applyFill="1" applyBorder="1" applyAlignment="1">
      <alignment horizontal="left" vertical="center"/>
    </xf>
    <xf numFmtId="3" fontId="22" fillId="52" borderId="0" xfId="6" applyNumberFormat="1" applyFont="1" applyFill="1" applyBorder="1" applyAlignment="1">
      <alignment horizontal="left" vertical="center"/>
    </xf>
    <xf numFmtId="3" fontId="22" fillId="52" borderId="130" xfId="6" applyNumberFormat="1" applyFont="1" applyFill="1" applyBorder="1" applyAlignment="1">
      <alignment horizontal="left" vertical="center"/>
    </xf>
    <xf numFmtId="0" fontId="22" fillId="0" borderId="32" xfId="427" applyFont="1" applyBorder="1" applyAlignment="1">
      <alignment horizontal="center" vertical="center" wrapText="1"/>
    </xf>
    <xf numFmtId="165" fontId="22" fillId="48" borderId="32" xfId="427" applyNumberFormat="1" applyFont="1" applyFill="1" applyBorder="1" applyAlignment="1">
      <alignment horizontal="center" vertical="center" wrapText="1"/>
    </xf>
    <xf numFmtId="3" fontId="22" fillId="0" borderId="139" xfId="427" applyNumberFormat="1" applyFont="1" applyBorder="1" applyAlignment="1">
      <alignment horizontal="center" vertical="center" wrapText="1"/>
    </xf>
    <xf numFmtId="0" fontId="59" fillId="5" borderId="142" xfId="427" applyFont="1" applyFill="1" applyBorder="1" applyAlignment="1">
      <alignment vertical="center" wrapText="1"/>
    </xf>
    <xf numFmtId="0" fontId="59" fillId="50" borderId="143" xfId="427" applyFont="1" applyFill="1" applyBorder="1" applyAlignment="1">
      <alignment vertical="center" wrapText="1"/>
    </xf>
    <xf numFmtId="0" fontId="59" fillId="50" borderId="128" xfId="427" applyFont="1" applyFill="1" applyBorder="1" applyAlignment="1">
      <alignment vertical="center" wrapText="1"/>
    </xf>
    <xf numFmtId="0" fontId="59" fillId="50" borderId="128" xfId="427" applyFont="1" applyFill="1" applyBorder="1" applyAlignment="1">
      <alignment horizontal="left" vertical="center" wrapText="1"/>
    </xf>
    <xf numFmtId="0" fontId="59" fillId="50" borderId="13" xfId="427" applyFont="1" applyFill="1" applyBorder="1" applyAlignment="1">
      <alignment vertical="center" wrapText="1"/>
    </xf>
    <xf numFmtId="0" fontId="22" fillId="0" borderId="20" xfId="0" applyFont="1" applyBorder="1" applyAlignment="1">
      <alignment vertical="center"/>
    </xf>
    <xf numFmtId="0" fontId="22" fillId="0" borderId="2" xfId="0" applyFont="1" applyBorder="1"/>
    <xf numFmtId="0" fontId="9" fillId="0" borderId="0" xfId="5" applyFill="1" applyBorder="1" applyAlignment="1"/>
    <xf numFmtId="0" fontId="61" fillId="0" borderId="0" xfId="0" applyFont="1" applyAlignment="1">
      <alignment vertical="center" wrapText="1"/>
    </xf>
    <xf numFmtId="165" fontId="22" fillId="0" borderId="3" xfId="7" applyNumberFormat="1" applyFont="1" applyBorder="1" applyAlignment="1">
      <alignment horizontal="center" vertical="center"/>
    </xf>
    <xf numFmtId="165" fontId="1" fillId="0" borderId="3" xfId="7" applyNumberFormat="1" applyFont="1" applyBorder="1" applyAlignment="1">
      <alignment horizontal="center" vertical="center"/>
    </xf>
    <xf numFmtId="165" fontId="7" fillId="0" borderId="3" xfId="7" applyNumberFormat="1" applyFont="1" applyBorder="1" applyAlignment="1">
      <alignment horizontal="center" vertical="center"/>
    </xf>
    <xf numFmtId="0" fontId="8" fillId="4" borderId="0" xfId="0" applyFont="1" applyFill="1" applyAlignment="1">
      <alignment vertical="center"/>
    </xf>
    <xf numFmtId="0" fontId="7" fillId="4" borderId="0" xfId="0" applyFont="1" applyFill="1" applyAlignment="1">
      <alignment vertical="center"/>
    </xf>
    <xf numFmtId="0" fontId="0" fillId="4" borderId="0" xfId="0" applyFill="1" applyAlignment="1">
      <alignment vertical="center"/>
    </xf>
    <xf numFmtId="0" fontId="7" fillId="4" borderId="144" xfId="0" applyFont="1" applyFill="1" applyBorder="1" applyAlignment="1">
      <alignment vertical="center"/>
    </xf>
    <xf numFmtId="0" fontId="8" fillId="4" borderId="15" xfId="0" applyFont="1" applyFill="1" applyBorder="1" applyAlignment="1">
      <alignment vertical="center"/>
    </xf>
    <xf numFmtId="0" fontId="22" fillId="0" borderId="0" xfId="0" applyFont="1" applyAlignment="1">
      <alignment wrapText="1"/>
    </xf>
    <xf numFmtId="0" fontId="22" fillId="0" borderId="0" xfId="0" applyFont="1" applyAlignment="1">
      <alignment vertical="center"/>
    </xf>
    <xf numFmtId="0" fontId="17" fillId="0" borderId="0" xfId="5" applyFont="1" applyAlignment="1"/>
    <xf numFmtId="0" fontId="17" fillId="0" borderId="0" xfId="5" applyFont="1" applyFill="1" applyBorder="1" applyAlignment="1"/>
    <xf numFmtId="0" fontId="17" fillId="0" borderId="0" xfId="5" applyFont="1" applyAlignment="1">
      <alignment horizontal="left" vertical="center"/>
    </xf>
    <xf numFmtId="0" fontId="7" fillId="0" borderId="96" xfId="0" applyFont="1" applyBorder="1" applyAlignment="1">
      <alignment horizontal="center" vertical="center"/>
    </xf>
    <xf numFmtId="0" fontId="7" fillId="0" borderId="97" xfId="0" applyFont="1" applyBorder="1" applyAlignment="1">
      <alignment horizontal="center" vertical="center"/>
    </xf>
    <xf numFmtId="0" fontId="7" fillId="0" borderId="99" xfId="0" applyFont="1" applyBorder="1" applyAlignment="1">
      <alignment horizontal="center" vertical="center"/>
    </xf>
    <xf numFmtId="0" fontId="7" fillId="0" borderId="101" xfId="0" applyFont="1" applyBorder="1" applyAlignment="1">
      <alignment horizontal="center" vertical="center"/>
    </xf>
    <xf numFmtId="0" fontId="7" fillId="0" borderId="102" xfId="0" applyFont="1" applyBorder="1" applyAlignment="1">
      <alignment horizontal="center" vertical="center"/>
    </xf>
    <xf numFmtId="1" fontId="23" fillId="0" borderId="73" xfId="0" applyNumberFormat="1" applyFont="1" applyBorder="1" applyAlignment="1">
      <alignment horizontal="center" vertical="center"/>
    </xf>
    <xf numFmtId="1" fontId="23" fillId="0" borderId="74" xfId="0" applyNumberFormat="1" applyFont="1" applyBorder="1" applyAlignment="1">
      <alignment horizontal="center" vertical="center"/>
    </xf>
    <xf numFmtId="0" fontId="22" fillId="0" borderId="20" xfId="0" applyFont="1" applyBorder="1" applyAlignment="1">
      <alignment wrapText="1"/>
    </xf>
    <xf numFmtId="0" fontId="22" fillId="0" borderId="75" xfId="0" applyFont="1" applyBorder="1" applyAlignment="1">
      <alignment horizontal="center" vertical="center" wrapText="1"/>
    </xf>
    <xf numFmtId="0" fontId="22" fillId="0" borderId="20" xfId="0" applyFont="1" applyBorder="1" applyAlignment="1">
      <alignment vertical="center" wrapText="1"/>
    </xf>
    <xf numFmtId="0" fontId="21" fillId="6" borderId="3" xfId="0" applyFont="1" applyFill="1" applyBorder="1" applyAlignment="1">
      <alignment horizontal="center" vertical="center" wrapText="1"/>
    </xf>
    <xf numFmtId="1" fontId="1" fillId="0" borderId="2" xfId="0" applyNumberFormat="1" applyFont="1" applyBorder="1" applyAlignment="1">
      <alignment horizontal="center" vertical="center" wrapText="1"/>
    </xf>
    <xf numFmtId="0" fontId="1" fillId="0" borderId="0" xfId="0" applyFont="1" applyAlignment="1">
      <alignment horizontal="center" vertical="center"/>
    </xf>
    <xf numFmtId="0" fontId="17" fillId="0" borderId="0" xfId="5" applyFont="1" applyAlignment="1">
      <alignment horizontal="center" vertical="center"/>
    </xf>
    <xf numFmtId="168" fontId="17" fillId="0" borderId="0" xfId="5" applyNumberFormat="1" applyFont="1" applyAlignment="1">
      <alignment horizontal="center" vertical="center"/>
    </xf>
    <xf numFmtId="0" fontId="22" fillId="0" borderId="95" xfId="0" applyFont="1" applyBorder="1" applyAlignment="1">
      <alignment vertical="center"/>
    </xf>
    <xf numFmtId="0" fontId="22" fillId="0" borderId="96" xfId="0" applyFont="1" applyBorder="1" applyAlignment="1">
      <alignment horizontal="center" vertical="center"/>
    </xf>
    <xf numFmtId="0" fontId="22" fillId="0" borderId="98" xfId="0" applyFont="1" applyBorder="1" applyAlignment="1">
      <alignment vertical="center"/>
    </xf>
    <xf numFmtId="0" fontId="22" fillId="0" borderId="100" xfId="0" applyFont="1" applyBorder="1" applyAlignment="1">
      <alignment vertical="center"/>
    </xf>
    <xf numFmtId="0" fontId="22" fillId="0" borderId="101" xfId="0" applyFont="1" applyBorder="1" applyAlignment="1">
      <alignment horizontal="center" vertical="center"/>
    </xf>
    <xf numFmtId="0" fontId="13" fillId="0" borderId="0" xfId="0" applyFont="1" applyAlignment="1">
      <alignment vertical="center" wrapText="1"/>
    </xf>
    <xf numFmtId="0" fontId="17" fillId="0" borderId="0" xfId="5" applyFont="1" applyAlignment="1">
      <alignment horizontal="left"/>
    </xf>
    <xf numFmtId="0" fontId="7" fillId="0" borderId="2" xfId="0" applyFont="1" applyBorder="1" applyAlignment="1">
      <alignment vertical="center" wrapText="1"/>
    </xf>
    <xf numFmtId="0" fontId="8" fillId="4" borderId="143" xfId="0" applyFont="1" applyFill="1" applyBorder="1" applyAlignment="1">
      <alignment vertical="center"/>
    </xf>
    <xf numFmtId="0" fontId="8" fillId="4" borderId="128" xfId="0" applyFont="1" applyFill="1" applyBorder="1" applyAlignment="1">
      <alignment vertical="center"/>
    </xf>
    <xf numFmtId="0" fontId="7" fillId="4" borderId="128" xfId="0" applyFont="1" applyFill="1" applyBorder="1" applyAlignment="1">
      <alignment vertical="center"/>
    </xf>
    <xf numFmtId="0" fontId="7" fillId="4" borderId="13" xfId="0" applyFont="1" applyFill="1" applyBorder="1" applyAlignment="1">
      <alignment vertical="center"/>
    </xf>
    <xf numFmtId="165" fontId="22" fillId="0" borderId="16" xfId="7" applyNumberFormat="1" applyFont="1" applyBorder="1" applyAlignment="1">
      <alignment horizontal="center" vertical="center"/>
    </xf>
    <xf numFmtId="165" fontId="22" fillId="0" borderId="2" xfId="7" applyNumberFormat="1" applyFont="1" applyBorder="1" applyAlignment="1">
      <alignment horizontal="center" vertical="center"/>
    </xf>
    <xf numFmtId="0" fontId="8" fillId="4" borderId="17" xfId="0" applyFont="1" applyFill="1" applyBorder="1" applyAlignment="1">
      <alignment vertical="center"/>
    </xf>
    <xf numFmtId="0" fontId="8" fillId="4" borderId="18" xfId="0" applyFont="1" applyFill="1" applyBorder="1" applyAlignment="1">
      <alignment vertical="center"/>
    </xf>
    <xf numFmtId="0" fontId="7" fillId="4" borderId="18" xfId="0" applyFont="1" applyFill="1" applyBorder="1" applyAlignment="1">
      <alignment vertical="center"/>
    </xf>
    <xf numFmtId="0" fontId="7" fillId="4" borderId="19" xfId="0" applyFont="1" applyFill="1" applyBorder="1" applyAlignment="1">
      <alignment vertical="center"/>
    </xf>
    <xf numFmtId="1" fontId="22" fillId="0" borderId="2" xfId="0" applyNumberFormat="1" applyFont="1" applyBorder="1" applyAlignment="1">
      <alignment horizontal="center" vertical="center" wrapText="1"/>
    </xf>
    <xf numFmtId="0" fontId="22" fillId="51" borderId="50" xfId="427" applyFont="1" applyFill="1" applyBorder="1" applyAlignment="1">
      <alignment horizontal="left" vertical="center"/>
    </xf>
    <xf numFmtId="0" fontId="22" fillId="51" borderId="148" xfId="427" applyFont="1" applyFill="1" applyBorder="1" applyAlignment="1">
      <alignment horizontal="left" vertical="center"/>
    </xf>
    <xf numFmtId="0" fontId="22" fillId="51" borderId="149" xfId="427" applyFont="1" applyFill="1" applyBorder="1" applyAlignment="1">
      <alignment horizontal="left" vertical="center"/>
    </xf>
    <xf numFmtId="0" fontId="22" fillId="51" borderId="130" xfId="427" applyFont="1" applyFill="1" applyBorder="1" applyAlignment="1">
      <alignment horizontal="left" vertical="center"/>
    </xf>
    <xf numFmtId="0" fontId="22" fillId="51" borderId="150" xfId="427" applyFont="1" applyFill="1" applyBorder="1" applyAlignment="1">
      <alignment horizontal="left" vertical="center"/>
    </xf>
    <xf numFmtId="0" fontId="22" fillId="0" borderId="0" xfId="0" applyFont="1" applyAlignment="1">
      <alignment horizontal="center" vertical="center"/>
    </xf>
    <xf numFmtId="0" fontId="22" fillId="0" borderId="0" xfId="0" applyFont="1" applyAlignment="1">
      <alignment horizontal="center" vertical="center" wrapText="1"/>
    </xf>
    <xf numFmtId="0" fontId="11" fillId="0" borderId="11" xfId="3" applyFont="1" applyFill="1" applyBorder="1" applyAlignment="1">
      <alignment horizontal="center" vertical="center" wrapText="1"/>
    </xf>
    <xf numFmtId="0" fontId="20" fillId="9" borderId="154" xfId="0" applyFont="1" applyFill="1" applyBorder="1" applyAlignment="1">
      <alignment horizontal="center" vertical="center"/>
    </xf>
    <xf numFmtId="0" fontId="7" fillId="0" borderId="20" xfId="0" applyFont="1" applyBorder="1" applyAlignment="1">
      <alignment horizontal="center" vertical="center"/>
    </xf>
    <xf numFmtId="0" fontId="1" fillId="0" borderId="20" xfId="0" applyFont="1" applyBorder="1" applyAlignment="1">
      <alignment horizontal="center" vertical="center" wrapText="1"/>
    </xf>
    <xf numFmtId="168" fontId="7" fillId="0" borderId="43" xfId="0" applyNumberFormat="1" applyFont="1" applyBorder="1" applyAlignment="1">
      <alignment horizontal="center" vertical="center"/>
    </xf>
    <xf numFmtId="0" fontId="7" fillId="7" borderId="43" xfId="0" applyFont="1" applyFill="1" applyBorder="1" applyAlignment="1">
      <alignment horizontal="center" vertical="center"/>
    </xf>
    <xf numFmtId="168" fontId="7" fillId="7" borderId="43" xfId="0" applyNumberFormat="1" applyFont="1" applyFill="1" applyBorder="1" applyAlignment="1">
      <alignment horizontal="center" vertical="center" wrapText="1"/>
    </xf>
    <xf numFmtId="0" fontId="1" fillId="10" borderId="43" xfId="0" applyFont="1" applyFill="1" applyBorder="1" applyAlignment="1">
      <alignment horizontal="center" vertical="center"/>
    </xf>
    <xf numFmtId="0" fontId="7" fillId="5" borderId="43" xfId="0" applyFont="1" applyFill="1" applyBorder="1" applyAlignment="1">
      <alignment horizontal="center" vertical="center"/>
    </xf>
    <xf numFmtId="168" fontId="7" fillId="5" borderId="43" xfId="0" applyNumberFormat="1" applyFont="1" applyFill="1" applyBorder="1" applyAlignment="1">
      <alignment horizontal="center" vertical="center"/>
    </xf>
    <xf numFmtId="0" fontId="7" fillId="3" borderId="43" xfId="0" applyFont="1" applyFill="1" applyBorder="1" applyAlignment="1">
      <alignment horizontal="center" vertical="center"/>
    </xf>
    <xf numFmtId="168" fontId="7" fillId="3" borderId="43" xfId="0" applyNumberFormat="1" applyFont="1" applyFill="1" applyBorder="1" applyAlignment="1">
      <alignment horizontal="center" vertical="center"/>
    </xf>
    <xf numFmtId="1" fontId="7" fillId="7" borderId="43" xfId="0" applyNumberFormat="1" applyFont="1" applyFill="1" applyBorder="1" applyAlignment="1">
      <alignment horizontal="center" vertical="center"/>
    </xf>
    <xf numFmtId="0" fontId="7" fillId="53" borderId="43" xfId="0" applyFont="1" applyFill="1" applyBorder="1" applyAlignment="1">
      <alignment horizontal="center" vertical="center"/>
    </xf>
    <xf numFmtId="0" fontId="1" fillId="53" borderId="43" xfId="0" applyFont="1" applyFill="1" applyBorder="1" applyAlignment="1">
      <alignment horizontal="center" vertical="center"/>
    </xf>
    <xf numFmtId="2" fontId="7" fillId="0" borderId="43" xfId="0" applyNumberFormat="1" applyFont="1" applyBorder="1" applyAlignment="1">
      <alignment horizontal="center" vertical="center"/>
    </xf>
    <xf numFmtId="2" fontId="7" fillId="7" borderId="43" xfId="0" applyNumberFormat="1" applyFont="1" applyFill="1" applyBorder="1" applyAlignment="1">
      <alignment horizontal="center" vertical="center"/>
    </xf>
    <xf numFmtId="0" fontId="7" fillId="5" borderId="43" xfId="0" applyFont="1" applyFill="1" applyBorder="1" applyAlignment="1">
      <alignment horizontal="center" vertical="center" wrapText="1"/>
    </xf>
    <xf numFmtId="0" fontId="7" fillId="54" borderId="43" xfId="0" applyFont="1" applyFill="1" applyBorder="1" applyAlignment="1">
      <alignment horizontal="center" vertical="center"/>
    </xf>
    <xf numFmtId="0" fontId="1" fillId="54" borderId="43" xfId="0" applyFont="1" applyFill="1" applyBorder="1" applyAlignment="1">
      <alignment horizontal="center" vertical="center"/>
    </xf>
    <xf numFmtId="168" fontId="7" fillId="54" borderId="43" xfId="0" applyNumberFormat="1" applyFont="1" applyFill="1" applyBorder="1" applyAlignment="1">
      <alignment horizontal="center" vertical="center"/>
    </xf>
    <xf numFmtId="0" fontId="23" fillId="0" borderId="2" xfId="0" applyFont="1" applyBorder="1" applyAlignment="1">
      <alignment horizontal="center" vertical="center"/>
    </xf>
    <xf numFmtId="0" fontId="23" fillId="0" borderId="28" xfId="0" applyFont="1" applyBorder="1" applyAlignment="1">
      <alignment horizontal="center" vertical="center"/>
    </xf>
    <xf numFmtId="0" fontId="23" fillId="0" borderId="1" xfId="0" applyFont="1" applyBorder="1" applyAlignment="1">
      <alignment horizontal="center" vertical="center"/>
    </xf>
    <xf numFmtId="0" fontId="24" fillId="9" borderId="154" xfId="0" applyFont="1" applyFill="1" applyBorder="1" applyAlignment="1">
      <alignment horizontal="center" vertical="center"/>
    </xf>
    <xf numFmtId="0" fontId="24" fillId="9" borderId="32" xfId="0" applyFont="1" applyFill="1" applyBorder="1" applyAlignment="1">
      <alignment horizontal="center" vertical="center" wrapText="1"/>
    </xf>
    <xf numFmtId="0" fontId="22" fillId="0" borderId="0" xfId="0" applyFont="1" applyAlignment="1">
      <alignment vertical="top" wrapText="1"/>
    </xf>
    <xf numFmtId="0" fontId="22" fillId="0" borderId="0" xfId="0" applyFont="1" applyAlignment="1">
      <alignment horizontal="left" vertical="center" wrapText="1"/>
    </xf>
    <xf numFmtId="0" fontId="22" fillId="0" borderId="145" xfId="0" applyFont="1" applyBorder="1" applyAlignment="1">
      <alignment horizontal="center" vertical="center"/>
    </xf>
    <xf numFmtId="0" fontId="22" fillId="12" borderId="45" xfId="0" applyFont="1" applyFill="1" applyBorder="1" applyAlignment="1">
      <alignment vertical="center"/>
    </xf>
    <xf numFmtId="0" fontId="22" fillId="12" borderId="46" xfId="0" applyFont="1" applyFill="1" applyBorder="1" applyAlignment="1">
      <alignment vertical="center"/>
    </xf>
    <xf numFmtId="0" fontId="22" fillId="12" borderId="47" xfId="0" applyFont="1" applyFill="1" applyBorder="1" applyAlignment="1">
      <alignment vertical="center"/>
    </xf>
    <xf numFmtId="0" fontId="22" fillId="12" borderId="48" xfId="0" applyFont="1" applyFill="1" applyBorder="1" applyAlignment="1">
      <alignment vertical="center"/>
    </xf>
    <xf numFmtId="0" fontId="22" fillId="0" borderId="146" xfId="0" applyFont="1" applyBorder="1" applyAlignment="1">
      <alignment horizontal="center" vertical="center" wrapText="1"/>
    </xf>
    <xf numFmtId="43" fontId="22" fillId="0" borderId="20" xfId="6" applyFont="1" applyFill="1" applyBorder="1" applyAlignment="1">
      <alignment horizontal="center" vertical="center" wrapText="1"/>
    </xf>
    <xf numFmtId="169" fontId="22" fillId="0" borderId="20" xfId="6" applyNumberFormat="1" applyFont="1" applyBorder="1" applyAlignment="1">
      <alignment horizontal="center" vertical="center"/>
    </xf>
    <xf numFmtId="169" fontId="22" fillId="0" borderId="20" xfId="6" applyNumberFormat="1" applyFont="1" applyFill="1" applyBorder="1" applyAlignment="1">
      <alignment horizontal="center" vertical="center" wrapText="1"/>
    </xf>
    <xf numFmtId="169" fontId="22" fillId="0" borderId="20" xfId="0" applyNumberFormat="1" applyFont="1" applyBorder="1" applyAlignment="1">
      <alignment vertical="center"/>
    </xf>
    <xf numFmtId="43" fontId="22" fillId="0" borderId="20" xfId="6" applyFont="1" applyBorder="1" applyAlignment="1">
      <alignment horizontal="center" vertical="center" wrapText="1"/>
    </xf>
    <xf numFmtId="169" fontId="22" fillId="0" borderId="20" xfId="6" applyNumberFormat="1" applyFont="1" applyBorder="1" applyAlignment="1">
      <alignment horizontal="center" vertical="center" wrapText="1"/>
    </xf>
    <xf numFmtId="0" fontId="24" fillId="6" borderId="51" xfId="0" applyFont="1" applyFill="1" applyBorder="1" applyAlignment="1">
      <alignment horizontal="center" vertical="center" wrapText="1"/>
    </xf>
    <xf numFmtId="43" fontId="24" fillId="0" borderId="2" xfId="6" applyFont="1" applyBorder="1" applyAlignment="1">
      <alignment horizontal="center" vertical="center"/>
    </xf>
    <xf numFmtId="2" fontId="24" fillId="0" borderId="2" xfId="0" applyNumberFormat="1" applyFont="1" applyBorder="1" applyAlignment="1">
      <alignment horizontal="center" vertical="center" wrapText="1"/>
    </xf>
    <xf numFmtId="0" fontId="22" fillId="0" borderId="0" xfId="427" applyFont="1" applyAlignment="1">
      <alignment vertical="center" wrapText="1"/>
    </xf>
    <xf numFmtId="165" fontId="22" fillId="0" borderId="0" xfId="427" applyNumberFormat="1" applyFont="1" applyAlignment="1">
      <alignment horizontal="left" vertical="center" wrapText="1"/>
    </xf>
    <xf numFmtId="0" fontId="22" fillId="0" borderId="0" xfId="427" applyFont="1" applyAlignment="1">
      <alignment vertical="center"/>
    </xf>
    <xf numFmtId="168" fontId="22" fillId="0" borderId="0" xfId="427" applyNumberFormat="1" applyFont="1" applyAlignment="1">
      <alignment horizontal="left" vertical="center" wrapText="1"/>
    </xf>
    <xf numFmtId="0" fontId="22" fillId="0" borderId="0" xfId="427" applyFont="1" applyAlignment="1">
      <alignment horizontal="left" vertical="center" wrapText="1"/>
    </xf>
    <xf numFmtId="167" fontId="22" fillId="0" borderId="0" xfId="427" applyNumberFormat="1" applyFont="1" applyAlignment="1">
      <alignment horizontal="left" vertical="center" wrapText="1"/>
    </xf>
    <xf numFmtId="0" fontId="24" fillId="46" borderId="32" xfId="427" applyFont="1" applyFill="1" applyBorder="1" applyAlignment="1">
      <alignment horizontal="center" vertical="center" wrapText="1"/>
    </xf>
    <xf numFmtId="0" fontId="24" fillId="46" borderId="12" xfId="427" applyFont="1" applyFill="1" applyBorder="1" applyAlignment="1">
      <alignment vertical="center" wrapText="1"/>
    </xf>
    <xf numFmtId="0" fontId="24" fillId="5" borderId="49" xfId="427" applyFont="1" applyFill="1" applyBorder="1" applyAlignment="1">
      <alignment vertical="center" wrapText="1"/>
    </xf>
    <xf numFmtId="0" fontId="24" fillId="50" borderId="128" xfId="427" applyFont="1" applyFill="1" applyBorder="1" applyAlignment="1">
      <alignment vertical="center" wrapText="1"/>
    </xf>
    <xf numFmtId="0" fontId="32" fillId="7" borderId="128" xfId="427" applyFont="1" applyFill="1" applyBorder="1" applyAlignment="1">
      <alignment horizontal="left" vertical="center"/>
    </xf>
    <xf numFmtId="0" fontId="32" fillId="7" borderId="0" xfId="427" applyFont="1" applyFill="1" applyAlignment="1">
      <alignment horizontal="left" vertical="center"/>
    </xf>
    <xf numFmtId="0" fontId="22" fillId="0" borderId="130" xfId="0" applyFont="1" applyBorder="1"/>
    <xf numFmtId="0" fontId="22" fillId="0" borderId="33" xfId="0" applyFont="1" applyBorder="1" applyAlignment="1">
      <alignment horizontal="center" vertical="center"/>
    </xf>
    <xf numFmtId="0" fontId="22" fillId="0" borderId="2" xfId="0" applyFont="1" applyBorder="1" applyAlignment="1">
      <alignment vertical="center" wrapText="1"/>
    </xf>
    <xf numFmtId="0" fontId="22" fillId="0" borderId="39" xfId="0" applyFont="1" applyBorder="1" applyAlignment="1">
      <alignment horizontal="center" vertical="center"/>
    </xf>
    <xf numFmtId="0" fontId="22" fillId="0" borderId="16" xfId="0" applyFont="1" applyBorder="1" applyAlignment="1">
      <alignment vertical="center"/>
    </xf>
    <xf numFmtId="0" fontId="22" fillId="0" borderId="16" xfId="0" applyFont="1" applyBorder="1" applyAlignment="1">
      <alignment vertical="center" wrapText="1"/>
    </xf>
    <xf numFmtId="0" fontId="22" fillId="0" borderId="19" xfId="0" applyFont="1" applyBorder="1" applyAlignment="1">
      <alignment wrapText="1"/>
    </xf>
    <xf numFmtId="2" fontId="15" fillId="0" borderId="20" xfId="0" applyNumberFormat="1" applyFont="1" applyBorder="1" applyAlignment="1">
      <alignment horizontal="center" vertical="center" wrapText="1"/>
    </xf>
    <xf numFmtId="1" fontId="15" fillId="0" borderId="20" xfId="0" applyNumberFormat="1" applyFont="1" applyBorder="1" applyAlignment="1">
      <alignment horizontal="center" vertical="center" wrapText="1"/>
    </xf>
    <xf numFmtId="1" fontId="33" fillId="0" borderId="73" xfId="0" applyNumberFormat="1" applyFont="1" applyBorder="1" applyAlignment="1">
      <alignment horizontal="center" vertical="center"/>
    </xf>
    <xf numFmtId="1" fontId="33" fillId="0" borderId="74" xfId="0" applyNumberFormat="1" applyFont="1" applyBorder="1" applyAlignment="1">
      <alignment horizontal="center" vertical="center"/>
    </xf>
    <xf numFmtId="1" fontId="33" fillId="0" borderId="43" xfId="0" applyNumberFormat="1" applyFont="1" applyBorder="1" applyAlignment="1">
      <alignment horizontal="center" vertical="center"/>
    </xf>
    <xf numFmtId="1" fontId="33" fillId="0" borderId="67" xfId="0" applyNumberFormat="1" applyFont="1" applyBorder="1" applyAlignment="1">
      <alignment horizontal="center" vertical="center"/>
    </xf>
    <xf numFmtId="1" fontId="33" fillId="0" borderId="75" xfId="0" applyNumberFormat="1" applyFont="1" applyBorder="1" applyAlignment="1">
      <alignment horizontal="center" vertical="center"/>
    </xf>
    <xf numFmtId="1" fontId="33" fillId="0" borderId="76" xfId="0" applyNumberFormat="1" applyFont="1" applyBorder="1" applyAlignment="1">
      <alignment horizontal="center" vertical="center"/>
    </xf>
    <xf numFmtId="0" fontId="33" fillId="0" borderId="127" xfId="0" applyFont="1" applyBorder="1" applyAlignment="1">
      <alignment horizontal="center" vertical="center"/>
    </xf>
    <xf numFmtId="0" fontId="33" fillId="0" borderId="10" xfId="0" applyFont="1" applyBorder="1" applyAlignment="1">
      <alignment horizontal="center" vertical="center"/>
    </xf>
    <xf numFmtId="0" fontId="33" fillId="0" borderId="129" xfId="0" applyFont="1" applyBorder="1" applyAlignment="1">
      <alignment horizontal="center" vertical="center"/>
    </xf>
    <xf numFmtId="165" fontId="22" fillId="0" borderId="2" xfId="0" applyNumberFormat="1" applyFont="1" applyBorder="1" applyAlignment="1">
      <alignment horizontal="center" vertical="center"/>
    </xf>
    <xf numFmtId="173" fontId="22" fillId="0" borderId="2" xfId="0" applyNumberFormat="1" applyFont="1" applyBorder="1" applyAlignment="1">
      <alignment horizontal="center" vertical="center"/>
    </xf>
    <xf numFmtId="10" fontId="22" fillId="0" borderId="2" xfId="0" applyNumberFormat="1" applyFont="1" applyBorder="1" applyAlignment="1">
      <alignment horizontal="center" vertical="center"/>
    </xf>
    <xf numFmtId="10" fontId="22" fillId="0" borderId="2" xfId="0" applyNumberFormat="1" applyFont="1" applyBorder="1" applyAlignment="1">
      <alignment horizontal="center"/>
    </xf>
    <xf numFmtId="9" fontId="22" fillId="0" borderId="2" xfId="0" applyNumberFormat="1" applyFont="1" applyBorder="1" applyAlignment="1">
      <alignment horizontal="center" vertical="center"/>
    </xf>
    <xf numFmtId="9" fontId="22" fillId="0" borderId="2" xfId="0" applyNumberFormat="1" applyFont="1" applyBorder="1" applyAlignment="1">
      <alignment horizontal="center"/>
    </xf>
    <xf numFmtId="0" fontId="22" fillId="0" borderId="0" xfId="0" applyFont="1" applyAlignment="1">
      <alignment horizontal="left"/>
    </xf>
    <xf numFmtId="169" fontId="7" fillId="0" borderId="0" xfId="6" applyNumberFormat="1" applyFont="1" applyFill="1"/>
    <xf numFmtId="9" fontId="7" fillId="0" borderId="2" xfId="2" applyFont="1" applyFill="1" applyBorder="1" applyAlignment="1">
      <alignment horizontal="center" vertical="center"/>
    </xf>
    <xf numFmtId="0" fontId="7" fillId="0" borderId="2" xfId="0" applyFont="1" applyBorder="1" applyAlignment="1">
      <alignment horizontal="center" vertical="center"/>
    </xf>
    <xf numFmtId="0" fontId="24" fillId="6" borderId="2" xfId="0" applyFont="1" applyFill="1" applyBorder="1" applyAlignment="1">
      <alignment horizontal="center" vertical="center"/>
    </xf>
    <xf numFmtId="0" fontId="7" fillId="0" borderId="0" xfId="0" applyFont="1" applyAlignment="1">
      <alignment horizontal="left"/>
    </xf>
    <xf numFmtId="0" fontId="7" fillId="0" borderId="0" xfId="0" applyFont="1" applyAlignment="1">
      <alignment horizontal="left" vertical="center"/>
    </xf>
    <xf numFmtId="0" fontId="22" fillId="0" borderId="0" xfId="0" applyFont="1" applyAlignment="1">
      <alignment horizontal="left" vertical="center"/>
    </xf>
    <xf numFmtId="0" fontId="7" fillId="0" borderId="0" xfId="0" applyFont="1" applyAlignment="1">
      <alignment vertical="center" wrapText="1"/>
    </xf>
    <xf numFmtId="0" fontId="7" fillId="0" borderId="43" xfId="0" applyFont="1" applyBorder="1" applyAlignment="1">
      <alignment horizontal="center" vertical="center"/>
    </xf>
    <xf numFmtId="0" fontId="22" fillId="0" borderId="43" xfId="0" applyFont="1" applyBorder="1" applyAlignment="1">
      <alignment horizontal="center" vertical="center" wrapText="1"/>
    </xf>
    <xf numFmtId="0" fontId="7" fillId="0" borderId="0" xfId="0" applyFont="1" applyAlignment="1">
      <alignment horizontal="center"/>
    </xf>
    <xf numFmtId="0" fontId="8" fillId="6" borderId="2" xfId="0" applyFont="1" applyFill="1" applyBorder="1" applyAlignment="1">
      <alignment horizontal="center" vertical="center" wrapText="1"/>
    </xf>
    <xf numFmtId="0" fontId="7" fillId="0" borderId="20" xfId="0" applyFont="1" applyBorder="1" applyAlignment="1">
      <alignment horizontal="center" vertical="center" wrapText="1"/>
    </xf>
    <xf numFmtId="0" fontId="22" fillId="0" borderId="2" xfId="0" applyFont="1" applyBorder="1" applyAlignment="1">
      <alignment horizontal="center" vertical="center"/>
    </xf>
    <xf numFmtId="0" fontId="22" fillId="0" borderId="16" xfId="0" applyFont="1" applyBorder="1" applyAlignment="1">
      <alignment horizontal="center" vertical="center" wrapText="1"/>
    </xf>
    <xf numFmtId="0" fontId="22"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22" fillId="0" borderId="20" xfId="0" applyFont="1" applyBorder="1" applyAlignment="1">
      <alignment horizontal="center" vertical="center"/>
    </xf>
    <xf numFmtId="0" fontId="8" fillId="6" borderId="20" xfId="0" applyFont="1" applyFill="1" applyBorder="1" applyAlignment="1">
      <alignment horizontal="center" vertical="center"/>
    </xf>
    <xf numFmtId="0" fontId="8" fillId="6" borderId="51" xfId="0" applyFont="1" applyFill="1" applyBorder="1" applyAlignment="1">
      <alignment horizontal="center" vertical="center"/>
    </xf>
    <xf numFmtId="0" fontId="8" fillId="6" borderId="20" xfId="0" applyFont="1" applyFill="1" applyBorder="1" applyAlignment="1">
      <alignment horizontal="center" vertical="center" wrapText="1"/>
    </xf>
    <xf numFmtId="0" fontId="24" fillId="6" borderId="20" xfId="0" applyFont="1" applyFill="1" applyBorder="1" applyAlignment="1">
      <alignment horizontal="center" vertical="center" wrapText="1"/>
    </xf>
    <xf numFmtId="0" fontId="15" fillId="0" borderId="20" xfId="0" applyFont="1" applyBorder="1" applyAlignment="1">
      <alignment horizontal="center" vertical="center" wrapText="1"/>
    </xf>
    <xf numFmtId="0" fontId="22" fillId="0" borderId="1" xfId="0" applyFont="1" applyBorder="1" applyAlignment="1">
      <alignment horizontal="center" vertical="center"/>
    </xf>
    <xf numFmtId="0" fontId="22" fillId="0" borderId="28" xfId="0" applyFont="1" applyBorder="1" applyAlignment="1">
      <alignment horizontal="center" vertical="center"/>
    </xf>
    <xf numFmtId="0" fontId="7" fillId="0" borderId="2" xfId="0" applyFont="1" applyBorder="1" applyAlignment="1">
      <alignment horizontal="center" vertical="center" wrapText="1"/>
    </xf>
    <xf numFmtId="0" fontId="20" fillId="6" borderId="0" xfId="0" applyFont="1" applyFill="1" applyAlignment="1">
      <alignment horizontal="center" vertical="center" wrapText="1"/>
    </xf>
    <xf numFmtId="0" fontId="8" fillId="6" borderId="2" xfId="0" applyFont="1" applyFill="1" applyBorder="1" applyAlignment="1">
      <alignment horizontal="center" vertical="center"/>
    </xf>
    <xf numFmtId="0" fontId="8" fillId="6" borderId="12" xfId="0" applyFont="1" applyFill="1" applyBorder="1" applyAlignment="1">
      <alignment horizontal="center" vertical="center"/>
    </xf>
    <xf numFmtId="0" fontId="20" fillId="6" borderId="2" xfId="0" applyFont="1" applyFill="1" applyBorder="1" applyAlignment="1">
      <alignment horizontal="center" vertical="center" wrapText="1"/>
    </xf>
    <xf numFmtId="0" fontId="7" fillId="0" borderId="9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93" xfId="0" applyFont="1" applyBorder="1" applyAlignment="1">
      <alignment horizontal="center" vertical="center" wrapText="1"/>
    </xf>
    <xf numFmtId="0" fontId="7" fillId="0" borderId="1" xfId="0" applyFont="1" applyBorder="1" applyAlignment="1">
      <alignment horizontal="center" vertical="center"/>
    </xf>
    <xf numFmtId="0" fontId="7" fillId="0" borderId="28" xfId="0" applyFont="1" applyBorder="1" applyAlignment="1">
      <alignment horizontal="center" vertical="center"/>
    </xf>
    <xf numFmtId="0" fontId="66" fillId="0" borderId="0" xfId="5" applyFont="1" applyAlignment="1"/>
    <xf numFmtId="0" fontId="66" fillId="0" borderId="0" xfId="5" applyFont="1"/>
    <xf numFmtId="0" fontId="66" fillId="0" borderId="0" xfId="5" applyFont="1" applyFill="1" applyBorder="1" applyAlignment="1"/>
    <xf numFmtId="0" fontId="67" fillId="0" borderId="0" xfId="5" applyFont="1" applyFill="1" applyBorder="1" applyAlignment="1"/>
    <xf numFmtId="0" fontId="66" fillId="0" borderId="0" xfId="5" applyFont="1" applyAlignment="1">
      <alignment horizontal="left" vertical="center"/>
    </xf>
    <xf numFmtId="0" fontId="0" fillId="0" borderId="0" xfId="0" applyAlignment="1">
      <alignment horizontal="left" vertical="center" wrapText="1"/>
    </xf>
    <xf numFmtId="0" fontId="22" fillId="0" borderId="2" xfId="3" applyFont="1" applyFill="1" applyBorder="1" applyAlignment="1">
      <alignment horizontal="center" vertical="center" wrapText="1"/>
    </xf>
    <xf numFmtId="0" fontId="19" fillId="0" borderId="0" xfId="0" applyFont="1" applyAlignment="1">
      <alignment horizontal="left" vertical="center"/>
    </xf>
    <xf numFmtId="0" fontId="14" fillId="8" borderId="20" xfId="1" applyFont="1" applyFill="1" applyBorder="1" applyAlignment="1">
      <alignment horizontal="center" vertical="center" wrapText="1"/>
    </xf>
    <xf numFmtId="0" fontId="65" fillId="8" borderId="0" xfId="0" applyFont="1" applyFill="1" applyAlignment="1">
      <alignment horizontal="center" vertical="center"/>
    </xf>
    <xf numFmtId="0" fontId="7" fillId="0" borderId="0" xfId="0" applyFont="1" applyAlignment="1">
      <alignment horizontal="left"/>
    </xf>
    <xf numFmtId="0" fontId="30" fillId="0" borderId="0" xfId="5" applyFont="1" applyAlignment="1">
      <alignment vertical="center" wrapText="1"/>
    </xf>
    <xf numFmtId="0" fontId="7" fillId="0" borderId="0" xfId="0" applyFont="1" applyAlignment="1">
      <alignment horizontal="left" vertical="center"/>
    </xf>
    <xf numFmtId="0" fontId="7" fillId="0" borderId="0" xfId="0" applyFont="1" applyAlignment="1">
      <alignment horizontal="left" vertical="top" wrapText="1"/>
    </xf>
    <xf numFmtId="0" fontId="22" fillId="0" borderId="0" xfId="0" applyFont="1" applyAlignment="1">
      <alignment horizontal="left" vertical="center"/>
    </xf>
    <xf numFmtId="0" fontId="7" fillId="0" borderId="0" xfId="0" applyFont="1" applyAlignment="1">
      <alignment vertical="center" wrapText="1"/>
    </xf>
    <xf numFmtId="0" fontId="14" fillId="8" borderId="0" xfId="0" applyFont="1" applyFill="1" applyAlignment="1">
      <alignment horizontal="center" vertical="center"/>
    </xf>
    <xf numFmtId="0" fontId="22" fillId="0" borderId="0" xfId="0" applyFont="1" applyAlignment="1">
      <alignment horizontal="left" vertical="center" wrapText="1"/>
    </xf>
    <xf numFmtId="0" fontId="22" fillId="0" borderId="155" xfId="0" applyFont="1" applyBorder="1" applyAlignment="1">
      <alignment horizontal="center" vertical="center"/>
    </xf>
    <xf numFmtId="0" fontId="22" fillId="0" borderId="156" xfId="0" applyFont="1" applyBorder="1" applyAlignment="1">
      <alignment horizontal="center" vertical="center"/>
    </xf>
    <xf numFmtId="0" fontId="22" fillId="0" borderId="157" xfId="0" applyFont="1" applyBorder="1" applyAlignment="1">
      <alignment horizontal="center" vertical="center"/>
    </xf>
    <xf numFmtId="0" fontId="14" fillId="8" borderId="144" xfId="0" applyFont="1" applyFill="1" applyBorder="1" applyAlignment="1">
      <alignment horizontal="center" vertical="center"/>
    </xf>
    <xf numFmtId="0" fontId="14" fillId="8" borderId="20" xfId="0" applyFont="1" applyFill="1" applyBorder="1" applyAlignment="1">
      <alignment horizontal="center" vertical="center" wrapText="1"/>
    </xf>
    <xf numFmtId="0" fontId="7" fillId="0" borderId="43" xfId="0" applyFont="1" applyBorder="1" applyAlignment="1">
      <alignment horizontal="center" vertical="center" wrapText="1"/>
    </xf>
    <xf numFmtId="0" fontId="7" fillId="0" borderId="43" xfId="0" applyFont="1" applyBorder="1" applyAlignment="1">
      <alignment horizontal="center" vertical="center"/>
    </xf>
    <xf numFmtId="0" fontId="22" fillId="0" borderId="43" xfId="0" applyFont="1" applyBorder="1" applyAlignment="1">
      <alignment horizontal="center" vertical="center" wrapText="1"/>
    </xf>
    <xf numFmtId="0" fontId="7" fillId="0" borderId="0" xfId="0" applyFont="1" applyAlignment="1">
      <alignment horizontal="center"/>
    </xf>
    <xf numFmtId="0" fontId="8" fillId="6" borderId="2" xfId="0" applyFont="1" applyFill="1" applyBorder="1" applyAlignment="1">
      <alignment horizontal="center" vertical="center" wrapText="1"/>
    </xf>
    <xf numFmtId="167" fontId="7" fillId="0" borderId="2" xfId="0" applyNumberFormat="1" applyFont="1" applyBorder="1" applyAlignment="1">
      <alignment horizontal="center" vertical="center" wrapText="1"/>
    </xf>
    <xf numFmtId="167" fontId="7" fillId="0" borderId="2" xfId="0" applyNumberFormat="1" applyFont="1" applyBorder="1" applyAlignment="1">
      <alignment horizontal="center" vertical="center"/>
    </xf>
    <xf numFmtId="0" fontId="1" fillId="0" borderId="43" xfId="0" applyFont="1" applyBorder="1" applyAlignment="1">
      <alignment horizontal="center" vertical="center" wrapText="1"/>
    </xf>
    <xf numFmtId="0" fontId="14" fillId="8" borderId="0" xfId="0" applyFont="1" applyFill="1" applyAlignment="1">
      <alignment horizontal="center" vertical="center" wrapText="1"/>
    </xf>
    <xf numFmtId="0" fontId="7" fillId="0" borderId="38" xfId="0" applyFont="1" applyBorder="1" applyAlignment="1">
      <alignment vertical="center" wrapText="1"/>
    </xf>
    <xf numFmtId="0" fontId="7" fillId="0" borderId="24" xfId="0" applyFont="1" applyBorder="1" applyAlignment="1">
      <alignment vertical="center" wrapText="1"/>
    </xf>
    <xf numFmtId="0" fontId="7" fillId="0" borderId="26" xfId="0" applyFont="1" applyBorder="1" applyAlignment="1">
      <alignment vertical="center" wrapText="1"/>
    </xf>
    <xf numFmtId="0" fontId="7" fillId="0" borderId="22"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5" xfId="0" applyFont="1" applyBorder="1" applyAlignment="1">
      <alignment horizontal="center" vertical="center" wrapText="1"/>
    </xf>
    <xf numFmtId="0" fontId="28" fillId="0" borderId="0" xfId="0" applyFont="1" applyAlignment="1">
      <alignment horizontal="left" vertical="center" wrapText="1"/>
    </xf>
    <xf numFmtId="0" fontId="8" fillId="2" borderId="0" xfId="0" applyFont="1" applyFill="1" applyAlignment="1">
      <alignment horizontal="left" vertical="center"/>
    </xf>
    <xf numFmtId="0" fontId="0" fillId="0" borderId="0" xfId="0" applyAlignment="1">
      <alignment horizontal="center"/>
    </xf>
    <xf numFmtId="0" fontId="0" fillId="0" borderId="0" xfId="0" applyAlignment="1">
      <alignment horizontal="center" vertical="center"/>
    </xf>
    <xf numFmtId="0" fontId="1" fillId="0" borderId="51"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21"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6" xfId="0" applyFont="1" applyBorder="1" applyAlignment="1">
      <alignment horizontal="center" vertical="center" wrapText="1"/>
    </xf>
    <xf numFmtId="0" fontId="22" fillId="0" borderId="152" xfId="0" applyFont="1" applyBorder="1" applyAlignment="1">
      <alignment horizontal="center" vertical="center" wrapText="1"/>
    </xf>
    <xf numFmtId="0" fontId="22" fillId="0" borderId="36" xfId="0" applyFont="1" applyBorder="1" applyAlignment="1">
      <alignment horizontal="center" vertical="center" wrapText="1"/>
    </xf>
    <xf numFmtId="0" fontId="22" fillId="0" borderId="153" xfId="0" applyFont="1" applyBorder="1" applyAlignment="1">
      <alignment horizontal="center" vertical="center" wrapText="1"/>
    </xf>
    <xf numFmtId="0" fontId="7" fillId="0" borderId="97" xfId="0" applyFont="1" applyBorder="1" applyAlignment="1">
      <alignment horizontal="center" vertical="center" wrapText="1"/>
    </xf>
    <xf numFmtId="0" fontId="7" fillId="0" borderId="99" xfId="0" applyFont="1" applyBorder="1" applyAlignment="1">
      <alignment horizontal="center" vertical="center" wrapText="1"/>
    </xf>
    <xf numFmtId="0" fontId="7" fillId="0" borderId="102" xfId="0" applyFont="1" applyBorder="1" applyAlignment="1">
      <alignment horizontal="center" vertical="center" wrapText="1"/>
    </xf>
    <xf numFmtId="0" fontId="22" fillId="0" borderId="0" xfId="0" applyFont="1" applyAlignment="1">
      <alignment horizontal="left" vertical="top" wrapText="1"/>
    </xf>
    <xf numFmtId="0" fontId="22" fillId="0" borderId="146" xfId="0" applyFont="1" applyBorder="1" applyAlignment="1">
      <alignment horizontal="center" vertical="center"/>
    </xf>
    <xf numFmtId="0" fontId="22" fillId="0" borderId="16" xfId="0" applyFont="1" applyBorder="1" applyAlignment="1">
      <alignment horizontal="center" vertical="center"/>
    </xf>
    <xf numFmtId="0" fontId="22" fillId="0" borderId="2" xfId="0" applyFont="1" applyBorder="1" applyAlignment="1">
      <alignment horizontal="center" vertical="center"/>
    </xf>
    <xf numFmtId="0" fontId="31" fillId="11" borderId="2" xfId="0" applyFont="1" applyFill="1" applyBorder="1" applyAlignment="1">
      <alignment horizontal="center" vertical="center"/>
    </xf>
    <xf numFmtId="0" fontId="22" fillId="0" borderId="12" xfId="0" applyFont="1" applyBorder="1" applyAlignment="1">
      <alignment horizontal="center" vertical="center"/>
    </xf>
    <xf numFmtId="0" fontId="22" fillId="0" borderId="14" xfId="0" applyFont="1" applyBorder="1" applyAlignment="1">
      <alignment horizontal="center" vertical="center"/>
    </xf>
    <xf numFmtId="0" fontId="22" fillId="0" borderId="151"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2" xfId="0" applyFont="1" applyBorder="1" applyAlignment="1">
      <alignment horizontal="center" vertical="center" wrapText="1"/>
    </xf>
    <xf numFmtId="0" fontId="14" fillId="8" borderId="2" xfId="0" applyFont="1" applyFill="1" applyBorder="1" applyAlignment="1">
      <alignment horizontal="center" vertical="center" wrapText="1"/>
    </xf>
    <xf numFmtId="0" fontId="31" fillId="8" borderId="29"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3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22" fillId="0" borderId="20" xfId="0" applyFont="1" applyBorder="1" applyAlignment="1">
      <alignment horizontal="center" vertical="center"/>
    </xf>
    <xf numFmtId="0" fontId="7" fillId="0" borderId="2" xfId="0" applyFont="1" applyBorder="1" applyAlignment="1">
      <alignment horizontal="center" vertical="center"/>
    </xf>
    <xf numFmtId="0" fontId="14" fillId="8" borderId="18" xfId="0" applyFont="1" applyFill="1" applyBorder="1" applyAlignment="1">
      <alignment horizontal="center" vertical="center" wrapText="1"/>
    </xf>
    <xf numFmtId="0" fontId="14" fillId="8" borderId="40" xfId="0" applyFont="1" applyFill="1" applyBorder="1" applyAlignment="1">
      <alignment horizontal="center" vertical="center"/>
    </xf>
    <xf numFmtId="0" fontId="14" fillId="8" borderId="41" xfId="0" applyFont="1" applyFill="1" applyBorder="1" applyAlignment="1">
      <alignment horizontal="center" vertical="center"/>
    </xf>
    <xf numFmtId="0" fontId="14" fillId="8" borderId="42" xfId="0" applyFont="1" applyFill="1" applyBorder="1" applyAlignment="1">
      <alignment horizontal="center" vertical="center"/>
    </xf>
    <xf numFmtId="0" fontId="14" fillId="8" borderId="131" xfId="0" applyFont="1" applyFill="1" applyBorder="1" applyAlignment="1">
      <alignment horizontal="center" vertical="center" wrapText="1"/>
    </xf>
    <xf numFmtId="0" fontId="14" fillId="8" borderId="130" xfId="0" applyFont="1" applyFill="1" applyBorder="1" applyAlignment="1">
      <alignment horizontal="center" vertical="center" wrapText="1"/>
    </xf>
    <xf numFmtId="0" fontId="14" fillId="8" borderId="133" xfId="0" applyFont="1" applyFill="1" applyBorder="1" applyAlignment="1">
      <alignment horizontal="center" vertical="center" wrapText="1"/>
    </xf>
    <xf numFmtId="0" fontId="7" fillId="0" borderId="134" xfId="0" applyFont="1" applyBorder="1" applyAlignment="1">
      <alignment horizontal="center" vertical="center" wrapText="1"/>
    </xf>
    <xf numFmtId="0" fontId="7" fillId="0" borderId="135" xfId="0" applyFont="1" applyBorder="1" applyAlignment="1">
      <alignment horizontal="center" vertical="center" wrapText="1"/>
    </xf>
    <xf numFmtId="0" fontId="7" fillId="0" borderId="136" xfId="0" applyFont="1" applyBorder="1" applyAlignment="1">
      <alignment horizontal="center" vertical="center" wrapText="1"/>
    </xf>
    <xf numFmtId="43" fontId="24" fillId="0" borderId="3" xfId="6" applyFont="1" applyBorder="1" applyAlignment="1">
      <alignment horizontal="left" vertical="center"/>
    </xf>
    <xf numFmtId="43" fontId="24" fillId="0" borderId="10" xfId="6" applyFont="1" applyBorder="1" applyAlignment="1">
      <alignment horizontal="left" vertical="center"/>
    </xf>
    <xf numFmtId="43" fontId="24" fillId="0" borderId="11" xfId="6" applyFont="1" applyBorder="1" applyAlignment="1">
      <alignment horizontal="left" vertical="center"/>
    </xf>
    <xf numFmtId="43" fontId="22" fillId="0" borderId="14" xfId="6" applyFont="1" applyBorder="1" applyAlignment="1">
      <alignment horizontal="center" vertical="center" wrapText="1"/>
    </xf>
    <xf numFmtId="43" fontId="22" fillId="0" borderId="16" xfId="6" applyFont="1" applyBorder="1" applyAlignment="1">
      <alignment horizontal="center" vertical="center" wrapText="1"/>
    </xf>
    <xf numFmtId="0" fontId="14" fillId="47" borderId="137" xfId="427" applyFont="1" applyFill="1" applyBorder="1" applyAlignment="1">
      <alignment horizontal="center" vertical="center" wrapText="1"/>
    </xf>
    <xf numFmtId="0" fontId="14" fillId="47" borderId="0" xfId="427" applyFont="1" applyFill="1" applyAlignment="1">
      <alignment horizontal="center" vertical="center" wrapText="1"/>
    </xf>
    <xf numFmtId="0" fontId="24" fillId="46" borderId="2" xfId="427" applyFont="1" applyFill="1" applyBorder="1" applyAlignment="1">
      <alignment horizontal="center" vertical="center" wrapText="1"/>
    </xf>
    <xf numFmtId="0" fontId="22" fillId="0" borderId="51" xfId="0" applyFont="1" applyBorder="1" applyAlignment="1">
      <alignment horizontal="center" vertical="center" wrapText="1"/>
    </xf>
    <xf numFmtId="0" fontId="22" fillId="0" borderId="140" xfId="0" applyFont="1" applyBorder="1" applyAlignment="1">
      <alignment horizontal="center" vertical="center" wrapText="1"/>
    </xf>
    <xf numFmtId="0" fontId="22" fillId="0" borderId="141" xfId="0" applyFont="1" applyBorder="1" applyAlignment="1">
      <alignment horizontal="center" vertical="center" wrapText="1"/>
    </xf>
    <xf numFmtId="0" fontId="14" fillId="8" borderId="15" xfId="0" applyFont="1" applyFill="1" applyBorder="1" applyAlignment="1">
      <alignment horizontal="center" vertical="center" wrapText="1"/>
    </xf>
    <xf numFmtId="0" fontId="7" fillId="0" borderId="51"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21" xfId="0" applyFont="1" applyBorder="1" applyAlignment="1">
      <alignment horizontal="center" vertical="center" wrapText="1"/>
    </xf>
    <xf numFmtId="0" fontId="22" fillId="0" borderId="149" xfId="0" applyFont="1" applyBorder="1" applyAlignment="1">
      <alignment horizontal="center" vertical="center" wrapText="1"/>
    </xf>
    <xf numFmtId="0" fontId="8" fillId="6" borderId="43" xfId="0" applyFont="1" applyFill="1" applyBorder="1" applyAlignment="1">
      <alignment horizontal="center" vertical="center" wrapText="1"/>
    </xf>
    <xf numFmtId="0" fontId="8" fillId="6" borderId="20" xfId="0" applyFont="1" applyFill="1" applyBorder="1" applyAlignment="1">
      <alignment horizontal="center" vertical="center"/>
    </xf>
    <xf numFmtId="0" fontId="8" fillId="6" borderId="51" xfId="0" applyFont="1" applyFill="1" applyBorder="1" applyAlignment="1">
      <alignment horizontal="center" vertical="center"/>
    </xf>
    <xf numFmtId="0" fontId="8" fillId="6" borderId="20" xfId="0" applyFont="1" applyFill="1" applyBorder="1" applyAlignment="1">
      <alignment horizontal="center" vertical="center" wrapText="1"/>
    </xf>
    <xf numFmtId="0" fontId="7" fillId="7" borderId="40" xfId="0" applyFont="1" applyFill="1" applyBorder="1" applyAlignment="1">
      <alignment horizontal="left" vertical="center"/>
    </xf>
    <xf numFmtId="0" fontId="7" fillId="7" borderId="41" xfId="0" applyFont="1" applyFill="1" applyBorder="1" applyAlignment="1">
      <alignment horizontal="left" vertical="center"/>
    </xf>
    <xf numFmtId="0" fontId="7" fillId="7" borderId="42" xfId="0" applyFont="1" applyFill="1" applyBorder="1" applyAlignment="1">
      <alignment horizontal="left" vertical="center"/>
    </xf>
    <xf numFmtId="0" fontId="14" fillId="8" borderId="29" xfId="0" applyFont="1" applyFill="1" applyBorder="1" applyAlignment="1">
      <alignment horizontal="center" vertical="center"/>
    </xf>
    <xf numFmtId="0" fontId="14" fillId="8" borderId="30" xfId="0" applyFont="1" applyFill="1" applyBorder="1" applyAlignment="1">
      <alignment horizontal="center" vertical="center"/>
    </xf>
    <xf numFmtId="0" fontId="14" fillId="8" borderId="31" xfId="0" applyFont="1" applyFill="1" applyBorder="1" applyAlignment="1">
      <alignment horizontal="center" vertical="center"/>
    </xf>
    <xf numFmtId="0" fontId="24" fillId="6" borderId="20" xfId="0" applyFont="1" applyFill="1" applyBorder="1" applyAlignment="1">
      <alignment horizontal="center" vertical="center" wrapText="1"/>
    </xf>
    <xf numFmtId="0" fontId="14" fillId="8" borderId="20" xfId="0" applyFont="1" applyFill="1" applyBorder="1" applyAlignment="1">
      <alignment horizontal="center" vertical="center"/>
    </xf>
    <xf numFmtId="0" fontId="14" fillId="8" borderId="15" xfId="0" applyFont="1" applyFill="1" applyBorder="1" applyAlignment="1">
      <alignment horizontal="center" vertical="center"/>
    </xf>
    <xf numFmtId="0" fontId="22" fillId="0" borderId="21" xfId="0" applyFont="1" applyBorder="1" applyAlignment="1">
      <alignment horizontal="center" vertical="center" wrapText="1"/>
    </xf>
    <xf numFmtId="0" fontId="63" fillId="45" borderId="0" xfId="0" applyFont="1" applyFill="1" applyAlignment="1">
      <alignment horizontal="center" vertical="center"/>
    </xf>
    <xf numFmtId="0" fontId="15" fillId="0" borderId="0" xfId="0" applyFont="1"/>
    <xf numFmtId="0" fontId="15" fillId="0" borderId="20" xfId="0" applyFont="1" applyBorder="1" applyAlignment="1">
      <alignment horizontal="center" vertical="center" wrapText="1"/>
    </xf>
    <xf numFmtId="0" fontId="57" fillId="45" borderId="130" xfId="0" applyFont="1" applyFill="1" applyBorder="1" applyAlignment="1">
      <alignment horizontal="center" vertical="center"/>
    </xf>
    <xf numFmtId="0" fontId="22" fillId="0" borderId="4"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 xfId="0" applyFont="1" applyBorder="1" applyAlignment="1">
      <alignment horizontal="center" vertical="center"/>
    </xf>
    <xf numFmtId="0" fontId="22" fillId="0" borderId="28" xfId="0" applyFont="1" applyBorder="1" applyAlignment="1">
      <alignment horizontal="center" vertical="center"/>
    </xf>
    <xf numFmtId="0" fontId="33" fillId="0" borderId="63" xfId="0" applyFont="1" applyBorder="1" applyAlignment="1">
      <alignment horizontal="center" vertical="center"/>
    </xf>
    <xf numFmtId="0" fontId="33" fillId="0" borderId="43" xfId="0" applyFont="1" applyBorder="1" applyAlignment="1">
      <alignment horizontal="center" vertical="center"/>
    </xf>
    <xf numFmtId="0" fontId="33" fillId="0" borderId="70" xfId="0" applyFont="1" applyBorder="1" applyAlignment="1">
      <alignment horizontal="center" vertical="center"/>
    </xf>
    <xf numFmtId="0" fontId="33" fillId="0" borderId="64" xfId="0" applyFont="1" applyBorder="1" applyAlignment="1">
      <alignment horizontal="center" vertical="center"/>
    </xf>
    <xf numFmtId="0" fontId="33" fillId="0" borderId="67" xfId="0" applyFont="1" applyBorder="1" applyAlignment="1">
      <alignment horizontal="center" vertical="center"/>
    </xf>
    <xf numFmtId="0" fontId="33" fillId="0" borderId="71" xfId="0" applyFont="1" applyBorder="1" applyAlignment="1">
      <alignment horizontal="center" vertical="center"/>
    </xf>
    <xf numFmtId="0" fontId="22" fillId="0" borderId="12" xfId="0" applyFont="1" applyBorder="1" applyAlignment="1">
      <alignment horizontal="center" vertical="center" wrapText="1"/>
    </xf>
    <xf numFmtId="0" fontId="33" fillId="0" borderId="125" xfId="0" applyFont="1" applyBorder="1" applyAlignment="1">
      <alignment horizontal="center" vertical="center" wrapText="1"/>
    </xf>
    <xf numFmtId="0" fontId="33" fillId="0" borderId="123" xfId="0" applyFont="1" applyBorder="1" applyAlignment="1">
      <alignment horizontal="center" vertical="center" wrapText="1"/>
    </xf>
    <xf numFmtId="0" fontId="33" fillId="0" borderId="126"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8" xfId="0" applyFont="1" applyBorder="1" applyAlignment="1">
      <alignment horizontal="center" vertical="center" wrapText="1"/>
    </xf>
    <xf numFmtId="0" fontId="33" fillId="0" borderId="122" xfId="0" applyFont="1" applyBorder="1" applyAlignment="1">
      <alignment horizontal="center" vertical="center" wrapText="1"/>
    </xf>
    <xf numFmtId="0" fontId="33" fillId="0" borderId="124" xfId="0" applyFont="1" applyBorder="1" applyAlignment="1">
      <alignment horizontal="center" vertical="center" wrapText="1"/>
    </xf>
    <xf numFmtId="0" fontId="33" fillId="0" borderId="116" xfId="0" applyFont="1" applyBorder="1" applyAlignment="1">
      <alignment horizontal="center" vertical="center" wrapText="1"/>
    </xf>
    <xf numFmtId="0" fontId="33" fillId="0" borderId="117" xfId="0" applyFont="1" applyBorder="1" applyAlignment="1">
      <alignment horizontal="center" vertical="center" wrapText="1"/>
    </xf>
    <xf numFmtId="0" fontId="33" fillId="0" borderId="121" xfId="0" applyFont="1" applyBorder="1" applyAlignment="1">
      <alignment horizontal="center" vertical="center" wrapText="1"/>
    </xf>
    <xf numFmtId="0" fontId="33" fillId="0" borderId="74" xfId="0" applyFont="1" applyBorder="1" applyAlignment="1">
      <alignment horizontal="center" vertical="center" wrapText="1"/>
    </xf>
    <xf numFmtId="0" fontId="33" fillId="0" borderId="67" xfId="0" applyFont="1" applyBorder="1" applyAlignment="1">
      <alignment horizontal="center" vertical="center" wrapText="1"/>
    </xf>
    <xf numFmtId="0" fontId="33" fillId="0" borderId="119" xfId="0" applyFont="1" applyBorder="1" applyAlignment="1">
      <alignment horizontal="center" vertical="center" wrapText="1"/>
    </xf>
    <xf numFmtId="0" fontId="33" fillId="0" borderId="118" xfId="0" applyFont="1" applyBorder="1" applyAlignment="1">
      <alignment horizontal="center" vertical="center" wrapText="1"/>
    </xf>
    <xf numFmtId="0" fontId="33" fillId="0" borderId="76" xfId="0" applyFont="1" applyBorder="1" applyAlignment="1">
      <alignment horizontal="center" vertical="center" wrapText="1"/>
    </xf>
    <xf numFmtId="0" fontId="7" fillId="0" borderId="10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8"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28"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60" xfId="0" applyFont="1" applyBorder="1" applyAlignment="1">
      <alignment horizontal="center" vertical="center" wrapText="1"/>
    </xf>
    <xf numFmtId="0" fontId="23" fillId="0" borderId="35" xfId="0" applyFont="1" applyBorder="1" applyAlignment="1">
      <alignment horizontal="center" vertical="center" wrapText="1"/>
    </xf>
    <xf numFmtId="0" fontId="23" fillId="0" borderId="37"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56"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52" xfId="0" applyFont="1" applyBorder="1" applyAlignment="1">
      <alignment horizontal="center" vertical="center" wrapText="1"/>
    </xf>
    <xf numFmtId="0" fontId="23" fillId="0" borderId="65" xfId="0" applyFont="1" applyBorder="1" applyAlignment="1">
      <alignment horizontal="center" vertical="center" wrapText="1"/>
    </xf>
    <xf numFmtId="0" fontId="23" fillId="0" borderId="72" xfId="0" applyFont="1" applyBorder="1" applyAlignment="1">
      <alignment horizontal="center" vertical="center" wrapText="1"/>
    </xf>
    <xf numFmtId="0" fontId="23" fillId="0" borderId="58" xfId="0" applyFont="1" applyBorder="1" applyAlignment="1">
      <alignment horizontal="center" vertical="center" wrapText="1"/>
    </xf>
    <xf numFmtId="0" fontId="23" fillId="0" borderId="14" xfId="0" applyFont="1" applyBorder="1" applyAlignment="1">
      <alignment horizontal="center" vertical="center" wrapText="1"/>
    </xf>
    <xf numFmtId="0" fontId="33" fillId="0" borderId="58" xfId="0" applyFont="1" applyBorder="1" applyAlignment="1">
      <alignment horizontal="center" vertical="center" wrapText="1"/>
    </xf>
    <xf numFmtId="0" fontId="33" fillId="0" borderId="14" xfId="0" applyFont="1" applyBorder="1" applyAlignment="1">
      <alignment horizontal="center" vertical="center" wrapText="1"/>
    </xf>
    <xf numFmtId="0" fontId="20" fillId="6" borderId="0" xfId="0" applyFont="1" applyFill="1" applyAlignment="1">
      <alignment horizontal="center" vertical="center" wrapText="1"/>
    </xf>
    <xf numFmtId="0" fontId="20" fillId="6" borderId="59" xfId="0" applyFont="1" applyFill="1" applyBorder="1" applyAlignment="1">
      <alignment horizontal="center" vertical="center" wrapText="1"/>
    </xf>
    <xf numFmtId="0" fontId="33" fillId="0" borderId="64" xfId="0" applyFont="1" applyBorder="1" applyAlignment="1">
      <alignment horizontal="center" vertical="center" wrapText="1"/>
    </xf>
    <xf numFmtId="0" fontId="33" fillId="0" borderId="71"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61" xfId="0" applyFont="1" applyBorder="1" applyAlignment="1">
      <alignment horizontal="center" vertical="center" wrapText="1"/>
    </xf>
    <xf numFmtId="0" fontId="23" fillId="0" borderId="34" xfId="0" applyFont="1" applyBorder="1" applyAlignment="1">
      <alignment horizontal="center" vertical="center" wrapText="1"/>
    </xf>
    <xf numFmtId="0" fontId="33" fillId="0" borderId="61" xfId="0" applyFont="1" applyBorder="1" applyAlignment="1">
      <alignment horizontal="center" vertical="center" wrapText="1"/>
    </xf>
    <xf numFmtId="0" fontId="33" fillId="0" borderId="34" xfId="0" applyFont="1" applyBorder="1" applyAlignment="1">
      <alignment horizontal="center" vertical="center" wrapText="1"/>
    </xf>
    <xf numFmtId="0" fontId="23" fillId="0" borderId="62" xfId="0" applyFont="1" applyBorder="1" applyAlignment="1">
      <alignment horizontal="center" vertical="center" wrapText="1"/>
    </xf>
    <xf numFmtId="0" fontId="23" fillId="0" borderId="68" xfId="0" applyFont="1" applyBorder="1" applyAlignment="1">
      <alignment horizontal="center" vertical="center" wrapText="1"/>
    </xf>
    <xf numFmtId="0" fontId="23" fillId="0" borderId="55" xfId="0" applyFont="1" applyBorder="1" applyAlignment="1">
      <alignment horizontal="center" vertical="center" wrapText="1"/>
    </xf>
    <xf numFmtId="0" fontId="33" fillId="0" borderId="120" xfId="0" applyFont="1" applyBorder="1" applyAlignment="1">
      <alignment horizontal="center" vertical="center" wrapText="1"/>
    </xf>
    <xf numFmtId="0" fontId="23" fillId="0" borderId="57" xfId="0" applyFont="1" applyBorder="1" applyAlignment="1">
      <alignment horizontal="center" vertical="center" wrapText="1"/>
    </xf>
    <xf numFmtId="0" fontId="14" fillId="8" borderId="19" xfId="0" applyFont="1" applyFill="1" applyBorder="1" applyAlignment="1">
      <alignment horizontal="center" vertical="center" wrapText="1"/>
    </xf>
    <xf numFmtId="0" fontId="8" fillId="6" borderId="2" xfId="0" applyFont="1" applyFill="1" applyBorder="1" applyAlignment="1">
      <alignment horizontal="center" vertical="center"/>
    </xf>
    <xf numFmtId="0" fontId="8" fillId="6" borderId="12" xfId="0" applyFont="1" applyFill="1" applyBorder="1" applyAlignment="1">
      <alignment horizontal="center" vertical="center"/>
    </xf>
    <xf numFmtId="0" fontId="20" fillId="6" borderId="2" xfId="0" applyFont="1" applyFill="1" applyBorder="1" applyAlignment="1">
      <alignment horizontal="center" vertical="center" wrapText="1"/>
    </xf>
    <xf numFmtId="0" fontId="7" fillId="0" borderId="9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93" xfId="0" applyFont="1" applyBorder="1" applyAlignment="1">
      <alignment horizontal="center" vertical="center" wrapText="1"/>
    </xf>
    <xf numFmtId="0" fontId="7" fillId="0" borderId="1" xfId="0" applyFont="1" applyBorder="1" applyAlignment="1">
      <alignment horizontal="center" vertical="center"/>
    </xf>
    <xf numFmtId="0" fontId="7" fillId="0" borderId="28" xfId="0" applyFont="1" applyBorder="1" applyAlignment="1">
      <alignment horizontal="center" vertical="center"/>
    </xf>
    <xf numFmtId="0" fontId="14" fillId="8" borderId="17" xfId="0" applyFont="1" applyFill="1" applyBorder="1" applyAlignment="1">
      <alignment horizontal="center" vertical="center"/>
    </xf>
    <xf numFmtId="0" fontId="14" fillId="8" borderId="18" xfId="0" applyFont="1" applyFill="1" applyBorder="1" applyAlignment="1">
      <alignment horizontal="center" vertical="center"/>
    </xf>
    <xf numFmtId="9" fontId="7" fillId="0" borderId="2" xfId="2" applyFont="1" applyFill="1" applyBorder="1" applyAlignment="1">
      <alignment horizontal="center" vertical="center"/>
    </xf>
    <xf numFmtId="0" fontId="24" fillId="6" borderId="2" xfId="0" applyFont="1" applyFill="1" applyBorder="1" applyAlignment="1">
      <alignment horizontal="center" vertical="center"/>
    </xf>
    <xf numFmtId="0" fontId="7" fillId="0" borderId="62" xfId="0" applyFont="1" applyBorder="1" applyAlignment="1">
      <alignment horizontal="center" vertical="center" wrapText="1"/>
    </xf>
    <xf numFmtId="0" fontId="7" fillId="0" borderId="65" xfId="0" applyFont="1" applyBorder="1" applyAlignment="1">
      <alignment horizontal="center" vertical="center" wrapText="1"/>
    </xf>
    <xf numFmtId="0" fontId="7" fillId="0" borderId="68" xfId="0" applyFont="1" applyBorder="1" applyAlignment="1">
      <alignment horizontal="center" vertical="center" wrapText="1"/>
    </xf>
    <xf numFmtId="0" fontId="1" fillId="0" borderId="62" xfId="0" applyFont="1" applyBorder="1" applyAlignment="1">
      <alignment horizontal="center" vertical="center" wrapText="1"/>
    </xf>
    <xf numFmtId="0" fontId="1" fillId="0" borderId="65" xfId="0" applyFont="1" applyBorder="1" applyAlignment="1">
      <alignment horizontal="center" vertical="center" wrapText="1"/>
    </xf>
    <xf numFmtId="0" fontId="1" fillId="0" borderId="68" xfId="0" applyFont="1" applyBorder="1" applyAlignment="1">
      <alignment horizontal="center" vertical="center" wrapText="1"/>
    </xf>
    <xf numFmtId="0" fontId="7" fillId="0" borderId="158" xfId="0" applyFont="1" applyBorder="1" applyAlignment="1">
      <alignment horizontal="center" vertical="center" wrapText="1"/>
    </xf>
    <xf numFmtId="0" fontId="7" fillId="0" borderId="159" xfId="0" applyFont="1" applyBorder="1" applyAlignment="1">
      <alignment horizontal="center" vertical="center" wrapText="1"/>
    </xf>
    <xf numFmtId="0" fontId="7" fillId="0" borderId="160" xfId="0" applyFont="1" applyBorder="1" applyAlignment="1">
      <alignment horizontal="center" vertical="center" wrapText="1"/>
    </xf>
    <xf numFmtId="0" fontId="7" fillId="0" borderId="103" xfId="0" applyFont="1" applyBorder="1" applyAlignment="1">
      <alignment horizontal="center" vertical="center"/>
    </xf>
    <xf numFmtId="0" fontId="7" fillId="0" borderId="14" xfId="0" applyFont="1" applyBorder="1" applyAlignment="1">
      <alignment horizontal="center" vertical="center"/>
    </xf>
    <xf numFmtId="0" fontId="7" fillId="0" borderId="34" xfId="0" applyFont="1" applyBorder="1" applyAlignment="1">
      <alignment horizontal="center" vertical="center"/>
    </xf>
    <xf numFmtId="0" fontId="20" fillId="6" borderId="114" xfId="0" applyFont="1" applyFill="1" applyBorder="1" applyAlignment="1">
      <alignment horizontal="center" vertical="center" wrapText="1"/>
    </xf>
    <xf numFmtId="0" fontId="20" fillId="6" borderId="161" xfId="0" applyFont="1" applyFill="1" applyBorder="1" applyAlignment="1">
      <alignment horizontal="center" vertical="center" wrapText="1"/>
    </xf>
  </cellXfs>
  <cellStyles count="428">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1 2" xfId="60" xr:uid="{6388C7AE-80D6-4571-BCFE-70BBF45E4668}"/>
    <cellStyle name="60% - Accent2" xfId="37" builtinId="36" customBuiltin="1"/>
    <cellStyle name="60% - Accent2 2" xfId="61" xr:uid="{E301C0DB-0225-4433-9F8F-BB0671B5F292}"/>
    <cellStyle name="60% - Accent3" xfId="41" builtinId="40" customBuiltin="1"/>
    <cellStyle name="60% - Accent3 2" xfId="62" xr:uid="{F0910F77-7E62-4884-AF75-80CF1B7880B8}"/>
    <cellStyle name="60% - Accent4" xfId="45" builtinId="44" customBuiltin="1"/>
    <cellStyle name="60% - Accent4 2" xfId="63" xr:uid="{3724173B-3A60-4F6B-87EF-A47B76AB954F}"/>
    <cellStyle name="60% - Accent5" xfId="49" builtinId="48" customBuiltin="1"/>
    <cellStyle name="60% - Accent5 2" xfId="64" xr:uid="{DDA9D061-FA53-4D49-B286-CED370B718F3}"/>
    <cellStyle name="60% - Accent6" xfId="53" builtinId="52" customBuiltin="1"/>
    <cellStyle name="60% - Accent6 2" xfId="65" xr:uid="{3505F853-8B07-4A53-811D-4AA34B9A0FBC}"/>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6" builtinId="3"/>
    <cellStyle name="Comma 2" xfId="67" xr:uid="{D61AD27F-D637-457B-B28A-11F9AF551531}"/>
    <cellStyle name="Comma 2 10" xfId="425" xr:uid="{6E3E7C12-916E-49ED-A360-14B656F83968}"/>
    <cellStyle name="Comma 2 2" xfId="68" xr:uid="{C8A64174-2D3F-4EFF-A99E-F4D8283D04C8}"/>
    <cellStyle name="Comma 2 2 2" xfId="69" xr:uid="{8F2A3A5C-3FEA-4869-A34B-83C157FB0EAE}"/>
    <cellStyle name="Comma 2 2 3" xfId="70" xr:uid="{5A2764DF-4000-41B1-911E-A3982384F6BB}"/>
    <cellStyle name="Comma 2 3" xfId="71" xr:uid="{579C5AF3-A52A-4815-878F-B540C4F1419E}"/>
    <cellStyle name="Comma 2 4" xfId="72" xr:uid="{950E7AF3-BCE6-4D14-805F-07BBF2043AFE}"/>
    <cellStyle name="Comma 2 5" xfId="73" xr:uid="{7FE4718E-649F-4641-B557-6C32087633F1}"/>
    <cellStyle name="Comma 2 6" xfId="74" xr:uid="{7363D7A2-12FA-4E52-A3F2-2A11902063D4}"/>
    <cellStyle name="Comma 2 7" xfId="75" xr:uid="{033D2443-D6E0-4DE6-9488-BE11955F38D1}"/>
    <cellStyle name="Comma 2 8" xfId="76" xr:uid="{57603388-AF0C-4233-9804-0FE1C5D7E05C}"/>
    <cellStyle name="Comma 2 9" xfId="77" xr:uid="{56D2E282-2FB6-43EB-A1FF-17BE76DF43F5}"/>
    <cellStyle name="Comma 3" xfId="78" xr:uid="{E17D10BE-A28F-4E10-BCA6-5D9AB28224E3}"/>
    <cellStyle name="Comma 3 2" xfId="79" xr:uid="{6B02AB6A-94CC-469A-8447-A1742C76020A}"/>
    <cellStyle name="Comma 4" xfId="80" xr:uid="{3AEBBF18-1DE2-493D-B2EE-9D03CC6B0F30}"/>
    <cellStyle name="Comma 4 2" xfId="81" xr:uid="{1A8DFB2C-4379-4704-87D4-0EC9C0515457}"/>
    <cellStyle name="Comma 4 2 2" xfId="82" xr:uid="{4722C040-53F4-45E9-BC1B-504B7F6B501A}"/>
    <cellStyle name="Comma 5" xfId="83" xr:uid="{82C5EA8D-4621-4150-A975-8FF065EC915B}"/>
    <cellStyle name="Comma 5 2" xfId="84" xr:uid="{BEF1C062-0BB6-472F-AB7A-C896D8FF8DB9}"/>
    <cellStyle name="Comma 5 3" xfId="85" xr:uid="{311BFF0A-424D-45C4-89DB-1CC55513E6D6}"/>
    <cellStyle name="Comma 6" xfId="66" xr:uid="{6F06A65E-E095-4D8D-B1C2-0444B8C6C4D8}"/>
    <cellStyle name="Explanatory Text" xfId="28"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5" builtinId="8"/>
    <cellStyle name="Hyperlink 2" xfId="10" xr:uid="{10C1E3C0-F46B-4E25-BD9A-EE5D62F88FF2}"/>
    <cellStyle name="Hyperlink 2 2" xfId="420" xr:uid="{DC54BD0A-D400-4914-AA7B-C28516FF3333}"/>
    <cellStyle name="Input" xfId="21" builtinId="20" customBuiltin="1"/>
    <cellStyle name="Linked Cell" xfId="24" builtinId="24" customBuiltin="1"/>
    <cellStyle name="Neutral" xfId="20" builtinId="28" customBuiltin="1"/>
    <cellStyle name="Neutral 2" xfId="86" xr:uid="{EBF023DE-B84A-48C6-B018-E2022B518F22}"/>
    <cellStyle name="Normal" xfId="0" builtinId="0" customBuiltin="1"/>
    <cellStyle name="Normal 10" xfId="87" xr:uid="{076D02A1-B267-4955-910F-ED1C0FDC16E2}"/>
    <cellStyle name="Normal 10 2" xfId="88" xr:uid="{AA8A051D-EA64-4008-8FB8-FFBA871F0F21}"/>
    <cellStyle name="Normal 100" xfId="89" xr:uid="{0CE197F6-1672-4699-B716-0647130B8194}"/>
    <cellStyle name="Normal 101" xfId="90" xr:uid="{DBBE1092-C245-44F0-B0E4-870CA37796DB}"/>
    <cellStyle name="Normal 102" xfId="91" xr:uid="{4F0BABC4-1540-4ACF-8D19-605CD387560F}"/>
    <cellStyle name="Normal 103" xfId="92" xr:uid="{60702D29-DDC6-4354-A2FA-F1FB6B5443D4}"/>
    <cellStyle name="Normal 104" xfId="93" xr:uid="{B860E6BA-C982-4CA1-BE70-747F7F88F8D4}"/>
    <cellStyle name="Normal 105" xfId="94" xr:uid="{84A93E0F-C254-4B14-9313-A7ED21084A44}"/>
    <cellStyle name="Normal 106" xfId="95" xr:uid="{74B91F55-C86B-4353-9089-DE928F90D737}"/>
    <cellStyle name="Normal 107" xfId="96" xr:uid="{F8248028-608A-4CD6-88BD-F72F465F43CE}"/>
    <cellStyle name="Normal 108" xfId="97" xr:uid="{3CD3C90D-31B7-41A9-9ECA-829C22FFF949}"/>
    <cellStyle name="Normal 109" xfId="98" xr:uid="{71F17A2F-EFA4-4CB6-9B2A-A8383DB1E55A}"/>
    <cellStyle name="Normal 11" xfId="99" xr:uid="{15868D11-3F06-4732-97CF-1C288D3E0839}"/>
    <cellStyle name="Normal 11 2 2 2" xfId="55" xr:uid="{22B3F830-34F0-4EB4-89C8-18BD82EA1231}"/>
    <cellStyle name="Normal 110" xfId="100" xr:uid="{63D8613D-CA8E-4BE7-AE54-DB6010BB0203}"/>
    <cellStyle name="Normal 111" xfId="101" xr:uid="{B8550807-9C1C-402C-BC51-6776C78D0A2F}"/>
    <cellStyle name="Normal 112" xfId="102" xr:uid="{9142C420-FA8F-4866-BEB3-756CE2233404}"/>
    <cellStyle name="Normal 113" xfId="103" xr:uid="{830C0458-E2A6-4542-9324-FFCE13DF2854}"/>
    <cellStyle name="Normal 114" xfId="104" xr:uid="{29C55A47-5B18-453B-9C89-1CE5B34AFBA4}"/>
    <cellStyle name="Normal 115" xfId="105" xr:uid="{2CFBC4BD-127B-473A-B197-75906C7737F4}"/>
    <cellStyle name="Normal 116" xfId="106" xr:uid="{F4670BBD-27C0-4BD7-AA6C-A65831213D99}"/>
    <cellStyle name="Normal 117" xfId="107" xr:uid="{14AF11FB-8EEA-413E-9BC6-673635C5EB77}"/>
    <cellStyle name="Normal 118" xfId="108" xr:uid="{6EE64FEF-DE5A-40E9-B191-F8C883F97385}"/>
    <cellStyle name="Normal 119" xfId="109" xr:uid="{45170C6C-3A08-4423-86B1-E8DF4BC471E4}"/>
    <cellStyle name="Normal 12" xfId="110" xr:uid="{8378A3BD-3160-4AD5-8FCE-BAA1D0F0EE0B}"/>
    <cellStyle name="Normal 120" xfId="111" xr:uid="{BA273789-2BC7-4A16-93C6-A11E05F902B5}"/>
    <cellStyle name="Normal 121" xfId="112" xr:uid="{7B0CD41F-5B60-4C45-A670-85FA8EF225EC}"/>
    <cellStyle name="Normal 122" xfId="113" xr:uid="{0E413870-7246-46E4-A457-423003BC8F2D}"/>
    <cellStyle name="Normal 123" xfId="114" xr:uid="{07B37C07-224E-45BC-A8AA-FDE3E66C6BEB}"/>
    <cellStyle name="Normal 124" xfId="115" xr:uid="{EC48D3C5-2F5C-4DCB-8863-65E12F7D9001}"/>
    <cellStyle name="Normal 125" xfId="116" xr:uid="{6120A0DF-E73C-4624-AAF3-F6CEFF4A0607}"/>
    <cellStyle name="Normal 126" xfId="117" xr:uid="{14F1518A-D151-48D6-8414-D596416D269C}"/>
    <cellStyle name="Normal 127" xfId="118" xr:uid="{DA31E73A-B80E-4B3F-8FF1-0C477F14F43B}"/>
    <cellStyle name="Normal 128" xfId="119" xr:uid="{43CF8257-08C5-4877-B22A-9243F4E4C88A}"/>
    <cellStyle name="Normal 129" xfId="120" xr:uid="{26C15FF3-04B7-481B-9EC3-2182ED8E4C6C}"/>
    <cellStyle name="Normal 13" xfId="121" xr:uid="{0C071D3D-84EA-4FBD-8513-4144D243339A}"/>
    <cellStyle name="Normal 130" xfId="122" xr:uid="{11D7426F-CACE-44E2-8C79-1287AC7C4F57}"/>
    <cellStyle name="Normal 131" xfId="123" xr:uid="{DC4834F1-7D55-4B8E-8D31-A3A37B92B323}"/>
    <cellStyle name="Normal 132" xfId="124" xr:uid="{ECEE0F4D-4BF7-4CA4-9A16-5C7CA55022CF}"/>
    <cellStyle name="Normal 133" xfId="125" xr:uid="{BACE7B96-C7B1-4A77-82FF-FF9504053F82}"/>
    <cellStyle name="Normal 134" xfId="126" xr:uid="{DA2AB8B4-F7BE-496C-8AAF-6341F563B03F}"/>
    <cellStyle name="Normal 135" xfId="127" xr:uid="{1BEBE9C4-73E7-4233-BB01-BA2C85490BF6}"/>
    <cellStyle name="Normal 136" xfId="128" xr:uid="{17A07220-6095-4153-BB39-36D63E51904F}"/>
    <cellStyle name="Normal 137" xfId="129" xr:uid="{B51798A8-531B-46FB-AF5E-F93E14B322BD}"/>
    <cellStyle name="Normal 138" xfId="130" xr:uid="{A15ED619-C6C1-4E0D-A133-615ED80164A9}"/>
    <cellStyle name="Normal 139" xfId="131" xr:uid="{CCE0BC79-B86C-4CD3-9C35-DF1E8432976E}"/>
    <cellStyle name="Normal 14" xfId="56" xr:uid="{C5913DDB-395A-4267-9552-550A444353FF}"/>
    <cellStyle name="Normal 14 2" xfId="132" xr:uid="{09D0C775-3EE8-4F09-B762-0AE99DA00878}"/>
    <cellStyle name="Normal 140" xfId="133" xr:uid="{25C29C06-AEA6-40E4-950C-803323E928B3}"/>
    <cellStyle name="Normal 141" xfId="134" xr:uid="{F205AAE7-2784-4868-BE3F-3800B4769D77}"/>
    <cellStyle name="Normal 142" xfId="135" xr:uid="{5FC1E751-F807-49F3-BF96-660418D0D42B}"/>
    <cellStyle name="Normal 143" xfId="136" xr:uid="{4FC1E3B9-E16F-43F0-A1F3-384643CE7903}"/>
    <cellStyle name="Normal 144" xfId="137" xr:uid="{DEDE0D84-3E31-4287-B112-1CA4C9B7B9DF}"/>
    <cellStyle name="Normal 145" xfId="138" xr:uid="{728D872B-19AA-4992-ABA0-0D23AB8224DE}"/>
    <cellStyle name="Normal 146" xfId="139" xr:uid="{E0B1AF6B-DD1A-412A-8713-F18458C38704}"/>
    <cellStyle name="Normal 147" xfId="140" xr:uid="{F7C3D8F4-DCBF-4948-84A1-9854C9664B5D}"/>
    <cellStyle name="Normal 148" xfId="141" xr:uid="{EA955369-A2EA-4B47-B35C-3246565C4F9E}"/>
    <cellStyle name="Normal 149" xfId="142" xr:uid="{F0644A08-4256-4D6E-A25A-CDBD46E352E7}"/>
    <cellStyle name="Normal 15" xfId="143" xr:uid="{D3F16F9A-FD21-4B8C-B931-F1C73A9A0F3F}"/>
    <cellStyle name="Normal 150" xfId="144" xr:uid="{59E71CAC-03BA-4042-A4E8-6A4A60DE5F1B}"/>
    <cellStyle name="Normal 151" xfId="145" xr:uid="{A7B06A1D-18E0-45C7-9E69-38462F3DDA93}"/>
    <cellStyle name="Normal 152" xfId="146" xr:uid="{3CEB2F5D-0699-45EE-A56F-5B77CD2D1465}"/>
    <cellStyle name="Normal 153" xfId="147" xr:uid="{5387ADCC-99B0-440F-99EF-1E275AB392EE}"/>
    <cellStyle name="Normal 154" xfId="148" xr:uid="{4ECEB7B1-6D86-487F-B217-EE96483C6775}"/>
    <cellStyle name="Normal 155" xfId="149" xr:uid="{86230AB1-5508-4A24-9EC1-E6669B56321B}"/>
    <cellStyle name="Normal 156" xfId="150" xr:uid="{ACB335A2-37D8-47C8-9CB8-7A98EE29AF3B}"/>
    <cellStyle name="Normal 157" xfId="151" xr:uid="{FE135C3C-0FA2-47B4-8CD8-89A97F19EFD0}"/>
    <cellStyle name="Normal 158" xfId="152" xr:uid="{D18D5D2C-95ED-457F-B90F-E66499424BB8}"/>
    <cellStyle name="Normal 159" xfId="153" xr:uid="{4CCCCB57-CD61-44D0-A906-080F637592E4}"/>
    <cellStyle name="Normal 16" xfId="154" xr:uid="{5954D9A5-ABBD-4CD9-96EA-EB85C8F70FCA}"/>
    <cellStyle name="Normal 160" xfId="155" xr:uid="{7F6A42B4-EE55-43F4-8E73-5DFFB30E6C9D}"/>
    <cellStyle name="Normal 161" xfId="156" xr:uid="{767A34DE-2873-4BE6-AF14-0A8369D00FC5}"/>
    <cellStyle name="Normal 162" xfId="157" xr:uid="{21CFE3AA-0EBF-49C2-8954-ED3865F151EE}"/>
    <cellStyle name="Normal 163" xfId="158" xr:uid="{760FE06A-588E-4B03-BF59-FFE8C9E197A8}"/>
    <cellStyle name="Normal 164" xfId="159" xr:uid="{F90C0FFE-E872-4E7A-864C-B3420DA6776E}"/>
    <cellStyle name="Normal 165" xfId="160" xr:uid="{E1075C76-21AC-47C6-897F-02495741C01E}"/>
    <cellStyle name="Normal 166" xfId="161" xr:uid="{91427B73-9164-4757-9FC7-2FACA3AA17E3}"/>
    <cellStyle name="Normal 167" xfId="162" xr:uid="{3F07ED36-39C5-4014-8E23-E01E3516D7FE}"/>
    <cellStyle name="Normal 168" xfId="163" xr:uid="{7A20138A-E44F-4351-AEB7-716BAAD97A27}"/>
    <cellStyle name="Normal 169" xfId="164" xr:uid="{0D6D2810-26B1-4C3F-B9EF-24D3069C49C5}"/>
    <cellStyle name="Normal 17" xfId="165" xr:uid="{71247783-FD04-4746-89E2-E9A54F4952C9}"/>
    <cellStyle name="Normal 170" xfId="166" xr:uid="{31C18488-6B2A-4097-8C4D-BF3CE6A73A5D}"/>
    <cellStyle name="Normal 171" xfId="167" xr:uid="{42DAC8DC-A677-44B4-AD10-7587CE8AF5D3}"/>
    <cellStyle name="Normal 172" xfId="168" xr:uid="{569349B8-1D46-4888-AD80-4801B695573F}"/>
    <cellStyle name="Normal 173" xfId="169" xr:uid="{AC38C7CD-ACFA-4E04-BCF5-739374C34B5F}"/>
    <cellStyle name="Normal 174" xfId="170" xr:uid="{9BBAB5F4-7F07-4F3D-99BD-0687A6DDF634}"/>
    <cellStyle name="Normal 175" xfId="171" xr:uid="{7555E1FC-E1D1-4360-B022-9C28BEFB7017}"/>
    <cellStyle name="Normal 176" xfId="172" xr:uid="{F4D8C11A-E929-4AAE-BD70-E360C1933081}"/>
    <cellStyle name="Normal 177" xfId="173" xr:uid="{140425F4-F455-449D-91A3-40D48BE0F93F}"/>
    <cellStyle name="Normal 178" xfId="174" xr:uid="{8AB49904-6A98-48C0-B7AC-99FDCF678976}"/>
    <cellStyle name="Normal 179" xfId="175" xr:uid="{5892327A-D106-4B89-A06E-3AB452D804BD}"/>
    <cellStyle name="Normal 18" xfId="176" xr:uid="{534A8C17-7936-4F5E-8B02-7FE6B75B5996}"/>
    <cellStyle name="Normal 180" xfId="177" xr:uid="{4B332908-9B6F-44E4-85BC-727594287A0B}"/>
    <cellStyle name="Normal 181" xfId="178" xr:uid="{62BBA363-B69F-44BB-8561-46B089932677}"/>
    <cellStyle name="Normal 182" xfId="179" xr:uid="{64F78B9B-C379-4F22-8D64-EDA2275175D5}"/>
    <cellStyle name="Normal 183" xfId="180" xr:uid="{401144F6-B47E-4C5D-8FC1-46719DDCCF8A}"/>
    <cellStyle name="Normal 184" xfId="181" xr:uid="{81CBD824-4681-4ADD-AE4E-320E966DD88B}"/>
    <cellStyle name="Normal 185" xfId="182" xr:uid="{78E5260A-95DC-42D3-871A-C5FEE703C7F3}"/>
    <cellStyle name="Normal 186" xfId="183" xr:uid="{9BA175D6-9559-4360-8264-17D746B5DD89}"/>
    <cellStyle name="Normal 187" xfId="184" xr:uid="{D1CDDF72-90F7-4825-AB98-C05D67600A2D}"/>
    <cellStyle name="Normal 188" xfId="185" xr:uid="{026C748F-2EDE-401E-8240-B5820D4936D6}"/>
    <cellStyle name="Normal 189" xfId="186" xr:uid="{333B9E6B-4008-4E6A-BC1E-BB295AD7877C}"/>
    <cellStyle name="Normal 19" xfId="187" xr:uid="{D382057F-B089-408E-A81D-BA7087407BDC}"/>
    <cellStyle name="Normal 190" xfId="188" xr:uid="{15AD4997-6F0C-4FF8-A326-1BD469306594}"/>
    <cellStyle name="Normal 191" xfId="189" xr:uid="{F7746F7E-8D98-4DF0-B594-B9EDA5951BBE}"/>
    <cellStyle name="Normal 192" xfId="190" xr:uid="{95A59D0D-9CED-4EF1-9416-C8F97E6C5326}"/>
    <cellStyle name="Normal 193" xfId="191" xr:uid="{A129E977-DE51-4C31-BEAB-3C613D4343AC}"/>
    <cellStyle name="Normal 194" xfId="192" xr:uid="{EBC10DA1-7D87-4781-B543-A2A012ACF25B}"/>
    <cellStyle name="Normal 195" xfId="193" xr:uid="{20211B93-EFAC-4E65-9DE5-49F8F8ACA618}"/>
    <cellStyle name="Normal 196" xfId="194" xr:uid="{A77FC2FD-2E88-4822-BA21-4033948BB8ED}"/>
    <cellStyle name="Normal 197" xfId="195" xr:uid="{11762033-268B-4C62-8363-5DC65E036944}"/>
    <cellStyle name="Normal 198" xfId="196" xr:uid="{FB55C1A2-41D3-48B4-B9F8-E4D8C0D45327}"/>
    <cellStyle name="Normal 199" xfId="197" xr:uid="{C8229EF4-E080-4D16-A00B-1D175C0D9692}"/>
    <cellStyle name="Normal 2" xfId="3" xr:uid="{E38C2638-0821-4BB2-9C33-A89D3950ADA6}"/>
    <cellStyle name="Normal 2 2" xfId="4" xr:uid="{7604919E-E68F-4366-A693-6A7B8B8DA661}"/>
    <cellStyle name="Normal 2 2 2" xfId="200" xr:uid="{067F78CB-9633-4C41-BF1A-F408696C156A}"/>
    <cellStyle name="Normal 2 2 3" xfId="201" xr:uid="{4EB42305-08E9-49B2-9FFB-D0166BB9BDCD}"/>
    <cellStyle name="Normal 2 2 4" xfId="202" xr:uid="{EDDE46C1-EC89-4109-99E5-26C91B9AEA84}"/>
    <cellStyle name="Normal 2 2 5" xfId="199" xr:uid="{E833398C-A593-4DE2-90E2-4E2AC884586F}"/>
    <cellStyle name="Normal 2 2 6" xfId="54" xr:uid="{A2D92282-36E2-42E4-ADED-1C5D634E5048}"/>
    <cellStyle name="Normal 2 3" xfId="9" xr:uid="{8A1E39CD-7ABA-4D79-A464-67010D1209C1}"/>
    <cellStyle name="Normal 2 3 2" xfId="204" xr:uid="{DCD3D281-6B97-4F02-89BF-AC23F99BB1A0}"/>
    <cellStyle name="Normal 2 3 3" xfId="205" xr:uid="{99B84C2A-C611-4A0A-AE7C-07FDEEA12BC1}"/>
    <cellStyle name="Normal 2 3 4" xfId="203" xr:uid="{41CAB179-E128-4729-9473-7498A6CE11CF}"/>
    <cellStyle name="Normal 2 4" xfId="206" xr:uid="{68460924-EB98-4943-9774-DA300C7C4E77}"/>
    <cellStyle name="Normal 2 4 2" xfId="207" xr:uid="{C8ECA8AB-8527-4593-A5A7-00618143955F}"/>
    <cellStyle name="Normal 2 4 3" xfId="208" xr:uid="{64B944D2-1335-467C-AAE5-2EAA16DC8591}"/>
    <cellStyle name="Normal 2 5" xfId="209" xr:uid="{F4E92ADC-9026-44B5-A1CD-E0ABF6F2E2D4}"/>
    <cellStyle name="Normal 2 6" xfId="421" xr:uid="{4DDB3944-16BC-4C5C-AEE2-39E4253E07B3}"/>
    <cellStyle name="Normal 2 7" xfId="198" xr:uid="{D09F5D4F-6251-489E-9E2F-4F47DA3D9AF4}"/>
    <cellStyle name="Normal 2_AEDG50_HotelSmall_Inputs" xfId="210" xr:uid="{0DB18DE5-13EE-47E5-9CA5-D2727033C06D}"/>
    <cellStyle name="Normal 20" xfId="211" xr:uid="{0B4A0AB8-E5C4-43B6-ACBF-F0FE07CF51D7}"/>
    <cellStyle name="Normal 200" xfId="212" xr:uid="{EFA7D135-E844-4BF3-8213-614885C3FF5A}"/>
    <cellStyle name="Normal 201" xfId="213" xr:uid="{CFB2DE6D-323E-4CD6-8D1C-F913E3487DDC}"/>
    <cellStyle name="Normal 202" xfId="214" xr:uid="{0C5C37D3-6801-4D04-9B78-D68A57D30C61}"/>
    <cellStyle name="Normal 203" xfId="215" xr:uid="{37D1A48D-A4E8-474B-9A5C-8FBDD0F29CCC}"/>
    <cellStyle name="Normal 204" xfId="216" xr:uid="{ED0435B3-30A7-4F12-AD84-8179C2F091AD}"/>
    <cellStyle name="Normal 205" xfId="217" xr:uid="{05DBF5B0-002F-4741-8A0B-EE9264D36F8B}"/>
    <cellStyle name="Normal 206" xfId="218" xr:uid="{9D1FC893-8B28-40EE-886E-10AD0BDB5828}"/>
    <cellStyle name="Normal 207" xfId="219" xr:uid="{BDFCD855-8E53-466C-94CC-BA41599C9B40}"/>
    <cellStyle name="Normal 208" xfId="220" xr:uid="{537A0600-1B61-425A-B658-A9287678F212}"/>
    <cellStyle name="Normal 209" xfId="221" xr:uid="{108C433C-0FF1-42EE-ADD2-340B34D0BD26}"/>
    <cellStyle name="Normal 21" xfId="222" xr:uid="{70B61C75-0268-4929-AD92-A04E666FF8F3}"/>
    <cellStyle name="Normal 210" xfId="223" xr:uid="{A7192DB2-D4CA-495A-8CF4-95997494CED5}"/>
    <cellStyle name="Normal 211" xfId="224" xr:uid="{9A9FEACC-9E38-4FCF-8619-CC879D6BD4D5}"/>
    <cellStyle name="Normal 212" xfId="225" xr:uid="{B3E0EAB7-0BFF-4AF9-A67A-06E5E5A5FA8C}"/>
    <cellStyle name="Normal 213" xfId="226" xr:uid="{A8847567-D12B-455E-AA3D-E7CA241E7050}"/>
    <cellStyle name="Normal 214" xfId="227" xr:uid="{CF37EAAC-49C2-498D-9944-322FEF530B61}"/>
    <cellStyle name="Normal 215" xfId="228" xr:uid="{06A63F54-D216-4864-B9CA-90D651FDA1FB}"/>
    <cellStyle name="Normal 216" xfId="229" xr:uid="{70452C23-FEA5-4BFC-8F10-0CABBB835E97}"/>
    <cellStyle name="Normal 217" xfId="230" xr:uid="{4E64F146-7659-4CDF-985B-1F7E8751E519}"/>
    <cellStyle name="Normal 218" xfId="231" xr:uid="{AC042960-2489-4DC3-ACD2-5275FAA014A2}"/>
    <cellStyle name="Normal 219" xfId="232" xr:uid="{A71B0906-264B-42AB-883F-CA00F520537A}"/>
    <cellStyle name="Normal 22" xfId="233" xr:uid="{A8E2F7DD-762D-481C-91D2-FCE2DA6DC665}"/>
    <cellStyle name="Normal 220" xfId="234" xr:uid="{C7D613EA-32E6-4520-A9B5-C56B1AF5E1AD}"/>
    <cellStyle name="Normal 221" xfId="235" xr:uid="{FE28D07A-E6CE-4121-AE1A-5DE7CEF139DE}"/>
    <cellStyle name="Normal 222" xfId="236" xr:uid="{5B59F53D-C82B-43D2-A966-B7B69C4D40A3}"/>
    <cellStyle name="Normal 223" xfId="237" xr:uid="{31782F0B-5518-4425-B51A-C9F732A84EFC}"/>
    <cellStyle name="Normal 224" xfId="238" xr:uid="{5000AAC9-8E3E-40AC-9602-929334CA6184}"/>
    <cellStyle name="Normal 225" xfId="239" xr:uid="{77F3A809-C7F8-415D-ACC5-ACA4029C8810}"/>
    <cellStyle name="Normal 226" xfId="240" xr:uid="{0FFC1BAE-B788-4DCD-BEEC-1E2F836AE24D}"/>
    <cellStyle name="Normal 227" xfId="241" xr:uid="{518D7343-1380-441B-8058-86267C53CF07}"/>
    <cellStyle name="Normal 228" xfId="242" xr:uid="{86F0E656-3A47-4C81-9195-915A1A000F92}"/>
    <cellStyle name="Normal 229" xfId="243" xr:uid="{4F8C36FB-ACFF-46B7-8EE2-2DAD14F1F47F}"/>
    <cellStyle name="Normal 23" xfId="244" xr:uid="{E426F850-F317-4CB5-88C1-36410E0C2607}"/>
    <cellStyle name="Normal 230" xfId="245" xr:uid="{1EE8D007-3005-43CA-88CE-1FF695666FED}"/>
    <cellStyle name="Normal 231" xfId="246" xr:uid="{C5FE5C68-6F88-46D8-9934-8462BE60DDD1}"/>
    <cellStyle name="Normal 232" xfId="247" xr:uid="{C5A0859F-FE58-414B-B2A9-8AF8FBE43538}"/>
    <cellStyle name="Normal 233" xfId="248" xr:uid="{04B7376C-5D00-4355-9E39-4683CC793220}"/>
    <cellStyle name="Normal 234" xfId="249" xr:uid="{1E346C3B-AAB4-4969-8204-773272E2DFD6}"/>
    <cellStyle name="Normal 235" xfId="250" xr:uid="{9B165095-FABC-4E2C-9AB6-02D074AE4C63}"/>
    <cellStyle name="Normal 236" xfId="251" xr:uid="{8A7551B9-AA41-464C-B00C-B51C833ECE8E}"/>
    <cellStyle name="Normal 237" xfId="252" xr:uid="{4F4CBC3F-6290-4BF7-B787-463AD761D2DB}"/>
    <cellStyle name="Normal 238" xfId="253" xr:uid="{258AC543-8B30-45AA-9640-770DE5156F7C}"/>
    <cellStyle name="Normal 239" xfId="254" xr:uid="{9988A64E-5614-497A-B777-017C1B7A6078}"/>
    <cellStyle name="Normal 24" xfId="255" xr:uid="{A2606A1B-DCAB-443C-A395-395997EFD1E8}"/>
    <cellStyle name="Normal 240" xfId="256" xr:uid="{B0FA9492-006D-438E-BA30-B8A40C73189B}"/>
    <cellStyle name="Normal 241" xfId="257" xr:uid="{E6E71A19-14A2-4B38-A4E9-0F9CDF47E13F}"/>
    <cellStyle name="Normal 242" xfId="258" xr:uid="{DE179000-664C-4489-BEC3-E00A36B66260}"/>
    <cellStyle name="Normal 243" xfId="259" xr:uid="{A3FDA283-E59C-4B4B-A002-FA96572873BA}"/>
    <cellStyle name="Normal 244" xfId="260" xr:uid="{16D64DF4-ECB5-4972-B0F2-BE79D9BF102F}"/>
    <cellStyle name="Normal 245" xfId="261" xr:uid="{7DCD533D-BA80-4C14-85C2-AF26E85DC06E}"/>
    <cellStyle name="Normal 246" xfId="262" xr:uid="{296E97D7-A8C8-4F7D-A399-070C7F7E7EDD}"/>
    <cellStyle name="Normal 247" xfId="263" xr:uid="{D3CE5012-6B53-4738-8D7A-B2368F8BD687}"/>
    <cellStyle name="Normal 248" xfId="264" xr:uid="{1C88EBAF-0BE0-4E65-936C-075EB0768AEA}"/>
    <cellStyle name="Normal 249" xfId="265" xr:uid="{0B3830F2-990A-4860-B779-68BEC860686A}"/>
    <cellStyle name="Normal 25" xfId="266" xr:uid="{BB7ABE8C-68DC-42CF-A32C-04CF665338F2}"/>
    <cellStyle name="Normal 250" xfId="267" xr:uid="{F3C570F9-6E47-4BA3-9A41-5B7A7A5CB5EF}"/>
    <cellStyle name="Normal 251" xfId="268" xr:uid="{95333269-4A68-458B-A13C-074C03E777E2}"/>
    <cellStyle name="Normal 252" xfId="269" xr:uid="{7C4A1E16-98DD-4566-9937-8D7C93C12603}"/>
    <cellStyle name="Normal 253" xfId="270" xr:uid="{1C0E6E8F-FD54-4E83-9A3E-94026AAD33CE}"/>
    <cellStyle name="Normal 254" xfId="271" xr:uid="{DA7E4F22-29F3-4AE5-A584-3972527A2E81}"/>
    <cellStyle name="Normal 255" xfId="272" xr:uid="{29A5700C-56EF-4EEA-A1A6-68706428878D}"/>
    <cellStyle name="Normal 256" xfId="273" xr:uid="{FAE62D28-5DA9-4E29-87FB-77A58849D0A1}"/>
    <cellStyle name="Normal 256 2" xfId="274" xr:uid="{940F7E57-44BE-428F-A0DE-365C4B3998B4}"/>
    <cellStyle name="Normal 257" xfId="275" xr:uid="{C75E5CF7-9CF6-446C-893F-5BC8ADA54D1B}"/>
    <cellStyle name="Normal 257 2" xfId="276" xr:uid="{9ECF9F53-C0E6-4FC8-B08D-21E03A419B3D}"/>
    <cellStyle name="Normal 258" xfId="277" xr:uid="{D9ABEB17-6978-4A4E-8D5F-FDFCEF04B439}"/>
    <cellStyle name="Normal 258 2" xfId="278" xr:uid="{21E5B325-C681-4BE3-820D-F49CB10228E1}"/>
    <cellStyle name="Normal 259" xfId="279" xr:uid="{802F8811-914A-430A-B666-0FBEE55DAAE6}"/>
    <cellStyle name="Normal 259 2" xfId="280" xr:uid="{4EDA75AF-F45B-4C4E-B571-54F10F1991FC}"/>
    <cellStyle name="Normal 26" xfId="281" xr:uid="{209C031D-FB01-41FE-9C48-47C707158C9E}"/>
    <cellStyle name="Normal 260" xfId="282" xr:uid="{F74C1AFF-2078-49A3-8EFB-F59EC26C4491}"/>
    <cellStyle name="Normal 260 2" xfId="283" xr:uid="{37AD3375-FFA3-4CDD-998E-0A61AC32FFF3}"/>
    <cellStyle name="Normal 261" xfId="284" xr:uid="{3EB9C392-9D72-4F79-884F-1A001CB71204}"/>
    <cellStyle name="Normal 262" xfId="285" xr:uid="{428B803B-FE86-4005-8CB8-240A6123EA58}"/>
    <cellStyle name="Normal 263" xfId="286" xr:uid="{0DBFE8A4-A545-4BB6-8A2F-8DA0A3722E92}"/>
    <cellStyle name="Normal 264" xfId="287" xr:uid="{9C310922-1BC9-4A7A-8449-42DF3993D46B}"/>
    <cellStyle name="Normal 265" xfId="288" xr:uid="{DDE49628-9824-42BD-814D-8A708E9A152C}"/>
    <cellStyle name="Normal 265 2" xfId="289" xr:uid="{9238F618-113B-4685-8787-C1D45DA53E2C}"/>
    <cellStyle name="Normal 265 3" xfId="290" xr:uid="{56D5FB92-A1C0-444A-9D9B-F909499AC837}"/>
    <cellStyle name="Normal 266" xfId="291" xr:uid="{6329A262-6523-4F6D-9E72-20FA8172151B}"/>
    <cellStyle name="Normal 266 2" xfId="292" xr:uid="{78C0A67A-1972-4910-A1D7-3A150CFDCF0F}"/>
    <cellStyle name="Normal 266 3" xfId="293" xr:uid="{7E48683E-C725-47AE-89B3-4767F164D8DA}"/>
    <cellStyle name="Normal 267" xfId="294" xr:uid="{7B11EF77-56EC-453D-9B95-96F46C23511A}"/>
    <cellStyle name="Normal 267 2" xfId="295" xr:uid="{F0D6451B-1BDF-48D1-AF5E-48C717581691}"/>
    <cellStyle name="Normal 268" xfId="296" xr:uid="{6EF0E36F-2D22-4CC7-A70C-B451598C21AF}"/>
    <cellStyle name="Normal 268 2" xfId="297" xr:uid="{DD8A3402-1EEB-46E3-813E-6C796A5F198F}"/>
    <cellStyle name="Normal 269" xfId="298" xr:uid="{6CD29925-1C47-45C5-8279-A956DF85AAAF}"/>
    <cellStyle name="Normal 269 2" xfId="299" xr:uid="{5A267E43-58F5-48D8-9B4B-EF71CED3E633}"/>
    <cellStyle name="Normal 27" xfId="300" xr:uid="{D527D8DF-4CEC-43F7-961A-6B352D25FEC4}"/>
    <cellStyle name="Normal 270" xfId="301" xr:uid="{264CC5D2-F8C2-4BCE-92A0-E44D8DC58F15}"/>
    <cellStyle name="Normal 270 2" xfId="302" xr:uid="{5DC71C32-4890-4A68-8712-7C3507BBD0DC}"/>
    <cellStyle name="Normal 271" xfId="303" xr:uid="{BA9E6D9C-1D57-4C2A-AD99-7CD6243C5267}"/>
    <cellStyle name="Normal 272" xfId="304" xr:uid="{C7CBDB0C-E66B-4001-9C55-96527368F101}"/>
    <cellStyle name="Normal 273" xfId="305" xr:uid="{64628EFB-345C-4A2C-B97A-D1F083874DFE}"/>
    <cellStyle name="Normal 274" xfId="306" xr:uid="{733F1CA3-B4B6-4DD2-A62C-8BEF66CCFEBE}"/>
    <cellStyle name="Normal 275" xfId="307" xr:uid="{89895BF7-198F-443D-9344-3E582F8CBFA1}"/>
    <cellStyle name="Normal 276" xfId="308" xr:uid="{81329A1B-B8E1-4649-A847-97A47285FF93}"/>
    <cellStyle name="Normal 277" xfId="309" xr:uid="{22E50753-3DC4-4BC1-A393-E8B2C1E94AD7}"/>
    <cellStyle name="Normal 278" xfId="310" xr:uid="{736AE09D-BD83-445F-9947-94C2361AD5F1}"/>
    <cellStyle name="Normal 279" xfId="311" xr:uid="{20D8603B-8AE4-4A22-BE3D-84BDD1BFB72E}"/>
    <cellStyle name="Normal 28" xfId="312" xr:uid="{3D671870-0736-400D-843F-E2F9CDC212AE}"/>
    <cellStyle name="Normal 280" xfId="313" xr:uid="{B192D56A-95BC-4777-B41A-60A290247C9B}"/>
    <cellStyle name="Normal 281" xfId="314" xr:uid="{494A02B8-E1F1-4049-AA09-413C79D881D4}"/>
    <cellStyle name="Normal 282" xfId="59" xr:uid="{A1838A61-7B3B-4A3B-9181-99034CD46EFD}"/>
    <cellStyle name="Normal 29" xfId="315" xr:uid="{6C74FAA3-ED13-4844-B77F-E2C7A472ECB0}"/>
    <cellStyle name="Normal 3" xfId="7" xr:uid="{1C10DAE4-4F9C-4E19-81E4-5574511A6741}"/>
    <cellStyle name="Normal 3 2" xfId="317" xr:uid="{0DFAB5BA-456A-4D69-82CC-A76EC5E8D03E}"/>
    <cellStyle name="Normal 3 2 2" xfId="318" xr:uid="{678EED67-60FD-4DED-B79A-2B1F4F4EDEB0}"/>
    <cellStyle name="Normal 3 2 2 2" xfId="319" xr:uid="{ACB15D60-B423-454B-8FA0-B0792C1639A6}"/>
    <cellStyle name="Normal 3 2 3" xfId="320" xr:uid="{ABDD6155-3867-42C8-A88E-A0557B3B4AC3}"/>
    <cellStyle name="Normal 3 2 4" xfId="424" xr:uid="{89B43970-3A89-4E6C-A5A5-A94949050C46}"/>
    <cellStyle name="Normal 3 3" xfId="321" xr:uid="{B9CF43E4-FE76-49A5-A3F7-D1CDE5B5E868}"/>
    <cellStyle name="Normal 3 3 2" xfId="322" xr:uid="{07D03C6D-1B68-4440-AF56-4FF8E9C55D0B}"/>
    <cellStyle name="Normal 3 3 3" xfId="323" xr:uid="{EA7BA37B-72A9-4A2F-BD40-F3029E07C84B}"/>
    <cellStyle name="Normal 3 4" xfId="324" xr:uid="{1E58B497-32CA-4147-BED3-DBABF880FB43}"/>
    <cellStyle name="Normal 3 5" xfId="423" xr:uid="{6EB72E51-B5C3-4E2F-A093-A1C4D8456644}"/>
    <cellStyle name="Normal 3 6" xfId="316" xr:uid="{2B7EC852-DDC1-4451-9E51-05C6AE8F3A25}"/>
    <cellStyle name="Normal 30" xfId="325" xr:uid="{B3173BE3-8DAE-439D-8C96-59FFFC40A4E1}"/>
    <cellStyle name="Normal 31" xfId="326" xr:uid="{79E4B112-935F-45BE-939E-66E4DBBE4AC6}"/>
    <cellStyle name="Normal 32" xfId="327" xr:uid="{62468930-B6C6-47FA-A629-49161F07F64D}"/>
    <cellStyle name="Normal 33" xfId="328" xr:uid="{EA530763-3040-4F85-9433-1463F2ED3574}"/>
    <cellStyle name="Normal 34" xfId="329" xr:uid="{219B7B84-58B6-4C89-848B-2544C81E9915}"/>
    <cellStyle name="Normal 35" xfId="330" xr:uid="{F5504E03-217A-4726-9BDE-75EB50C3F3DC}"/>
    <cellStyle name="Normal 36" xfId="331" xr:uid="{8C632697-47B6-4D2F-8158-49ECA771CE01}"/>
    <cellStyle name="Normal 37" xfId="332" xr:uid="{55AD8893-827C-4168-931D-391F7A7CF051}"/>
    <cellStyle name="Normal 38" xfId="333" xr:uid="{6FD15CCB-3167-49EC-8191-9E9FF8432B60}"/>
    <cellStyle name="Normal 39" xfId="334" xr:uid="{7FFA315F-C0EC-4471-8ACB-FA9580FCAF8F}"/>
    <cellStyle name="Normal 4" xfId="11" xr:uid="{43272557-B37F-4996-BC18-AA3EDEAFA379}"/>
    <cellStyle name="Normal 4 2" xfId="336" xr:uid="{15CDAA81-B422-40C4-A7F2-207B9A86BD27}"/>
    <cellStyle name="Normal 4 3" xfId="337" xr:uid="{18F22639-A533-43C4-A9A1-9AFC01BB88C3}"/>
    <cellStyle name="Normal 4 4" xfId="338" xr:uid="{1C818300-71DB-48C0-A7E6-4D2B7A7F0964}"/>
    <cellStyle name="Normal 4 5" xfId="335" xr:uid="{3CA4481B-DF2E-42BD-927B-BF185C0C9F21}"/>
    <cellStyle name="Normal 40" xfId="339" xr:uid="{83592CD5-C381-431F-B525-277F12E92EC6}"/>
    <cellStyle name="Normal 41" xfId="340" xr:uid="{597033CC-887C-400F-9D34-7EDA9319EC22}"/>
    <cellStyle name="Normal 42" xfId="341" xr:uid="{606CE804-A382-4A34-806C-C6593A5CEE5E}"/>
    <cellStyle name="Normal 43" xfId="342" xr:uid="{8BE70FBA-A0FB-47F9-B727-7B3694CCEDD5}"/>
    <cellStyle name="Normal 44" xfId="343" xr:uid="{0F9EE4C6-64F3-40D4-B1C3-425F164255B1}"/>
    <cellStyle name="Normal 45" xfId="344" xr:uid="{3672C6CE-071C-46BF-9383-5C27124F8E4C}"/>
    <cellStyle name="Normal 46" xfId="345" xr:uid="{3138528E-4487-4A4F-B9AD-384F2A378751}"/>
    <cellStyle name="Normal 47" xfId="346" xr:uid="{78415C8F-89CB-40CB-AEDA-AA4AF97D3ABE}"/>
    <cellStyle name="Normal 48" xfId="347" xr:uid="{919311EF-EE43-4BFE-BA60-12F051E420EB}"/>
    <cellStyle name="Normal 49" xfId="348" xr:uid="{33500E42-A765-4A22-96CB-EFB02B0B7FFA}"/>
    <cellStyle name="Normal 5" xfId="12" xr:uid="{642BE191-BE2F-4847-8420-1C59B95E270E}"/>
    <cellStyle name="Normal 5 2" xfId="349" xr:uid="{6C907A3B-8ACE-4DD8-9739-D161C2A77156}"/>
    <cellStyle name="Normal 50" xfId="350" xr:uid="{50EC2391-C472-4D01-AF16-6D6505826ACE}"/>
    <cellStyle name="Normal 51" xfId="351" xr:uid="{24B5E323-E6FB-43CA-8DD6-D7A798851657}"/>
    <cellStyle name="Normal 52" xfId="352" xr:uid="{E10E124D-292F-4FB5-AD17-9FAB485B4258}"/>
    <cellStyle name="Normal 53" xfId="353" xr:uid="{D4DB2F46-7329-4686-8E27-2633AD6C1F76}"/>
    <cellStyle name="Normal 54" xfId="354" xr:uid="{33E768E0-867D-4452-9280-B2D4865B8911}"/>
    <cellStyle name="Normal 55" xfId="355" xr:uid="{13A71318-C395-4C50-9CA9-800B2ED76951}"/>
    <cellStyle name="Normal 56" xfId="356" xr:uid="{D1010FBB-4F98-4BC4-AA2D-479F6FC9BFA7}"/>
    <cellStyle name="Normal 57" xfId="357" xr:uid="{65C41E80-64FD-4A06-B13C-ABD397CAB8B7}"/>
    <cellStyle name="Normal 58" xfId="358" xr:uid="{567224D9-3755-4079-A332-20B48B436A55}"/>
    <cellStyle name="Normal 59" xfId="359" xr:uid="{2AF418CC-A87C-45E3-B1D0-76B55656666F}"/>
    <cellStyle name="Normal 6" xfId="360" xr:uid="{69E87C51-5C18-48B0-B243-C7583D489B47}"/>
    <cellStyle name="Normal 6 2" xfId="58" xr:uid="{36112614-B7D1-4F9E-8074-2345D07A130D}"/>
    <cellStyle name="Normal 60" xfId="361" xr:uid="{0A6AAADE-CBDC-4B76-99FB-3C77FF764636}"/>
    <cellStyle name="Normal 61" xfId="362" xr:uid="{63F07349-2CC2-4924-8E51-C75A2B6E1592}"/>
    <cellStyle name="Normal 62" xfId="363" xr:uid="{CC7EAA79-5E43-42BD-B380-A2E7B1B99BA6}"/>
    <cellStyle name="Normal 63" xfId="364" xr:uid="{14429899-6DD9-4124-9ADF-1F0741B5ECC6}"/>
    <cellStyle name="Normal 64" xfId="365" xr:uid="{5FAE1DB9-B6CE-4299-8463-057AD0321AE9}"/>
    <cellStyle name="Normal 65" xfId="366" xr:uid="{827258AC-5113-4C2C-8DD2-6ACDCC12B382}"/>
    <cellStyle name="Normal 66" xfId="367" xr:uid="{593E2F0B-1966-420E-9FE2-0C710EF401E3}"/>
    <cellStyle name="Normal 67" xfId="368" xr:uid="{9364C1A6-F217-4BCF-8B7E-6BE2CD311A8B}"/>
    <cellStyle name="Normal 68" xfId="369" xr:uid="{24107760-5321-4E4F-93A5-92AB470ADBAA}"/>
    <cellStyle name="Normal 69" xfId="370" xr:uid="{BB2803A6-11EF-4112-9E2A-10264327CCAE}"/>
    <cellStyle name="Normal 7" xfId="371" xr:uid="{9E5A6EB4-4F28-40E0-B064-BC0093C3B53F}"/>
    <cellStyle name="Normal 7 2" xfId="427" xr:uid="{CCE21B27-3671-47EA-9801-AF746DCA8B66}"/>
    <cellStyle name="Normal 70" xfId="372" xr:uid="{0379BCE7-9CA8-4F02-9D5D-39F24149F39D}"/>
    <cellStyle name="Normal 71" xfId="373" xr:uid="{4CB7E4B8-5FCD-4A70-88D1-40A9872A6AED}"/>
    <cellStyle name="Normal 72" xfId="374" xr:uid="{FD13581B-1F43-46CD-AF02-1C67AF8A1511}"/>
    <cellStyle name="Normal 73" xfId="375" xr:uid="{A5147B50-1ED0-47F4-8ADD-32D0BE6911AE}"/>
    <cellStyle name="Normal 74" xfId="376" xr:uid="{783EB4CB-CF79-4E49-8B7B-A4494574761F}"/>
    <cellStyle name="Normal 75" xfId="377" xr:uid="{04876BB5-D6E5-48F8-9F41-EE69C7185364}"/>
    <cellStyle name="Normal 76" xfId="378" xr:uid="{F755A1A4-811D-470C-8D9B-EE679B309527}"/>
    <cellStyle name="Normal 77" xfId="379" xr:uid="{952536A2-AF95-4416-888C-4EB11D5C2B7A}"/>
    <cellStyle name="Normal 78" xfId="380" xr:uid="{F7AE6535-C9B4-4630-9068-9986D8222BAB}"/>
    <cellStyle name="Normal 79" xfId="381" xr:uid="{0795E2E7-0783-477D-840A-492D686E9D40}"/>
    <cellStyle name="Normal 8" xfId="382" xr:uid="{57D51ABD-505E-4952-8B9D-D8D131C5EB7E}"/>
    <cellStyle name="Normal 80" xfId="383" xr:uid="{148B5165-2E67-4FC6-BE3A-836699DFC6D6}"/>
    <cellStyle name="Normal 81" xfId="384" xr:uid="{0C4D246D-D1B7-49F3-9D1F-81638E73B0A3}"/>
    <cellStyle name="Normal 82" xfId="385" xr:uid="{15B3B1F2-CD98-4844-887E-5BE107C41A5F}"/>
    <cellStyle name="Normal 83" xfId="386" xr:uid="{192BA2A3-9434-4AF3-8F09-05A24082E602}"/>
    <cellStyle name="Normal 84" xfId="387" xr:uid="{F5B597A8-079A-4707-AC4C-88A6C87A2E91}"/>
    <cellStyle name="Normal 85" xfId="388" xr:uid="{464C83A1-7F7D-474F-8515-12A7A7E365C7}"/>
    <cellStyle name="Normal 86" xfId="389" xr:uid="{E63576C0-99EC-4154-AC50-0868D777A0D0}"/>
    <cellStyle name="Normal 87" xfId="390" xr:uid="{11DFDF6E-C62D-42AF-8798-87A1CABDDBEF}"/>
    <cellStyle name="Normal 88" xfId="391" xr:uid="{F3A7588D-C649-4EC5-A6AC-A8CCE6F1EFF6}"/>
    <cellStyle name="Normal 89" xfId="392" xr:uid="{58ABFBDA-4D58-4BD0-96D2-72E82BEDD319}"/>
    <cellStyle name="Normal 9" xfId="393" xr:uid="{1F54B090-CAFD-4CA4-A3A7-C76496B64723}"/>
    <cellStyle name="Normal 9 3" xfId="394" xr:uid="{12710D1D-03E3-4383-902B-52B7BBBDBA5C}"/>
    <cellStyle name="Normal 9 3 2" xfId="395" xr:uid="{B02EB410-C718-43CB-9AC5-FFAE4BF7AF5A}"/>
    <cellStyle name="Normal 90" xfId="396" xr:uid="{B44F40AE-7215-4A1D-9168-1833CAFF6286}"/>
    <cellStyle name="Normal 91" xfId="397" xr:uid="{09AB9A8A-AA0A-42FF-9D3F-F2ED533A3FCB}"/>
    <cellStyle name="Normal 92" xfId="398" xr:uid="{C7B91DF2-326D-4B9A-8648-71F6C8BCC505}"/>
    <cellStyle name="Normal 93" xfId="399" xr:uid="{F1E829FC-92F7-472C-9B4B-936BB8CD7528}"/>
    <cellStyle name="Normal 94" xfId="400" xr:uid="{737A14B3-B95B-4676-A979-F7B2E91B61ED}"/>
    <cellStyle name="Normal 95" xfId="401" xr:uid="{11A68D2C-1824-4E5D-8C97-C170E4DE0638}"/>
    <cellStyle name="Normal 96" xfId="402" xr:uid="{52A5515F-91F7-457F-B7DA-B678E95443E0}"/>
    <cellStyle name="Normal 97" xfId="403" xr:uid="{AAD1E438-0E72-4AA0-A126-6DA339EB47F7}"/>
    <cellStyle name="Normal 98" xfId="404" xr:uid="{1EE61953-F882-4289-91AB-2BF4A633C575}"/>
    <cellStyle name="Normal 99" xfId="405" xr:uid="{0B1BBC3B-AEB8-4335-A08B-7675CB771887}"/>
    <cellStyle name="Normal_Prototype_Scorecard-LgOffice-2008-03-13" xfId="1" xr:uid="{F839F8A1-86E5-4008-9801-0F032E8A3317}"/>
    <cellStyle name="Note" xfId="27" builtinId="10" customBuiltin="1"/>
    <cellStyle name="Note 2" xfId="406" xr:uid="{04B18E09-619D-4E17-8979-7386E545E689}"/>
    <cellStyle name="Output" xfId="22" builtinId="21" customBuiltin="1"/>
    <cellStyle name="Percent" xfId="2" builtinId="5"/>
    <cellStyle name="Percent 2" xfId="8" xr:uid="{CB789C3E-741F-4464-8065-385A956411E6}"/>
    <cellStyle name="Percent 2 10" xfId="407" xr:uid="{8C18C1C4-C3FC-4015-9184-F2F9B978348A}"/>
    <cellStyle name="Percent 2 2" xfId="57" xr:uid="{393DF636-D585-43DB-8B59-46983416570C}"/>
    <cellStyle name="Percent 2 3" xfId="408" xr:uid="{8B3721BC-4479-4197-87D9-B74910DC2118}"/>
    <cellStyle name="Percent 2 4" xfId="409" xr:uid="{65372648-57F0-41FC-BCB4-8851DF92E9DF}"/>
    <cellStyle name="Percent 2 5" xfId="410" xr:uid="{48CC9F5F-0D20-4298-9FB9-C829CA7DADFB}"/>
    <cellStyle name="Percent 2 6" xfId="411" xr:uid="{B53B9170-0E17-40D2-A1E7-3A63DB859085}"/>
    <cellStyle name="Percent 2 7" xfId="412" xr:uid="{D627C09B-DB01-4962-B19E-599E358B6341}"/>
    <cellStyle name="Percent 2 8" xfId="413" xr:uid="{54AD00FA-D6D1-4B63-B14C-8AE02F5EBEC8}"/>
    <cellStyle name="Percent 2 9" xfId="422" xr:uid="{95195BC1-4881-41AC-8E69-2E11532ED130}"/>
    <cellStyle name="Percent 3" xfId="414" xr:uid="{9AB0A4F6-C8E7-4CBC-8250-43C5056E9F73}"/>
    <cellStyle name="Percent 3 2" xfId="426" xr:uid="{E79B003B-92E7-41CE-84DE-E6DDD7825C94}"/>
    <cellStyle name="Percent 4" xfId="415" xr:uid="{AF3A599B-F253-4027-B721-CF8A9F03F409}"/>
    <cellStyle name="Percent 5" xfId="416" xr:uid="{8DDA9B74-FBBA-4A10-8F04-1664CAEF6159}"/>
    <cellStyle name="Percent 6" xfId="417" xr:uid="{11893D72-97F2-45DB-904C-7AD943622249}"/>
    <cellStyle name="Percent 7" xfId="418" xr:uid="{987F44DE-E6D6-4DD5-BF02-9DA043D52339}"/>
    <cellStyle name="Title" xfId="13" builtinId="15" customBuiltin="1"/>
    <cellStyle name="Title 2" xfId="419" xr:uid="{D8BBF861-506B-49AA-9A9C-35578E46A50F}"/>
    <cellStyle name="Total" xfId="29" builtinId="25" customBuiltin="1"/>
    <cellStyle name="Warning Text" xfId="26"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8C8B8B"/>
      <color rgb="FFA6A6A6"/>
      <color rgb="FFF2F2F2"/>
      <color rgb="FF8238BA"/>
      <color rgb="FFCCCCFF"/>
      <color rgb="FFFF9900"/>
      <color rgb="FFFFEBCD"/>
      <color rgb="FF002F8E"/>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0.1</c:v>
                </c:pt>
                <c:pt idx="8">
                  <c:v>0.5</c:v>
                </c:pt>
                <c:pt idx="9">
                  <c:v>0.8</c:v>
                </c:pt>
                <c:pt idx="10">
                  <c:v>0.8</c:v>
                </c:pt>
                <c:pt idx="11">
                  <c:v>0.8</c:v>
                </c:pt>
                <c:pt idx="12">
                  <c:v>0.8</c:v>
                </c:pt>
                <c:pt idx="13">
                  <c:v>0.8</c:v>
                </c:pt>
                <c:pt idx="14">
                  <c:v>0.8</c:v>
                </c:pt>
                <c:pt idx="15">
                  <c:v>0.8</c:v>
                </c:pt>
                <c:pt idx="16">
                  <c:v>0.8</c:v>
                </c:pt>
                <c:pt idx="17">
                  <c:v>0.5</c:v>
                </c:pt>
                <c:pt idx="18">
                  <c:v>0.3</c:v>
                </c:pt>
                <c:pt idx="19">
                  <c:v>0.3</c:v>
                </c:pt>
                <c:pt idx="20">
                  <c:v>0.2</c:v>
                </c:pt>
                <c:pt idx="21">
                  <c:v>0.2</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0.1</c:v>
                </c:pt>
                <c:pt idx="8">
                  <c:v>0.3</c:v>
                </c:pt>
                <c:pt idx="9">
                  <c:v>0.4</c:v>
                </c:pt>
                <c:pt idx="10">
                  <c:v>0.4</c:v>
                </c:pt>
                <c:pt idx="11">
                  <c:v>0.4</c:v>
                </c:pt>
                <c:pt idx="12">
                  <c:v>0.4</c:v>
                </c:pt>
                <c:pt idx="13">
                  <c:v>0.4</c:v>
                </c:pt>
                <c:pt idx="14">
                  <c:v>0.4</c:v>
                </c:pt>
                <c:pt idx="15">
                  <c:v>0.4</c:v>
                </c:pt>
                <c:pt idx="16">
                  <c:v>0.4</c:v>
                </c:pt>
                <c:pt idx="17">
                  <c:v>0.1</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0.05</c:v>
                </c:pt>
                <c:pt idx="9">
                  <c:v>0.05</c:v>
                </c:pt>
                <c:pt idx="10">
                  <c:v>0.05</c:v>
                </c:pt>
                <c:pt idx="11">
                  <c:v>0.05</c:v>
                </c:pt>
                <c:pt idx="12">
                  <c:v>0.05</c:v>
                </c:pt>
                <c:pt idx="13">
                  <c:v>0.05</c:v>
                </c:pt>
                <c:pt idx="14">
                  <c:v>0.05</c:v>
                </c:pt>
                <c:pt idx="15">
                  <c:v>0.05</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0.1</c:v>
                </c:pt>
                <c:pt idx="1">
                  <c:v>0.1</c:v>
                </c:pt>
                <c:pt idx="2">
                  <c:v>0.1</c:v>
                </c:pt>
                <c:pt idx="3">
                  <c:v>0.1</c:v>
                </c:pt>
                <c:pt idx="4">
                  <c:v>0.1</c:v>
                </c:pt>
                <c:pt idx="5">
                  <c:v>0.1</c:v>
                </c:pt>
                <c:pt idx="6">
                  <c:v>0.1</c:v>
                </c:pt>
                <c:pt idx="7">
                  <c:v>0.45</c:v>
                </c:pt>
                <c:pt idx="8">
                  <c:v>0.8</c:v>
                </c:pt>
                <c:pt idx="9">
                  <c:v>0.8</c:v>
                </c:pt>
                <c:pt idx="10">
                  <c:v>0.8</c:v>
                </c:pt>
                <c:pt idx="11">
                  <c:v>0.8</c:v>
                </c:pt>
                <c:pt idx="12">
                  <c:v>0.8</c:v>
                </c:pt>
                <c:pt idx="13">
                  <c:v>0.8</c:v>
                </c:pt>
                <c:pt idx="14">
                  <c:v>0.8</c:v>
                </c:pt>
                <c:pt idx="15">
                  <c:v>0.8</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0.1</c:v>
                </c:pt>
                <c:pt idx="1">
                  <c:v>0.1</c:v>
                </c:pt>
                <c:pt idx="2">
                  <c:v>0.1</c:v>
                </c:pt>
                <c:pt idx="3">
                  <c:v>0.1</c:v>
                </c:pt>
                <c:pt idx="4">
                  <c:v>0.1</c:v>
                </c:pt>
                <c:pt idx="5">
                  <c:v>0.1</c:v>
                </c:pt>
                <c:pt idx="6">
                  <c:v>0.1</c:v>
                </c:pt>
                <c:pt idx="7">
                  <c:v>0.2</c:v>
                </c:pt>
                <c:pt idx="8">
                  <c:v>0.35</c:v>
                </c:pt>
                <c:pt idx="9">
                  <c:v>0.35</c:v>
                </c:pt>
                <c:pt idx="10">
                  <c:v>0.35</c:v>
                </c:pt>
                <c:pt idx="11">
                  <c:v>0.35</c:v>
                </c:pt>
                <c:pt idx="12">
                  <c:v>0.35</c:v>
                </c:pt>
                <c:pt idx="13">
                  <c:v>0.35</c:v>
                </c:pt>
                <c:pt idx="14">
                  <c:v>0.35</c:v>
                </c:pt>
                <c:pt idx="15">
                  <c:v>0.35</c:v>
                </c:pt>
                <c:pt idx="16">
                  <c:v>0.35</c:v>
                </c:pt>
                <c:pt idx="17">
                  <c:v>0.35</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0.1</c:v>
                </c:pt>
                <c:pt idx="1">
                  <c:v>0.1</c:v>
                </c:pt>
                <c:pt idx="2">
                  <c:v>0.1</c:v>
                </c:pt>
                <c:pt idx="3">
                  <c:v>0.1</c:v>
                </c:pt>
                <c:pt idx="4">
                  <c:v>0.1</c:v>
                </c:pt>
                <c:pt idx="5">
                  <c:v>0.1</c:v>
                </c:pt>
                <c:pt idx="6">
                  <c:v>0.1</c:v>
                </c:pt>
                <c:pt idx="7">
                  <c:v>0.5</c:v>
                </c:pt>
                <c:pt idx="8">
                  <c:v>0.9</c:v>
                </c:pt>
                <c:pt idx="9">
                  <c:v>0.9</c:v>
                </c:pt>
                <c:pt idx="10">
                  <c:v>0.9</c:v>
                </c:pt>
                <c:pt idx="11">
                  <c:v>0.9</c:v>
                </c:pt>
                <c:pt idx="12">
                  <c:v>0.9</c:v>
                </c:pt>
                <c:pt idx="13">
                  <c:v>0.9</c:v>
                </c:pt>
                <c:pt idx="14">
                  <c:v>0.9</c:v>
                </c:pt>
                <c:pt idx="15">
                  <c:v>0.9</c:v>
                </c:pt>
                <c:pt idx="16">
                  <c:v>0.3</c:v>
                </c:pt>
                <c:pt idx="17">
                  <c:v>0.3</c:v>
                </c:pt>
                <c:pt idx="18">
                  <c:v>0.3</c:v>
                </c:pt>
                <c:pt idx="19">
                  <c:v>0.3</c:v>
                </c:pt>
                <c:pt idx="20">
                  <c:v>0.3</c:v>
                </c:pt>
                <c:pt idx="21">
                  <c:v>0.3</c:v>
                </c:pt>
                <c:pt idx="22">
                  <c:v>0.3</c:v>
                </c:pt>
                <c:pt idx="23">
                  <c:v>0.1</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0.1</c:v>
                </c:pt>
                <c:pt idx="1">
                  <c:v>0.1</c:v>
                </c:pt>
                <c:pt idx="2">
                  <c:v>0.1</c:v>
                </c:pt>
                <c:pt idx="3">
                  <c:v>0.1</c:v>
                </c:pt>
                <c:pt idx="4">
                  <c:v>0.1</c:v>
                </c:pt>
                <c:pt idx="5">
                  <c:v>0.1</c:v>
                </c:pt>
                <c:pt idx="6">
                  <c:v>0.1</c:v>
                </c:pt>
                <c:pt idx="7">
                  <c:v>0.2</c:v>
                </c:pt>
                <c:pt idx="8">
                  <c:v>0.4</c:v>
                </c:pt>
                <c:pt idx="9">
                  <c:v>0.4</c:v>
                </c:pt>
                <c:pt idx="10">
                  <c:v>0.4</c:v>
                </c:pt>
                <c:pt idx="11">
                  <c:v>0.4</c:v>
                </c:pt>
                <c:pt idx="12">
                  <c:v>0.4</c:v>
                </c:pt>
                <c:pt idx="13">
                  <c:v>0.4</c:v>
                </c:pt>
                <c:pt idx="14">
                  <c:v>0.4</c:v>
                </c:pt>
                <c:pt idx="15">
                  <c:v>0.4</c:v>
                </c:pt>
                <c:pt idx="16">
                  <c:v>0.4</c:v>
                </c:pt>
                <c:pt idx="17">
                  <c:v>0.4</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0.1</c:v>
                </c:pt>
                <c:pt idx="9">
                  <c:v>0.1</c:v>
                </c:pt>
                <c:pt idx="10">
                  <c:v>0.1</c:v>
                </c:pt>
                <c:pt idx="11">
                  <c:v>0.1</c:v>
                </c:pt>
                <c:pt idx="12">
                  <c:v>0.1</c:v>
                </c:pt>
                <c:pt idx="13">
                  <c:v>0.1</c:v>
                </c:pt>
                <c:pt idx="14">
                  <c:v>0.1</c:v>
                </c:pt>
                <c:pt idx="15">
                  <c:v>0.1</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Schedules!$C$60</c:f>
          <c:strCache>
            <c:ptCount val="1"/>
            <c:pt idx="0">
              <c:v>Elevator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Schedules!$F$60:$AC$60</c:f>
              <c:numCache>
                <c:formatCode>General</c:formatCode>
                <c:ptCount val="24"/>
                <c:pt idx="0">
                  <c:v>0</c:v>
                </c:pt>
                <c:pt idx="1">
                  <c:v>0</c:v>
                </c:pt>
                <c:pt idx="2">
                  <c:v>0</c:v>
                </c:pt>
                <c:pt idx="3">
                  <c:v>0</c:v>
                </c:pt>
                <c:pt idx="4">
                  <c:v>0</c:v>
                </c:pt>
                <c:pt idx="5">
                  <c:v>0</c:v>
                </c:pt>
                <c:pt idx="6">
                  <c:v>0</c:v>
                </c:pt>
                <c:pt idx="7">
                  <c:v>0.02</c:v>
                </c:pt>
                <c:pt idx="8">
                  <c:v>0.75</c:v>
                </c:pt>
                <c:pt idx="9">
                  <c:v>1</c:v>
                </c:pt>
                <c:pt idx="10">
                  <c:v>1</c:v>
                </c:pt>
                <c:pt idx="11">
                  <c:v>1</c:v>
                </c:pt>
                <c:pt idx="12">
                  <c:v>0.75</c:v>
                </c:pt>
                <c:pt idx="13">
                  <c:v>1</c:v>
                </c:pt>
                <c:pt idx="14">
                  <c:v>1</c:v>
                </c:pt>
                <c:pt idx="15">
                  <c:v>1</c:v>
                </c:pt>
                <c:pt idx="16">
                  <c:v>1</c:v>
                </c:pt>
                <c:pt idx="17">
                  <c:v>1</c:v>
                </c:pt>
                <c:pt idx="18">
                  <c:v>0.52</c:v>
                </c:pt>
                <c:pt idx="19">
                  <c:v>0.52</c:v>
                </c:pt>
                <c:pt idx="20">
                  <c:v>0.52</c:v>
                </c:pt>
                <c:pt idx="21">
                  <c:v>0.28000000000000003</c:v>
                </c:pt>
                <c:pt idx="22">
                  <c:v>0</c:v>
                </c:pt>
                <c:pt idx="23">
                  <c:v>0</c:v>
                </c:pt>
              </c:numCache>
            </c:numRef>
          </c:val>
          <c:smooth val="0"/>
          <c:extLst>
            <c:ext xmlns:c16="http://schemas.microsoft.com/office/drawing/2014/chart" uri="{C3380CC4-5D6E-409C-BE32-E72D297353CC}">
              <c16:uniqueId val="{00000000-51AB-482C-B7A9-C5F811A81F2E}"/>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Schedules!$F$61:$AC$61</c:f>
              <c:numCache>
                <c:formatCode>General</c:formatCode>
                <c:ptCount val="24"/>
                <c:pt idx="0">
                  <c:v>0</c:v>
                </c:pt>
                <c:pt idx="1">
                  <c:v>0</c:v>
                </c:pt>
                <c:pt idx="2">
                  <c:v>0</c:v>
                </c:pt>
                <c:pt idx="3">
                  <c:v>0</c:v>
                </c:pt>
                <c:pt idx="4">
                  <c:v>0</c:v>
                </c:pt>
                <c:pt idx="5">
                  <c:v>0</c:v>
                </c:pt>
                <c:pt idx="6">
                  <c:v>0</c:v>
                </c:pt>
                <c:pt idx="7">
                  <c:v>0.02</c:v>
                </c:pt>
                <c:pt idx="8">
                  <c:v>0.46</c:v>
                </c:pt>
                <c:pt idx="9">
                  <c:v>0.7</c:v>
                </c:pt>
                <c:pt idx="10">
                  <c:v>0.7</c:v>
                </c:pt>
                <c:pt idx="11">
                  <c:v>0.7</c:v>
                </c:pt>
                <c:pt idx="12">
                  <c:v>0.51</c:v>
                </c:pt>
                <c:pt idx="13">
                  <c:v>0.51</c:v>
                </c:pt>
                <c:pt idx="14">
                  <c:v>0.51</c:v>
                </c:pt>
                <c:pt idx="15">
                  <c:v>0.51</c:v>
                </c:pt>
                <c:pt idx="16">
                  <c:v>0.51</c:v>
                </c:pt>
                <c:pt idx="17">
                  <c:v>0.25</c:v>
                </c:pt>
                <c:pt idx="18">
                  <c:v>0.02</c:v>
                </c:pt>
                <c:pt idx="19">
                  <c:v>0</c:v>
                </c:pt>
                <c:pt idx="20">
                  <c:v>0</c:v>
                </c:pt>
                <c:pt idx="21">
                  <c:v>0</c:v>
                </c:pt>
                <c:pt idx="22">
                  <c:v>0</c:v>
                </c:pt>
                <c:pt idx="23">
                  <c:v>0</c:v>
                </c:pt>
              </c:numCache>
            </c:numRef>
          </c:val>
          <c:smooth val="0"/>
          <c:extLst>
            <c:ext xmlns:c16="http://schemas.microsoft.com/office/drawing/2014/chart" uri="{C3380CC4-5D6E-409C-BE32-E72D297353CC}">
              <c16:uniqueId val="{00000001-51AB-482C-B7A9-C5F811A81F2E}"/>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Schedules!$F$62:$AC$62</c:f>
              <c:numCache>
                <c:formatCode>General</c:formatCode>
                <c:ptCount val="24"/>
                <c:pt idx="0">
                  <c:v>0</c:v>
                </c:pt>
                <c:pt idx="1">
                  <c:v>0</c:v>
                </c:pt>
                <c:pt idx="2">
                  <c:v>0</c:v>
                </c:pt>
                <c:pt idx="3">
                  <c:v>0</c:v>
                </c:pt>
                <c:pt idx="4">
                  <c:v>0</c:v>
                </c:pt>
                <c:pt idx="5">
                  <c:v>0</c:v>
                </c:pt>
                <c:pt idx="6">
                  <c:v>0</c:v>
                </c:pt>
                <c:pt idx="7">
                  <c:v>0</c:v>
                </c:pt>
                <c:pt idx="8">
                  <c:v>0.02</c:v>
                </c:pt>
                <c:pt idx="9">
                  <c:v>0.02</c:v>
                </c:pt>
                <c:pt idx="10">
                  <c:v>0.02</c:v>
                </c:pt>
                <c:pt idx="11">
                  <c:v>0.02</c:v>
                </c:pt>
                <c:pt idx="12">
                  <c:v>0.02</c:v>
                </c:pt>
                <c:pt idx="13">
                  <c:v>0.02</c:v>
                </c:pt>
                <c:pt idx="14">
                  <c:v>0.02</c:v>
                </c:pt>
                <c:pt idx="15">
                  <c:v>0.02</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1AB-482C-B7A9-C5F811A81F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0.75</c:v>
                </c:pt>
                <c:pt idx="8">
                  <c:v>0.9</c:v>
                </c:pt>
                <c:pt idx="9">
                  <c:v>0.9</c:v>
                </c:pt>
                <c:pt idx="10">
                  <c:v>0.9</c:v>
                </c:pt>
                <c:pt idx="11">
                  <c:v>0.9</c:v>
                </c:pt>
                <c:pt idx="12">
                  <c:v>0.9</c:v>
                </c:pt>
                <c:pt idx="13">
                  <c:v>0.9</c:v>
                </c:pt>
                <c:pt idx="14">
                  <c:v>0.9</c:v>
                </c:pt>
                <c:pt idx="15">
                  <c:v>0.9</c:v>
                </c:pt>
                <c:pt idx="16">
                  <c:v>0.9</c:v>
                </c:pt>
                <c:pt idx="17">
                  <c:v>0.75</c:v>
                </c:pt>
                <c:pt idx="18">
                  <c:v>0.2</c:v>
                </c:pt>
                <c:pt idx="19">
                  <c:v>0.1</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0.3</c:v>
                </c:pt>
                <c:pt idx="8">
                  <c:v>0.5</c:v>
                </c:pt>
                <c:pt idx="9">
                  <c:v>0.5</c:v>
                </c:pt>
                <c:pt idx="10">
                  <c:v>0.5</c:v>
                </c:pt>
                <c:pt idx="11">
                  <c:v>0.5</c:v>
                </c:pt>
                <c:pt idx="12">
                  <c:v>0.5</c:v>
                </c:pt>
                <c:pt idx="13">
                  <c:v>0.5</c:v>
                </c:pt>
                <c:pt idx="14">
                  <c:v>0.5</c:v>
                </c:pt>
                <c:pt idx="15">
                  <c:v>0.5</c:v>
                </c:pt>
                <c:pt idx="16">
                  <c:v>0.5</c:v>
                </c:pt>
                <c:pt idx="17">
                  <c:v>0.3</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0.01</c:v>
                </c:pt>
                <c:pt idx="1">
                  <c:v>0.01</c:v>
                </c:pt>
                <c:pt idx="2">
                  <c:v>0.01</c:v>
                </c:pt>
                <c:pt idx="3">
                  <c:v>0.01</c:v>
                </c:pt>
                <c:pt idx="4">
                  <c:v>0.01</c:v>
                </c:pt>
                <c:pt idx="5">
                  <c:v>0.01</c:v>
                </c:pt>
                <c:pt idx="6">
                  <c:v>0.01</c:v>
                </c:pt>
                <c:pt idx="7">
                  <c:v>0.17</c:v>
                </c:pt>
                <c:pt idx="8">
                  <c:v>0.57999999999999996</c:v>
                </c:pt>
                <c:pt idx="9">
                  <c:v>0.66</c:v>
                </c:pt>
                <c:pt idx="10">
                  <c:v>0.78</c:v>
                </c:pt>
                <c:pt idx="11">
                  <c:v>0.82</c:v>
                </c:pt>
                <c:pt idx="12">
                  <c:v>0.71</c:v>
                </c:pt>
                <c:pt idx="13">
                  <c:v>0.82</c:v>
                </c:pt>
                <c:pt idx="14">
                  <c:v>0.78</c:v>
                </c:pt>
                <c:pt idx="15">
                  <c:v>0.74</c:v>
                </c:pt>
                <c:pt idx="16">
                  <c:v>0.63</c:v>
                </c:pt>
                <c:pt idx="17">
                  <c:v>0.41</c:v>
                </c:pt>
                <c:pt idx="18">
                  <c:v>0.18</c:v>
                </c:pt>
                <c:pt idx="19">
                  <c:v>0.18</c:v>
                </c:pt>
                <c:pt idx="20">
                  <c:v>0.18</c:v>
                </c:pt>
                <c:pt idx="21">
                  <c:v>0.1</c:v>
                </c:pt>
                <c:pt idx="22">
                  <c:v>0.01</c:v>
                </c:pt>
                <c:pt idx="23">
                  <c:v>0.01</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0.01</c:v>
                </c:pt>
                <c:pt idx="1">
                  <c:v>0.01</c:v>
                </c:pt>
                <c:pt idx="2">
                  <c:v>0.01</c:v>
                </c:pt>
                <c:pt idx="3">
                  <c:v>0.01</c:v>
                </c:pt>
                <c:pt idx="4">
                  <c:v>0.01</c:v>
                </c:pt>
                <c:pt idx="5">
                  <c:v>0.01</c:v>
                </c:pt>
                <c:pt idx="6">
                  <c:v>0.01</c:v>
                </c:pt>
                <c:pt idx="7">
                  <c:v>0.01</c:v>
                </c:pt>
                <c:pt idx="8">
                  <c:v>0.2</c:v>
                </c:pt>
                <c:pt idx="9">
                  <c:v>0.28000000000000003</c:v>
                </c:pt>
                <c:pt idx="10">
                  <c:v>0.3</c:v>
                </c:pt>
                <c:pt idx="11">
                  <c:v>0.3</c:v>
                </c:pt>
                <c:pt idx="12">
                  <c:v>0.24</c:v>
                </c:pt>
                <c:pt idx="13">
                  <c:v>0.24</c:v>
                </c:pt>
                <c:pt idx="14">
                  <c:v>0.23</c:v>
                </c:pt>
                <c:pt idx="15">
                  <c:v>0.23</c:v>
                </c:pt>
                <c:pt idx="16">
                  <c:v>0.23</c:v>
                </c:pt>
                <c:pt idx="17">
                  <c:v>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General</c:formatCode>
                <c:ptCount val="24"/>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EF18-4730-82A1-851E6C8A753E}"/>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F18-4730-82A1-851E6C8A753E}"/>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F18-4730-82A1-851E6C8A753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8D35-4DB5-8B34-6C975AECA418}"/>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8D35-4DB5-8B34-6C975AECA418}"/>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Schedules!$F$40:$AC$40</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8D35-4DB5-8B34-6C975AECA41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2CAB-4F4D-9A1B-BC277F80FC67}"/>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2CAB-4F4D-9A1B-BC277F80FC67}"/>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2CAB-4F4D-9A1B-BC277F80FC6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62F7-47BB-BA7B-EAF1E6C4616D}"/>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0</c:v>
                </c:pt>
                <c:pt idx="20">
                  <c:v>0</c:v>
                </c:pt>
                <c:pt idx="21">
                  <c:v>0</c:v>
                </c:pt>
                <c:pt idx="22">
                  <c:v>0</c:v>
                </c:pt>
                <c:pt idx="23">
                  <c:v>0</c:v>
                </c:pt>
              </c:numCache>
            </c:numRef>
          </c:val>
          <c:smooth val="0"/>
          <c:extLst>
            <c:ext xmlns:c16="http://schemas.microsoft.com/office/drawing/2014/chart" uri="{C3380CC4-5D6E-409C-BE32-E72D297353CC}">
              <c16:uniqueId val="{00000001-62F7-47BB-BA7B-EAF1E6C4616D}"/>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2F7-47BB-BA7B-EAF1E6C4616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Outpatient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Usage'!$V$2</c:f>
              <c:strCache>
                <c:ptCount val="1"/>
                <c:pt idx="0">
                  <c:v>Acceptable Range (25% Lower)</c:v>
                </c:pt>
              </c:strCache>
            </c:strRef>
          </c:tx>
          <c:spPr>
            <a:noFill/>
            <a:ln>
              <a:noFill/>
            </a:ln>
            <a:effectLst/>
          </c:spPr>
          <c:invertIfNegative val="0"/>
          <c:val>
            <c:numRef>
              <c:f>'Energy Usage'!$V$3:$V$18</c:f>
              <c:numCache>
                <c:formatCode>_(* #,##0.0_);_(* \(#,##0.0\);_(* "-"??_);_(@_)</c:formatCode>
                <c:ptCount val="16"/>
                <c:pt idx="0">
                  <c:v>91.60344117127579</c:v>
                </c:pt>
                <c:pt idx="1">
                  <c:v>74.330019181577256</c:v>
                </c:pt>
                <c:pt idx="2">
                  <c:v>76.236172957109986</c:v>
                </c:pt>
                <c:pt idx="3">
                  <c:v>78.68643378679171</c:v>
                </c:pt>
                <c:pt idx="4">
                  <c:v>48.483508803172441</c:v>
                </c:pt>
                <c:pt idx="5">
                  <c:v>97.806368133941262</c:v>
                </c:pt>
                <c:pt idx="6">
                  <c:v>90.247369099445123</c:v>
                </c:pt>
                <c:pt idx="7">
                  <c:v>107.59155890866316</c:v>
                </c:pt>
                <c:pt idx="8">
                  <c:v>81.448753975008586</c:v>
                </c:pt>
                <c:pt idx="9">
                  <c:v>97.954687830978884</c:v>
                </c:pt>
                <c:pt idx="10">
                  <c:v>82.450567458265652</c:v>
                </c:pt>
                <c:pt idx="11">
                  <c:v>83.979435808234626</c:v>
                </c:pt>
                <c:pt idx="12">
                  <c:v>92.921710944559734</c:v>
                </c:pt>
                <c:pt idx="13">
                  <c:v>105.51441725743651</c:v>
                </c:pt>
                <c:pt idx="14">
                  <c:v>93.655895138289651</c:v>
                </c:pt>
                <c:pt idx="15">
                  <c:v>102.48850179871603</c:v>
                </c:pt>
              </c:numCache>
            </c:numRef>
          </c:val>
          <c:extLst>
            <c:ext xmlns:c16="http://schemas.microsoft.com/office/drawing/2014/chart" uri="{C3380CC4-5D6E-409C-BE32-E72D297353CC}">
              <c16:uniqueId val="{00000000-C947-4790-A585-35713F166C16}"/>
            </c:ext>
          </c:extLst>
        </c:ser>
        <c:ser>
          <c:idx val="2"/>
          <c:order val="1"/>
          <c:tx>
            <c:strRef>
              <c:f>'Energy Usage'!$W$2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Usage'!$W$3:$W$18</c:f>
              <c:numCache>
                <c:formatCode>_(* #,##0.0_);_(* \(#,##0.0\);_(* "-"??_);_(@_)</c:formatCode>
                <c:ptCount val="16"/>
                <c:pt idx="0">
                  <c:v>61.068960780850546</c:v>
                </c:pt>
                <c:pt idx="1">
                  <c:v>49.553346121051504</c:v>
                </c:pt>
                <c:pt idx="2">
                  <c:v>50.824115304739991</c:v>
                </c:pt>
                <c:pt idx="3">
                  <c:v>52.457622524527793</c:v>
                </c:pt>
                <c:pt idx="4">
                  <c:v>32.322339202114961</c:v>
                </c:pt>
                <c:pt idx="5">
                  <c:v>65.204245422627523</c:v>
                </c:pt>
                <c:pt idx="6">
                  <c:v>60.16491273296343</c:v>
                </c:pt>
                <c:pt idx="7">
                  <c:v>71.727705939108773</c:v>
                </c:pt>
                <c:pt idx="8">
                  <c:v>54.299169316672405</c:v>
                </c:pt>
                <c:pt idx="9">
                  <c:v>65.303125220652589</c:v>
                </c:pt>
                <c:pt idx="10">
                  <c:v>54.967044972177121</c:v>
                </c:pt>
                <c:pt idx="11">
                  <c:v>55.986290538823084</c:v>
                </c:pt>
                <c:pt idx="12">
                  <c:v>61.947807296373171</c:v>
                </c:pt>
                <c:pt idx="13">
                  <c:v>70.342944838291018</c:v>
                </c:pt>
                <c:pt idx="14">
                  <c:v>62.437263425526453</c:v>
                </c:pt>
                <c:pt idx="15">
                  <c:v>68.325667865810701</c:v>
                </c:pt>
              </c:numCache>
            </c:numRef>
          </c:val>
          <c:extLst>
            <c:ext xmlns:c16="http://schemas.microsoft.com/office/drawing/2014/chart" uri="{C3380CC4-5D6E-409C-BE32-E72D297353CC}">
              <c16:uniqueId val="{00000001-C947-4790-A585-35713F166C16}"/>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C947-4790-A585-35713F166C16}"/>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C947-4790-A585-35713F166C16}"/>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Outpatient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81</c:v>
                </c:pt>
                <c:pt idx="1">
                  <c:v>79.800000000000011</c:v>
                </c:pt>
                <c:pt idx="2">
                  <c:v>78.449999999999989</c:v>
                </c:pt>
                <c:pt idx="3">
                  <c:v>83.85</c:v>
                </c:pt>
                <c:pt idx="4">
                  <c:v>77.849999999999994</c:v>
                </c:pt>
                <c:pt idx="5">
                  <c:v>80.474999999999994</c:v>
                </c:pt>
                <c:pt idx="6">
                  <c:v>81.375</c:v>
                </c:pt>
                <c:pt idx="7">
                  <c:v>85.199999999999989</c:v>
                </c:pt>
                <c:pt idx="8">
                  <c:v>84.824999999999989</c:v>
                </c:pt>
                <c:pt idx="9">
                  <c:v>82.574999999999989</c:v>
                </c:pt>
                <c:pt idx="10">
                  <c:v>89.474999999999994</c:v>
                </c:pt>
                <c:pt idx="11">
                  <c:v>86.699999999999989</c:v>
                </c:pt>
                <c:pt idx="12">
                  <c:v>91.125</c:v>
                </c:pt>
                <c:pt idx="13">
                  <c:v>89.925000000000011</c:v>
                </c:pt>
                <c:pt idx="14">
                  <c:v>103.42500000000001</c:v>
                </c:pt>
                <c:pt idx="15">
                  <c:v>84.824999999999989</c:v>
                </c:pt>
              </c:numCache>
            </c:numRef>
          </c:val>
          <c:extLst>
            <c:ext xmlns:c16="http://schemas.microsoft.com/office/drawing/2014/chart" uri="{C3380CC4-5D6E-409C-BE32-E72D297353CC}">
              <c16:uniqueId val="{00000000-DFAB-47BF-861C-9D778C40555A}"/>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54</c:v>
                </c:pt>
                <c:pt idx="1">
                  <c:v>53.199999999999989</c:v>
                </c:pt>
                <c:pt idx="2">
                  <c:v>52.300000000000011</c:v>
                </c:pt>
                <c:pt idx="3">
                  <c:v>55.900000000000006</c:v>
                </c:pt>
                <c:pt idx="4">
                  <c:v>51.900000000000006</c:v>
                </c:pt>
                <c:pt idx="5">
                  <c:v>53.650000000000006</c:v>
                </c:pt>
                <c:pt idx="6">
                  <c:v>54.25</c:v>
                </c:pt>
                <c:pt idx="7">
                  <c:v>56.800000000000011</c:v>
                </c:pt>
                <c:pt idx="8">
                  <c:v>56.550000000000011</c:v>
                </c:pt>
                <c:pt idx="9">
                  <c:v>55.050000000000011</c:v>
                </c:pt>
                <c:pt idx="10">
                  <c:v>59.650000000000006</c:v>
                </c:pt>
                <c:pt idx="11">
                  <c:v>57.800000000000011</c:v>
                </c:pt>
                <c:pt idx="12">
                  <c:v>60.75</c:v>
                </c:pt>
                <c:pt idx="13">
                  <c:v>59.949999999999989</c:v>
                </c:pt>
                <c:pt idx="14">
                  <c:v>68.949999999999989</c:v>
                </c:pt>
                <c:pt idx="15">
                  <c:v>56.550000000000011</c:v>
                </c:pt>
              </c:numCache>
            </c:numRef>
          </c:val>
          <c:extLst>
            <c:ext xmlns:c16="http://schemas.microsoft.com/office/drawing/2014/chart" uri="{C3380CC4-5D6E-409C-BE32-E72D297353CC}">
              <c16:uniqueId val="{00000001-DFAB-47BF-861C-9D778C40555A}"/>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DFAB-47BF-861C-9D778C40555A}"/>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DFAB-47BF-861C-9D778C40555A}"/>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54188</xdr:colOff>
      <xdr:row>53</xdr:row>
      <xdr:rowOff>168634</xdr:rowOff>
    </xdr:from>
    <xdr:to>
      <xdr:col>1</xdr:col>
      <xdr:colOff>4337262</xdr:colOff>
      <xdr:row>70</xdr:row>
      <xdr:rowOff>134659</xdr:rowOff>
    </xdr:to>
    <xdr:pic>
      <xdr:nvPicPr>
        <xdr:cNvPr id="3" name="Picture 2">
          <a:extLst>
            <a:ext uri="{FF2B5EF4-FFF2-40B4-BE49-F238E27FC236}">
              <a16:creationId xmlns:a16="http://schemas.microsoft.com/office/drawing/2014/main" id="{A38FE243-02A3-3051-BEFA-34D095E68C6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85" r="966"/>
        <a:stretch/>
      </xdr:blipFill>
      <xdr:spPr>
        <a:xfrm>
          <a:off x="54188" y="8286051"/>
          <a:ext cx="5576146" cy="2862048"/>
        </a:xfrm>
        <a:prstGeom prst="rect">
          <a:avLst/>
        </a:prstGeom>
      </xdr:spPr>
    </xdr:pic>
    <xdr:clientData/>
  </xdr:twoCellAnchor>
  <xdr:twoCellAnchor editAs="oneCell">
    <xdr:from>
      <xdr:col>1</xdr:col>
      <xdr:colOff>4661185</xdr:colOff>
      <xdr:row>53</xdr:row>
      <xdr:rowOff>153625</xdr:rowOff>
    </xdr:from>
    <xdr:to>
      <xdr:col>3</xdr:col>
      <xdr:colOff>171026</xdr:colOff>
      <xdr:row>63</xdr:row>
      <xdr:rowOff>54087</xdr:rowOff>
    </xdr:to>
    <xdr:pic>
      <xdr:nvPicPr>
        <xdr:cNvPr id="4" name="Picture 3" descr="A bar chart showing health care buildings by square footage category. On average, hospitals were 264,800 square feet per building, but outpatient health care buildings averaged 13,700 square feet.">
          <a:extLst>
            <a:ext uri="{FF2B5EF4-FFF2-40B4-BE49-F238E27FC236}">
              <a16:creationId xmlns:a16="http://schemas.microsoft.com/office/drawing/2014/main" id="{5B7F2AF0-03AD-2AD5-0101-D8B54EE873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6950" y="8277890"/>
          <a:ext cx="4443170" cy="1502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4748567</xdr:colOff>
      <xdr:row>64</xdr:row>
      <xdr:rowOff>87315</xdr:rowOff>
    </xdr:from>
    <xdr:to>
      <xdr:col>3</xdr:col>
      <xdr:colOff>51140</xdr:colOff>
      <xdr:row>75</xdr:row>
      <xdr:rowOff>143835</xdr:rowOff>
    </xdr:to>
    <xdr:pic>
      <xdr:nvPicPr>
        <xdr:cNvPr id="6" name="Picture 5" descr="A bar chart showing energy consumption in health care buildings by fuel. In health care buildings, electricity was the most-used fuel (327 TBtu), followed by natural gas (207 TBtu).">
          <a:extLst>
            <a:ext uri="{FF2B5EF4-FFF2-40B4-BE49-F238E27FC236}">
              <a16:creationId xmlns:a16="http://schemas.microsoft.com/office/drawing/2014/main" id="{2C654C4F-6557-E5D3-A998-E1727C7CAC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24332" y="9970903"/>
          <a:ext cx="4235902" cy="1815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44823</xdr:colOff>
      <xdr:row>37</xdr:row>
      <xdr:rowOff>11206</xdr:rowOff>
    </xdr:from>
    <xdr:to>
      <xdr:col>2</xdr:col>
      <xdr:colOff>2569957</xdr:colOff>
      <xdr:row>46</xdr:row>
      <xdr:rowOff>1441</xdr:rowOff>
    </xdr:to>
    <xdr:pic>
      <xdr:nvPicPr>
        <xdr:cNvPr id="2" name="Picture 1">
          <a:extLst>
            <a:ext uri="{FF2B5EF4-FFF2-40B4-BE49-F238E27FC236}">
              <a16:creationId xmlns:a16="http://schemas.microsoft.com/office/drawing/2014/main" id="{B24B3B69-527F-4FFC-B8C6-6EF1C59B7493}"/>
            </a:ext>
          </a:extLst>
        </xdr:cNvPr>
        <xdr:cNvPicPr>
          <a:picLocks noChangeAspect="1"/>
        </xdr:cNvPicPr>
      </xdr:nvPicPr>
      <xdr:blipFill>
        <a:blip xmlns:r="http://schemas.openxmlformats.org/officeDocument/2006/relationships" r:embed="rId4"/>
        <a:stretch>
          <a:fillRect/>
        </a:stretch>
      </xdr:blipFill>
      <xdr:spPr>
        <a:xfrm>
          <a:off x="1120588" y="4527177"/>
          <a:ext cx="8105663" cy="19064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320040</xdr:colOff>
      <xdr:row>7</xdr:row>
      <xdr:rowOff>24765</xdr:rowOff>
    </xdr:from>
    <xdr:to>
      <xdr:col>1</xdr:col>
      <xdr:colOff>3259475</xdr:colOff>
      <xdr:row>7</xdr:row>
      <xdr:rowOff>1198245</xdr:rowOff>
    </xdr:to>
    <xdr:pic>
      <xdr:nvPicPr>
        <xdr:cNvPr id="2" name="Picture 1" descr="Screen Clipping">
          <a:extLst>
            <a:ext uri="{FF2B5EF4-FFF2-40B4-BE49-F238E27FC236}">
              <a16:creationId xmlns:a16="http://schemas.microsoft.com/office/drawing/2014/main" id="{DAD09BD1-A4C1-446A-B8D0-8CC33B5E6485}"/>
            </a:ext>
          </a:extLst>
        </xdr:cNvPr>
        <xdr:cNvPicPr>
          <a:picLocks noChangeAspect="1"/>
        </xdr:cNvPicPr>
      </xdr:nvPicPr>
      <xdr:blipFill>
        <a:blip xmlns:r="http://schemas.openxmlformats.org/officeDocument/2006/relationships" r:embed="rId1" cstate="print">
          <a:clrChange>
            <a:clrFrom>
              <a:srgbClr val="99BD90"/>
            </a:clrFrom>
            <a:clrTo>
              <a:srgbClr val="99BD90">
                <a:alpha val="0"/>
              </a:srgbClr>
            </a:clrTo>
          </a:clrChange>
          <a:extLst>
            <a:ext uri="{28A0092B-C50C-407E-A947-70E740481C1C}">
              <a14:useLocalDpi xmlns:a14="http://schemas.microsoft.com/office/drawing/2010/main" val="0"/>
            </a:ext>
          </a:extLst>
        </a:blip>
        <a:srcRect/>
        <a:stretch>
          <a:fillRect/>
        </a:stretch>
      </xdr:blipFill>
      <xdr:spPr bwMode="auto">
        <a:xfrm>
          <a:off x="2034540" y="1605915"/>
          <a:ext cx="2948960" cy="11849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1282561</xdr:colOff>
      <xdr:row>0</xdr:row>
      <xdr:rowOff>35035</xdr:rowOff>
    </xdr:from>
    <xdr:to>
      <xdr:col>15</xdr:col>
      <xdr:colOff>1282561</xdr:colOff>
      <xdr:row>0</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1325218</xdr:colOff>
      <xdr:row>0</xdr:row>
      <xdr:rowOff>67505</xdr:rowOff>
    </xdr:from>
    <xdr:to>
      <xdr:col>15</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14</xdr:col>
      <xdr:colOff>227172</xdr:colOff>
      <xdr:row>1</xdr:row>
      <xdr:rowOff>552857</xdr:rowOff>
    </xdr:from>
    <xdr:to>
      <xdr:col>21</xdr:col>
      <xdr:colOff>616947</xdr:colOff>
      <xdr:row>142</xdr:row>
      <xdr:rowOff>78000</xdr:rowOff>
    </xdr:to>
    <xdr:pic>
      <xdr:nvPicPr>
        <xdr:cNvPr id="25" name="Picture 9">
          <a:extLst>
            <a:ext uri="{FF2B5EF4-FFF2-40B4-BE49-F238E27FC236}">
              <a16:creationId xmlns:a16="http://schemas.microsoft.com/office/drawing/2014/main" id="{ED8ACD4A-B1E3-F976-A890-9F046FCB8088}"/>
            </a:ext>
            <a:ext uri="{147F2762-F138-4A5C-976F-8EAC2B608ADB}">
              <a16:predDERef xmlns:a16="http://schemas.microsoft.com/office/drawing/2014/main" pred="{1DDDC35D-79DC-FE8D-E36B-A215903DC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534472" y="876707"/>
          <a:ext cx="9543300" cy="5748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195873</xdr:colOff>
      <xdr:row>30</xdr:row>
      <xdr:rowOff>22043</xdr:rowOff>
    </xdr:from>
    <xdr:to>
      <xdr:col>21</xdr:col>
      <xdr:colOff>568089</xdr:colOff>
      <xdr:row>144</xdr:row>
      <xdr:rowOff>67423</xdr:rowOff>
    </xdr:to>
    <xdr:pic>
      <xdr:nvPicPr>
        <xdr:cNvPr id="24" name="Picture 10">
          <a:extLst>
            <a:ext uri="{FF2B5EF4-FFF2-40B4-BE49-F238E27FC236}">
              <a16:creationId xmlns:a16="http://schemas.microsoft.com/office/drawing/2014/main" id="{23D653C6-5670-8536-5C86-438DF82000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53644" y="7119529"/>
          <a:ext cx="9525741" cy="5340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240642</xdr:colOff>
      <xdr:row>59</xdr:row>
      <xdr:rowOff>55858</xdr:rowOff>
    </xdr:from>
    <xdr:to>
      <xdr:col>21</xdr:col>
      <xdr:colOff>699636</xdr:colOff>
      <xdr:row>147</xdr:row>
      <xdr:rowOff>31158</xdr:rowOff>
    </xdr:to>
    <xdr:pic>
      <xdr:nvPicPr>
        <xdr:cNvPr id="26" name="Picture 11">
          <a:extLst>
            <a:ext uri="{FF2B5EF4-FFF2-40B4-BE49-F238E27FC236}">
              <a16:creationId xmlns:a16="http://schemas.microsoft.com/office/drawing/2014/main" id="{BC742AA4-12C9-06B2-ED64-49FDA98845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598413" y="13467058"/>
          <a:ext cx="9612519" cy="5342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32</xdr:row>
      <xdr:rowOff>0</xdr:rowOff>
    </xdr:from>
    <xdr:to>
      <xdr:col>8</xdr:col>
      <xdr:colOff>496183</xdr:colOff>
      <xdr:row>40</xdr:row>
      <xdr:rowOff>30480</xdr:rowOff>
    </xdr:to>
    <xdr:pic>
      <xdr:nvPicPr>
        <xdr:cNvPr id="2" name="Picture 1">
          <a:extLst>
            <a:ext uri="{FF2B5EF4-FFF2-40B4-BE49-F238E27FC236}">
              <a16:creationId xmlns:a16="http://schemas.microsoft.com/office/drawing/2014/main" id="{482379C0-10C7-4BFA-B4E5-C753DE6F6821}"/>
            </a:ext>
          </a:extLst>
        </xdr:cNvPr>
        <xdr:cNvPicPr>
          <a:picLocks noChangeAspect="1"/>
        </xdr:cNvPicPr>
      </xdr:nvPicPr>
      <xdr:blipFill>
        <a:blip xmlns:r="http://schemas.openxmlformats.org/officeDocument/2006/relationships" r:embed="rId1"/>
        <a:stretch>
          <a:fillRect/>
        </a:stretch>
      </xdr:blipFill>
      <xdr:spPr>
        <a:xfrm>
          <a:off x="0" y="6423660"/>
          <a:ext cx="8733403"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97971</xdr:colOff>
      <xdr:row>124</xdr:row>
      <xdr:rowOff>171753</xdr:rowOff>
    </xdr:from>
    <xdr:to>
      <xdr:col>2</xdr:col>
      <xdr:colOff>1196952</xdr:colOff>
      <xdr:row>165</xdr:row>
      <xdr:rowOff>139086</xdr:rowOff>
    </xdr:to>
    <xdr:pic>
      <xdr:nvPicPr>
        <xdr:cNvPr id="3" name="Picture 2">
          <a:extLst>
            <a:ext uri="{FF2B5EF4-FFF2-40B4-BE49-F238E27FC236}">
              <a16:creationId xmlns:a16="http://schemas.microsoft.com/office/drawing/2014/main" id="{A709DE88-FA16-9D6B-5A49-5AC043EAF7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71" y="23384178"/>
          <a:ext cx="5975781" cy="7387308"/>
        </a:xfrm>
        <a:prstGeom prst="rect">
          <a:avLst/>
        </a:prstGeom>
      </xdr:spPr>
    </xdr:pic>
    <xdr:clientData/>
  </xdr:twoCellAnchor>
  <xdr:twoCellAnchor editAs="oneCell">
    <xdr:from>
      <xdr:col>4</xdr:col>
      <xdr:colOff>134487</xdr:colOff>
      <xdr:row>124</xdr:row>
      <xdr:rowOff>56777</xdr:rowOff>
    </xdr:from>
    <xdr:to>
      <xdr:col>7</xdr:col>
      <xdr:colOff>554025</xdr:colOff>
      <xdr:row>165</xdr:row>
      <xdr:rowOff>2721</xdr:rowOff>
    </xdr:to>
    <xdr:pic>
      <xdr:nvPicPr>
        <xdr:cNvPr id="5" name="Picture 4">
          <a:extLst>
            <a:ext uri="{FF2B5EF4-FFF2-40B4-BE49-F238E27FC236}">
              <a16:creationId xmlns:a16="http://schemas.microsoft.com/office/drawing/2014/main" id="{3CED911C-4EC7-F1BA-06B8-8ABFBD856AA2}"/>
            </a:ext>
            <a:ext uri="{147F2762-F138-4A5C-976F-8EAC2B608ADB}">
              <a16:predDERef xmlns:a16="http://schemas.microsoft.com/office/drawing/2014/main" pred="{A709DE88-FA16-9D6B-5A49-5AC043EAF7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03916" y="30536777"/>
          <a:ext cx="5769117" cy="7590437"/>
        </a:xfrm>
        <a:prstGeom prst="rect">
          <a:avLst/>
        </a:prstGeom>
      </xdr:spPr>
    </xdr:pic>
    <xdr:clientData/>
  </xdr:twoCellAnchor>
  <xdr:twoCellAnchor editAs="oneCell">
    <xdr:from>
      <xdr:col>7</xdr:col>
      <xdr:colOff>831373</xdr:colOff>
      <xdr:row>124</xdr:row>
      <xdr:rowOff>45448</xdr:rowOff>
    </xdr:from>
    <xdr:to>
      <xdr:col>10</xdr:col>
      <xdr:colOff>708185</xdr:colOff>
      <xdr:row>164</xdr:row>
      <xdr:rowOff>116749</xdr:rowOff>
    </xdr:to>
    <xdr:pic>
      <xdr:nvPicPr>
        <xdr:cNvPr id="7" name="Picture 6">
          <a:extLst>
            <a:ext uri="{FF2B5EF4-FFF2-40B4-BE49-F238E27FC236}">
              <a16:creationId xmlns:a16="http://schemas.microsoft.com/office/drawing/2014/main" id="{FFE12CE0-1E7F-E2B1-49B5-C6C53E882955}"/>
            </a:ext>
            <a:ext uri="{147F2762-F138-4A5C-976F-8EAC2B608ADB}">
              <a16:predDERef xmlns:a16="http://schemas.microsoft.com/office/drawing/2014/main" pred="{3CED911C-4EC7-F1BA-06B8-8ABFBD856AA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956698" y="23562673"/>
          <a:ext cx="5848987" cy="7310301"/>
        </a:xfrm>
        <a:prstGeom prst="rect">
          <a:avLst/>
        </a:prstGeom>
      </xdr:spPr>
    </xdr:pic>
    <xdr:clientData/>
  </xdr:twoCellAnchor>
  <xdr:twoCellAnchor editAs="oneCell">
    <xdr:from>
      <xdr:col>15</xdr:col>
      <xdr:colOff>391429</xdr:colOff>
      <xdr:row>124</xdr:row>
      <xdr:rowOff>106952</xdr:rowOff>
    </xdr:from>
    <xdr:to>
      <xdr:col>22</xdr:col>
      <xdr:colOff>586794</xdr:colOff>
      <xdr:row>164</xdr:row>
      <xdr:rowOff>134711</xdr:rowOff>
    </xdr:to>
    <xdr:pic>
      <xdr:nvPicPr>
        <xdr:cNvPr id="9" name="Picture 8">
          <a:extLst>
            <a:ext uri="{FF2B5EF4-FFF2-40B4-BE49-F238E27FC236}">
              <a16:creationId xmlns:a16="http://schemas.microsoft.com/office/drawing/2014/main" id="{4F0ADCEC-5169-47D4-CBF2-32B3317A8065}"/>
            </a:ext>
            <a:ext uri="{147F2762-F138-4A5C-976F-8EAC2B608ADB}">
              <a16:predDERef xmlns:a16="http://schemas.microsoft.com/office/drawing/2014/main" pred="{FFE12CE0-1E7F-E2B1-49B5-C6C53E88295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631679" y="5345702"/>
          <a:ext cx="10247234" cy="748583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CBDA0656-8164-4FA8-8BE7-79F7FE5F5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1C87CF7-6396-404E-8ACD-112AC14A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25074</xdr:colOff>
      <xdr:row>59</xdr:row>
      <xdr:rowOff>7649</xdr:rowOff>
    </xdr:from>
    <xdr:to>
      <xdr:col>37</xdr:col>
      <xdr:colOff>358449</xdr:colOff>
      <xdr:row>61</xdr:row>
      <xdr:rowOff>386927</xdr:rowOff>
    </xdr:to>
    <xdr:graphicFrame macro="">
      <xdr:nvGraphicFramePr>
        <xdr:cNvPr id="16" name="Chart 5">
          <a:extLst>
            <a:ext uri="{FF2B5EF4-FFF2-40B4-BE49-F238E27FC236}">
              <a16:creationId xmlns:a16="http://schemas.microsoft.com/office/drawing/2014/main" id="{4BFFA047-264D-465D-AB1C-FD1D056BC607}"/>
            </a:ext>
            <a:ext uri="{147F2762-F138-4A5C-976F-8EAC2B608ADB}">
              <a16:predDERef xmlns:a16="http://schemas.microsoft.com/office/drawing/2014/main" pred="{6467D4B0-6F0E-43CB-958A-F19CE6AFC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4BFFA047-264D-465D-AB1C-FD1D056BC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884648C1-6468-4333-AE0F-5CE56E487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27D64350-4A7F-4D54-86AE-92FDC42BF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268332</xdr:colOff>
      <xdr:row>33</xdr:row>
      <xdr:rowOff>133894</xdr:rowOff>
    </xdr:from>
    <xdr:to>
      <xdr:col>36</xdr:col>
      <xdr:colOff>190500</xdr:colOff>
      <xdr:row>37</xdr:row>
      <xdr:rowOff>27214</xdr:rowOff>
    </xdr:to>
    <xdr:graphicFrame macro="">
      <xdr:nvGraphicFramePr>
        <xdr:cNvPr id="6" name="Chart 5">
          <a:extLst>
            <a:ext uri="{FF2B5EF4-FFF2-40B4-BE49-F238E27FC236}">
              <a16:creationId xmlns:a16="http://schemas.microsoft.com/office/drawing/2014/main" id="{43792DBA-9605-40F4-8206-0334DB8DA97A}"/>
            </a:ext>
            <a:ext uri="{147F2762-F138-4A5C-976F-8EAC2B608ADB}">
              <a16:predDERef xmlns:a16="http://schemas.microsoft.com/office/drawing/2014/main" pred="{30DFB9F4-BE6F-4EEB-A7AF-A22CE2CE6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274047</xdr:colOff>
      <xdr:row>37</xdr:row>
      <xdr:rowOff>0</xdr:rowOff>
    </xdr:from>
    <xdr:to>
      <xdr:col>36</xdr:col>
      <xdr:colOff>192405</xdr:colOff>
      <xdr:row>39</xdr:row>
      <xdr:rowOff>462643</xdr:rowOff>
    </xdr:to>
    <xdr:graphicFrame macro="">
      <xdr:nvGraphicFramePr>
        <xdr:cNvPr id="7" name="Chart 6">
          <a:extLst>
            <a:ext uri="{FF2B5EF4-FFF2-40B4-BE49-F238E27FC236}">
              <a16:creationId xmlns:a16="http://schemas.microsoft.com/office/drawing/2014/main" id="{26D59DDC-4164-43D3-BFAE-47DD7B37834E}"/>
            </a:ext>
            <a:ext uri="{147F2762-F138-4A5C-976F-8EAC2B608ADB}">
              <a16:predDERef xmlns:a16="http://schemas.microsoft.com/office/drawing/2014/main" pred="{43792DBA-9605-40F4-8206-0334DB8DA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272143</xdr:colOff>
      <xdr:row>39</xdr:row>
      <xdr:rowOff>476251</xdr:rowOff>
    </xdr:from>
    <xdr:to>
      <xdr:col>36</xdr:col>
      <xdr:colOff>184786</xdr:colOff>
      <xdr:row>42</xdr:row>
      <xdr:rowOff>439239</xdr:rowOff>
    </xdr:to>
    <xdr:graphicFrame macro="">
      <xdr:nvGraphicFramePr>
        <xdr:cNvPr id="8" name="Chart 7">
          <a:extLst>
            <a:ext uri="{FF2B5EF4-FFF2-40B4-BE49-F238E27FC236}">
              <a16:creationId xmlns:a16="http://schemas.microsoft.com/office/drawing/2014/main" id="{1FFB5595-E51A-4DCC-B8D6-F9EA26CE40D6}"/>
            </a:ext>
            <a:ext uri="{147F2762-F138-4A5C-976F-8EAC2B608ADB}">
              <a16:predDERef xmlns:a16="http://schemas.microsoft.com/office/drawing/2014/main" pred="{26D59DDC-4164-43D3-BFAE-47DD7B378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299357</xdr:colOff>
      <xdr:row>24</xdr:row>
      <xdr:rowOff>122465</xdr:rowOff>
    </xdr:from>
    <xdr:to>
      <xdr:col>36</xdr:col>
      <xdr:colOff>4082</xdr:colOff>
      <xdr:row>26</xdr:row>
      <xdr:rowOff>387927</xdr:rowOff>
    </xdr:to>
    <xdr:graphicFrame macro="">
      <xdr:nvGraphicFramePr>
        <xdr:cNvPr id="10" name="Chart 5">
          <a:extLst>
            <a:ext uri="{FF2B5EF4-FFF2-40B4-BE49-F238E27FC236}">
              <a16:creationId xmlns:a16="http://schemas.microsoft.com/office/drawing/2014/main" id="{C29DFB75-5077-46FA-8936-FE7A949978AD}"/>
            </a:ext>
            <a:ext uri="{147F2762-F138-4A5C-976F-8EAC2B608ADB}">
              <a16:predDERef xmlns:a16="http://schemas.microsoft.com/office/drawing/2014/main" pred="{1FFB5595-E51A-4DCC-B8D6-F9EA26CE4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24</xdr:col>
      <xdr:colOff>0</xdr:colOff>
      <xdr:row>0</xdr:row>
      <xdr:rowOff>0</xdr:rowOff>
    </xdr:from>
    <xdr:to>
      <xdr:col>40</xdr:col>
      <xdr:colOff>323851</xdr:colOff>
      <xdr:row>16</xdr:row>
      <xdr:rowOff>220980</xdr:rowOff>
    </xdr:to>
    <xdr:graphicFrame macro="">
      <xdr:nvGraphicFramePr>
        <xdr:cNvPr id="2" name="Chart 1">
          <a:extLst>
            <a:ext uri="{FF2B5EF4-FFF2-40B4-BE49-F238E27FC236}">
              <a16:creationId xmlns:a16="http://schemas.microsoft.com/office/drawing/2014/main" id="{69AD7333-7902-4B5F-86CF-A53C862F3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0</xdr:colOff>
      <xdr:row>18</xdr:row>
      <xdr:rowOff>0</xdr:rowOff>
    </xdr:from>
    <xdr:to>
      <xdr:col>40</xdr:col>
      <xdr:colOff>320041</xdr:colOff>
      <xdr:row>45</xdr:row>
      <xdr:rowOff>76200</xdr:rowOff>
    </xdr:to>
    <xdr:graphicFrame macro="">
      <xdr:nvGraphicFramePr>
        <xdr:cNvPr id="3" name="Chart 2">
          <a:extLst>
            <a:ext uri="{FF2B5EF4-FFF2-40B4-BE49-F238E27FC236}">
              <a16:creationId xmlns:a16="http://schemas.microsoft.com/office/drawing/2014/main" id="{238135D9-5800-4516-B9E6-5B87301F07D2}"/>
            </a:ext>
            <a:ext uri="{147F2762-F138-4A5C-976F-8EAC2B608ADB}">
              <a16:predDERef xmlns:a16="http://schemas.microsoft.com/office/drawing/2014/main" pred="{69AD7333-7902-4B5F-86CF-A53C862F3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nergy.ca.gov/publications/2023/2022-california-commercial-end-use-survey-ceus-final-report" TargetMode="External"/><Relationship Id="rId13" Type="http://schemas.openxmlformats.org/officeDocument/2006/relationships/hyperlink" Target="https://www.energy.ca.gov/publications/2022/2022-nonresidential-and-multifamily-alternative-calculation-method-reference" TargetMode="External"/><Relationship Id="rId18" Type="http://schemas.openxmlformats.org/officeDocument/2006/relationships/hyperlink" Target="https://codes.iccsafe.org/codes/united-states/california" TargetMode="External"/><Relationship Id="rId26" Type="http://schemas.openxmlformats.org/officeDocument/2006/relationships/hyperlink" Target="https://www.thefreelibrary.com/Determining+Vintage+Bins+for+Prototype+Development%3a+An+Analysis+of...-a0879271125" TargetMode="External"/><Relationship Id="rId3" Type="http://schemas.openxmlformats.org/officeDocument/2006/relationships/hyperlink" Target="https://title24stakeholders.com/wp-content/uploads/2020/10/2022-T24-Final-CASE-Report_Reduce-Infiltration.pdf" TargetMode="External"/><Relationship Id="rId21" Type="http://schemas.openxmlformats.org/officeDocument/2006/relationships/hyperlink" Target="https://onesource.fgicodes.org/products/2022-guidelines-for-design-and-construction-of-outpatient-facilities" TargetMode="External"/><Relationship Id="rId7" Type="http://schemas.openxmlformats.org/officeDocument/2006/relationships/hyperlink" Target="https://title24stakeholders.com/wp-content/uploads/2017/09/2019-T24-CASE-Report_Fume-Hoods_Final_September-2017.pdf?" TargetMode="External"/><Relationship Id="rId12" Type="http://schemas.openxmlformats.org/officeDocument/2006/relationships/hyperlink" Target="https://up.codes/viewer/california/ca-mechanical-code-2022" TargetMode="External"/><Relationship Id="rId17" Type="http://schemas.openxmlformats.org/officeDocument/2006/relationships/hyperlink" Target="https://www.ahadata.com/aha-hospital-statistics" TargetMode="External"/><Relationship Id="rId25" Type="http://schemas.openxmlformats.org/officeDocument/2006/relationships/hyperlink" Target="https://www.govinfo.gov/content/pkg/FR-2009-03-23/pdf/FR-2009-03-23.pdf" TargetMode="External"/><Relationship Id="rId2" Type="http://schemas.openxmlformats.org/officeDocument/2006/relationships/hyperlink" Target="https://www.eia.gov/consumption/commercial/" TargetMode="External"/><Relationship Id="rId16" Type="http://schemas.openxmlformats.org/officeDocument/2006/relationships/hyperlink" Target="https://www.ashrae.org/technical-resources/aedgs/50-percent-aedg-free-download" TargetMode="External"/><Relationship Id="rId20" Type="http://schemas.openxmlformats.org/officeDocument/2006/relationships/hyperlink" Target="https://www.ashrae.org/technical-resources/standards-and-guidelines/read-only-versions-of-ashrae-standards" TargetMode="External"/><Relationship Id="rId1" Type="http://schemas.openxmlformats.org/officeDocument/2006/relationships/hyperlink" Target="https://www.energycodes.gov/prototype-building-models"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1" Type="http://schemas.openxmlformats.org/officeDocument/2006/relationships/hyperlink" Target="https://www.ashrae.org/technical-resources/bookstore/health-care-facilities-resources" TargetMode="External"/><Relationship Id="rId24" Type="http://schemas.openxmlformats.org/officeDocument/2006/relationships/hyperlink" Target="https://www.grainger.com/category/plumbing/water-heaters/electric-tank-water-heaters" TargetMode="External"/><Relationship Id="rId5" Type="http://schemas.openxmlformats.org/officeDocument/2006/relationships/hyperlink" Target="https://www.pnnl.gov/main/publications/external/technical_reports/PNNL-20405.pdf" TargetMode="External"/><Relationship Id="rId15" Type="http://schemas.openxmlformats.org/officeDocument/2006/relationships/hyperlink" Target="https://idl.be.uw.edu/wp-content/uploads/sites/32/2017/08/Targeting100_FullReport_063010.pdf" TargetMode="External"/><Relationship Id="rId23" Type="http://schemas.openxmlformats.org/officeDocument/2006/relationships/hyperlink" Target="https://www.grainger.com/category/plumbing/water-heaters/gas-tank-water-heaters" TargetMode="External"/><Relationship Id="rId10" Type="http://schemas.openxmlformats.org/officeDocument/2006/relationships/hyperlink" Target="https://www.nrel.gov/buildings/comstock" TargetMode="External"/><Relationship Id="rId19" Type="http://schemas.openxmlformats.org/officeDocument/2006/relationships/hyperlink" Target="https://www.energy.ca.gov/publications/2025/2025-building-energy-efficiency-standards-residential-and-nonresidential" TargetMode="External"/><Relationship Id="rId4" Type="http://schemas.openxmlformats.org/officeDocument/2006/relationships/hyperlink" Target="https://title24stakeholders.com/wp-content/uploads/2016/10/T24-2019-CASE-Study-Results-Report-Outdoor-Sources_Final_with-Attachments.pdf" TargetMode="External"/><Relationship Id="rId9" Type="http://schemas.openxmlformats.org/officeDocument/2006/relationships/hyperlink" Target="https://www.eia.gov/consumption/commercial/data/2018/index.php" TargetMode="External"/><Relationship Id="rId14" Type="http://schemas.openxmlformats.org/officeDocument/2006/relationships/hyperlink" Target="https://www.energy.ca.gov/publications/2022/2022-nonresidential-and-multifamily-alternative-calculation-method-reference" TargetMode="External"/><Relationship Id="rId22" Type="http://schemas.openxmlformats.org/officeDocument/2006/relationships/hyperlink" Target="https://www.energystar.gov/productfinder/product/certified-commercial-water-heaters/results?fuel_filter=Gas&amp;markets_filter=United+States" TargetMode="External"/><Relationship Id="rId2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66"/>
  <sheetViews>
    <sheetView zoomScale="85" zoomScaleNormal="85" workbookViewId="0">
      <selection activeCell="D23" sqref="D23"/>
    </sheetView>
  </sheetViews>
  <sheetFormatPr defaultColWidth="9.33203125" defaultRowHeight="13.2"/>
  <cols>
    <col min="1" max="1" width="18.88671875" style="5" customWidth="1"/>
    <col min="2" max="2" width="83.6640625" style="5" customWidth="1"/>
    <col min="3" max="3" width="50.33203125" style="5" customWidth="1"/>
    <col min="4" max="4" width="9.33203125" style="5"/>
    <col min="5" max="5" width="21.6640625" style="5" customWidth="1"/>
    <col min="6" max="6" width="10.6640625" style="5" customWidth="1"/>
    <col min="7" max="7" width="9.6640625" style="5" customWidth="1"/>
    <col min="8" max="8" width="9.6640625" style="5" bestFit="1" customWidth="1"/>
    <col min="9" max="16384" width="9.33203125" style="5"/>
  </cols>
  <sheetData>
    <row r="1" spans="1:6" ht="20.399999999999999" customHeight="1">
      <c r="A1" s="548" t="s">
        <v>0</v>
      </c>
      <c r="B1" s="548"/>
      <c r="C1" s="548"/>
    </row>
    <row r="2" spans="1:6">
      <c r="A2" s="551" t="s">
        <v>1</v>
      </c>
      <c r="B2" s="5" t="s">
        <v>2</v>
      </c>
    </row>
    <row r="3" spans="1:6">
      <c r="A3" s="551"/>
      <c r="B3" s="5" t="s">
        <v>3</v>
      </c>
      <c r="C3" s="379" t="s">
        <v>4</v>
      </c>
      <c r="D3" s="5" t="s">
        <v>5</v>
      </c>
    </row>
    <row r="4" spans="1:6" ht="14.4">
      <c r="A4" s="551"/>
      <c r="B4" s="5" t="s">
        <v>6</v>
      </c>
      <c r="C4" s="379" t="s">
        <v>7</v>
      </c>
      <c r="D4" s="379" t="s">
        <v>5</v>
      </c>
      <c r="E4" s="346"/>
      <c r="F4" s="346"/>
    </row>
    <row r="5" spans="1:6" ht="14.4">
      <c r="A5" s="551"/>
      <c r="B5" s="5" t="s">
        <v>8</v>
      </c>
      <c r="C5" s="379" t="s">
        <v>9</v>
      </c>
      <c r="D5" s="379" t="s">
        <v>5</v>
      </c>
      <c r="E5" s="346"/>
      <c r="F5" s="346"/>
    </row>
    <row r="6" spans="1:6">
      <c r="A6" s="551"/>
      <c r="C6" s="379"/>
      <c r="D6" s="5" t="s">
        <v>5</v>
      </c>
    </row>
    <row r="7" spans="1:6">
      <c r="A7" s="553" t="s">
        <v>10</v>
      </c>
      <c r="B7" s="5" t="s">
        <v>11</v>
      </c>
      <c r="C7" s="379" t="s">
        <v>12</v>
      </c>
      <c r="D7" s="5" t="s">
        <v>5</v>
      </c>
    </row>
    <row r="8" spans="1:6">
      <c r="A8" s="553"/>
      <c r="C8" s="539"/>
      <c r="D8" s="5" t="s">
        <v>5</v>
      </c>
    </row>
    <row r="9" spans="1:6" ht="15" customHeight="1">
      <c r="A9" s="551" t="s">
        <v>13</v>
      </c>
      <c r="B9" s="552" t="s">
        <v>14</v>
      </c>
      <c r="C9" s="540" t="s">
        <v>15</v>
      </c>
      <c r="D9" s="507">
        <v>2025</v>
      </c>
      <c r="E9" s="346"/>
      <c r="F9" s="346"/>
    </row>
    <row r="10" spans="1:6" ht="14.4">
      <c r="A10" s="551"/>
      <c r="B10" s="552"/>
      <c r="C10" s="540" t="s">
        <v>16</v>
      </c>
      <c r="D10" s="5" t="s">
        <v>17</v>
      </c>
      <c r="E10" s="346"/>
      <c r="F10" s="346"/>
    </row>
    <row r="11" spans="1:6" ht="14.4">
      <c r="A11" s="551"/>
      <c r="B11" s="5" t="s">
        <v>18</v>
      </c>
      <c r="C11" s="539" t="s">
        <v>19</v>
      </c>
      <c r="D11" s="379" t="s">
        <v>5</v>
      </c>
      <c r="E11" s="346"/>
      <c r="F11" s="346"/>
    </row>
    <row r="12" spans="1:6" ht="14.4">
      <c r="A12" s="551"/>
      <c r="B12" s="60" t="s">
        <v>20</v>
      </c>
      <c r="C12" s="540" t="s">
        <v>21</v>
      </c>
      <c r="D12" s="379" t="s">
        <v>5</v>
      </c>
      <c r="E12" s="346"/>
      <c r="F12" s="346"/>
    </row>
    <row r="13" spans="1:6" ht="14.4">
      <c r="A13" s="551"/>
      <c r="B13" s="60" t="s">
        <v>22</v>
      </c>
      <c r="C13" s="539" t="s">
        <v>23</v>
      </c>
      <c r="D13" s="379" t="s">
        <v>5</v>
      </c>
      <c r="E13" s="346"/>
      <c r="F13" s="346"/>
    </row>
    <row r="14" spans="1:6" ht="14.4">
      <c r="A14" s="551"/>
      <c r="B14" s="60" t="s">
        <v>24</v>
      </c>
      <c r="C14" s="539" t="s">
        <v>25</v>
      </c>
      <c r="D14" s="379" t="s">
        <v>5</v>
      </c>
      <c r="E14" s="346"/>
      <c r="F14" s="346"/>
    </row>
    <row r="15" spans="1:6">
      <c r="A15" s="551"/>
      <c r="B15" s="60" t="s">
        <v>26</v>
      </c>
      <c r="C15" s="539" t="s">
        <v>27</v>
      </c>
      <c r="D15" s="5" t="s">
        <v>5</v>
      </c>
    </row>
    <row r="16" spans="1:6">
      <c r="A16" s="551" t="s">
        <v>28</v>
      </c>
      <c r="B16" s="5" t="s">
        <v>29</v>
      </c>
      <c r="C16" s="539" t="s">
        <v>30</v>
      </c>
      <c r="D16" s="5" t="s">
        <v>5</v>
      </c>
    </row>
    <row r="17" spans="1:6">
      <c r="A17" s="551"/>
      <c r="B17" s="7" t="s">
        <v>31</v>
      </c>
      <c r="C17" s="539" t="s">
        <v>30</v>
      </c>
      <c r="D17" s="5" t="s">
        <v>5</v>
      </c>
    </row>
    <row r="18" spans="1:6">
      <c r="A18" s="551"/>
      <c r="B18" s="377" t="s">
        <v>32</v>
      </c>
      <c r="C18" s="539" t="s">
        <v>33</v>
      </c>
      <c r="D18" s="5" t="s">
        <v>5</v>
      </c>
    </row>
    <row r="19" spans="1:6">
      <c r="A19" s="551"/>
      <c r="B19" s="60" t="s">
        <v>34</v>
      </c>
      <c r="C19" s="539" t="s">
        <v>35</v>
      </c>
      <c r="D19" s="5" t="s">
        <v>5</v>
      </c>
    </row>
    <row r="20" spans="1:6">
      <c r="A20" s="551"/>
      <c r="B20" s="60" t="s">
        <v>36</v>
      </c>
      <c r="C20" s="539" t="s">
        <v>37</v>
      </c>
      <c r="D20" s="5" t="s">
        <v>5</v>
      </c>
    </row>
    <row r="21" spans="1:6">
      <c r="A21" s="551"/>
      <c r="B21" s="60" t="s">
        <v>38</v>
      </c>
      <c r="C21" s="539" t="s">
        <v>39</v>
      </c>
      <c r="D21" s="5" t="s">
        <v>5</v>
      </c>
    </row>
    <row r="22" spans="1:6" ht="13.2" customHeight="1">
      <c r="A22" s="551"/>
      <c r="B22" s="60" t="s">
        <v>40</v>
      </c>
      <c r="C22" s="539" t="s">
        <v>41</v>
      </c>
      <c r="D22" s="5" t="s">
        <v>5</v>
      </c>
    </row>
    <row r="23" spans="1:6" ht="13.2" customHeight="1">
      <c r="A23" s="551"/>
      <c r="B23" s="377" t="s">
        <v>42</v>
      </c>
      <c r="C23" s="539" t="s">
        <v>43</v>
      </c>
      <c r="D23" s="60" t="s">
        <v>5</v>
      </c>
    </row>
    <row r="24" spans="1:6" ht="13.2" customHeight="1">
      <c r="A24" s="551"/>
      <c r="B24" s="377" t="s">
        <v>44</v>
      </c>
      <c r="C24" s="541" t="s">
        <v>45</v>
      </c>
      <c r="D24" s="380" t="s">
        <v>5</v>
      </c>
      <c r="E24" s="367"/>
      <c r="F24" s="367"/>
    </row>
    <row r="25" spans="1:6" ht="13.2" customHeight="1">
      <c r="A25" s="551"/>
      <c r="B25" s="377" t="s">
        <v>46</v>
      </c>
      <c r="C25" s="541" t="s">
        <v>47</v>
      </c>
      <c r="D25" s="380" t="s">
        <v>5</v>
      </c>
      <c r="E25" s="367"/>
      <c r="F25" s="367"/>
    </row>
    <row r="26" spans="1:6" ht="13.2" customHeight="1">
      <c r="A26" s="551"/>
      <c r="B26" s="60" t="s">
        <v>48</v>
      </c>
      <c r="C26" s="541" t="s">
        <v>49</v>
      </c>
      <c r="D26" s="380" t="s">
        <v>5</v>
      </c>
      <c r="E26" s="367"/>
      <c r="F26" s="367"/>
    </row>
    <row r="27" spans="1:6" ht="13.2" customHeight="1">
      <c r="A27" s="551"/>
      <c r="B27" s="60" t="s">
        <v>50</v>
      </c>
      <c r="C27" s="539" t="s">
        <v>51</v>
      </c>
      <c r="D27" s="380"/>
      <c r="E27" s="367"/>
      <c r="F27" s="367"/>
    </row>
    <row r="28" spans="1:6" ht="13.2" customHeight="1">
      <c r="A28" s="551"/>
      <c r="B28" s="377" t="s">
        <v>52</v>
      </c>
      <c r="C28" s="542" t="s">
        <v>53</v>
      </c>
      <c r="D28" s="380" t="s">
        <v>5</v>
      </c>
      <c r="E28" s="367"/>
      <c r="F28" s="367"/>
    </row>
    <row r="29" spans="1:6" ht="12.75" customHeight="1">
      <c r="A29" s="551"/>
      <c r="B29" s="378" t="s">
        <v>54</v>
      </c>
      <c r="C29" s="543" t="s">
        <v>55</v>
      </c>
      <c r="D29" s="5" t="s">
        <v>5</v>
      </c>
    </row>
    <row r="30" spans="1:6" ht="12.75" customHeight="1">
      <c r="A30" s="551"/>
      <c r="B30" s="378" t="s">
        <v>56</v>
      </c>
      <c r="C30" s="381" t="s">
        <v>57</v>
      </c>
      <c r="D30" s="5" t="s">
        <v>5</v>
      </c>
    </row>
    <row r="31" spans="1:6" ht="12.75" customHeight="1">
      <c r="A31" s="551"/>
      <c r="B31" s="378" t="s">
        <v>58</v>
      </c>
      <c r="C31" s="381" t="s">
        <v>59</v>
      </c>
      <c r="D31" s="5" t="s">
        <v>5</v>
      </c>
    </row>
    <row r="32" spans="1:6" ht="12.75" customHeight="1">
      <c r="A32" s="402"/>
      <c r="C32" s="403"/>
      <c r="D32" s="5" t="s">
        <v>5</v>
      </c>
    </row>
    <row r="33" spans="1:4" ht="12.75" customHeight="1">
      <c r="A33" s="402"/>
      <c r="C33" s="403"/>
    </row>
    <row r="34" spans="1:4" ht="12.75" customHeight="1">
      <c r="A34" s="368"/>
      <c r="C34" s="261"/>
    </row>
    <row r="35" spans="1:4">
      <c r="C35" s="513"/>
      <c r="D35" s="5" t="s">
        <v>5</v>
      </c>
    </row>
    <row r="36" spans="1:4" ht="18.600000000000001" customHeight="1">
      <c r="A36" s="555" t="s">
        <v>60</v>
      </c>
      <c r="B36" s="555"/>
      <c r="C36" s="555"/>
    </row>
    <row r="37" spans="1:4" ht="16.5" customHeight="1">
      <c r="C37" s="513"/>
    </row>
    <row r="38" spans="1:4" ht="16.5" customHeight="1">
      <c r="C38" s="513"/>
    </row>
    <row r="39" spans="1:4" ht="16.5" customHeight="1">
      <c r="C39" s="513"/>
    </row>
    <row r="40" spans="1:4" ht="16.5" customHeight="1">
      <c r="C40" s="513"/>
    </row>
    <row r="41" spans="1:4" ht="16.5" customHeight="1">
      <c r="C41" s="513"/>
    </row>
    <row r="42" spans="1:4" ht="16.5" customHeight="1">
      <c r="C42" s="513"/>
    </row>
    <row r="43" spans="1:4" ht="16.5" customHeight="1">
      <c r="C43" s="513"/>
    </row>
    <row r="44" spans="1:4" ht="16.5" customHeight="1">
      <c r="C44" s="513"/>
    </row>
    <row r="45" spans="1:4" ht="16.5" customHeight="1">
      <c r="C45" s="513"/>
    </row>
    <row r="46" spans="1:4" ht="16.5" customHeight="1">
      <c r="C46" s="513"/>
    </row>
    <row r="47" spans="1:4" ht="16.5" customHeight="1">
      <c r="A47" s="5" t="s">
        <v>61</v>
      </c>
      <c r="C47" s="513"/>
    </row>
    <row r="48" spans="1:4" ht="16.5" customHeight="1">
      <c r="C48" s="513"/>
    </row>
    <row r="49" spans="1:8" ht="19.2" customHeight="1">
      <c r="A49" s="555" t="s">
        <v>62</v>
      </c>
      <c r="B49" s="555"/>
      <c r="C49" s="555"/>
    </row>
    <row r="50" spans="1:8" ht="270.60000000000002" customHeight="1">
      <c r="A50" s="544" t="s">
        <v>63</v>
      </c>
      <c r="B50" s="556" t="s">
        <v>64</v>
      </c>
      <c r="C50" s="556"/>
    </row>
    <row r="51" spans="1:8" ht="14.7" customHeight="1">
      <c r="A51" s="5" t="s">
        <v>65</v>
      </c>
      <c r="B51" s="549" t="s">
        <v>66</v>
      </c>
      <c r="C51" s="549"/>
      <c r="E51" s="510"/>
      <c r="F51" s="260"/>
      <c r="G51" s="260"/>
      <c r="H51" s="260"/>
    </row>
    <row r="52" spans="1:8" ht="14.4">
      <c r="A52" s="250" t="s">
        <v>67</v>
      </c>
      <c r="B52" s="550" t="s">
        <v>68</v>
      </c>
      <c r="C52" s="550"/>
      <c r="E52" s="510"/>
      <c r="F52" s="21"/>
      <c r="G52" s="21"/>
      <c r="H52" s="21"/>
    </row>
    <row r="53" spans="1:8">
      <c r="A53" s="8"/>
      <c r="B53" s="554"/>
      <c r="C53" s="554"/>
    </row>
    <row r="54" spans="1:8" ht="14.4">
      <c r="A54" s="8"/>
      <c r="B54" s="554"/>
      <c r="C54" s="554"/>
      <c r="E54"/>
    </row>
    <row r="66" spans="4:4" ht="14.4">
      <c r="D66"/>
    </row>
  </sheetData>
  <mergeCells count="13">
    <mergeCell ref="B53:C53"/>
    <mergeCell ref="B54:C54"/>
    <mergeCell ref="A49:C49"/>
    <mergeCell ref="B50:C50"/>
    <mergeCell ref="A36:C36"/>
    <mergeCell ref="A1:C1"/>
    <mergeCell ref="B51:C51"/>
    <mergeCell ref="B52:C52"/>
    <mergeCell ref="A9:A15"/>
    <mergeCell ref="A2:A6"/>
    <mergeCell ref="A16:A31"/>
    <mergeCell ref="B9:B10"/>
    <mergeCell ref="A7:A8"/>
  </mergeCells>
  <hyperlinks>
    <hyperlink ref="C7" r:id="rId1" location="Commercial" xr:uid="{626A4776-C2FA-489E-88C0-BC9C7C8EA36F}"/>
    <hyperlink ref="B52:C52" r:id="rId2" display="https://www.eia.gov/consumption/commercial/" xr:uid="{DC68CB0C-ABDF-4162-A924-6AD5F402DC52}"/>
    <hyperlink ref="C18" r:id="rId3" xr:uid="{13012B7A-3BAB-40C0-A217-E782EBE293D7}"/>
    <hyperlink ref="C19" r:id="rId4" xr:uid="{6153A1CD-A26F-423D-8CE9-C47BAC50B7AD}"/>
    <hyperlink ref="C20" r:id="rId5" xr:uid="{D587D565-7CD5-41E9-AB1A-3E1D3FAF7380}"/>
    <hyperlink ref="C22"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B7FABA7F-7EA1-4A29-BC05-832CC940B92D}"/>
    <hyperlink ref="C23" r:id="rId7" xr:uid="{64CE1683-1034-47FB-8972-DC7077D1869C}"/>
    <hyperlink ref="C3" r:id="rId8" xr:uid="{A641807E-7D1F-4F59-B0CC-967BC09AE795}"/>
    <hyperlink ref="C4" r:id="rId9" xr:uid="{EA227B15-4EC8-44ED-A90B-4ADB9FC93CD9}"/>
    <hyperlink ref="C5" r:id="rId10" xr:uid="{078FCAE2-2A54-4D35-9EC5-43313E57FEDB}"/>
    <hyperlink ref="C13" r:id="rId11" xr:uid="{B70592E4-A2C7-46D7-BAC9-1C8E6D220DDE}"/>
    <hyperlink ref="C14" r:id="rId12" xr:uid="{687D72D5-2541-4EB7-A38C-628A2AA74B05}"/>
    <hyperlink ref="C17" r:id="rId13" xr:uid="{1A4FC16B-D4C4-46A7-BA44-57CC8C32A765}"/>
    <hyperlink ref="C16" r:id="rId14" xr:uid="{22FC34DC-FBF3-4E30-88BE-63972D463614}"/>
    <hyperlink ref="C24" r:id="rId15" xr:uid="{B469BC21-F674-468B-A31A-A13EC5427D42}"/>
    <hyperlink ref="C25" r:id="rId16" xr:uid="{8483715A-853F-4522-93F4-AF938978CCAE}"/>
    <hyperlink ref="C26" r:id="rId17" xr:uid="{A1F72F91-C747-4E94-9E32-E48E141816D8}"/>
    <hyperlink ref="C10" r:id="rId18" xr:uid="{0CEFAECA-035F-49F8-839C-E8005CE6CCC8}"/>
    <hyperlink ref="C9" r:id="rId19" xr:uid="{044C6132-1905-4FB6-8E95-C5B842E6A18E}"/>
    <hyperlink ref="C11" r:id="rId20" xr:uid="{ABE6782A-4D71-490F-9949-DE46696E17E1}"/>
    <hyperlink ref="C15" r:id="rId21" xr:uid="{5A9CF6E3-EA9D-4956-A427-7D4D44619B8F}"/>
    <hyperlink ref="C29" r:id="rId22" xr:uid="{D8555276-1506-459A-8B74-2D05641BBF9E}"/>
    <hyperlink ref="C30" r:id="rId23" xr:uid="{720693BF-5723-4C03-83B1-63944D56D2D5}"/>
    <hyperlink ref="C31" r:id="rId24" xr:uid="{568BB719-5B35-4C55-858A-69CCFA046035}"/>
    <hyperlink ref="C12" r:id="rId25" xr:uid="{66B4C19D-767C-4249-8A00-6C3B24AC7869}"/>
    <hyperlink ref="C28" r:id="rId26" xr:uid="{B8195438-8A42-4CAA-A79B-D2769D0E7911}"/>
  </hyperlinks>
  <pageMargins left="0.7" right="0.7" top="0.75" bottom="0.75" header="0.3" footer="0.3"/>
  <drawing r:id="rId2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7"/>
  <sheetViews>
    <sheetView tabSelected="1" zoomScaleNormal="100" workbookViewId="0">
      <selection sqref="A1:C1"/>
    </sheetView>
  </sheetViews>
  <sheetFormatPr defaultColWidth="9.33203125" defaultRowHeight="13.8"/>
  <cols>
    <col min="1" max="1" width="25" style="3" customWidth="1"/>
    <col min="2" max="2" width="51.33203125" style="3" customWidth="1"/>
    <col min="3" max="3" width="46.6640625" style="3" customWidth="1"/>
    <col min="4" max="4" width="8.6640625" style="3" customWidth="1"/>
    <col min="5" max="5" width="53" style="3" customWidth="1"/>
    <col min="6" max="9" width="8.6640625" style="3" customWidth="1"/>
    <col min="10" max="16384" width="9.33203125" style="3"/>
  </cols>
  <sheetData>
    <row r="1" spans="1:9" ht="17.399999999999999">
      <c r="A1" s="546" t="s">
        <v>69</v>
      </c>
      <c r="B1" s="546"/>
      <c r="C1" s="546"/>
      <c r="D1" s="11"/>
      <c r="E1" s="11"/>
      <c r="F1" s="11"/>
    </row>
    <row r="2" spans="1:9" ht="25.2" customHeight="1">
      <c r="A2" s="547" t="s">
        <v>63</v>
      </c>
      <c r="B2" s="547"/>
      <c r="C2" s="547"/>
      <c r="D2" s="11"/>
      <c r="E2" s="11"/>
      <c r="F2" s="11"/>
    </row>
    <row r="3" spans="1:9" ht="20.399999999999999" customHeight="1">
      <c r="A3" s="122" t="s">
        <v>70</v>
      </c>
      <c r="B3" s="522" t="s">
        <v>71</v>
      </c>
      <c r="C3" s="123" t="s">
        <v>0</v>
      </c>
    </row>
    <row r="4" spans="1:9" ht="16.2" customHeight="1">
      <c r="A4" s="107" t="s">
        <v>72</v>
      </c>
      <c r="B4" s="425" t="s">
        <v>63</v>
      </c>
      <c r="C4" s="107"/>
    </row>
    <row r="5" spans="1:9" ht="16.2" customHeight="1">
      <c r="A5" s="107" t="s">
        <v>73</v>
      </c>
      <c r="B5" s="425" t="s">
        <v>74</v>
      </c>
      <c r="C5" s="107"/>
    </row>
    <row r="6" spans="1:9" ht="16.2" customHeight="1">
      <c r="A6" s="330" t="s">
        <v>75</v>
      </c>
      <c r="B6" s="516" t="s">
        <v>76</v>
      </c>
      <c r="C6" s="7"/>
    </row>
    <row r="7" spans="1:9" ht="103.5" customHeight="1">
      <c r="A7" s="107" t="s">
        <v>77</v>
      </c>
      <c r="B7" s="515" t="s">
        <v>78</v>
      </c>
      <c r="C7" s="404" t="s">
        <v>79</v>
      </c>
      <c r="D7" s="46"/>
    </row>
    <row r="8" spans="1:9" ht="97.2" customHeight="1">
      <c r="A8" s="107" t="s">
        <v>80</v>
      </c>
      <c r="B8" s="425"/>
      <c r="C8" s="159" t="s">
        <v>81</v>
      </c>
      <c r="I8" s="4"/>
    </row>
    <row r="9" spans="1:9" ht="39.75" customHeight="1">
      <c r="A9" s="124" t="s">
        <v>82</v>
      </c>
      <c r="B9" s="125">
        <v>40950</v>
      </c>
      <c r="C9" s="391" t="s">
        <v>83</v>
      </c>
      <c r="E9" s="68"/>
    </row>
    <row r="10" spans="1:9" ht="26.4">
      <c r="A10" s="124" t="s">
        <v>84</v>
      </c>
      <c r="B10" s="126" t="s">
        <v>85</v>
      </c>
      <c r="C10" s="391" t="s">
        <v>86</v>
      </c>
    </row>
    <row r="11" spans="1:9" ht="30" customHeight="1">
      <c r="A11" s="127" t="s">
        <v>87</v>
      </c>
      <c r="B11" s="515">
        <v>3</v>
      </c>
      <c r="C11" s="391" t="s">
        <v>88</v>
      </c>
    </row>
    <row r="12" spans="1:9" ht="30.6" customHeight="1">
      <c r="A12" s="127" t="s">
        <v>89</v>
      </c>
      <c r="B12" s="425" t="s">
        <v>90</v>
      </c>
      <c r="C12" s="391" t="s">
        <v>91</v>
      </c>
    </row>
    <row r="13" spans="1:9" ht="37.950000000000003" customHeight="1">
      <c r="A13" s="283" t="s">
        <v>92</v>
      </c>
      <c r="B13" s="282" t="s">
        <v>93</v>
      </c>
      <c r="C13" s="391" t="s">
        <v>94</v>
      </c>
    </row>
    <row r="14" spans="1:9" ht="22.95" customHeight="1">
      <c r="A14" s="284" t="s">
        <v>95</v>
      </c>
      <c r="B14" s="285" t="s">
        <v>96</v>
      </c>
      <c r="C14" s="391" t="s">
        <v>97</v>
      </c>
    </row>
    <row r="15" spans="1:9" ht="33.6" customHeight="1">
      <c r="A15" s="124" t="s">
        <v>98</v>
      </c>
      <c r="B15" s="515" t="s">
        <v>99</v>
      </c>
      <c r="C15" s="391" t="s">
        <v>100</v>
      </c>
    </row>
    <row r="16" spans="1:9" ht="33.75" customHeight="1">
      <c r="A16" s="124" t="s">
        <v>101</v>
      </c>
      <c r="B16" s="425" t="s">
        <v>102</v>
      </c>
      <c r="C16" s="391" t="s">
        <v>100</v>
      </c>
    </row>
    <row r="17" spans="1:5">
      <c r="A17" s="124" t="s">
        <v>103</v>
      </c>
      <c r="B17" s="515" t="s">
        <v>104</v>
      </c>
      <c r="C17" s="391" t="s">
        <v>105</v>
      </c>
    </row>
    <row r="20" spans="1:5" ht="14.7" customHeight="1"/>
    <row r="21" spans="1:5" ht="14.7" customHeight="1">
      <c r="A21" s="92" t="s">
        <v>106</v>
      </c>
      <c r="B21" s="93">
        <v>16716.352877150199</v>
      </c>
    </row>
    <row r="22" spans="1:5">
      <c r="A22" s="92" t="s">
        <v>107</v>
      </c>
      <c r="B22" s="93">
        <v>16716.352877150199</v>
      </c>
    </row>
    <row r="23" spans="1:5" ht="14.7" customHeight="1">
      <c r="A23" s="92" t="s">
        <v>108</v>
      </c>
      <c r="B23" s="93">
        <v>14778.849002142448</v>
      </c>
    </row>
    <row r="24" spans="1:5" ht="14.7" customHeight="1">
      <c r="A24" s="92" t="s">
        <v>109</v>
      </c>
      <c r="B24" s="93">
        <v>0</v>
      </c>
    </row>
    <row r="25" spans="1:5" ht="14.4">
      <c r="A25" s="257"/>
      <c r="B25" s="257"/>
      <c r="C25" s="257"/>
      <c r="D25" s="257"/>
      <c r="E25" s="257"/>
    </row>
    <row r="26" spans="1:5" ht="80.25" customHeight="1">
      <c r="A26" s="256"/>
      <c r="B26" s="256"/>
      <c r="C26" s="256"/>
      <c r="D26" s="256"/>
      <c r="E26" s="256"/>
    </row>
    <row r="27" spans="1:5" ht="50.25" customHeight="1">
      <c r="A27" s="256"/>
      <c r="B27" s="256"/>
      <c r="C27" s="256"/>
      <c r="D27" s="256"/>
      <c r="E27" s="256"/>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filterMode="1"/>
  <dimension ref="A1:V131"/>
  <sheetViews>
    <sheetView zoomScaleNormal="100" workbookViewId="0">
      <pane xSplit="1" topLeftCell="B1" activePane="topRight" state="frozen"/>
      <selection pane="topRight" sqref="A1:M1"/>
    </sheetView>
  </sheetViews>
  <sheetFormatPr defaultColWidth="8.6640625" defaultRowHeight="12.75" customHeight="1"/>
  <cols>
    <col min="1" max="1" width="30.5546875" style="7" customWidth="1"/>
    <col min="2" max="2" width="32.33203125" style="260" customWidth="1"/>
    <col min="3" max="3" width="54.6640625" style="7" customWidth="1"/>
    <col min="4" max="4" width="25.6640625" style="7" customWidth="1"/>
    <col min="5" max="5" width="19" style="7" customWidth="1"/>
    <col min="6" max="6" width="14.6640625" style="7" customWidth="1"/>
    <col min="7" max="7" width="12.6640625" style="7" customWidth="1"/>
    <col min="8" max="8" width="12" style="7" bestFit="1" customWidth="1"/>
    <col min="9" max="10" width="11.33203125" style="7" customWidth="1"/>
    <col min="11" max="11" width="24.109375" style="7" customWidth="1"/>
    <col min="12" max="12" width="34.44140625" style="7" customWidth="1"/>
    <col min="13" max="13" width="21.44140625" style="7" customWidth="1"/>
    <col min="14" max="14" width="12.6640625" style="7" customWidth="1"/>
    <col min="15" max="15" width="25.33203125" style="7" customWidth="1"/>
    <col min="16" max="16" width="22.33203125" style="7" bestFit="1" customWidth="1"/>
    <col min="17" max="17" width="18.33203125" style="7" customWidth="1"/>
    <col min="18" max="18" width="25.6640625" style="7" customWidth="1"/>
    <col min="19" max="19" width="22.6640625" style="7" customWidth="1"/>
    <col min="20" max="20" width="16.33203125" style="7" customWidth="1"/>
    <col min="21" max="21" width="6.6640625" style="7" bestFit="1" customWidth="1"/>
    <col min="22" max="26" width="17.33203125" style="7" customWidth="1"/>
    <col min="27" max="16383" width="8.6640625" style="7"/>
    <col min="16384" max="16384" width="8.6640625" style="7" bestFit="1" customWidth="1"/>
  </cols>
  <sheetData>
    <row r="1" spans="1:22" ht="25.95" customHeight="1">
      <c r="A1" s="555" t="str">
        <f>"Proposed Layout - "&amp;Prototype!A2</f>
        <v>Proposed Layout - Outpatient</v>
      </c>
      <c r="B1" s="555"/>
      <c r="C1" s="555"/>
      <c r="D1" s="555"/>
      <c r="E1" s="555"/>
      <c r="F1" s="555"/>
      <c r="G1" s="555"/>
      <c r="H1" s="555"/>
      <c r="I1" s="555"/>
      <c r="J1" s="555"/>
      <c r="K1" s="555"/>
      <c r="L1" s="555"/>
      <c r="M1" s="555"/>
    </row>
    <row r="2" spans="1:22" ht="52.8">
      <c r="A2" s="447" t="s">
        <v>110</v>
      </c>
      <c r="B2" s="424" t="s">
        <v>111</v>
      </c>
      <c r="C2" s="94" t="s">
        <v>112</v>
      </c>
      <c r="D2" s="533" t="s">
        <v>113</v>
      </c>
      <c r="E2" s="20" t="s">
        <v>114</v>
      </c>
      <c r="F2" s="102" t="s">
        <v>115</v>
      </c>
      <c r="G2" s="20" t="s">
        <v>116</v>
      </c>
      <c r="H2" s="20" t="s">
        <v>117</v>
      </c>
      <c r="I2" s="89" t="s">
        <v>118</v>
      </c>
      <c r="J2" s="19" t="s">
        <v>119</v>
      </c>
      <c r="K2" s="94" t="s">
        <v>120</v>
      </c>
      <c r="L2" s="392" t="s">
        <v>121</v>
      </c>
      <c r="M2" s="19" t="s">
        <v>62</v>
      </c>
      <c r="O2" s="405"/>
      <c r="P2" s="406"/>
      <c r="Q2" s="406"/>
      <c r="R2" s="406"/>
      <c r="S2" s="407"/>
      <c r="T2" s="407"/>
      <c r="U2" s="407"/>
      <c r="V2" s="408"/>
    </row>
    <row r="3" spans="1:22" ht="17.7" hidden="1" customHeight="1">
      <c r="A3" s="521" t="s">
        <v>63</v>
      </c>
      <c r="B3" s="423" t="s">
        <v>122</v>
      </c>
      <c r="C3" s="50" t="s">
        <v>123</v>
      </c>
      <c r="D3" s="259" t="s">
        <v>124</v>
      </c>
      <c r="E3" s="71" t="s">
        <v>125</v>
      </c>
      <c r="F3" s="50" t="s">
        <v>126</v>
      </c>
      <c r="G3" s="72">
        <f t="shared" ref="G3:G34" si="0">H3/$H$121</f>
        <v>2.6376202803692667E-3</v>
      </c>
      <c r="H3" s="73">
        <v>108</v>
      </c>
      <c r="I3" s="12">
        <v>1080</v>
      </c>
      <c r="J3" s="12">
        <v>1</v>
      </c>
      <c r="K3" s="248">
        <f>ROUND(L3*H3/1000,0)</f>
        <v>1</v>
      </c>
      <c r="L3" s="369">
        <v>5</v>
      </c>
      <c r="M3" s="409"/>
      <c r="O3" s="376"/>
      <c r="P3" s="372"/>
      <c r="Q3" s="372"/>
      <c r="R3" s="372"/>
      <c r="S3" s="373"/>
      <c r="T3" s="373"/>
      <c r="U3" s="373"/>
      <c r="V3" s="375"/>
    </row>
    <row r="4" spans="1:22" ht="17.7" hidden="1" customHeight="1">
      <c r="A4" s="521" t="s">
        <v>63</v>
      </c>
      <c r="B4" s="423" t="s">
        <v>127</v>
      </c>
      <c r="C4" s="50" t="s">
        <v>128</v>
      </c>
      <c r="D4" s="71" t="s">
        <v>129</v>
      </c>
      <c r="E4" s="71" t="s">
        <v>125</v>
      </c>
      <c r="F4" s="50" t="s">
        <v>126</v>
      </c>
      <c r="G4" s="72">
        <f t="shared" si="0"/>
        <v>1.3676549601914717E-3</v>
      </c>
      <c r="H4" s="73">
        <v>56</v>
      </c>
      <c r="I4" s="12">
        <v>560</v>
      </c>
      <c r="J4" s="12">
        <v>1</v>
      </c>
      <c r="K4" s="248">
        <f>ROUND(L4*H4/1000,0)</f>
        <v>0</v>
      </c>
      <c r="L4" s="369">
        <v>5</v>
      </c>
      <c r="M4" s="410"/>
      <c r="O4" s="376"/>
      <c r="P4" s="372"/>
      <c r="Q4" s="372"/>
      <c r="R4" s="372"/>
      <c r="S4" s="373"/>
      <c r="T4" s="373"/>
      <c r="U4" s="373"/>
      <c r="V4" s="375"/>
    </row>
    <row r="5" spans="1:22" ht="17.7" hidden="1" customHeight="1">
      <c r="A5" s="521" t="s">
        <v>63</v>
      </c>
      <c r="B5" s="423" t="s">
        <v>130</v>
      </c>
      <c r="C5" s="50" t="s">
        <v>131</v>
      </c>
      <c r="D5" s="71" t="s">
        <v>129</v>
      </c>
      <c r="E5" s="71" t="s">
        <v>125</v>
      </c>
      <c r="F5" s="50" t="s">
        <v>126</v>
      </c>
      <c r="G5" s="72">
        <f t="shared" si="0"/>
        <v>1.0257412201436038E-2</v>
      </c>
      <c r="H5" s="73">
        <v>420</v>
      </c>
      <c r="I5" s="12">
        <v>4200</v>
      </c>
      <c r="J5" s="12">
        <v>1</v>
      </c>
      <c r="K5" s="248">
        <f t="shared" ref="K5:K7" si="1">ROUND(L5*H5/1000,0)</f>
        <v>14</v>
      </c>
      <c r="L5" s="370">
        <v>33</v>
      </c>
      <c r="M5" s="249"/>
      <c r="O5" s="376"/>
      <c r="P5" s="372"/>
      <c r="Q5" s="372"/>
      <c r="R5" s="372"/>
      <c r="S5" s="373"/>
      <c r="T5" s="373"/>
      <c r="U5" s="373"/>
      <c r="V5" s="375"/>
    </row>
    <row r="6" spans="1:22" ht="17.7" hidden="1" customHeight="1">
      <c r="A6" s="521" t="s">
        <v>63</v>
      </c>
      <c r="B6" s="423" t="s">
        <v>132</v>
      </c>
      <c r="C6" s="50" t="s">
        <v>128</v>
      </c>
      <c r="D6" s="259" t="s">
        <v>124</v>
      </c>
      <c r="E6" s="71" t="s">
        <v>125</v>
      </c>
      <c r="F6" s="50" t="s">
        <v>126</v>
      </c>
      <c r="G6" s="72">
        <f t="shared" si="0"/>
        <v>3.0772236604308112E-3</v>
      </c>
      <c r="H6" s="73">
        <v>126</v>
      </c>
      <c r="I6" s="12">
        <v>1260</v>
      </c>
      <c r="J6" s="12">
        <v>1</v>
      </c>
      <c r="K6" s="248">
        <f t="shared" si="1"/>
        <v>1</v>
      </c>
      <c r="L6" s="369">
        <v>5</v>
      </c>
      <c r="M6" s="410"/>
      <c r="O6" s="376"/>
      <c r="P6" s="372"/>
      <c r="Q6" s="372"/>
      <c r="R6" s="372"/>
      <c r="S6" s="373"/>
      <c r="T6" s="373"/>
      <c r="U6" s="373"/>
      <c r="V6" s="375"/>
    </row>
    <row r="7" spans="1:22" ht="17.7" hidden="1" customHeight="1">
      <c r="A7" s="521" t="s">
        <v>63</v>
      </c>
      <c r="B7" s="423" t="s">
        <v>133</v>
      </c>
      <c r="C7" s="50" t="s">
        <v>128</v>
      </c>
      <c r="D7" s="259" t="s">
        <v>124</v>
      </c>
      <c r="E7" s="71" t="s">
        <v>125</v>
      </c>
      <c r="F7" s="50" t="s">
        <v>126</v>
      </c>
      <c r="G7" s="72">
        <f t="shared" si="0"/>
        <v>4.0296976505641577E-3</v>
      </c>
      <c r="H7" s="73">
        <v>165</v>
      </c>
      <c r="I7" s="12">
        <v>1650</v>
      </c>
      <c r="J7" s="12">
        <v>1</v>
      </c>
      <c r="K7" s="248">
        <f t="shared" si="1"/>
        <v>1</v>
      </c>
      <c r="L7" s="369">
        <v>5</v>
      </c>
      <c r="M7" s="410"/>
      <c r="O7" s="376"/>
      <c r="P7" s="372"/>
      <c r="Q7" s="372"/>
      <c r="R7" s="372"/>
      <c r="S7" s="373"/>
      <c r="T7" s="373"/>
      <c r="U7" s="373"/>
      <c r="V7" s="375"/>
    </row>
    <row r="8" spans="1:22" ht="17.7" hidden="1" customHeight="1">
      <c r="A8" s="521" t="s">
        <v>63</v>
      </c>
      <c r="B8" s="423" t="s">
        <v>134</v>
      </c>
      <c r="C8" s="50" t="s">
        <v>135</v>
      </c>
      <c r="D8" s="71" t="s">
        <v>129</v>
      </c>
      <c r="E8" s="71" t="s">
        <v>136</v>
      </c>
      <c r="F8" s="50" t="s">
        <v>126</v>
      </c>
      <c r="G8" s="72">
        <f t="shared" si="0"/>
        <v>3.0772236604308112E-3</v>
      </c>
      <c r="H8" s="73">
        <v>126</v>
      </c>
      <c r="I8" s="12">
        <v>1260</v>
      </c>
      <c r="J8" s="12">
        <v>1</v>
      </c>
      <c r="K8" s="248">
        <f t="shared" ref="K8:K60" si="2">L8*H8/1000</f>
        <v>0.63</v>
      </c>
      <c r="L8" s="370">
        <v>5</v>
      </c>
      <c r="M8" s="249"/>
      <c r="O8" s="376"/>
      <c r="P8" s="372"/>
      <c r="Q8" s="372"/>
      <c r="R8" s="372"/>
      <c r="S8" s="373"/>
      <c r="T8" s="373"/>
      <c r="U8" s="373"/>
      <c r="V8" s="375"/>
    </row>
    <row r="9" spans="1:22" ht="17.7" hidden="1" customHeight="1">
      <c r="A9" s="521" t="s">
        <v>63</v>
      </c>
      <c r="B9" s="423" t="s">
        <v>137</v>
      </c>
      <c r="C9" s="50" t="s">
        <v>135</v>
      </c>
      <c r="D9" s="71" t="s">
        <v>129</v>
      </c>
      <c r="E9" s="71" t="s">
        <v>136</v>
      </c>
      <c r="F9" s="50" t="s">
        <v>126</v>
      </c>
      <c r="G9" s="72">
        <f t="shared" si="0"/>
        <v>1.0990084501538611E-3</v>
      </c>
      <c r="H9" s="73">
        <v>45</v>
      </c>
      <c r="I9" s="12">
        <v>450</v>
      </c>
      <c r="J9" s="12">
        <v>1</v>
      </c>
      <c r="K9" s="248">
        <f t="shared" si="2"/>
        <v>0.22500000000000001</v>
      </c>
      <c r="L9" s="370">
        <v>5</v>
      </c>
      <c r="M9" s="249"/>
      <c r="O9" s="376"/>
      <c r="P9" s="372"/>
      <c r="Q9" s="372"/>
      <c r="R9" s="372"/>
      <c r="S9" s="373"/>
      <c r="T9" s="373"/>
      <c r="U9" s="373"/>
      <c r="V9" s="375"/>
    </row>
    <row r="10" spans="1:22" ht="17.7" hidden="1" customHeight="1">
      <c r="A10" s="521" t="s">
        <v>63</v>
      </c>
      <c r="B10" s="423" t="s">
        <v>138</v>
      </c>
      <c r="C10" s="393" t="s">
        <v>139</v>
      </c>
      <c r="D10" s="71" t="s">
        <v>129</v>
      </c>
      <c r="E10" s="259" t="s">
        <v>140</v>
      </c>
      <c r="F10" s="50" t="s">
        <v>126</v>
      </c>
      <c r="G10" s="72">
        <f t="shared" si="0"/>
        <v>2.3933961803350753E-3</v>
      </c>
      <c r="H10" s="73">
        <v>98</v>
      </c>
      <c r="I10" s="12">
        <v>980</v>
      </c>
      <c r="J10" s="12">
        <v>1</v>
      </c>
      <c r="K10" s="248">
        <f t="shared" ref="K10:K11" si="3">ROUND(L10*H10/1000,0)</f>
        <v>0</v>
      </c>
      <c r="L10" s="370">
        <v>1.5</v>
      </c>
      <c r="M10" s="249"/>
      <c r="O10" s="376"/>
      <c r="P10" s="372"/>
      <c r="Q10" s="372"/>
      <c r="R10" s="372"/>
      <c r="S10" s="373"/>
      <c r="T10" s="373"/>
      <c r="U10" s="373"/>
      <c r="V10" s="375"/>
    </row>
    <row r="11" spans="1:22" ht="17.7" hidden="1" customHeight="1">
      <c r="A11" s="521" t="s">
        <v>63</v>
      </c>
      <c r="B11" s="423" t="s">
        <v>141</v>
      </c>
      <c r="C11" s="393" t="s">
        <v>139</v>
      </c>
      <c r="D11" s="50" t="s">
        <v>129</v>
      </c>
      <c r="E11" s="545" t="s">
        <v>140</v>
      </c>
      <c r="F11" s="50" t="s">
        <v>126</v>
      </c>
      <c r="G11" s="72">
        <f t="shared" si="0"/>
        <v>2.2224393103111415E-3</v>
      </c>
      <c r="H11" s="73">
        <v>91</v>
      </c>
      <c r="I11" s="12">
        <v>910</v>
      </c>
      <c r="J11" s="12">
        <v>1</v>
      </c>
      <c r="K11" s="248">
        <f t="shared" si="3"/>
        <v>0</v>
      </c>
      <c r="L11" s="370">
        <v>1.5</v>
      </c>
      <c r="M11" s="249"/>
      <c r="O11" s="376"/>
      <c r="P11" s="372"/>
      <c r="Q11" s="372"/>
      <c r="R11" s="372"/>
      <c r="S11" s="373"/>
      <c r="T11" s="373"/>
      <c r="U11" s="373"/>
      <c r="V11" s="375"/>
    </row>
    <row r="12" spans="1:22" ht="17.7" hidden="1" customHeight="1">
      <c r="A12" s="521" t="s">
        <v>63</v>
      </c>
      <c r="B12" s="423" t="s">
        <v>142</v>
      </c>
      <c r="C12" s="50" t="s">
        <v>135</v>
      </c>
      <c r="D12" s="71" t="s">
        <v>129</v>
      </c>
      <c r="E12" s="71" t="s">
        <v>136</v>
      </c>
      <c r="F12" s="50" t="s">
        <v>126</v>
      </c>
      <c r="G12" s="72">
        <f t="shared" si="0"/>
        <v>1.3188101401846333E-3</v>
      </c>
      <c r="H12" s="73">
        <v>54</v>
      </c>
      <c r="I12" s="12">
        <v>540</v>
      </c>
      <c r="J12" s="12">
        <v>1</v>
      </c>
      <c r="K12" s="248">
        <f t="shared" si="2"/>
        <v>0.27</v>
      </c>
      <c r="L12" s="370">
        <v>5</v>
      </c>
      <c r="M12" s="249"/>
      <c r="O12" s="376"/>
      <c r="P12" s="372"/>
      <c r="Q12" s="372"/>
      <c r="R12" s="372"/>
      <c r="S12" s="373"/>
      <c r="T12" s="373"/>
      <c r="U12" s="373"/>
      <c r="V12" s="375"/>
    </row>
    <row r="13" spans="1:22" ht="17.7" hidden="1" customHeight="1">
      <c r="A13" s="521" t="s">
        <v>63</v>
      </c>
      <c r="B13" s="423" t="s">
        <v>143</v>
      </c>
      <c r="C13" s="50" t="s">
        <v>144</v>
      </c>
      <c r="D13" s="71" t="s">
        <v>129</v>
      </c>
      <c r="E13" s="71" t="s">
        <v>125</v>
      </c>
      <c r="F13" s="50" t="s">
        <v>126</v>
      </c>
      <c r="G13" s="72">
        <f t="shared" si="0"/>
        <v>3.4191374004786793E-3</v>
      </c>
      <c r="H13" s="73">
        <v>140</v>
      </c>
      <c r="I13" s="12">
        <v>1400</v>
      </c>
      <c r="J13" s="12">
        <v>1</v>
      </c>
      <c r="K13" s="248">
        <f t="shared" ref="K13" si="4">ROUND(L13*H13/1000,0)</f>
        <v>1</v>
      </c>
      <c r="L13" s="371">
        <v>5</v>
      </c>
      <c r="M13" s="248"/>
      <c r="O13" s="376"/>
      <c r="P13" s="372"/>
      <c r="Q13" s="372"/>
      <c r="R13" s="372"/>
      <c r="S13" s="373"/>
      <c r="T13" s="373"/>
      <c r="U13" s="373"/>
      <c r="V13" s="375"/>
    </row>
    <row r="14" spans="1:22" ht="17.7" hidden="1" customHeight="1">
      <c r="A14" s="521" t="s">
        <v>63</v>
      </c>
      <c r="B14" s="423" t="s">
        <v>145</v>
      </c>
      <c r="C14" s="50" t="s">
        <v>135</v>
      </c>
      <c r="D14" s="71" t="s">
        <v>129</v>
      </c>
      <c r="E14" s="71" t="s">
        <v>136</v>
      </c>
      <c r="F14" s="50" t="s">
        <v>126</v>
      </c>
      <c r="G14" s="72">
        <f t="shared" si="0"/>
        <v>2.7353099203829435E-3</v>
      </c>
      <c r="H14" s="73">
        <v>112</v>
      </c>
      <c r="I14" s="12">
        <v>1120</v>
      </c>
      <c r="J14" s="12">
        <v>1</v>
      </c>
      <c r="K14" s="248">
        <f t="shared" si="2"/>
        <v>0.56000000000000005</v>
      </c>
      <c r="L14" s="370">
        <v>5</v>
      </c>
      <c r="M14" s="249"/>
      <c r="O14" s="376"/>
      <c r="P14" s="372"/>
      <c r="Q14" s="372"/>
      <c r="R14" s="372"/>
      <c r="S14" s="373"/>
      <c r="T14" s="373"/>
      <c r="U14" s="373"/>
      <c r="V14" s="375"/>
    </row>
    <row r="15" spans="1:22" ht="17.7" hidden="1" customHeight="1">
      <c r="A15" s="521" t="s">
        <v>63</v>
      </c>
      <c r="B15" s="423" t="s">
        <v>146</v>
      </c>
      <c r="C15" s="50" t="s">
        <v>147</v>
      </c>
      <c r="D15" s="71" t="s">
        <v>129</v>
      </c>
      <c r="E15" s="71" t="s">
        <v>125</v>
      </c>
      <c r="F15" s="50" t="s">
        <v>126</v>
      </c>
      <c r="G15" s="72">
        <f t="shared" si="0"/>
        <v>1.5190739022126703E-2</v>
      </c>
      <c r="H15" s="73">
        <v>622</v>
      </c>
      <c r="I15" s="12">
        <v>6220</v>
      </c>
      <c r="J15" s="12">
        <v>1</v>
      </c>
      <c r="K15" s="248">
        <f t="shared" ref="K15:K30" si="5">ROUND(L15*H15/1000,0)</f>
        <v>21</v>
      </c>
      <c r="L15" s="370">
        <v>33</v>
      </c>
      <c r="M15" s="249"/>
      <c r="O15" s="376"/>
      <c r="P15" s="372"/>
      <c r="Q15" s="372"/>
      <c r="R15" s="372"/>
      <c r="S15" s="373"/>
      <c r="T15" s="373"/>
      <c r="U15" s="373"/>
      <c r="V15" s="375"/>
    </row>
    <row r="16" spans="1:22" ht="17.7" hidden="1" customHeight="1">
      <c r="A16" s="521" t="s">
        <v>63</v>
      </c>
      <c r="B16" s="423" t="s">
        <v>148</v>
      </c>
      <c r="C16" s="50" t="s">
        <v>144</v>
      </c>
      <c r="D16" s="71" t="s">
        <v>129</v>
      </c>
      <c r="E16" s="71" t="s">
        <v>125</v>
      </c>
      <c r="F16" s="50" t="s">
        <v>126</v>
      </c>
      <c r="G16" s="72">
        <f t="shared" si="0"/>
        <v>5.8613784008205933E-3</v>
      </c>
      <c r="H16" s="73">
        <v>240</v>
      </c>
      <c r="I16" s="12">
        <v>2400</v>
      </c>
      <c r="J16" s="12">
        <v>1</v>
      </c>
      <c r="K16" s="248">
        <f t="shared" si="5"/>
        <v>1</v>
      </c>
      <c r="L16" s="370">
        <v>5</v>
      </c>
      <c r="M16" s="249"/>
      <c r="O16" s="376"/>
      <c r="P16" s="372"/>
      <c r="Q16" s="372"/>
      <c r="R16" s="372"/>
      <c r="S16" s="373"/>
      <c r="T16" s="373"/>
      <c r="U16" s="373"/>
      <c r="V16" s="375"/>
    </row>
    <row r="17" spans="1:22" ht="17.7" customHeight="1">
      <c r="A17" s="521" t="s">
        <v>63</v>
      </c>
      <c r="B17" s="423" t="s">
        <v>149</v>
      </c>
      <c r="C17" s="393" t="s">
        <v>150</v>
      </c>
      <c r="D17" s="71"/>
      <c r="E17" s="71" t="s">
        <v>125</v>
      </c>
      <c r="F17" s="50" t="s">
        <v>126</v>
      </c>
      <c r="G17" s="72">
        <f t="shared" si="0"/>
        <v>1.3188101401846333E-3</v>
      </c>
      <c r="H17" s="73">
        <v>54</v>
      </c>
      <c r="I17" s="12">
        <v>540</v>
      </c>
      <c r="J17" s="12">
        <v>1</v>
      </c>
      <c r="K17" s="248">
        <f t="shared" si="5"/>
        <v>0</v>
      </c>
      <c r="L17" s="370">
        <v>5</v>
      </c>
      <c r="M17" s="249" t="s">
        <v>787</v>
      </c>
      <c r="O17" s="376"/>
      <c r="P17" s="372"/>
      <c r="Q17" s="372"/>
      <c r="R17" s="372"/>
      <c r="S17" s="373"/>
      <c r="T17" s="373"/>
      <c r="U17" s="373"/>
      <c r="V17" s="375"/>
    </row>
    <row r="18" spans="1:22" ht="17.7" hidden="1" customHeight="1">
      <c r="A18" s="521" t="s">
        <v>63</v>
      </c>
      <c r="B18" s="423" t="s">
        <v>151</v>
      </c>
      <c r="C18" s="50" t="s">
        <v>152</v>
      </c>
      <c r="D18" s="71" t="s">
        <v>129</v>
      </c>
      <c r="E18" s="71" t="s">
        <v>125</v>
      </c>
      <c r="F18" s="50" t="s">
        <v>126</v>
      </c>
      <c r="G18" s="72">
        <f t="shared" si="0"/>
        <v>1.6118790602256631E-2</v>
      </c>
      <c r="H18" s="73">
        <v>660</v>
      </c>
      <c r="I18" s="12">
        <v>6600</v>
      </c>
      <c r="J18" s="12">
        <v>1</v>
      </c>
      <c r="K18" s="248">
        <f t="shared" si="5"/>
        <v>7</v>
      </c>
      <c r="L18" s="370">
        <v>10</v>
      </c>
      <c r="M18" s="249"/>
      <c r="O18" s="376"/>
      <c r="P18" s="372"/>
      <c r="Q18" s="372"/>
      <c r="R18" s="372"/>
      <c r="S18" s="373"/>
      <c r="T18" s="373"/>
      <c r="U18" s="373"/>
      <c r="V18" s="375"/>
    </row>
    <row r="19" spans="1:22" ht="17.7" hidden="1" customHeight="1">
      <c r="A19" s="521" t="s">
        <v>63</v>
      </c>
      <c r="B19" s="423" t="s">
        <v>153</v>
      </c>
      <c r="C19" s="50" t="s">
        <v>144</v>
      </c>
      <c r="D19" s="71" t="s">
        <v>129</v>
      </c>
      <c r="E19" s="71" t="s">
        <v>125</v>
      </c>
      <c r="F19" s="50" t="s">
        <v>126</v>
      </c>
      <c r="G19" s="72">
        <f t="shared" si="0"/>
        <v>1.2113515361695892E-2</v>
      </c>
      <c r="H19" s="73">
        <v>496</v>
      </c>
      <c r="I19" s="12">
        <v>4960</v>
      </c>
      <c r="J19" s="12">
        <v>1</v>
      </c>
      <c r="K19" s="248">
        <f t="shared" si="5"/>
        <v>2</v>
      </c>
      <c r="L19" s="370">
        <v>5</v>
      </c>
      <c r="M19" s="249"/>
      <c r="O19" s="376"/>
      <c r="P19" s="372"/>
      <c r="Q19" s="372"/>
      <c r="R19" s="372"/>
      <c r="S19" s="373"/>
      <c r="T19" s="373"/>
      <c r="U19" s="373"/>
      <c r="V19" s="375"/>
    </row>
    <row r="20" spans="1:22" ht="17.7" hidden="1" customHeight="1">
      <c r="A20" s="521" t="s">
        <v>63</v>
      </c>
      <c r="B20" s="423" t="s">
        <v>154</v>
      </c>
      <c r="C20" s="50" t="s">
        <v>155</v>
      </c>
      <c r="D20" s="71" t="s">
        <v>129</v>
      </c>
      <c r="E20" s="71" t="s">
        <v>125</v>
      </c>
      <c r="F20" s="50" t="s">
        <v>126</v>
      </c>
      <c r="G20" s="72">
        <f t="shared" si="0"/>
        <v>8.7920676012308886E-3</v>
      </c>
      <c r="H20" s="73">
        <v>360</v>
      </c>
      <c r="I20" s="12">
        <v>3600</v>
      </c>
      <c r="J20" s="12">
        <v>1</v>
      </c>
      <c r="K20" s="248">
        <f t="shared" si="5"/>
        <v>12</v>
      </c>
      <c r="L20" s="370">
        <v>33</v>
      </c>
      <c r="M20" s="249"/>
      <c r="O20" s="376"/>
      <c r="P20" s="372"/>
      <c r="Q20" s="372"/>
      <c r="R20" s="372"/>
      <c r="S20" s="373"/>
      <c r="T20" s="373"/>
      <c r="U20" s="373"/>
      <c r="V20" s="375"/>
    </row>
    <row r="21" spans="1:22" ht="17.7" hidden="1" customHeight="1">
      <c r="A21" s="521" t="s">
        <v>63</v>
      </c>
      <c r="B21" s="423" t="s">
        <v>156</v>
      </c>
      <c r="C21" s="50" t="s">
        <v>128</v>
      </c>
      <c r="D21" s="71" t="s">
        <v>129</v>
      </c>
      <c r="E21" s="71" t="s">
        <v>125</v>
      </c>
      <c r="F21" s="50" t="s">
        <v>126</v>
      </c>
      <c r="G21" s="72">
        <f t="shared" si="0"/>
        <v>1.3676549601914717E-3</v>
      </c>
      <c r="H21" s="73">
        <v>56</v>
      </c>
      <c r="I21" s="12">
        <v>560</v>
      </c>
      <c r="J21" s="12">
        <v>1</v>
      </c>
      <c r="K21" s="248">
        <f t="shared" si="5"/>
        <v>0</v>
      </c>
      <c r="L21" s="370">
        <v>5</v>
      </c>
      <c r="M21" s="249"/>
      <c r="O21" s="376"/>
      <c r="P21" s="372"/>
      <c r="Q21" s="372"/>
      <c r="R21" s="372"/>
      <c r="S21" s="373"/>
      <c r="T21" s="373"/>
      <c r="U21" s="373"/>
      <c r="V21" s="375"/>
    </row>
    <row r="22" spans="1:22" ht="17.7" hidden="1" customHeight="1">
      <c r="A22" s="521" t="s">
        <v>63</v>
      </c>
      <c r="B22" s="423" t="s">
        <v>157</v>
      </c>
      <c r="C22" s="50" t="s">
        <v>158</v>
      </c>
      <c r="D22" s="71" t="s">
        <v>129</v>
      </c>
      <c r="E22" s="71" t="s">
        <v>125</v>
      </c>
      <c r="F22" s="50" t="s">
        <v>126</v>
      </c>
      <c r="G22" s="72">
        <f t="shared" si="0"/>
        <v>4.1029648805744152E-3</v>
      </c>
      <c r="H22" s="73">
        <v>168</v>
      </c>
      <c r="I22" s="12">
        <v>1680</v>
      </c>
      <c r="J22" s="12">
        <v>1</v>
      </c>
      <c r="K22" s="248">
        <f t="shared" si="5"/>
        <v>1</v>
      </c>
      <c r="L22" s="370">
        <v>5</v>
      </c>
      <c r="M22" s="249"/>
      <c r="O22" s="376"/>
      <c r="P22" s="372"/>
      <c r="Q22" s="372"/>
      <c r="R22" s="372"/>
      <c r="S22" s="373"/>
      <c r="T22" s="373"/>
      <c r="U22" s="373"/>
      <c r="V22" s="375"/>
    </row>
    <row r="23" spans="1:22" ht="17.7" hidden="1" customHeight="1">
      <c r="A23" s="521" t="s">
        <v>63</v>
      </c>
      <c r="B23" s="423" t="s">
        <v>159</v>
      </c>
      <c r="C23" s="50" t="s">
        <v>144</v>
      </c>
      <c r="D23" s="71" t="s">
        <v>129</v>
      </c>
      <c r="E23" s="71" t="s">
        <v>125</v>
      </c>
      <c r="F23" s="50" t="s">
        <v>126</v>
      </c>
      <c r="G23" s="72">
        <f t="shared" si="0"/>
        <v>3.5900942705026132E-3</v>
      </c>
      <c r="H23" s="73">
        <v>147</v>
      </c>
      <c r="I23" s="12">
        <v>1470</v>
      </c>
      <c r="J23" s="12">
        <v>1</v>
      </c>
      <c r="K23" s="248">
        <f t="shared" si="5"/>
        <v>1</v>
      </c>
      <c r="L23" s="370">
        <v>5</v>
      </c>
      <c r="M23" s="249"/>
      <c r="O23" s="376"/>
      <c r="P23" s="372"/>
      <c r="Q23" s="372"/>
      <c r="R23" s="372"/>
      <c r="S23" s="373"/>
      <c r="T23" s="373"/>
      <c r="U23" s="373"/>
      <c r="V23" s="375"/>
    </row>
    <row r="24" spans="1:22" ht="17.7" hidden="1" customHeight="1">
      <c r="A24" s="521" t="s">
        <v>63</v>
      </c>
      <c r="B24" s="423" t="s">
        <v>160</v>
      </c>
      <c r="C24" s="50" t="s">
        <v>158</v>
      </c>
      <c r="D24" s="71" t="s">
        <v>129</v>
      </c>
      <c r="E24" s="71" t="s">
        <v>125</v>
      </c>
      <c r="F24" s="50" t="s">
        <v>126</v>
      </c>
      <c r="G24" s="72">
        <f t="shared" si="0"/>
        <v>1.0745860401504421E-2</v>
      </c>
      <c r="H24" s="73">
        <v>440</v>
      </c>
      <c r="I24" s="12">
        <v>4400</v>
      </c>
      <c r="J24" s="12">
        <v>1</v>
      </c>
      <c r="K24" s="248">
        <f t="shared" si="5"/>
        <v>2</v>
      </c>
      <c r="L24" s="370">
        <v>5</v>
      </c>
      <c r="M24" s="249"/>
      <c r="O24" s="376"/>
      <c r="P24" s="372"/>
      <c r="Q24" s="372"/>
      <c r="R24" s="372"/>
      <c r="S24" s="373"/>
      <c r="T24" s="373"/>
      <c r="U24" s="373"/>
      <c r="V24" s="375"/>
    </row>
    <row r="25" spans="1:22" ht="17.7" customHeight="1">
      <c r="A25" s="521" t="s">
        <v>63</v>
      </c>
      <c r="B25" s="423" t="s">
        <v>161</v>
      </c>
      <c r="C25" s="393" t="s">
        <v>150</v>
      </c>
      <c r="D25" s="71"/>
      <c r="E25" s="71" t="s">
        <v>125</v>
      </c>
      <c r="F25" s="50" t="s">
        <v>126</v>
      </c>
      <c r="G25" s="72">
        <f t="shared" si="0"/>
        <v>1.3188101401846333E-3</v>
      </c>
      <c r="H25" s="73">
        <v>54</v>
      </c>
      <c r="I25" s="12">
        <v>540</v>
      </c>
      <c r="J25" s="12">
        <v>1</v>
      </c>
      <c r="K25" s="248">
        <f t="shared" si="5"/>
        <v>0</v>
      </c>
      <c r="L25" s="370">
        <v>5</v>
      </c>
      <c r="M25" s="249" t="s">
        <v>787</v>
      </c>
      <c r="O25" s="376"/>
      <c r="P25" s="372"/>
      <c r="Q25" s="372"/>
      <c r="R25" s="372"/>
      <c r="S25" s="373"/>
      <c r="T25" s="373"/>
      <c r="U25" s="373"/>
      <c r="V25" s="375"/>
    </row>
    <row r="26" spans="1:22" ht="17.7" hidden="1" customHeight="1">
      <c r="A26" s="521" t="s">
        <v>63</v>
      </c>
      <c r="B26" s="423" t="s">
        <v>162</v>
      </c>
      <c r="C26" s="394" t="s">
        <v>163</v>
      </c>
      <c r="D26" s="71" t="s">
        <v>129</v>
      </c>
      <c r="E26" s="71" t="s">
        <v>125</v>
      </c>
      <c r="F26" s="50" t="s">
        <v>126</v>
      </c>
      <c r="G26" s="72">
        <f t="shared" si="0"/>
        <v>4.4448786206222829E-3</v>
      </c>
      <c r="H26" s="73">
        <v>182</v>
      </c>
      <c r="I26" s="12">
        <v>1820</v>
      </c>
      <c r="J26" s="12">
        <v>1</v>
      </c>
      <c r="K26" s="248">
        <f t="shared" si="5"/>
        <v>1</v>
      </c>
      <c r="L26" s="370">
        <v>3</v>
      </c>
      <c r="M26" s="249"/>
      <c r="O26" s="376"/>
      <c r="P26" s="372"/>
      <c r="Q26" s="372"/>
      <c r="R26" s="372"/>
      <c r="S26" s="373"/>
      <c r="T26" s="373"/>
      <c r="U26" s="373"/>
      <c r="V26" s="375"/>
    </row>
    <row r="27" spans="1:22" ht="17.7" hidden="1" customHeight="1">
      <c r="A27" s="521" t="s">
        <v>63</v>
      </c>
      <c r="B27" s="423" t="s">
        <v>164</v>
      </c>
      <c r="C27" s="50" t="s">
        <v>144</v>
      </c>
      <c r="D27" s="71" t="s">
        <v>129</v>
      </c>
      <c r="E27" s="71" t="s">
        <v>125</v>
      </c>
      <c r="F27" s="50" t="s">
        <v>126</v>
      </c>
      <c r="G27" s="72">
        <f t="shared" si="0"/>
        <v>1.2113515361695892E-2</v>
      </c>
      <c r="H27" s="73">
        <v>496</v>
      </c>
      <c r="I27" s="12">
        <v>4960</v>
      </c>
      <c r="J27" s="12">
        <v>1</v>
      </c>
      <c r="K27" s="248">
        <f t="shared" si="5"/>
        <v>2</v>
      </c>
      <c r="L27" s="370">
        <v>5</v>
      </c>
      <c r="M27" s="249"/>
      <c r="O27" s="376"/>
      <c r="P27" s="372"/>
      <c r="Q27" s="372"/>
      <c r="R27" s="372"/>
      <c r="S27" s="373"/>
      <c r="T27" s="373"/>
      <c r="U27" s="373"/>
      <c r="V27" s="375"/>
    </row>
    <row r="28" spans="1:22" ht="17.7" hidden="1" customHeight="1">
      <c r="A28" s="521" t="s">
        <v>63</v>
      </c>
      <c r="B28" s="423" t="s">
        <v>165</v>
      </c>
      <c r="C28" s="50" t="s">
        <v>166</v>
      </c>
      <c r="D28" s="71" t="s">
        <v>129</v>
      </c>
      <c r="E28" s="71" t="s">
        <v>125</v>
      </c>
      <c r="F28" s="50" t="s">
        <v>126</v>
      </c>
      <c r="G28" s="72">
        <f t="shared" si="0"/>
        <v>1.3188101401846333E-3</v>
      </c>
      <c r="H28" s="73">
        <v>54</v>
      </c>
      <c r="I28" s="12">
        <v>540</v>
      </c>
      <c r="J28" s="12">
        <v>1</v>
      </c>
      <c r="K28" s="248">
        <f t="shared" si="5"/>
        <v>0</v>
      </c>
      <c r="L28" s="370">
        <v>2</v>
      </c>
      <c r="M28" s="249"/>
      <c r="O28" s="376"/>
      <c r="P28" s="372"/>
      <c r="Q28" s="372"/>
      <c r="R28" s="372"/>
      <c r="S28" s="373"/>
      <c r="T28" s="373"/>
      <c r="U28" s="373"/>
      <c r="V28" s="375"/>
    </row>
    <row r="29" spans="1:22" ht="17.7" hidden="1" customHeight="1">
      <c r="A29" s="521" t="s">
        <v>63</v>
      </c>
      <c r="B29" s="423" t="s">
        <v>167</v>
      </c>
      <c r="C29" s="50" t="s">
        <v>168</v>
      </c>
      <c r="D29" s="71" t="s">
        <v>129</v>
      </c>
      <c r="E29" s="71" t="s">
        <v>125</v>
      </c>
      <c r="F29" s="50" t="s">
        <v>126</v>
      </c>
      <c r="G29" s="72">
        <f t="shared" si="0"/>
        <v>6.3742490108923949E-3</v>
      </c>
      <c r="H29" s="73">
        <v>261</v>
      </c>
      <c r="I29" s="12">
        <v>2610</v>
      </c>
      <c r="J29" s="12">
        <v>1</v>
      </c>
      <c r="K29" s="248">
        <f t="shared" si="5"/>
        <v>1</v>
      </c>
      <c r="L29" s="370">
        <v>5</v>
      </c>
      <c r="M29" s="249"/>
      <c r="O29" s="376"/>
      <c r="P29" s="372"/>
      <c r="Q29" s="372"/>
      <c r="R29" s="372"/>
      <c r="S29" s="373"/>
      <c r="T29" s="373"/>
      <c r="U29" s="373"/>
      <c r="V29" s="375"/>
    </row>
    <row r="30" spans="1:22" ht="17.7" customHeight="1">
      <c r="A30" s="521" t="s">
        <v>63</v>
      </c>
      <c r="B30" s="423" t="s">
        <v>169</v>
      </c>
      <c r="C30" s="393" t="s">
        <v>150</v>
      </c>
      <c r="D30" s="71"/>
      <c r="E30" s="71" t="s">
        <v>125</v>
      </c>
      <c r="F30" s="50" t="s">
        <v>126</v>
      </c>
      <c r="G30" s="72">
        <f t="shared" si="0"/>
        <v>1.3188101401846333E-3</v>
      </c>
      <c r="H30" s="73">
        <v>54</v>
      </c>
      <c r="I30" s="12">
        <v>540</v>
      </c>
      <c r="J30" s="12">
        <v>1</v>
      </c>
      <c r="K30" s="248">
        <f t="shared" si="5"/>
        <v>0</v>
      </c>
      <c r="L30" s="370">
        <v>5</v>
      </c>
      <c r="M30" s="249" t="s">
        <v>787</v>
      </c>
      <c r="O30" s="376"/>
      <c r="P30" s="372"/>
      <c r="Q30" s="372"/>
      <c r="R30" s="372"/>
      <c r="S30" s="373"/>
      <c r="T30" s="373"/>
      <c r="U30" s="373"/>
      <c r="V30" s="375"/>
    </row>
    <row r="31" spans="1:22" ht="17.7" hidden="1" customHeight="1">
      <c r="A31" s="521" t="s">
        <v>63</v>
      </c>
      <c r="B31" s="423" t="s">
        <v>170</v>
      </c>
      <c r="C31" s="50" t="s">
        <v>171</v>
      </c>
      <c r="D31" s="71" t="s">
        <v>129</v>
      </c>
      <c r="E31" s="71" t="s">
        <v>136</v>
      </c>
      <c r="F31" s="50" t="s">
        <v>126</v>
      </c>
      <c r="G31" s="72">
        <f t="shared" si="0"/>
        <v>1.1796024031651444E-2</v>
      </c>
      <c r="H31" s="73">
        <v>483</v>
      </c>
      <c r="I31" s="12">
        <v>4830</v>
      </c>
      <c r="J31" s="12">
        <v>1</v>
      </c>
      <c r="K31" s="248">
        <f t="shared" si="2"/>
        <v>2.415</v>
      </c>
      <c r="L31" s="370">
        <v>5</v>
      </c>
      <c r="M31" s="249"/>
      <c r="O31" s="376"/>
      <c r="P31" s="372"/>
      <c r="Q31" s="372"/>
      <c r="R31" s="372"/>
      <c r="S31" s="373"/>
      <c r="T31" s="373"/>
      <c r="U31" s="373"/>
      <c r="V31" s="375"/>
    </row>
    <row r="32" spans="1:22" ht="17.7" hidden="1" customHeight="1">
      <c r="A32" s="521" t="s">
        <v>63</v>
      </c>
      <c r="B32" s="423" t="s">
        <v>172</v>
      </c>
      <c r="C32" s="50" t="s">
        <v>173</v>
      </c>
      <c r="D32" s="259" t="s">
        <v>124</v>
      </c>
      <c r="E32" s="71" t="s">
        <v>125</v>
      </c>
      <c r="F32" s="50" t="s">
        <v>126</v>
      </c>
      <c r="G32" s="72">
        <f t="shared" si="0"/>
        <v>1.1234308601572804E-2</v>
      </c>
      <c r="H32" s="73">
        <v>460</v>
      </c>
      <c r="I32" s="12">
        <v>4600</v>
      </c>
      <c r="J32" s="12">
        <v>1</v>
      </c>
      <c r="K32" s="248">
        <f t="shared" ref="K32:K40" si="6">ROUND(L32*H32/1000,0)</f>
        <v>2</v>
      </c>
      <c r="L32" s="370">
        <v>5</v>
      </c>
      <c r="M32" s="249"/>
      <c r="O32" s="376"/>
      <c r="P32" s="372"/>
      <c r="Q32" s="372"/>
      <c r="R32" s="372"/>
      <c r="S32" s="373"/>
      <c r="T32" s="373"/>
      <c r="U32" s="373"/>
      <c r="V32" s="375"/>
    </row>
    <row r="33" spans="1:22" ht="17.7" hidden="1" customHeight="1">
      <c r="A33" s="521" t="s">
        <v>63</v>
      </c>
      <c r="B33" s="423" t="s">
        <v>174</v>
      </c>
      <c r="C33" s="50" t="s">
        <v>173</v>
      </c>
      <c r="D33" s="259" t="s">
        <v>124</v>
      </c>
      <c r="E33" s="71" t="s">
        <v>125</v>
      </c>
      <c r="F33" s="50" t="s">
        <v>126</v>
      </c>
      <c r="G33" s="72">
        <f t="shared" si="0"/>
        <v>1.1722756801641187E-2</v>
      </c>
      <c r="H33" s="73">
        <v>480</v>
      </c>
      <c r="I33" s="12">
        <v>4800</v>
      </c>
      <c r="J33" s="12">
        <v>1</v>
      </c>
      <c r="K33" s="248">
        <f t="shared" si="6"/>
        <v>2</v>
      </c>
      <c r="L33" s="370">
        <v>5</v>
      </c>
      <c r="M33" s="249"/>
      <c r="O33" s="376"/>
      <c r="P33" s="372"/>
      <c r="Q33" s="372"/>
      <c r="R33" s="372"/>
      <c r="S33" s="373"/>
      <c r="T33" s="373"/>
      <c r="U33" s="373"/>
      <c r="V33" s="375"/>
    </row>
    <row r="34" spans="1:22" ht="17.7" hidden="1" customHeight="1">
      <c r="A34" s="521" t="s">
        <v>63</v>
      </c>
      <c r="B34" s="423" t="s">
        <v>175</v>
      </c>
      <c r="C34" s="50" t="s">
        <v>173</v>
      </c>
      <c r="D34" s="259" t="s">
        <v>124</v>
      </c>
      <c r="E34" s="71" t="s">
        <v>125</v>
      </c>
      <c r="F34" s="50" t="s">
        <v>126</v>
      </c>
      <c r="G34" s="72">
        <f t="shared" si="0"/>
        <v>1.1625067161627509E-2</v>
      </c>
      <c r="H34" s="73">
        <v>476</v>
      </c>
      <c r="I34" s="12">
        <v>4760</v>
      </c>
      <c r="J34" s="12">
        <v>1</v>
      </c>
      <c r="K34" s="248">
        <f t="shared" si="6"/>
        <v>2</v>
      </c>
      <c r="L34" s="370">
        <v>5</v>
      </c>
      <c r="M34" s="249"/>
      <c r="O34" s="376"/>
      <c r="P34" s="372"/>
      <c r="Q34" s="372"/>
      <c r="R34" s="372"/>
      <c r="S34" s="373"/>
      <c r="T34" s="373"/>
      <c r="U34" s="373"/>
      <c r="V34" s="375"/>
    </row>
    <row r="35" spans="1:22" ht="17.7" hidden="1" customHeight="1">
      <c r="A35" s="521" t="s">
        <v>63</v>
      </c>
      <c r="B35" s="423" t="s">
        <v>176</v>
      </c>
      <c r="C35" s="50" t="s">
        <v>177</v>
      </c>
      <c r="D35" s="259" t="s">
        <v>124</v>
      </c>
      <c r="E35" s="71" t="s">
        <v>125</v>
      </c>
      <c r="F35" s="50" t="s">
        <v>126</v>
      </c>
      <c r="G35" s="72">
        <f t="shared" ref="G35:G66" si="7">H35/$H$121</f>
        <v>2.6376202803692667E-3</v>
      </c>
      <c r="H35" s="73">
        <v>108</v>
      </c>
      <c r="I35" s="12">
        <v>1080</v>
      </c>
      <c r="J35" s="12">
        <v>1</v>
      </c>
      <c r="K35" s="248">
        <f t="shared" si="6"/>
        <v>1</v>
      </c>
      <c r="L35" s="370">
        <v>5</v>
      </c>
      <c r="M35" s="249"/>
      <c r="O35" s="376"/>
      <c r="P35" s="372"/>
      <c r="Q35" s="372"/>
      <c r="R35" s="372"/>
      <c r="S35" s="373"/>
      <c r="T35" s="373"/>
      <c r="U35" s="373"/>
      <c r="V35" s="375"/>
    </row>
    <row r="36" spans="1:22" ht="17.7" hidden="1" customHeight="1">
      <c r="A36" s="521" t="s">
        <v>63</v>
      </c>
      <c r="B36" s="423" t="s">
        <v>178</v>
      </c>
      <c r="C36" s="50" t="s">
        <v>144</v>
      </c>
      <c r="D36" s="259" t="s">
        <v>124</v>
      </c>
      <c r="E36" s="71" t="s">
        <v>125</v>
      </c>
      <c r="F36" s="50" t="s">
        <v>126</v>
      </c>
      <c r="G36" s="72">
        <f t="shared" si="7"/>
        <v>1.2895032481805305E-2</v>
      </c>
      <c r="H36" s="73">
        <v>528</v>
      </c>
      <c r="I36" s="12">
        <v>5280</v>
      </c>
      <c r="J36" s="12">
        <v>1</v>
      </c>
      <c r="K36" s="248">
        <f t="shared" si="6"/>
        <v>3</v>
      </c>
      <c r="L36" s="370">
        <v>5</v>
      </c>
      <c r="M36" s="249"/>
      <c r="O36" s="376"/>
      <c r="P36" s="372"/>
      <c r="Q36" s="372"/>
      <c r="R36" s="372"/>
      <c r="S36" s="373"/>
      <c r="T36" s="373"/>
      <c r="U36" s="373"/>
      <c r="V36" s="375"/>
    </row>
    <row r="37" spans="1:22" ht="17.7" hidden="1" customHeight="1">
      <c r="A37" s="521" t="s">
        <v>63</v>
      </c>
      <c r="B37" s="423" t="s">
        <v>179</v>
      </c>
      <c r="C37" s="50" t="s">
        <v>180</v>
      </c>
      <c r="D37" s="259" t="s">
        <v>124</v>
      </c>
      <c r="E37" s="71" t="s">
        <v>125</v>
      </c>
      <c r="F37" s="50" t="s">
        <v>126</v>
      </c>
      <c r="G37" s="72">
        <f t="shared" si="7"/>
        <v>4.6158354906462168E-3</v>
      </c>
      <c r="H37" s="73">
        <v>189</v>
      </c>
      <c r="I37" s="12">
        <v>1890</v>
      </c>
      <c r="J37" s="12">
        <v>1</v>
      </c>
      <c r="K37" s="248">
        <f t="shared" si="6"/>
        <v>1</v>
      </c>
      <c r="L37" s="370">
        <v>5</v>
      </c>
      <c r="M37" s="249"/>
      <c r="O37" s="376"/>
      <c r="P37" s="372"/>
      <c r="Q37" s="372"/>
      <c r="R37" s="372"/>
      <c r="S37" s="373"/>
      <c r="T37" s="373"/>
      <c r="U37" s="373"/>
      <c r="V37" s="375"/>
    </row>
    <row r="38" spans="1:22" ht="17.7" hidden="1" customHeight="1">
      <c r="A38" s="521" t="s">
        <v>63</v>
      </c>
      <c r="B38" s="423" t="s">
        <v>181</v>
      </c>
      <c r="C38" s="50" t="s">
        <v>180</v>
      </c>
      <c r="D38" s="259" t="s">
        <v>124</v>
      </c>
      <c r="E38" s="71" t="s">
        <v>125</v>
      </c>
      <c r="F38" s="50" t="s">
        <v>126</v>
      </c>
      <c r="G38" s="72">
        <f t="shared" si="7"/>
        <v>8.2547745811556682E-3</v>
      </c>
      <c r="H38" s="73">
        <v>338</v>
      </c>
      <c r="I38" s="12">
        <v>3380</v>
      </c>
      <c r="J38" s="12">
        <v>1</v>
      </c>
      <c r="K38" s="248">
        <f t="shared" si="6"/>
        <v>2</v>
      </c>
      <c r="L38" s="370">
        <v>5</v>
      </c>
      <c r="M38" s="249"/>
      <c r="O38" s="376"/>
      <c r="P38" s="372"/>
      <c r="Q38" s="372"/>
      <c r="R38" s="372"/>
      <c r="S38" s="373"/>
      <c r="T38" s="373"/>
      <c r="U38" s="373"/>
      <c r="V38" s="375"/>
    </row>
    <row r="39" spans="1:22" ht="17.7" customHeight="1">
      <c r="A39" s="521" t="s">
        <v>63</v>
      </c>
      <c r="B39" s="423" t="s">
        <v>182</v>
      </c>
      <c r="C39" s="393" t="s">
        <v>150</v>
      </c>
      <c r="D39" s="259"/>
      <c r="E39" s="71" t="s">
        <v>125</v>
      </c>
      <c r="F39" s="50" t="s">
        <v>126</v>
      </c>
      <c r="G39" s="72">
        <f t="shared" si="7"/>
        <v>1.3188101401846333E-3</v>
      </c>
      <c r="H39" s="73">
        <v>54</v>
      </c>
      <c r="I39" s="12">
        <v>540</v>
      </c>
      <c r="J39" s="12">
        <v>1</v>
      </c>
      <c r="K39" s="248">
        <f t="shared" si="6"/>
        <v>0</v>
      </c>
      <c r="L39" s="370">
        <v>5</v>
      </c>
      <c r="M39" s="249" t="s">
        <v>787</v>
      </c>
      <c r="O39" s="376"/>
      <c r="P39" s="372"/>
      <c r="Q39" s="372"/>
      <c r="R39" s="372"/>
      <c r="S39" s="373"/>
      <c r="T39" s="373"/>
      <c r="U39" s="373"/>
      <c r="V39" s="375"/>
    </row>
    <row r="40" spans="1:22" ht="17.7" hidden="1" customHeight="1">
      <c r="A40" s="521" t="s">
        <v>63</v>
      </c>
      <c r="B40" s="423" t="s">
        <v>183</v>
      </c>
      <c r="C40" s="50" t="s">
        <v>123</v>
      </c>
      <c r="D40" s="259" t="s">
        <v>124</v>
      </c>
      <c r="E40" s="71" t="s">
        <v>125</v>
      </c>
      <c r="F40" s="50" t="s">
        <v>126</v>
      </c>
      <c r="G40" s="72">
        <f t="shared" si="7"/>
        <v>6.9603868509744539E-3</v>
      </c>
      <c r="H40" s="73">
        <v>285</v>
      </c>
      <c r="I40" s="12">
        <v>2850</v>
      </c>
      <c r="J40" s="12">
        <v>1</v>
      </c>
      <c r="K40" s="248">
        <f t="shared" si="6"/>
        <v>1</v>
      </c>
      <c r="L40" s="370">
        <v>5</v>
      </c>
      <c r="M40" s="249"/>
      <c r="O40" s="376"/>
      <c r="P40" s="372"/>
      <c r="Q40" s="372"/>
      <c r="R40" s="372"/>
      <c r="S40" s="373"/>
      <c r="T40" s="373"/>
      <c r="U40" s="373"/>
      <c r="V40" s="375"/>
    </row>
    <row r="41" spans="1:22" ht="17.7" hidden="1" customHeight="1">
      <c r="A41" s="521" t="s">
        <v>63</v>
      </c>
      <c r="B41" s="423" t="s">
        <v>184</v>
      </c>
      <c r="C41" s="50" t="s">
        <v>185</v>
      </c>
      <c r="D41" s="71" t="s">
        <v>129</v>
      </c>
      <c r="E41" s="71" t="s">
        <v>136</v>
      </c>
      <c r="F41" s="50" t="s">
        <v>126</v>
      </c>
      <c r="G41" s="72">
        <f t="shared" si="7"/>
        <v>1.2431006691740342E-2</v>
      </c>
      <c r="H41" s="73">
        <v>509</v>
      </c>
      <c r="I41" s="12">
        <v>5090</v>
      </c>
      <c r="J41" s="12">
        <v>1</v>
      </c>
      <c r="K41" s="248">
        <f t="shared" si="2"/>
        <v>2.5449999999999999</v>
      </c>
      <c r="L41" s="370">
        <v>5</v>
      </c>
      <c r="M41" s="249"/>
      <c r="O41" s="376"/>
      <c r="P41" s="372"/>
      <c r="Q41" s="372"/>
      <c r="R41" s="372"/>
      <c r="S41" s="373"/>
      <c r="T41" s="373"/>
      <c r="U41" s="373"/>
      <c r="V41" s="375"/>
    </row>
    <row r="42" spans="1:22" ht="17.7" hidden="1" customHeight="1">
      <c r="A42" s="521" t="s">
        <v>63</v>
      </c>
      <c r="B42" s="423" t="s">
        <v>186</v>
      </c>
      <c r="C42" s="50" t="s">
        <v>144</v>
      </c>
      <c r="D42" s="71" t="s">
        <v>129</v>
      </c>
      <c r="E42" s="71" t="s">
        <v>125</v>
      </c>
      <c r="F42" s="50" t="s">
        <v>126</v>
      </c>
      <c r="G42" s="72">
        <f t="shared" si="7"/>
        <v>3.1260684804376494E-3</v>
      </c>
      <c r="H42" s="73">
        <v>128</v>
      </c>
      <c r="I42" s="12">
        <v>1280</v>
      </c>
      <c r="J42" s="12">
        <v>1</v>
      </c>
      <c r="K42" s="248">
        <f t="shared" ref="K42:K43" si="8">ROUND(L42*H42/1000,0)</f>
        <v>1</v>
      </c>
      <c r="L42" s="370">
        <v>5</v>
      </c>
      <c r="M42" s="249"/>
      <c r="O42" s="376"/>
      <c r="P42" s="372"/>
      <c r="Q42" s="372"/>
      <c r="R42" s="372"/>
      <c r="S42" s="373"/>
      <c r="T42" s="373"/>
      <c r="U42" s="373"/>
      <c r="V42" s="375"/>
    </row>
    <row r="43" spans="1:22" ht="17.7" hidden="1" customHeight="1">
      <c r="A43" s="521" t="s">
        <v>63</v>
      </c>
      <c r="B43" s="423" t="s">
        <v>187</v>
      </c>
      <c r="C43" s="50" t="s">
        <v>177</v>
      </c>
      <c r="D43" s="259" t="s">
        <v>124</v>
      </c>
      <c r="E43" s="71" t="s">
        <v>125</v>
      </c>
      <c r="F43" s="50" t="s">
        <v>126</v>
      </c>
      <c r="G43" s="72">
        <f t="shared" si="7"/>
        <v>1.3188101401846335E-2</v>
      </c>
      <c r="H43" s="73">
        <v>540</v>
      </c>
      <c r="I43" s="12">
        <v>5400</v>
      </c>
      <c r="J43" s="12">
        <v>1</v>
      </c>
      <c r="K43" s="248">
        <f t="shared" si="8"/>
        <v>3</v>
      </c>
      <c r="L43" s="370">
        <v>5</v>
      </c>
      <c r="M43" s="249"/>
      <c r="O43" s="376"/>
      <c r="P43" s="372"/>
      <c r="Q43" s="372"/>
      <c r="R43" s="372"/>
      <c r="S43" s="373"/>
      <c r="T43" s="373"/>
      <c r="U43" s="373"/>
      <c r="V43" s="375"/>
    </row>
    <row r="44" spans="1:22" ht="17.7" hidden="1" customHeight="1">
      <c r="A44" s="521" t="s">
        <v>63</v>
      </c>
      <c r="B44" s="423" t="s">
        <v>188</v>
      </c>
      <c r="C44" s="50" t="s">
        <v>135</v>
      </c>
      <c r="D44" s="71" t="s">
        <v>129</v>
      </c>
      <c r="E44" s="71" t="s">
        <v>136</v>
      </c>
      <c r="F44" s="50" t="s">
        <v>126</v>
      </c>
      <c r="G44" s="72">
        <f t="shared" si="7"/>
        <v>2.9062667904068773E-3</v>
      </c>
      <c r="H44" s="73">
        <v>119</v>
      </c>
      <c r="I44" s="12">
        <v>1190</v>
      </c>
      <c r="J44" s="12">
        <v>1</v>
      </c>
      <c r="K44" s="248">
        <f t="shared" si="2"/>
        <v>0.59499999999999997</v>
      </c>
      <c r="L44" s="370">
        <v>5</v>
      </c>
      <c r="M44" s="249"/>
      <c r="O44" s="376"/>
      <c r="P44" s="372"/>
      <c r="Q44" s="372"/>
      <c r="R44" s="372"/>
      <c r="S44" s="373"/>
      <c r="T44" s="373"/>
      <c r="U44" s="373"/>
      <c r="V44" s="375"/>
    </row>
    <row r="45" spans="1:22" ht="17.7" hidden="1" customHeight="1">
      <c r="A45" s="521" t="s">
        <v>63</v>
      </c>
      <c r="B45" s="423" t="s">
        <v>189</v>
      </c>
      <c r="C45" s="50" t="s">
        <v>144</v>
      </c>
      <c r="D45" s="259" t="s">
        <v>124</v>
      </c>
      <c r="E45" s="71" t="s">
        <v>125</v>
      </c>
      <c r="F45" s="50" t="s">
        <v>126</v>
      </c>
      <c r="G45" s="72">
        <f t="shared" si="7"/>
        <v>2.0514824402872076E-3</v>
      </c>
      <c r="H45" s="73">
        <v>84</v>
      </c>
      <c r="I45" s="12">
        <v>840</v>
      </c>
      <c r="J45" s="12">
        <v>1</v>
      </c>
      <c r="K45" s="248">
        <f t="shared" ref="K45:K57" si="9">ROUND(L45*H45/1000,0)</f>
        <v>0</v>
      </c>
      <c r="L45" s="370">
        <v>5</v>
      </c>
      <c r="M45" s="249"/>
      <c r="O45" s="376"/>
      <c r="P45" s="372"/>
      <c r="Q45" s="372"/>
      <c r="R45" s="372"/>
      <c r="S45" s="373"/>
      <c r="T45" s="373"/>
      <c r="U45" s="373"/>
      <c r="V45" s="375"/>
    </row>
    <row r="46" spans="1:22" ht="17.7" hidden="1" customHeight="1">
      <c r="A46" s="521" t="s">
        <v>63</v>
      </c>
      <c r="B46" s="423" t="s">
        <v>190</v>
      </c>
      <c r="C46" s="50" t="s">
        <v>128</v>
      </c>
      <c r="D46" s="71" t="s">
        <v>129</v>
      </c>
      <c r="E46" s="71" t="s">
        <v>125</v>
      </c>
      <c r="F46" s="50" t="s">
        <v>126</v>
      </c>
      <c r="G46" s="72">
        <f t="shared" si="7"/>
        <v>3.0772236604308112E-3</v>
      </c>
      <c r="H46" s="73">
        <v>126</v>
      </c>
      <c r="I46" s="12">
        <v>1260</v>
      </c>
      <c r="J46" s="12">
        <v>1</v>
      </c>
      <c r="K46" s="248">
        <f t="shared" si="9"/>
        <v>1</v>
      </c>
      <c r="L46" s="370">
        <v>5</v>
      </c>
      <c r="M46" s="249"/>
      <c r="O46" s="376"/>
      <c r="P46" s="372"/>
      <c r="Q46" s="372"/>
      <c r="R46" s="372"/>
      <c r="S46" s="373"/>
      <c r="T46" s="373"/>
      <c r="U46" s="373"/>
      <c r="V46" s="375"/>
    </row>
    <row r="47" spans="1:22" ht="17.7" hidden="1" customHeight="1">
      <c r="A47" s="521" t="s">
        <v>63</v>
      </c>
      <c r="B47" s="423" t="s">
        <v>191</v>
      </c>
      <c r="C47" s="50" t="s">
        <v>128</v>
      </c>
      <c r="D47" s="71" t="s">
        <v>129</v>
      </c>
      <c r="E47" s="71" t="s">
        <v>125</v>
      </c>
      <c r="F47" s="50" t="s">
        <v>126</v>
      </c>
      <c r="G47" s="72">
        <f t="shared" si="7"/>
        <v>1.3676549601914717E-3</v>
      </c>
      <c r="H47" s="73">
        <v>56</v>
      </c>
      <c r="I47" s="12">
        <v>560</v>
      </c>
      <c r="J47" s="12">
        <v>1</v>
      </c>
      <c r="K47" s="248">
        <f t="shared" si="9"/>
        <v>0</v>
      </c>
      <c r="L47" s="370">
        <v>5</v>
      </c>
      <c r="M47" s="249"/>
      <c r="O47" s="376"/>
      <c r="P47" s="372"/>
      <c r="Q47" s="372"/>
      <c r="R47" s="372"/>
      <c r="S47" s="373"/>
      <c r="T47" s="373"/>
      <c r="U47" s="373"/>
      <c r="V47" s="375"/>
    </row>
    <row r="48" spans="1:22" ht="17.7" hidden="1" customHeight="1">
      <c r="A48" s="521" t="s">
        <v>63</v>
      </c>
      <c r="B48" s="423" t="s">
        <v>192</v>
      </c>
      <c r="C48" s="50" t="s">
        <v>128</v>
      </c>
      <c r="D48" s="71" t="s">
        <v>129</v>
      </c>
      <c r="E48" s="71" t="s">
        <v>125</v>
      </c>
      <c r="F48" s="50" t="s">
        <v>126</v>
      </c>
      <c r="G48" s="72">
        <f t="shared" si="7"/>
        <v>4.3960338006154443E-3</v>
      </c>
      <c r="H48" s="73">
        <v>180</v>
      </c>
      <c r="I48" s="12">
        <v>1800</v>
      </c>
      <c r="J48" s="12">
        <v>1</v>
      </c>
      <c r="K48" s="248">
        <f t="shared" si="9"/>
        <v>1</v>
      </c>
      <c r="L48" s="370">
        <v>5</v>
      </c>
      <c r="M48" s="249"/>
      <c r="O48" s="376"/>
      <c r="P48" s="372"/>
      <c r="Q48" s="372"/>
      <c r="R48" s="372"/>
      <c r="S48" s="373"/>
      <c r="T48" s="373"/>
      <c r="U48" s="373"/>
      <c r="V48" s="375"/>
    </row>
    <row r="49" spans="1:22" ht="17.7" hidden="1" customHeight="1">
      <c r="A49" s="521" t="s">
        <v>63</v>
      </c>
      <c r="B49" s="423" t="s">
        <v>193</v>
      </c>
      <c r="C49" s="50" t="s">
        <v>177</v>
      </c>
      <c r="D49" s="259" t="s">
        <v>124</v>
      </c>
      <c r="E49" s="71" t="s">
        <v>125</v>
      </c>
      <c r="F49" s="50" t="s">
        <v>126</v>
      </c>
      <c r="G49" s="72">
        <f t="shared" si="7"/>
        <v>7.3267230010257414E-3</v>
      </c>
      <c r="H49" s="73">
        <v>300</v>
      </c>
      <c r="I49" s="12">
        <v>3000</v>
      </c>
      <c r="J49" s="12">
        <v>1</v>
      </c>
      <c r="K49" s="248">
        <f t="shared" si="9"/>
        <v>2</v>
      </c>
      <c r="L49" s="370">
        <v>5</v>
      </c>
      <c r="M49" s="249"/>
      <c r="O49" s="376"/>
      <c r="P49" s="372"/>
      <c r="Q49" s="372"/>
      <c r="R49" s="372"/>
      <c r="S49" s="373"/>
      <c r="T49" s="373"/>
      <c r="U49" s="373"/>
      <c r="V49" s="375"/>
    </row>
    <row r="50" spans="1:22" ht="17.7" hidden="1" customHeight="1">
      <c r="A50" s="521" t="s">
        <v>63</v>
      </c>
      <c r="B50" s="423" t="s">
        <v>194</v>
      </c>
      <c r="C50" s="50" t="s">
        <v>144</v>
      </c>
      <c r="D50" s="259" t="s">
        <v>124</v>
      </c>
      <c r="E50" s="71" t="s">
        <v>125</v>
      </c>
      <c r="F50" s="50" t="s">
        <v>126</v>
      </c>
      <c r="G50" s="72">
        <f t="shared" si="7"/>
        <v>1.5044204562106188E-2</v>
      </c>
      <c r="H50" s="73">
        <v>616</v>
      </c>
      <c r="I50" s="12">
        <v>6160</v>
      </c>
      <c r="J50" s="12">
        <v>1</v>
      </c>
      <c r="K50" s="248">
        <f t="shared" si="9"/>
        <v>3</v>
      </c>
      <c r="L50" s="370">
        <v>5</v>
      </c>
      <c r="M50" s="249"/>
      <c r="O50" s="376"/>
      <c r="P50" s="372"/>
      <c r="Q50" s="372"/>
      <c r="R50" s="372"/>
      <c r="S50" s="373"/>
      <c r="T50" s="373"/>
      <c r="U50" s="373"/>
      <c r="V50" s="375"/>
    </row>
    <row r="51" spans="1:22" ht="17.7" hidden="1" customHeight="1">
      <c r="A51" s="521" t="s">
        <v>63</v>
      </c>
      <c r="B51" s="423" t="s">
        <v>195</v>
      </c>
      <c r="C51" s="50" t="s">
        <v>166</v>
      </c>
      <c r="D51" s="259" t="s">
        <v>124</v>
      </c>
      <c r="E51" s="71" t="s">
        <v>125</v>
      </c>
      <c r="F51" s="50" t="s">
        <v>126</v>
      </c>
      <c r="G51" s="72">
        <f t="shared" si="7"/>
        <v>9.6712743613539785E-3</v>
      </c>
      <c r="H51" s="73">
        <v>396</v>
      </c>
      <c r="I51" s="12">
        <v>3960</v>
      </c>
      <c r="J51" s="12">
        <v>1</v>
      </c>
      <c r="K51" s="248">
        <f t="shared" si="9"/>
        <v>1</v>
      </c>
      <c r="L51" s="370">
        <v>2</v>
      </c>
      <c r="M51" s="249"/>
      <c r="O51" s="376"/>
      <c r="P51" s="372"/>
      <c r="Q51" s="372"/>
      <c r="R51" s="372"/>
      <c r="S51" s="373"/>
      <c r="T51" s="373"/>
      <c r="U51" s="373"/>
      <c r="V51" s="375"/>
    </row>
    <row r="52" spans="1:22" ht="17.7" hidden="1" customHeight="1">
      <c r="A52" s="521" t="s">
        <v>63</v>
      </c>
      <c r="B52" s="423" t="s">
        <v>196</v>
      </c>
      <c r="C52" s="50" t="s">
        <v>166</v>
      </c>
      <c r="D52" s="71" t="s">
        <v>129</v>
      </c>
      <c r="E52" s="71" t="s">
        <v>125</v>
      </c>
      <c r="F52" s="50" t="s">
        <v>126</v>
      </c>
      <c r="G52" s="72">
        <f t="shared" si="7"/>
        <v>2.2468617203145608E-2</v>
      </c>
      <c r="H52" s="73">
        <v>920</v>
      </c>
      <c r="I52" s="12">
        <v>9200</v>
      </c>
      <c r="J52" s="12">
        <v>1</v>
      </c>
      <c r="K52" s="248">
        <f t="shared" si="9"/>
        <v>2</v>
      </c>
      <c r="L52" s="370">
        <v>2</v>
      </c>
      <c r="M52" s="249"/>
      <c r="O52" s="376"/>
      <c r="P52" s="372"/>
      <c r="Q52" s="372"/>
      <c r="R52" s="372"/>
      <c r="S52" s="373"/>
      <c r="T52" s="373"/>
      <c r="U52" s="373"/>
      <c r="V52" s="375"/>
    </row>
    <row r="53" spans="1:22" ht="17.7" hidden="1" customHeight="1">
      <c r="A53" s="521" t="s">
        <v>63</v>
      </c>
      <c r="B53" s="423" t="s">
        <v>197</v>
      </c>
      <c r="C53" s="50" t="s">
        <v>144</v>
      </c>
      <c r="D53" s="259" t="s">
        <v>124</v>
      </c>
      <c r="E53" s="71" t="s">
        <v>125</v>
      </c>
      <c r="F53" s="50" t="s">
        <v>126</v>
      </c>
      <c r="G53" s="72">
        <f t="shared" si="7"/>
        <v>4.7867923606701506E-3</v>
      </c>
      <c r="H53" s="73">
        <v>196</v>
      </c>
      <c r="I53" s="12">
        <v>1960</v>
      </c>
      <c r="J53" s="12">
        <v>1</v>
      </c>
      <c r="K53" s="248">
        <f t="shared" si="9"/>
        <v>1</v>
      </c>
      <c r="L53" s="370">
        <v>5</v>
      </c>
      <c r="M53" s="249"/>
      <c r="O53" s="376"/>
      <c r="P53" s="372"/>
      <c r="Q53" s="372"/>
      <c r="R53" s="372"/>
      <c r="S53" s="373"/>
      <c r="T53" s="373"/>
      <c r="U53" s="373"/>
      <c r="V53" s="375"/>
    </row>
    <row r="54" spans="1:22" ht="17.7" hidden="1" customHeight="1">
      <c r="A54" s="521" t="s">
        <v>63</v>
      </c>
      <c r="B54" s="423" t="s">
        <v>198</v>
      </c>
      <c r="C54" s="50" t="s">
        <v>144</v>
      </c>
      <c r="D54" s="71" t="s">
        <v>129</v>
      </c>
      <c r="E54" s="71" t="s">
        <v>125</v>
      </c>
      <c r="F54" s="50" t="s">
        <v>126</v>
      </c>
      <c r="G54" s="72">
        <f t="shared" si="7"/>
        <v>6.2521369608752988E-3</v>
      </c>
      <c r="H54" s="73">
        <v>256</v>
      </c>
      <c r="I54" s="12">
        <v>2560</v>
      </c>
      <c r="J54" s="12">
        <v>1</v>
      </c>
      <c r="K54" s="248">
        <f t="shared" si="9"/>
        <v>1</v>
      </c>
      <c r="L54" s="370">
        <v>5</v>
      </c>
      <c r="M54" s="249"/>
      <c r="O54" s="376"/>
      <c r="P54" s="372"/>
      <c r="Q54" s="372"/>
      <c r="R54" s="372"/>
      <c r="S54" s="374"/>
      <c r="T54" s="373"/>
      <c r="U54" s="373"/>
      <c r="V54" s="375"/>
    </row>
    <row r="55" spans="1:22" ht="17.7" hidden="1" customHeight="1">
      <c r="A55" s="521" t="s">
        <v>63</v>
      </c>
      <c r="B55" s="423" t="s">
        <v>199</v>
      </c>
      <c r="C55" s="50" t="s">
        <v>166</v>
      </c>
      <c r="D55" s="71" t="s">
        <v>129</v>
      </c>
      <c r="E55" s="71" t="s">
        <v>125</v>
      </c>
      <c r="F55" s="50" t="s">
        <v>126</v>
      </c>
      <c r="G55" s="72">
        <f t="shared" si="7"/>
        <v>1.0257412201436038E-3</v>
      </c>
      <c r="H55" s="73">
        <v>42</v>
      </c>
      <c r="I55" s="12">
        <v>420</v>
      </c>
      <c r="J55" s="12">
        <v>1</v>
      </c>
      <c r="K55" s="248">
        <f t="shared" si="9"/>
        <v>0</v>
      </c>
      <c r="L55" s="370">
        <v>2</v>
      </c>
      <c r="M55" s="249"/>
      <c r="O55" s="376"/>
      <c r="P55" s="372"/>
      <c r="Q55" s="372"/>
      <c r="R55" s="372"/>
      <c r="S55" s="373"/>
      <c r="T55" s="373"/>
      <c r="U55" s="373"/>
      <c r="V55" s="375"/>
    </row>
    <row r="56" spans="1:22" ht="17.7" hidden="1" customHeight="1">
      <c r="A56" s="521" t="s">
        <v>63</v>
      </c>
      <c r="B56" s="423" t="s">
        <v>200</v>
      </c>
      <c r="C56" s="50" t="s">
        <v>166</v>
      </c>
      <c r="D56" s="71" t="s">
        <v>129</v>
      </c>
      <c r="E56" s="71" t="s">
        <v>125</v>
      </c>
      <c r="F56" s="50" t="s">
        <v>126</v>
      </c>
      <c r="G56" s="72">
        <f t="shared" si="7"/>
        <v>8.7920676012308886E-3</v>
      </c>
      <c r="H56" s="73">
        <v>360</v>
      </c>
      <c r="I56" s="12">
        <v>3600</v>
      </c>
      <c r="J56" s="12">
        <v>1</v>
      </c>
      <c r="K56" s="248">
        <f t="shared" si="9"/>
        <v>1</v>
      </c>
      <c r="L56" s="370">
        <v>2</v>
      </c>
      <c r="M56" s="249"/>
      <c r="O56" s="376"/>
      <c r="P56" s="372"/>
      <c r="Q56" s="372"/>
      <c r="R56" s="372"/>
      <c r="S56" s="373"/>
      <c r="T56" s="373"/>
      <c r="U56" s="373"/>
      <c r="V56" s="375"/>
    </row>
    <row r="57" spans="1:22" ht="17.7" hidden="1" customHeight="1">
      <c r="A57" s="521" t="s">
        <v>63</v>
      </c>
      <c r="B57" s="423" t="s">
        <v>201</v>
      </c>
      <c r="C57" s="50" t="s">
        <v>144</v>
      </c>
      <c r="D57" s="71" t="s">
        <v>129</v>
      </c>
      <c r="E57" s="71" t="s">
        <v>125</v>
      </c>
      <c r="F57" s="50" t="s">
        <v>126</v>
      </c>
      <c r="G57" s="72">
        <f t="shared" si="7"/>
        <v>1.7584135202461779E-3</v>
      </c>
      <c r="H57" s="73">
        <v>72</v>
      </c>
      <c r="I57" s="12">
        <v>720</v>
      </c>
      <c r="J57" s="12">
        <v>1</v>
      </c>
      <c r="K57" s="248">
        <f t="shared" si="9"/>
        <v>0</v>
      </c>
      <c r="L57" s="370">
        <v>5</v>
      </c>
      <c r="M57" s="249"/>
      <c r="O57" s="376"/>
      <c r="P57" s="372"/>
      <c r="Q57" s="372"/>
      <c r="R57" s="372"/>
      <c r="S57" s="373"/>
      <c r="T57" s="373"/>
      <c r="U57" s="373"/>
      <c r="V57" s="375"/>
    </row>
    <row r="58" spans="1:22" ht="17.7" hidden="1" customHeight="1">
      <c r="A58" s="521" t="s">
        <v>63</v>
      </c>
      <c r="B58" s="423" t="s">
        <v>202</v>
      </c>
      <c r="C58" s="393" t="s">
        <v>203</v>
      </c>
      <c r="D58" s="71" t="s">
        <v>204</v>
      </c>
      <c r="E58" s="71" t="s">
        <v>136</v>
      </c>
      <c r="F58" s="50" t="s">
        <v>126</v>
      </c>
      <c r="G58" s="72">
        <f t="shared" si="7"/>
        <v>8.2059297611488304E-3</v>
      </c>
      <c r="H58" s="73">
        <v>336</v>
      </c>
      <c r="I58" s="12">
        <v>3360</v>
      </c>
      <c r="J58" s="12">
        <v>1</v>
      </c>
      <c r="K58" s="248">
        <f t="shared" si="2"/>
        <v>11.087999999999999</v>
      </c>
      <c r="L58" s="370">
        <v>33</v>
      </c>
      <c r="M58" s="249"/>
      <c r="O58" s="376"/>
      <c r="P58" s="372"/>
      <c r="Q58" s="372"/>
      <c r="R58" s="372"/>
      <c r="S58" s="373"/>
      <c r="T58" s="373"/>
      <c r="U58" s="373"/>
      <c r="V58" s="375"/>
    </row>
    <row r="59" spans="1:22" ht="17.7" customHeight="1">
      <c r="A59" s="521" t="s">
        <v>63</v>
      </c>
      <c r="B59" s="423" t="s">
        <v>205</v>
      </c>
      <c r="C59" s="393" t="s">
        <v>150</v>
      </c>
      <c r="D59" s="71"/>
      <c r="E59" s="71" t="s">
        <v>125</v>
      </c>
      <c r="F59" s="50" t="s">
        <v>126</v>
      </c>
      <c r="G59" s="72">
        <f t="shared" si="7"/>
        <v>1.5630342402188247E-3</v>
      </c>
      <c r="H59" s="73">
        <v>64</v>
      </c>
      <c r="I59" s="12">
        <v>640</v>
      </c>
      <c r="J59" s="12">
        <v>1</v>
      </c>
      <c r="K59" s="248">
        <f t="shared" ref="K59" si="10">ROUND(L59*H59/1000,0)</f>
        <v>0</v>
      </c>
      <c r="L59" s="370">
        <v>5</v>
      </c>
      <c r="M59" s="249" t="s">
        <v>787</v>
      </c>
      <c r="O59" s="376"/>
      <c r="P59" s="372"/>
      <c r="Q59" s="372"/>
      <c r="R59" s="372"/>
      <c r="S59" s="373"/>
      <c r="T59" s="373"/>
      <c r="U59" s="373"/>
      <c r="V59" s="375"/>
    </row>
    <row r="60" spans="1:22" ht="17.7" hidden="1" customHeight="1">
      <c r="A60" s="521" t="s">
        <v>63</v>
      </c>
      <c r="B60" s="423" t="s">
        <v>206</v>
      </c>
      <c r="C60" s="50" t="s">
        <v>135</v>
      </c>
      <c r="D60" s="71" t="s">
        <v>204</v>
      </c>
      <c r="E60" s="71" t="s">
        <v>136</v>
      </c>
      <c r="F60" s="50" t="s">
        <v>126</v>
      </c>
      <c r="G60" s="72">
        <f t="shared" si="7"/>
        <v>1.7095687002393397E-3</v>
      </c>
      <c r="H60" s="73">
        <v>70</v>
      </c>
      <c r="I60" s="12">
        <v>700</v>
      </c>
      <c r="J60" s="12">
        <v>1</v>
      </c>
      <c r="K60" s="248">
        <f t="shared" si="2"/>
        <v>0.35</v>
      </c>
      <c r="L60" s="370">
        <v>5</v>
      </c>
      <c r="M60" s="249"/>
      <c r="O60" s="376"/>
      <c r="P60" s="372"/>
      <c r="Q60" s="372"/>
      <c r="R60" s="372"/>
      <c r="S60" s="373"/>
      <c r="T60" s="373"/>
      <c r="U60" s="373"/>
      <c r="V60" s="375"/>
    </row>
    <row r="61" spans="1:22" ht="17.7" hidden="1" customHeight="1">
      <c r="A61" s="521" t="s">
        <v>63</v>
      </c>
      <c r="B61" s="423" t="s">
        <v>207</v>
      </c>
      <c r="C61" s="50" t="s">
        <v>123</v>
      </c>
      <c r="D61" s="71" t="s">
        <v>204</v>
      </c>
      <c r="E61" s="71" t="s">
        <v>125</v>
      </c>
      <c r="F61" s="50" t="s">
        <v>126</v>
      </c>
      <c r="G61" s="72">
        <f t="shared" si="7"/>
        <v>8.7920676012308886E-3</v>
      </c>
      <c r="H61" s="73">
        <v>360</v>
      </c>
      <c r="I61" s="12">
        <v>3600</v>
      </c>
      <c r="J61" s="12">
        <v>1</v>
      </c>
      <c r="K61" s="248">
        <f t="shared" ref="K61:K79" si="11">ROUND(L61*H61/1000,0)</f>
        <v>2</v>
      </c>
      <c r="L61" s="370">
        <v>5</v>
      </c>
      <c r="M61" s="249"/>
      <c r="O61" s="376"/>
      <c r="P61" s="372"/>
      <c r="Q61" s="372"/>
      <c r="R61" s="372"/>
      <c r="S61" s="373"/>
      <c r="T61" s="373"/>
      <c r="U61" s="373"/>
      <c r="V61" s="375"/>
    </row>
    <row r="62" spans="1:22" ht="17.7" hidden="1" customHeight="1">
      <c r="A62" s="521" t="s">
        <v>63</v>
      </c>
      <c r="B62" s="423" t="s">
        <v>208</v>
      </c>
      <c r="C62" s="50" t="s">
        <v>123</v>
      </c>
      <c r="D62" s="71" t="s">
        <v>204</v>
      </c>
      <c r="E62" s="71" t="s">
        <v>125</v>
      </c>
      <c r="F62" s="50" t="s">
        <v>126</v>
      </c>
      <c r="G62" s="72">
        <f t="shared" si="7"/>
        <v>1.3188101401846335E-2</v>
      </c>
      <c r="H62" s="73">
        <v>540</v>
      </c>
      <c r="I62" s="12">
        <v>5400</v>
      </c>
      <c r="J62" s="12">
        <v>1</v>
      </c>
      <c r="K62" s="248">
        <f t="shared" si="11"/>
        <v>3</v>
      </c>
      <c r="L62" s="370">
        <v>5</v>
      </c>
      <c r="M62" s="249"/>
      <c r="O62" s="376"/>
      <c r="P62" s="372"/>
      <c r="Q62" s="372"/>
      <c r="R62" s="372"/>
      <c r="S62" s="373"/>
      <c r="T62" s="373"/>
      <c r="U62" s="373"/>
      <c r="V62" s="375"/>
    </row>
    <row r="63" spans="1:22" ht="17.7" hidden="1" customHeight="1">
      <c r="A63" s="521" t="s">
        <v>63</v>
      </c>
      <c r="B63" s="423" t="s">
        <v>209</v>
      </c>
      <c r="C63" s="50" t="s">
        <v>123</v>
      </c>
      <c r="D63" s="71" t="s">
        <v>204</v>
      </c>
      <c r="E63" s="71" t="s">
        <v>125</v>
      </c>
      <c r="F63" s="50" t="s">
        <v>126</v>
      </c>
      <c r="G63" s="72">
        <f t="shared" si="7"/>
        <v>1.7584135202461777E-2</v>
      </c>
      <c r="H63" s="73">
        <v>720</v>
      </c>
      <c r="I63" s="12">
        <v>7200</v>
      </c>
      <c r="J63" s="12">
        <v>1</v>
      </c>
      <c r="K63" s="248">
        <f t="shared" si="11"/>
        <v>4</v>
      </c>
      <c r="L63" s="370">
        <v>5</v>
      </c>
      <c r="M63" s="249"/>
      <c r="O63" s="376"/>
      <c r="P63" s="372"/>
      <c r="Q63" s="372"/>
      <c r="R63" s="372"/>
      <c r="S63" s="373"/>
      <c r="T63" s="373"/>
      <c r="U63" s="373"/>
      <c r="V63" s="375"/>
    </row>
    <row r="64" spans="1:22" ht="17.7" hidden="1" customHeight="1">
      <c r="A64" s="521" t="s">
        <v>63</v>
      </c>
      <c r="B64" s="423" t="s">
        <v>210</v>
      </c>
      <c r="C64" s="50" t="s">
        <v>123</v>
      </c>
      <c r="D64" s="71" t="s">
        <v>204</v>
      </c>
      <c r="E64" s="71" t="s">
        <v>125</v>
      </c>
      <c r="F64" s="50" t="s">
        <v>126</v>
      </c>
      <c r="G64" s="72">
        <f t="shared" si="7"/>
        <v>2.0514824402872076E-3</v>
      </c>
      <c r="H64" s="73">
        <v>84</v>
      </c>
      <c r="I64" s="12">
        <v>840</v>
      </c>
      <c r="J64" s="12">
        <v>1</v>
      </c>
      <c r="K64" s="248">
        <f t="shared" si="11"/>
        <v>0</v>
      </c>
      <c r="L64" s="370">
        <v>5</v>
      </c>
      <c r="M64" s="249"/>
      <c r="O64" s="376"/>
      <c r="P64" s="372"/>
      <c r="Q64" s="372"/>
      <c r="R64" s="372"/>
      <c r="S64" s="373"/>
      <c r="T64" s="373"/>
      <c r="U64" s="373"/>
      <c r="V64" s="375"/>
    </row>
    <row r="65" spans="1:22" ht="17.7" hidden="1" customHeight="1">
      <c r="A65" s="521" t="s">
        <v>63</v>
      </c>
      <c r="B65" s="423" t="s">
        <v>211</v>
      </c>
      <c r="C65" s="50" t="s">
        <v>123</v>
      </c>
      <c r="D65" s="71" t="s">
        <v>204</v>
      </c>
      <c r="E65" s="71" t="s">
        <v>125</v>
      </c>
      <c r="F65" s="50" t="s">
        <v>126</v>
      </c>
      <c r="G65" s="72">
        <f t="shared" si="7"/>
        <v>8.5478435011966981E-3</v>
      </c>
      <c r="H65" s="73">
        <v>350</v>
      </c>
      <c r="I65" s="12">
        <v>3500</v>
      </c>
      <c r="J65" s="12">
        <v>1</v>
      </c>
      <c r="K65" s="248">
        <f t="shared" si="11"/>
        <v>2</v>
      </c>
      <c r="L65" s="370">
        <v>5</v>
      </c>
      <c r="M65" s="249"/>
      <c r="O65" s="376"/>
      <c r="P65" s="372"/>
      <c r="Q65" s="372"/>
      <c r="R65" s="372"/>
      <c r="S65" s="373"/>
      <c r="T65" s="373"/>
      <c r="U65" s="373"/>
      <c r="V65" s="375"/>
    </row>
    <row r="66" spans="1:22" ht="17.7" hidden="1" customHeight="1">
      <c r="A66" s="521" t="s">
        <v>63</v>
      </c>
      <c r="B66" s="423" t="s">
        <v>212</v>
      </c>
      <c r="C66" s="50" t="s">
        <v>123</v>
      </c>
      <c r="D66" s="71" t="s">
        <v>204</v>
      </c>
      <c r="E66" s="71" t="s">
        <v>125</v>
      </c>
      <c r="F66" s="50" t="s">
        <v>126</v>
      </c>
      <c r="G66" s="72">
        <f t="shared" si="7"/>
        <v>5.4950422507693058E-3</v>
      </c>
      <c r="H66" s="73">
        <v>225</v>
      </c>
      <c r="I66" s="12">
        <v>2250</v>
      </c>
      <c r="J66" s="12">
        <v>1</v>
      </c>
      <c r="K66" s="248">
        <f t="shared" si="11"/>
        <v>1</v>
      </c>
      <c r="L66" s="370">
        <v>5</v>
      </c>
      <c r="M66" s="249"/>
      <c r="O66" s="376"/>
      <c r="P66" s="372"/>
      <c r="Q66" s="372"/>
      <c r="R66" s="372"/>
      <c r="S66" s="373"/>
      <c r="T66" s="373"/>
      <c r="U66" s="373"/>
      <c r="V66" s="375"/>
    </row>
    <row r="67" spans="1:22" ht="17.7" hidden="1" customHeight="1">
      <c r="A67" s="521" t="s">
        <v>63</v>
      </c>
      <c r="B67" s="423" t="s">
        <v>213</v>
      </c>
      <c r="C67" s="50" t="s">
        <v>123</v>
      </c>
      <c r="D67" s="71" t="s">
        <v>204</v>
      </c>
      <c r="E67" s="71" t="s">
        <v>125</v>
      </c>
      <c r="F67" s="50" t="s">
        <v>126</v>
      </c>
      <c r="G67" s="72">
        <f t="shared" ref="G67" si="12">H67/$H$121</f>
        <v>1.9342548722707957E-2</v>
      </c>
      <c r="H67" s="73">
        <v>792</v>
      </c>
      <c r="I67" s="12">
        <v>7920</v>
      </c>
      <c r="J67" s="12">
        <v>1</v>
      </c>
      <c r="K67" s="248">
        <f t="shared" si="11"/>
        <v>4</v>
      </c>
      <c r="L67" s="370">
        <v>5</v>
      </c>
      <c r="M67" s="249"/>
      <c r="O67" s="376"/>
      <c r="P67" s="372"/>
      <c r="Q67" s="372"/>
      <c r="R67" s="372"/>
      <c r="S67" s="373"/>
      <c r="T67" s="373"/>
      <c r="U67" s="373"/>
      <c r="V67" s="375"/>
    </row>
    <row r="68" spans="1:22" ht="17.7" hidden="1" customHeight="1">
      <c r="A68" s="521" t="s">
        <v>63</v>
      </c>
      <c r="B68" s="423" t="s">
        <v>214</v>
      </c>
      <c r="C68" s="50" t="s">
        <v>123</v>
      </c>
      <c r="D68" s="71" t="s">
        <v>204</v>
      </c>
      <c r="E68" s="71" t="s">
        <v>125</v>
      </c>
      <c r="F68" s="50" t="s">
        <v>126</v>
      </c>
      <c r="G68" s="72">
        <f t="shared" ref="G68:G120" si="13">H68/$H$121</f>
        <v>6.5940507009231673E-3</v>
      </c>
      <c r="H68" s="73">
        <v>270</v>
      </c>
      <c r="I68" s="12">
        <v>2700</v>
      </c>
      <c r="J68" s="12">
        <v>1</v>
      </c>
      <c r="K68" s="248">
        <f t="shared" si="11"/>
        <v>1</v>
      </c>
      <c r="L68" s="370">
        <v>5</v>
      </c>
      <c r="M68" s="249"/>
      <c r="O68" s="376"/>
      <c r="P68" s="372"/>
      <c r="Q68" s="372"/>
      <c r="R68" s="372"/>
      <c r="S68" s="373"/>
      <c r="T68" s="373"/>
      <c r="U68" s="373"/>
      <c r="V68" s="375"/>
    </row>
    <row r="69" spans="1:22" ht="17.7" hidden="1" customHeight="1">
      <c r="A69" s="521" t="s">
        <v>63</v>
      </c>
      <c r="B69" s="423" t="s">
        <v>215</v>
      </c>
      <c r="C69" s="50" t="s">
        <v>123</v>
      </c>
      <c r="D69" s="71" t="s">
        <v>204</v>
      </c>
      <c r="E69" s="71" t="s">
        <v>125</v>
      </c>
      <c r="F69" s="50" t="s">
        <v>126</v>
      </c>
      <c r="G69" s="72">
        <f t="shared" si="13"/>
        <v>9.6712743613539785E-3</v>
      </c>
      <c r="H69" s="73">
        <v>396</v>
      </c>
      <c r="I69" s="12">
        <v>3960</v>
      </c>
      <c r="J69" s="12">
        <v>1</v>
      </c>
      <c r="K69" s="248">
        <f t="shared" si="11"/>
        <v>2</v>
      </c>
      <c r="L69" s="370">
        <v>5</v>
      </c>
      <c r="M69" s="249"/>
      <c r="O69" s="376"/>
      <c r="P69" s="372"/>
      <c r="Q69" s="372"/>
      <c r="R69" s="372"/>
      <c r="S69" s="373"/>
      <c r="T69" s="373"/>
      <c r="U69" s="373"/>
      <c r="V69" s="375"/>
    </row>
    <row r="70" spans="1:22" ht="17.7" hidden="1" customHeight="1">
      <c r="A70" s="521" t="s">
        <v>63</v>
      </c>
      <c r="B70" s="423" t="s">
        <v>216</v>
      </c>
      <c r="C70" s="50" t="s">
        <v>144</v>
      </c>
      <c r="D70" s="71" t="s">
        <v>204</v>
      </c>
      <c r="E70" s="71" t="s">
        <v>125</v>
      </c>
      <c r="F70" s="50" t="s">
        <v>126</v>
      </c>
      <c r="G70" s="72">
        <f t="shared" si="13"/>
        <v>4.3960338006154443E-3</v>
      </c>
      <c r="H70" s="73">
        <v>180</v>
      </c>
      <c r="I70" s="12">
        <v>1800</v>
      </c>
      <c r="J70" s="12">
        <v>1</v>
      </c>
      <c r="K70" s="248">
        <f t="shared" si="11"/>
        <v>1</v>
      </c>
      <c r="L70" s="370">
        <v>5</v>
      </c>
      <c r="M70" s="249"/>
      <c r="O70" s="376"/>
      <c r="P70" s="372"/>
      <c r="Q70" s="372"/>
      <c r="R70" s="372"/>
      <c r="S70" s="373"/>
      <c r="T70" s="373"/>
      <c r="U70" s="373"/>
      <c r="V70" s="375"/>
    </row>
    <row r="71" spans="1:22" ht="17.7" hidden="1" customHeight="1">
      <c r="A71" s="521" t="s">
        <v>63</v>
      </c>
      <c r="B71" s="423" t="s">
        <v>217</v>
      </c>
      <c r="C71" s="50" t="s">
        <v>144</v>
      </c>
      <c r="D71" s="71" t="s">
        <v>204</v>
      </c>
      <c r="E71" s="71" t="s">
        <v>125</v>
      </c>
      <c r="F71" s="50" t="s">
        <v>126</v>
      </c>
      <c r="G71" s="72">
        <f t="shared" si="13"/>
        <v>4.3960338006154443E-3</v>
      </c>
      <c r="H71" s="73">
        <v>180</v>
      </c>
      <c r="I71" s="12">
        <v>1800</v>
      </c>
      <c r="J71" s="12">
        <v>1</v>
      </c>
      <c r="K71" s="248">
        <f t="shared" si="11"/>
        <v>1</v>
      </c>
      <c r="L71" s="370">
        <v>5</v>
      </c>
      <c r="M71" s="249"/>
      <c r="O71" s="376"/>
      <c r="P71" s="372"/>
      <c r="Q71" s="372"/>
      <c r="R71" s="372"/>
      <c r="S71" s="373"/>
      <c r="T71" s="373"/>
      <c r="U71" s="373"/>
      <c r="V71" s="375"/>
    </row>
    <row r="72" spans="1:22" ht="17.7" hidden="1" customHeight="1">
      <c r="A72" s="521" t="s">
        <v>63</v>
      </c>
      <c r="B72" s="423" t="s">
        <v>218</v>
      </c>
      <c r="C72" s="50" t="s">
        <v>144</v>
      </c>
      <c r="D72" s="71" t="s">
        <v>204</v>
      </c>
      <c r="E72" s="71" t="s">
        <v>125</v>
      </c>
      <c r="F72" s="50" t="s">
        <v>126</v>
      </c>
      <c r="G72" s="72">
        <f t="shared" si="13"/>
        <v>4.3960338006154443E-3</v>
      </c>
      <c r="H72" s="73">
        <v>180</v>
      </c>
      <c r="I72" s="12">
        <v>1800</v>
      </c>
      <c r="J72" s="12">
        <v>1</v>
      </c>
      <c r="K72" s="248">
        <f t="shared" si="11"/>
        <v>1</v>
      </c>
      <c r="L72" s="370">
        <v>5</v>
      </c>
      <c r="M72" s="249"/>
      <c r="O72" s="376"/>
      <c r="P72" s="372"/>
      <c r="Q72" s="372"/>
      <c r="R72" s="372"/>
      <c r="S72" s="373"/>
      <c r="T72" s="373"/>
      <c r="U72" s="373"/>
      <c r="V72" s="375"/>
    </row>
    <row r="73" spans="1:22" ht="17.7" hidden="1" customHeight="1">
      <c r="A73" s="521" t="s">
        <v>63</v>
      </c>
      <c r="B73" s="423" t="s">
        <v>219</v>
      </c>
      <c r="C73" s="50" t="s">
        <v>144</v>
      </c>
      <c r="D73" s="71" t="s">
        <v>204</v>
      </c>
      <c r="E73" s="71" t="s">
        <v>125</v>
      </c>
      <c r="F73" s="50" t="s">
        <v>126</v>
      </c>
      <c r="G73" s="72">
        <f t="shared" si="13"/>
        <v>4.8356371806769893E-3</v>
      </c>
      <c r="H73" s="73">
        <v>198</v>
      </c>
      <c r="I73" s="12">
        <v>1980</v>
      </c>
      <c r="J73" s="12">
        <v>1</v>
      </c>
      <c r="K73" s="248">
        <f t="shared" si="11"/>
        <v>1</v>
      </c>
      <c r="L73" s="370">
        <v>5</v>
      </c>
      <c r="M73" s="249"/>
      <c r="O73" s="376"/>
      <c r="P73" s="372"/>
      <c r="Q73" s="372"/>
      <c r="R73" s="372"/>
      <c r="S73" s="373"/>
      <c r="T73" s="373"/>
      <c r="U73" s="373"/>
      <c r="V73" s="375"/>
    </row>
    <row r="74" spans="1:22" ht="17.7" hidden="1" customHeight="1">
      <c r="A74" s="521" t="s">
        <v>63</v>
      </c>
      <c r="B74" s="423" t="s">
        <v>220</v>
      </c>
      <c r="C74" s="50" t="s">
        <v>144</v>
      </c>
      <c r="D74" s="71" t="s">
        <v>204</v>
      </c>
      <c r="E74" s="71" t="s">
        <v>125</v>
      </c>
      <c r="F74" s="50" t="s">
        <v>126</v>
      </c>
      <c r="G74" s="72">
        <f t="shared" si="13"/>
        <v>4.8356371806769893E-3</v>
      </c>
      <c r="H74" s="73">
        <v>198</v>
      </c>
      <c r="I74" s="12">
        <v>1980</v>
      </c>
      <c r="J74" s="12">
        <v>1</v>
      </c>
      <c r="K74" s="248">
        <f t="shared" si="11"/>
        <v>1</v>
      </c>
      <c r="L74" s="370">
        <v>5</v>
      </c>
      <c r="M74" s="249"/>
      <c r="O74" s="376"/>
      <c r="P74" s="372"/>
      <c r="Q74" s="372"/>
      <c r="R74" s="372"/>
      <c r="S74" s="373"/>
      <c r="T74" s="373"/>
      <c r="U74" s="373"/>
      <c r="V74" s="375"/>
    </row>
    <row r="75" spans="1:22" ht="17.7" hidden="1" customHeight="1">
      <c r="A75" s="521" t="s">
        <v>63</v>
      </c>
      <c r="B75" s="423" t="s">
        <v>221</v>
      </c>
      <c r="C75" s="50" t="s">
        <v>144</v>
      </c>
      <c r="D75" s="71" t="s">
        <v>204</v>
      </c>
      <c r="E75" s="71" t="s">
        <v>125</v>
      </c>
      <c r="F75" s="50" t="s">
        <v>126</v>
      </c>
      <c r="G75" s="72">
        <f t="shared" si="13"/>
        <v>4.8356371806769893E-3</v>
      </c>
      <c r="H75" s="73">
        <v>198</v>
      </c>
      <c r="I75" s="12">
        <v>1980</v>
      </c>
      <c r="J75" s="12">
        <v>1</v>
      </c>
      <c r="K75" s="248">
        <f t="shared" si="11"/>
        <v>1</v>
      </c>
      <c r="L75" s="370">
        <v>5</v>
      </c>
      <c r="M75" s="249"/>
      <c r="O75" s="376"/>
      <c r="P75" s="372"/>
      <c r="Q75" s="372"/>
      <c r="R75" s="372"/>
      <c r="S75" s="373"/>
      <c r="T75" s="373"/>
      <c r="U75" s="373"/>
      <c r="V75" s="375"/>
    </row>
    <row r="76" spans="1:22" ht="17.7" hidden="1" customHeight="1">
      <c r="A76" s="521" t="s">
        <v>63</v>
      </c>
      <c r="B76" s="423" t="s">
        <v>222</v>
      </c>
      <c r="C76" s="50" t="s">
        <v>166</v>
      </c>
      <c r="D76" s="71" t="s">
        <v>204</v>
      </c>
      <c r="E76" s="71" t="s">
        <v>125</v>
      </c>
      <c r="F76" s="50" t="s">
        <v>126</v>
      </c>
      <c r="G76" s="72">
        <f t="shared" si="13"/>
        <v>1.5386118302154056E-3</v>
      </c>
      <c r="H76" s="73">
        <v>63</v>
      </c>
      <c r="I76" s="12">
        <v>630</v>
      </c>
      <c r="J76" s="12">
        <v>1</v>
      </c>
      <c r="K76" s="248">
        <f t="shared" si="11"/>
        <v>0</v>
      </c>
      <c r="L76" s="370">
        <v>2</v>
      </c>
      <c r="M76" s="249"/>
      <c r="O76" s="376"/>
      <c r="P76" s="372"/>
      <c r="Q76" s="372"/>
      <c r="R76" s="372"/>
      <c r="S76" s="373"/>
      <c r="T76" s="373"/>
      <c r="U76" s="373"/>
      <c r="V76" s="375"/>
    </row>
    <row r="77" spans="1:22" ht="17.7" hidden="1" customHeight="1">
      <c r="A77" s="521" t="s">
        <v>63</v>
      </c>
      <c r="B77" s="423" t="s">
        <v>223</v>
      </c>
      <c r="C77" s="50" t="s">
        <v>155</v>
      </c>
      <c r="D77" s="71" t="s">
        <v>204</v>
      </c>
      <c r="E77" s="71" t="s">
        <v>125</v>
      </c>
      <c r="F77" s="50" t="s">
        <v>126</v>
      </c>
      <c r="G77" s="72">
        <f t="shared" si="13"/>
        <v>1.9537928002735308E-3</v>
      </c>
      <c r="H77" s="73">
        <v>80</v>
      </c>
      <c r="I77" s="12">
        <v>800</v>
      </c>
      <c r="J77" s="12">
        <v>1</v>
      </c>
      <c r="K77" s="248">
        <f t="shared" si="11"/>
        <v>3</v>
      </c>
      <c r="L77" s="370">
        <v>33</v>
      </c>
      <c r="M77" s="249"/>
      <c r="O77" s="376"/>
      <c r="P77" s="372"/>
      <c r="Q77" s="372"/>
      <c r="R77" s="372"/>
      <c r="S77" s="373"/>
      <c r="T77" s="373"/>
      <c r="U77" s="373"/>
      <c r="V77" s="375"/>
    </row>
    <row r="78" spans="1:22" ht="17.7" hidden="1" customHeight="1">
      <c r="A78" s="521" t="s">
        <v>63</v>
      </c>
      <c r="B78" s="423" t="s">
        <v>224</v>
      </c>
      <c r="C78" s="50" t="s">
        <v>168</v>
      </c>
      <c r="D78" s="71" t="s">
        <v>204</v>
      </c>
      <c r="E78" s="71" t="s">
        <v>125</v>
      </c>
      <c r="F78" s="50" t="s">
        <v>126</v>
      </c>
      <c r="G78" s="72">
        <f t="shared" si="13"/>
        <v>3.6633615005128707E-3</v>
      </c>
      <c r="H78" s="73">
        <v>150</v>
      </c>
      <c r="I78" s="12">
        <v>1500</v>
      </c>
      <c r="J78" s="12">
        <v>1</v>
      </c>
      <c r="K78" s="248">
        <f t="shared" si="11"/>
        <v>1</v>
      </c>
      <c r="L78" s="370">
        <v>5</v>
      </c>
      <c r="M78" s="249"/>
      <c r="O78" s="376"/>
      <c r="P78" s="372"/>
      <c r="Q78" s="372"/>
      <c r="R78" s="372"/>
      <c r="S78" s="373"/>
      <c r="T78" s="373"/>
      <c r="U78" s="373"/>
      <c r="V78" s="375"/>
    </row>
    <row r="79" spans="1:22" ht="17.7" hidden="1" customHeight="1">
      <c r="A79" s="521" t="s">
        <v>63</v>
      </c>
      <c r="B79" s="423" t="s">
        <v>225</v>
      </c>
      <c r="C79" s="50" t="s">
        <v>168</v>
      </c>
      <c r="D79" s="71" t="s">
        <v>204</v>
      </c>
      <c r="E79" s="71" t="s">
        <v>125</v>
      </c>
      <c r="F79" s="50" t="s">
        <v>126</v>
      </c>
      <c r="G79" s="72">
        <f t="shared" si="13"/>
        <v>4.3960338006154443E-3</v>
      </c>
      <c r="H79" s="73">
        <v>180</v>
      </c>
      <c r="I79" s="12">
        <v>1800</v>
      </c>
      <c r="J79" s="12">
        <v>1</v>
      </c>
      <c r="K79" s="248">
        <f t="shared" si="11"/>
        <v>1</v>
      </c>
      <c r="L79" s="370">
        <v>5</v>
      </c>
      <c r="M79" s="249"/>
      <c r="O79" s="376"/>
      <c r="P79" s="372"/>
      <c r="Q79" s="372"/>
      <c r="R79" s="372"/>
      <c r="S79" s="373"/>
      <c r="T79" s="373"/>
      <c r="U79" s="373"/>
      <c r="V79" s="375"/>
    </row>
    <row r="80" spans="1:22" ht="17.7" hidden="1" customHeight="1">
      <c r="A80" s="521" t="s">
        <v>63</v>
      </c>
      <c r="B80" s="423" t="s">
        <v>226</v>
      </c>
      <c r="C80" s="50" t="s">
        <v>171</v>
      </c>
      <c r="D80" s="71" t="s">
        <v>204</v>
      </c>
      <c r="E80" s="71" t="s">
        <v>136</v>
      </c>
      <c r="F80" s="50" t="s">
        <v>126</v>
      </c>
      <c r="G80" s="72">
        <f t="shared" si="13"/>
        <v>1.3676549601914717E-2</v>
      </c>
      <c r="H80" s="73">
        <v>560</v>
      </c>
      <c r="I80" s="12">
        <v>5600</v>
      </c>
      <c r="J80" s="12">
        <v>1</v>
      </c>
      <c r="K80" s="248">
        <f t="shared" ref="K80:K116" si="14">L80*H80/1000</f>
        <v>2.8</v>
      </c>
      <c r="L80" s="370">
        <v>5</v>
      </c>
      <c r="M80" s="249"/>
      <c r="O80" s="376"/>
      <c r="P80" s="372"/>
      <c r="Q80" s="372"/>
      <c r="R80" s="372"/>
      <c r="S80" s="373"/>
      <c r="T80" s="373"/>
      <c r="U80" s="373"/>
      <c r="V80" s="375"/>
    </row>
    <row r="81" spans="1:22" ht="17.7" hidden="1" customHeight="1">
      <c r="A81" s="521" t="s">
        <v>63</v>
      </c>
      <c r="B81" s="423" t="s">
        <v>227</v>
      </c>
      <c r="C81" s="50" t="s">
        <v>144</v>
      </c>
      <c r="D81" s="71" t="s">
        <v>204</v>
      </c>
      <c r="E81" s="71" t="s">
        <v>125</v>
      </c>
      <c r="F81" s="50" t="s">
        <v>126</v>
      </c>
      <c r="G81" s="72">
        <f t="shared" si="13"/>
        <v>1.0843550041518097E-2</v>
      </c>
      <c r="H81" s="73">
        <v>444</v>
      </c>
      <c r="I81" s="12">
        <v>4440</v>
      </c>
      <c r="J81" s="12">
        <v>1</v>
      </c>
      <c r="K81" s="248">
        <f t="shared" ref="K81" si="15">ROUND(L81*H81/1000,0)</f>
        <v>2</v>
      </c>
      <c r="L81" s="370">
        <v>5</v>
      </c>
      <c r="M81" s="249"/>
      <c r="O81" s="376"/>
      <c r="P81" s="372"/>
      <c r="Q81" s="372"/>
      <c r="R81" s="372"/>
      <c r="S81" s="373"/>
      <c r="T81" s="373"/>
      <c r="U81" s="373"/>
      <c r="V81" s="375"/>
    </row>
    <row r="82" spans="1:22" ht="17.7" hidden="1" customHeight="1">
      <c r="A82" s="521" t="s">
        <v>63</v>
      </c>
      <c r="B82" s="423" t="s">
        <v>228</v>
      </c>
      <c r="C82" s="50" t="s">
        <v>185</v>
      </c>
      <c r="D82" s="71" t="s">
        <v>204</v>
      </c>
      <c r="E82" s="71" t="s">
        <v>136</v>
      </c>
      <c r="F82" s="50" t="s">
        <v>126</v>
      </c>
      <c r="G82" s="72">
        <f t="shared" si="13"/>
        <v>2.403165144336443E-2</v>
      </c>
      <c r="H82" s="73">
        <v>984</v>
      </c>
      <c r="I82" s="12">
        <v>9840</v>
      </c>
      <c r="J82" s="12">
        <v>1</v>
      </c>
      <c r="K82" s="248">
        <f t="shared" si="14"/>
        <v>4.92</v>
      </c>
      <c r="L82" s="370">
        <v>5</v>
      </c>
      <c r="M82" s="249"/>
      <c r="O82" s="376"/>
      <c r="P82" s="372"/>
      <c r="Q82" s="372"/>
      <c r="R82" s="372"/>
      <c r="S82" s="373"/>
      <c r="T82" s="373"/>
      <c r="U82" s="373"/>
      <c r="V82" s="375"/>
    </row>
    <row r="83" spans="1:22" ht="17.7" hidden="1" customHeight="1">
      <c r="A83" s="521" t="s">
        <v>63</v>
      </c>
      <c r="B83" s="423" t="s">
        <v>229</v>
      </c>
      <c r="C83" s="50" t="s">
        <v>144</v>
      </c>
      <c r="D83" s="71" t="s">
        <v>204</v>
      </c>
      <c r="E83" s="71" t="s">
        <v>125</v>
      </c>
      <c r="F83" s="50" t="s">
        <v>126</v>
      </c>
      <c r="G83" s="72">
        <f t="shared" si="13"/>
        <v>1.3774239241928393E-2</v>
      </c>
      <c r="H83" s="73">
        <v>564</v>
      </c>
      <c r="I83" s="12">
        <v>5640</v>
      </c>
      <c r="J83" s="12">
        <v>1</v>
      </c>
      <c r="K83" s="248">
        <f t="shared" ref="K83:K84" si="16">ROUND(L83*H83/1000,0)</f>
        <v>3</v>
      </c>
      <c r="L83" s="370">
        <v>5</v>
      </c>
      <c r="M83" s="249"/>
      <c r="O83" s="376"/>
      <c r="P83" s="372"/>
      <c r="Q83" s="372"/>
      <c r="R83" s="372"/>
      <c r="S83" s="373"/>
      <c r="T83" s="373"/>
      <c r="U83" s="373"/>
      <c r="V83" s="375"/>
    </row>
    <row r="84" spans="1:22" ht="17.7" customHeight="1">
      <c r="A84" s="521" t="s">
        <v>63</v>
      </c>
      <c r="B84" s="423" t="s">
        <v>230</v>
      </c>
      <c r="C84" s="393" t="s">
        <v>150</v>
      </c>
      <c r="D84" s="71"/>
      <c r="E84" s="71" t="s">
        <v>125</v>
      </c>
      <c r="F84" s="50" t="s">
        <v>126</v>
      </c>
      <c r="G84" s="72">
        <f t="shared" si="13"/>
        <v>3.0772236604308112E-3</v>
      </c>
      <c r="H84" s="73">
        <v>126</v>
      </c>
      <c r="I84" s="12">
        <v>1260</v>
      </c>
      <c r="J84" s="12">
        <v>1</v>
      </c>
      <c r="K84" s="248">
        <f t="shared" si="16"/>
        <v>1</v>
      </c>
      <c r="L84" s="370">
        <v>5</v>
      </c>
      <c r="M84" s="249" t="s">
        <v>787</v>
      </c>
      <c r="O84" s="376"/>
      <c r="P84" s="372"/>
      <c r="Q84" s="372"/>
      <c r="R84" s="372"/>
      <c r="S84" s="373"/>
      <c r="T84" s="373"/>
      <c r="U84" s="373"/>
      <c r="V84" s="375"/>
    </row>
    <row r="85" spans="1:22" ht="17.7" hidden="1" customHeight="1">
      <c r="A85" s="521" t="s">
        <v>63</v>
      </c>
      <c r="B85" s="423" t="s">
        <v>231</v>
      </c>
      <c r="C85" s="50" t="s">
        <v>171</v>
      </c>
      <c r="D85" s="71" t="s">
        <v>204</v>
      </c>
      <c r="E85" s="71" t="s">
        <v>136</v>
      </c>
      <c r="F85" s="50" t="s">
        <v>126</v>
      </c>
      <c r="G85" s="72">
        <f t="shared" si="13"/>
        <v>7.9128608411078005E-3</v>
      </c>
      <c r="H85" s="73">
        <v>324</v>
      </c>
      <c r="I85" s="12">
        <v>3240</v>
      </c>
      <c r="J85" s="12">
        <v>1</v>
      </c>
      <c r="K85" s="248">
        <f t="shared" si="14"/>
        <v>1.62</v>
      </c>
      <c r="L85" s="370">
        <v>5</v>
      </c>
      <c r="M85" s="249"/>
      <c r="O85" s="376"/>
      <c r="P85" s="372"/>
      <c r="Q85" s="372"/>
      <c r="R85" s="372"/>
      <c r="S85" s="373"/>
      <c r="T85" s="373"/>
      <c r="U85" s="373"/>
      <c r="V85" s="375"/>
    </row>
    <row r="86" spans="1:22" ht="17.7" hidden="1" customHeight="1">
      <c r="A86" s="521" t="s">
        <v>63</v>
      </c>
      <c r="B86" s="423" t="s">
        <v>232</v>
      </c>
      <c r="C86" s="50" t="s">
        <v>171</v>
      </c>
      <c r="D86" s="71" t="s">
        <v>204</v>
      </c>
      <c r="E86" s="71" t="s">
        <v>136</v>
      </c>
      <c r="F86" s="50" t="s">
        <v>126</v>
      </c>
      <c r="G86" s="72">
        <f t="shared" si="13"/>
        <v>8.3524642211693454E-3</v>
      </c>
      <c r="H86" s="73">
        <v>342</v>
      </c>
      <c r="I86" s="12">
        <v>3420</v>
      </c>
      <c r="J86" s="12">
        <v>1</v>
      </c>
      <c r="K86" s="248">
        <f t="shared" si="14"/>
        <v>1.71</v>
      </c>
      <c r="L86" s="370">
        <v>5</v>
      </c>
      <c r="M86" s="249"/>
      <c r="O86" s="376"/>
      <c r="P86" s="372"/>
      <c r="Q86" s="372"/>
      <c r="R86" s="372"/>
      <c r="S86" s="373"/>
      <c r="T86" s="373"/>
      <c r="U86" s="373"/>
      <c r="V86" s="375"/>
    </row>
    <row r="87" spans="1:22" ht="17.7" hidden="1" customHeight="1">
      <c r="A87" s="521" t="s">
        <v>63</v>
      </c>
      <c r="B87" s="423" t="s">
        <v>233</v>
      </c>
      <c r="C87" s="50" t="s">
        <v>166</v>
      </c>
      <c r="D87" s="71" t="s">
        <v>204</v>
      </c>
      <c r="E87" s="71" t="s">
        <v>125</v>
      </c>
      <c r="F87" s="50" t="s">
        <v>126</v>
      </c>
      <c r="G87" s="72">
        <f t="shared" si="13"/>
        <v>1.3676549601914717E-3</v>
      </c>
      <c r="H87" s="73">
        <v>56</v>
      </c>
      <c r="I87" s="12">
        <v>560</v>
      </c>
      <c r="J87" s="12">
        <v>1</v>
      </c>
      <c r="K87" s="248">
        <f t="shared" ref="K87:K90" si="17">ROUND(L87*H87/1000,0)</f>
        <v>0</v>
      </c>
      <c r="L87" s="370">
        <v>2</v>
      </c>
      <c r="M87" s="249"/>
      <c r="O87" s="376"/>
      <c r="P87" s="372"/>
      <c r="Q87" s="372"/>
      <c r="R87" s="372"/>
      <c r="S87" s="373"/>
      <c r="T87" s="373"/>
      <c r="U87" s="373"/>
      <c r="V87" s="375"/>
    </row>
    <row r="88" spans="1:22" ht="17.7" hidden="1" customHeight="1">
      <c r="A88" s="521" t="s">
        <v>63</v>
      </c>
      <c r="B88" s="423" t="s">
        <v>234</v>
      </c>
      <c r="C88" s="50" t="s">
        <v>166</v>
      </c>
      <c r="D88" s="71" t="s">
        <v>204</v>
      </c>
      <c r="E88" s="71" t="s">
        <v>125</v>
      </c>
      <c r="F88" s="50" t="s">
        <v>126</v>
      </c>
      <c r="G88" s="72">
        <f t="shared" si="13"/>
        <v>2.9306892004102966E-3</v>
      </c>
      <c r="H88" s="73">
        <v>120</v>
      </c>
      <c r="I88" s="12">
        <v>1200</v>
      </c>
      <c r="J88" s="12">
        <v>1</v>
      </c>
      <c r="K88" s="248">
        <f t="shared" si="17"/>
        <v>0</v>
      </c>
      <c r="L88" s="370">
        <v>2</v>
      </c>
      <c r="M88" s="249"/>
      <c r="O88" s="411"/>
      <c r="P88" s="412"/>
      <c r="Q88" s="412"/>
      <c r="R88" s="412"/>
      <c r="S88" s="413"/>
      <c r="T88" s="413"/>
      <c r="U88" s="413"/>
      <c r="V88" s="414"/>
    </row>
    <row r="89" spans="1:22" ht="17.7" hidden="1" customHeight="1">
      <c r="A89" s="521" t="s">
        <v>63</v>
      </c>
      <c r="B89" s="423" t="s">
        <v>235</v>
      </c>
      <c r="C89" s="50" t="s">
        <v>166</v>
      </c>
      <c r="D89" s="71" t="s">
        <v>204</v>
      </c>
      <c r="E89" s="71" t="s">
        <v>125</v>
      </c>
      <c r="F89" s="50" t="s">
        <v>126</v>
      </c>
      <c r="G89" s="72">
        <f t="shared" si="13"/>
        <v>3.5168270404923557E-3</v>
      </c>
      <c r="H89" s="73">
        <v>144</v>
      </c>
      <c r="I89" s="12">
        <v>1440</v>
      </c>
      <c r="J89" s="12">
        <v>1</v>
      </c>
      <c r="K89" s="248">
        <f t="shared" si="17"/>
        <v>0</v>
      </c>
      <c r="L89" s="370">
        <v>2</v>
      </c>
      <c r="M89" s="249"/>
      <c r="O89" s="29"/>
      <c r="P89" s="29"/>
      <c r="Q89" s="29"/>
      <c r="R89" s="29"/>
    </row>
    <row r="90" spans="1:22" ht="17.7" hidden="1" customHeight="1">
      <c r="A90" s="521" t="s">
        <v>63</v>
      </c>
      <c r="B90" s="423" t="s">
        <v>236</v>
      </c>
      <c r="C90" s="50" t="s">
        <v>166</v>
      </c>
      <c r="D90" s="71" t="s">
        <v>204</v>
      </c>
      <c r="E90" s="71" t="s">
        <v>125</v>
      </c>
      <c r="F90" s="50" t="s">
        <v>126</v>
      </c>
      <c r="G90" s="72">
        <f t="shared" si="13"/>
        <v>3.0772236604308112E-3</v>
      </c>
      <c r="H90" s="73">
        <v>126</v>
      </c>
      <c r="I90" s="12">
        <v>1260</v>
      </c>
      <c r="J90" s="12">
        <v>1</v>
      </c>
      <c r="K90" s="248">
        <f t="shared" si="17"/>
        <v>0</v>
      </c>
      <c r="L90" s="370">
        <v>2</v>
      </c>
      <c r="M90" s="249"/>
      <c r="O90" s="29"/>
      <c r="P90" s="29"/>
      <c r="Q90" s="29"/>
      <c r="R90" s="29"/>
    </row>
    <row r="91" spans="1:22" ht="17.7" hidden="1" customHeight="1">
      <c r="A91" s="521" t="s">
        <v>63</v>
      </c>
      <c r="B91" s="423" t="s">
        <v>237</v>
      </c>
      <c r="C91" s="50" t="s">
        <v>171</v>
      </c>
      <c r="D91" s="71" t="s">
        <v>204</v>
      </c>
      <c r="E91" s="71" t="s">
        <v>136</v>
      </c>
      <c r="F91" s="50" t="s">
        <v>126</v>
      </c>
      <c r="G91" s="72">
        <f t="shared" si="13"/>
        <v>4.1273872905778344E-2</v>
      </c>
      <c r="H91" s="73">
        <v>1690</v>
      </c>
      <c r="I91" s="12">
        <v>16900</v>
      </c>
      <c r="J91" s="12">
        <v>1</v>
      </c>
      <c r="K91" s="248">
        <f t="shared" si="14"/>
        <v>8.4499999999999993</v>
      </c>
      <c r="L91" s="370">
        <v>5</v>
      </c>
      <c r="M91" s="249"/>
      <c r="O91" s="29"/>
      <c r="P91" s="29"/>
      <c r="Q91" s="29"/>
      <c r="R91" s="29"/>
    </row>
    <row r="92" spans="1:22" ht="17.7" hidden="1" customHeight="1">
      <c r="A92" s="521" t="s">
        <v>63</v>
      </c>
      <c r="B92" s="423" t="s">
        <v>238</v>
      </c>
      <c r="C92" s="50" t="s">
        <v>144</v>
      </c>
      <c r="D92" s="71" t="s">
        <v>204</v>
      </c>
      <c r="E92" s="71" t="s">
        <v>125</v>
      </c>
      <c r="F92" s="50" t="s">
        <v>126</v>
      </c>
      <c r="G92" s="72">
        <f t="shared" si="13"/>
        <v>2.0368289942851562E-2</v>
      </c>
      <c r="H92" s="73">
        <v>834</v>
      </c>
      <c r="I92" s="12">
        <v>8340</v>
      </c>
      <c r="J92" s="12">
        <v>1</v>
      </c>
      <c r="K92" s="248">
        <f t="shared" ref="K92:K94" si="18">ROUND(L92*H92/1000,0)</f>
        <v>4</v>
      </c>
      <c r="L92" s="370">
        <v>5</v>
      </c>
      <c r="M92" s="249"/>
      <c r="O92" s="29"/>
      <c r="P92" s="29"/>
      <c r="Q92" s="29"/>
      <c r="R92" s="29"/>
    </row>
    <row r="93" spans="1:22" ht="17.7" customHeight="1">
      <c r="A93" s="521" t="s">
        <v>63</v>
      </c>
      <c r="B93" s="423" t="s">
        <v>239</v>
      </c>
      <c r="C93" s="393" t="s">
        <v>150</v>
      </c>
      <c r="D93" s="71"/>
      <c r="E93" s="71" t="s">
        <v>125</v>
      </c>
      <c r="F93" s="50" t="s">
        <v>126</v>
      </c>
      <c r="G93" s="72">
        <f t="shared" si="13"/>
        <v>1.3188101401846333E-3</v>
      </c>
      <c r="H93" s="73">
        <v>54</v>
      </c>
      <c r="I93" s="12">
        <v>540</v>
      </c>
      <c r="J93" s="12">
        <v>1</v>
      </c>
      <c r="K93" s="248">
        <f t="shared" si="18"/>
        <v>0</v>
      </c>
      <c r="L93" s="370">
        <v>5</v>
      </c>
      <c r="M93" s="249" t="s">
        <v>787</v>
      </c>
      <c r="O93" s="29"/>
      <c r="P93" s="29"/>
      <c r="Q93" s="29"/>
      <c r="R93" s="29"/>
    </row>
    <row r="94" spans="1:22" ht="17.7" hidden="1" customHeight="1">
      <c r="A94" s="521" t="s">
        <v>63</v>
      </c>
      <c r="B94" s="423" t="s">
        <v>240</v>
      </c>
      <c r="C94" s="50" t="s">
        <v>158</v>
      </c>
      <c r="D94" s="71" t="s">
        <v>204</v>
      </c>
      <c r="E94" s="71" t="s">
        <v>125</v>
      </c>
      <c r="F94" s="50" t="s">
        <v>126</v>
      </c>
      <c r="G94" s="72">
        <f t="shared" si="13"/>
        <v>2.1980169003077223E-2</v>
      </c>
      <c r="H94" s="73">
        <v>900</v>
      </c>
      <c r="I94" s="12">
        <v>9000</v>
      </c>
      <c r="J94" s="12">
        <v>1</v>
      </c>
      <c r="K94" s="248">
        <f t="shared" si="18"/>
        <v>5</v>
      </c>
      <c r="L94" s="370">
        <v>5</v>
      </c>
      <c r="M94" s="249"/>
      <c r="O94" s="29"/>
      <c r="P94" s="29"/>
      <c r="Q94" s="29"/>
      <c r="R94" s="29"/>
    </row>
    <row r="95" spans="1:22" ht="17.7" hidden="1" customHeight="1">
      <c r="A95" s="521" t="s">
        <v>63</v>
      </c>
      <c r="B95" s="423" t="s">
        <v>241</v>
      </c>
      <c r="C95" s="50" t="s">
        <v>135</v>
      </c>
      <c r="D95" s="71" t="s">
        <v>242</v>
      </c>
      <c r="E95" s="71" t="s">
        <v>136</v>
      </c>
      <c r="F95" s="50" t="s">
        <v>126</v>
      </c>
      <c r="G95" s="72">
        <f t="shared" si="13"/>
        <v>1.0257412201436038E-3</v>
      </c>
      <c r="H95" s="73">
        <v>42</v>
      </c>
      <c r="I95" s="12">
        <v>420</v>
      </c>
      <c r="J95" s="12">
        <v>1</v>
      </c>
      <c r="K95" s="248">
        <f t="shared" si="14"/>
        <v>0.21</v>
      </c>
      <c r="L95" s="370">
        <v>5</v>
      </c>
      <c r="M95" s="249"/>
      <c r="O95" s="29"/>
      <c r="P95" s="29"/>
      <c r="Q95" s="29"/>
      <c r="R95" s="29"/>
    </row>
    <row r="96" spans="1:22" ht="17.7" hidden="1" customHeight="1">
      <c r="A96" s="521" t="s">
        <v>63</v>
      </c>
      <c r="B96" s="423" t="s">
        <v>243</v>
      </c>
      <c r="C96" s="50" t="s">
        <v>144</v>
      </c>
      <c r="D96" s="71" t="s">
        <v>242</v>
      </c>
      <c r="E96" s="71" t="s">
        <v>125</v>
      </c>
      <c r="F96" s="50" t="s">
        <v>126</v>
      </c>
      <c r="G96" s="72">
        <f t="shared" si="13"/>
        <v>9.0362917012650808E-3</v>
      </c>
      <c r="H96" s="73">
        <v>370</v>
      </c>
      <c r="I96" s="12">
        <v>3700</v>
      </c>
      <c r="J96" s="12">
        <v>1</v>
      </c>
      <c r="K96" s="248">
        <f t="shared" ref="K96" si="19">ROUND(L96*H96/1000,0)</f>
        <v>2</v>
      </c>
      <c r="L96" s="370">
        <v>5</v>
      </c>
      <c r="M96" s="249"/>
      <c r="O96" s="29"/>
      <c r="P96" s="29"/>
      <c r="Q96" s="29"/>
      <c r="R96" s="29"/>
    </row>
    <row r="97" spans="1:18" ht="17.7" hidden="1" customHeight="1">
      <c r="A97" s="521" t="s">
        <v>63</v>
      </c>
      <c r="B97" s="423" t="s">
        <v>244</v>
      </c>
      <c r="C97" s="50" t="s">
        <v>135</v>
      </c>
      <c r="D97" s="71" t="s">
        <v>242</v>
      </c>
      <c r="E97" s="71" t="s">
        <v>136</v>
      </c>
      <c r="F97" s="50" t="s">
        <v>126</v>
      </c>
      <c r="G97" s="72">
        <f t="shared" si="13"/>
        <v>2.6376202803692667E-3</v>
      </c>
      <c r="H97" s="73">
        <v>108</v>
      </c>
      <c r="I97" s="12">
        <v>1080</v>
      </c>
      <c r="J97" s="12">
        <v>1</v>
      </c>
      <c r="K97" s="248">
        <f t="shared" si="14"/>
        <v>0.54</v>
      </c>
      <c r="L97" s="370">
        <v>5</v>
      </c>
      <c r="M97" s="249"/>
      <c r="O97" s="29"/>
      <c r="P97" s="29"/>
      <c r="Q97" s="29"/>
      <c r="R97" s="29"/>
    </row>
    <row r="98" spans="1:18" ht="17.7" hidden="1" customHeight="1">
      <c r="A98" s="521" t="s">
        <v>63</v>
      </c>
      <c r="B98" s="423" t="s">
        <v>245</v>
      </c>
      <c r="C98" s="50" t="s">
        <v>166</v>
      </c>
      <c r="D98" s="71" t="s">
        <v>242</v>
      </c>
      <c r="E98" s="71" t="s">
        <v>125</v>
      </c>
      <c r="F98" s="50" t="s">
        <v>126</v>
      </c>
      <c r="G98" s="72">
        <f t="shared" si="13"/>
        <v>1.5386118302154056E-3</v>
      </c>
      <c r="H98" s="73">
        <v>63</v>
      </c>
      <c r="I98" s="12">
        <v>630</v>
      </c>
      <c r="J98" s="12">
        <v>1</v>
      </c>
      <c r="K98" s="248">
        <f t="shared" ref="K98:K103" si="20">ROUND(L98*H98/1000,0)</f>
        <v>0</v>
      </c>
      <c r="L98" s="370">
        <v>2</v>
      </c>
      <c r="M98" s="249"/>
      <c r="O98" s="29"/>
      <c r="P98" s="29"/>
      <c r="Q98" s="29"/>
      <c r="R98" s="29"/>
    </row>
    <row r="99" spans="1:18" ht="17.7" hidden="1" customHeight="1">
      <c r="A99" s="521" t="s">
        <v>63</v>
      </c>
      <c r="B99" s="423" t="s">
        <v>246</v>
      </c>
      <c r="C99" s="50" t="s">
        <v>152</v>
      </c>
      <c r="D99" s="71" t="s">
        <v>242</v>
      </c>
      <c r="E99" s="71" t="s">
        <v>125</v>
      </c>
      <c r="F99" s="50" t="s">
        <v>126</v>
      </c>
      <c r="G99" s="72">
        <f t="shared" si="13"/>
        <v>2.9306892004102966E-3</v>
      </c>
      <c r="H99" s="73">
        <v>120</v>
      </c>
      <c r="I99" s="12">
        <v>1200</v>
      </c>
      <c r="J99" s="12">
        <v>1</v>
      </c>
      <c r="K99" s="248">
        <f t="shared" si="20"/>
        <v>1</v>
      </c>
      <c r="L99" s="370">
        <v>10</v>
      </c>
      <c r="M99" s="249"/>
      <c r="O99" s="29"/>
      <c r="P99" s="29"/>
      <c r="Q99" s="29"/>
      <c r="R99" s="29"/>
    </row>
    <row r="100" spans="1:18" ht="17.7" hidden="1" customHeight="1">
      <c r="A100" s="521" t="s">
        <v>63</v>
      </c>
      <c r="B100" s="423" t="s">
        <v>247</v>
      </c>
      <c r="C100" s="50" t="s">
        <v>155</v>
      </c>
      <c r="D100" s="71" t="s">
        <v>242</v>
      </c>
      <c r="E100" s="71" t="s">
        <v>125</v>
      </c>
      <c r="F100" s="50" t="s">
        <v>126</v>
      </c>
      <c r="G100" s="72">
        <f t="shared" si="13"/>
        <v>1.8536609192595126E-2</v>
      </c>
      <c r="H100" s="73">
        <v>759</v>
      </c>
      <c r="I100" s="12">
        <v>7590</v>
      </c>
      <c r="J100" s="12">
        <v>1</v>
      </c>
      <c r="K100" s="248">
        <f t="shared" si="20"/>
        <v>25</v>
      </c>
      <c r="L100" s="370">
        <v>33</v>
      </c>
      <c r="M100" s="249"/>
      <c r="O100" s="29"/>
      <c r="P100" s="29"/>
      <c r="Q100" s="29"/>
      <c r="R100" s="29"/>
    </row>
    <row r="101" spans="1:18" ht="17.7" customHeight="1">
      <c r="A101" s="521" t="s">
        <v>63</v>
      </c>
      <c r="B101" s="423" t="s">
        <v>248</v>
      </c>
      <c r="C101" s="393" t="s">
        <v>150</v>
      </c>
      <c r="D101" s="71"/>
      <c r="E101" s="71" t="s">
        <v>125</v>
      </c>
      <c r="F101" s="50" t="s">
        <v>126</v>
      </c>
      <c r="G101" s="72">
        <f t="shared" si="13"/>
        <v>4.6891027206564743E-3</v>
      </c>
      <c r="H101" s="73">
        <v>192</v>
      </c>
      <c r="I101" s="12">
        <v>1920</v>
      </c>
      <c r="J101" s="12">
        <v>1</v>
      </c>
      <c r="K101" s="248">
        <f t="shared" si="20"/>
        <v>1</v>
      </c>
      <c r="L101" s="370">
        <v>5</v>
      </c>
      <c r="M101" s="249" t="s">
        <v>787</v>
      </c>
      <c r="O101" s="29"/>
      <c r="P101" s="29"/>
      <c r="Q101" s="29"/>
      <c r="R101" s="29"/>
    </row>
    <row r="102" spans="1:18" ht="17.7" hidden="1" customHeight="1">
      <c r="A102" s="521" t="s">
        <v>63</v>
      </c>
      <c r="B102" s="423" t="s">
        <v>249</v>
      </c>
      <c r="C102" s="393" t="s">
        <v>139</v>
      </c>
      <c r="D102" s="71" t="s">
        <v>242</v>
      </c>
      <c r="E102" s="259" t="s">
        <v>140</v>
      </c>
      <c r="F102" s="50" t="s">
        <v>126</v>
      </c>
      <c r="G102" s="72">
        <f t="shared" si="13"/>
        <v>8.5478435011966981E-3</v>
      </c>
      <c r="H102" s="73">
        <v>350</v>
      </c>
      <c r="I102" s="12">
        <v>3500</v>
      </c>
      <c r="J102" s="12">
        <v>1</v>
      </c>
      <c r="K102" s="248">
        <f>ROUND(L102*H102/1000,0)</f>
        <v>1</v>
      </c>
      <c r="L102" s="370">
        <v>1.5</v>
      </c>
      <c r="M102" s="249"/>
      <c r="O102" s="29"/>
      <c r="P102" s="29"/>
      <c r="Q102" s="29"/>
      <c r="R102" s="29"/>
    </row>
    <row r="103" spans="1:18" ht="17.7" hidden="1" customHeight="1">
      <c r="A103" s="521" t="s">
        <v>63</v>
      </c>
      <c r="B103" s="423" t="s">
        <v>250</v>
      </c>
      <c r="C103" s="50" t="s">
        <v>144</v>
      </c>
      <c r="D103" s="71" t="s">
        <v>242</v>
      </c>
      <c r="E103" s="259" t="s">
        <v>140</v>
      </c>
      <c r="F103" s="50" t="s">
        <v>126</v>
      </c>
      <c r="G103" s="72">
        <f t="shared" si="13"/>
        <v>7.3267230010257414E-3</v>
      </c>
      <c r="H103" s="73">
        <v>300</v>
      </c>
      <c r="I103" s="12">
        <v>3000</v>
      </c>
      <c r="J103" s="12">
        <v>1</v>
      </c>
      <c r="K103" s="248">
        <f t="shared" si="20"/>
        <v>2</v>
      </c>
      <c r="L103" s="370">
        <v>5</v>
      </c>
      <c r="M103" s="249"/>
      <c r="O103" s="29"/>
      <c r="P103" s="29"/>
      <c r="Q103" s="29"/>
      <c r="R103" s="29"/>
    </row>
    <row r="104" spans="1:18" ht="17.7" hidden="1" customHeight="1">
      <c r="A104" s="521" t="s">
        <v>63</v>
      </c>
      <c r="B104" s="423" t="s">
        <v>251</v>
      </c>
      <c r="C104" s="50" t="s">
        <v>171</v>
      </c>
      <c r="D104" s="71" t="s">
        <v>242</v>
      </c>
      <c r="E104" s="71" t="s">
        <v>136</v>
      </c>
      <c r="F104" s="50" t="s">
        <v>126</v>
      </c>
      <c r="G104" s="72">
        <f t="shared" si="13"/>
        <v>7.4146436770380506E-2</v>
      </c>
      <c r="H104" s="73">
        <v>3036</v>
      </c>
      <c r="I104" s="12">
        <v>30360</v>
      </c>
      <c r="J104" s="12">
        <v>1</v>
      </c>
      <c r="K104" s="248">
        <f t="shared" si="14"/>
        <v>15.18</v>
      </c>
      <c r="L104" s="370">
        <v>5</v>
      </c>
      <c r="M104" s="249"/>
      <c r="O104" s="29"/>
      <c r="P104" s="29"/>
      <c r="Q104" s="29"/>
      <c r="R104" s="29"/>
    </row>
    <row r="105" spans="1:18" ht="17.7" hidden="1" customHeight="1">
      <c r="A105" s="521" t="s">
        <v>63</v>
      </c>
      <c r="B105" s="423" t="s">
        <v>252</v>
      </c>
      <c r="C105" s="50" t="s">
        <v>144</v>
      </c>
      <c r="D105" s="71" t="s">
        <v>242</v>
      </c>
      <c r="E105" s="71" t="s">
        <v>125</v>
      </c>
      <c r="F105" s="50" t="s">
        <v>126</v>
      </c>
      <c r="G105" s="72">
        <f t="shared" si="13"/>
        <v>2.0368289942851562E-2</v>
      </c>
      <c r="H105" s="73">
        <v>834</v>
      </c>
      <c r="I105" s="12">
        <v>8340</v>
      </c>
      <c r="J105" s="12">
        <v>1</v>
      </c>
      <c r="K105" s="248">
        <f t="shared" ref="K105:K115" si="21">ROUND(L105*H105/1000,0)</f>
        <v>4</v>
      </c>
      <c r="L105" s="370">
        <v>5</v>
      </c>
      <c r="M105" s="249"/>
      <c r="O105" s="29"/>
      <c r="P105" s="29"/>
      <c r="Q105" s="29"/>
      <c r="R105" s="29"/>
    </row>
    <row r="106" spans="1:18" ht="17.7" customHeight="1">
      <c r="A106" s="521" t="s">
        <v>63</v>
      </c>
      <c r="B106" s="423" t="s">
        <v>253</v>
      </c>
      <c r="C106" s="393" t="s">
        <v>150</v>
      </c>
      <c r="D106" s="71"/>
      <c r="E106" s="71" t="s">
        <v>125</v>
      </c>
      <c r="F106" s="50" t="s">
        <v>126</v>
      </c>
      <c r="G106" s="72">
        <f t="shared" si="13"/>
        <v>1.3188101401846333E-3</v>
      </c>
      <c r="H106" s="73">
        <v>54</v>
      </c>
      <c r="I106" s="12">
        <v>540</v>
      </c>
      <c r="J106" s="12">
        <v>1</v>
      </c>
      <c r="K106" s="248">
        <f t="shared" si="21"/>
        <v>0</v>
      </c>
      <c r="L106" s="370">
        <v>5</v>
      </c>
      <c r="M106" s="249" t="s">
        <v>787</v>
      </c>
      <c r="O106" s="29"/>
      <c r="P106" s="29"/>
      <c r="Q106" s="29"/>
      <c r="R106" s="29"/>
    </row>
    <row r="107" spans="1:18" ht="17.7" hidden="1" customHeight="1">
      <c r="A107" s="521" t="s">
        <v>63</v>
      </c>
      <c r="B107" s="423" t="s">
        <v>254</v>
      </c>
      <c r="C107" s="50" t="s">
        <v>255</v>
      </c>
      <c r="D107" s="71" t="s">
        <v>242</v>
      </c>
      <c r="E107" s="71" t="s">
        <v>125</v>
      </c>
      <c r="F107" s="50" t="s">
        <v>126</v>
      </c>
      <c r="G107" s="72">
        <f t="shared" si="13"/>
        <v>3.1749133004444881E-2</v>
      </c>
      <c r="H107" s="73">
        <v>1300</v>
      </c>
      <c r="I107" s="12">
        <v>13000</v>
      </c>
      <c r="J107" s="12">
        <v>1</v>
      </c>
      <c r="K107" s="248">
        <f t="shared" si="21"/>
        <v>7</v>
      </c>
      <c r="L107" s="370">
        <v>5</v>
      </c>
      <c r="M107" s="249"/>
      <c r="O107" s="29"/>
      <c r="P107" s="29"/>
      <c r="Q107" s="29"/>
      <c r="R107" s="29"/>
    </row>
    <row r="108" spans="1:18" ht="17.7" hidden="1" customHeight="1">
      <c r="A108" s="521" t="s">
        <v>63</v>
      </c>
      <c r="B108" s="423" t="s">
        <v>256</v>
      </c>
      <c r="C108" s="50" t="s">
        <v>255</v>
      </c>
      <c r="D108" s="71" t="s">
        <v>242</v>
      </c>
      <c r="E108" s="71" t="s">
        <v>125</v>
      </c>
      <c r="F108" s="50" t="s">
        <v>126</v>
      </c>
      <c r="G108" s="72">
        <f t="shared" si="13"/>
        <v>1.445806672202413E-2</v>
      </c>
      <c r="H108" s="73">
        <v>592</v>
      </c>
      <c r="I108" s="12">
        <v>5920</v>
      </c>
      <c r="J108" s="12">
        <v>1</v>
      </c>
      <c r="K108" s="248">
        <f t="shared" si="21"/>
        <v>3</v>
      </c>
      <c r="L108" s="370">
        <v>5</v>
      </c>
      <c r="M108" s="249"/>
      <c r="O108" s="29"/>
      <c r="P108" s="29"/>
      <c r="Q108" s="29"/>
      <c r="R108" s="29"/>
    </row>
    <row r="109" spans="1:18" ht="17.7" customHeight="1">
      <c r="A109" s="521" t="s">
        <v>63</v>
      </c>
      <c r="B109" s="423" t="s">
        <v>257</v>
      </c>
      <c r="C109" s="393" t="s">
        <v>150</v>
      </c>
      <c r="D109" s="71"/>
      <c r="E109" s="71" t="s">
        <v>125</v>
      </c>
      <c r="F109" s="50" t="s">
        <v>126</v>
      </c>
      <c r="G109" s="72">
        <f t="shared" si="13"/>
        <v>2.0514824402872076E-3</v>
      </c>
      <c r="H109" s="73">
        <v>84</v>
      </c>
      <c r="I109" s="12">
        <v>840</v>
      </c>
      <c r="J109" s="12">
        <v>1</v>
      </c>
      <c r="K109" s="248">
        <f t="shared" si="21"/>
        <v>0</v>
      </c>
      <c r="L109" s="370">
        <v>5</v>
      </c>
      <c r="M109" s="249" t="s">
        <v>787</v>
      </c>
      <c r="O109" s="29"/>
      <c r="P109" s="29"/>
      <c r="Q109" s="29"/>
      <c r="R109" s="29"/>
    </row>
    <row r="110" spans="1:18" ht="17.7" hidden="1" customHeight="1">
      <c r="A110" s="521" t="s">
        <v>63</v>
      </c>
      <c r="B110" s="423" t="s">
        <v>258</v>
      </c>
      <c r="C110" s="50" t="s">
        <v>166</v>
      </c>
      <c r="D110" s="71" t="s">
        <v>242</v>
      </c>
      <c r="E110" s="71" t="s">
        <v>125</v>
      </c>
      <c r="F110" s="50" t="s">
        <v>126</v>
      </c>
      <c r="G110" s="72">
        <f t="shared" si="13"/>
        <v>2.6376202803692667E-3</v>
      </c>
      <c r="H110" s="73">
        <v>108</v>
      </c>
      <c r="I110" s="12">
        <v>1080</v>
      </c>
      <c r="J110" s="12">
        <v>1</v>
      </c>
      <c r="K110" s="248">
        <f t="shared" si="21"/>
        <v>0</v>
      </c>
      <c r="L110" s="370">
        <v>2</v>
      </c>
      <c r="M110" s="249"/>
      <c r="O110" s="29"/>
      <c r="P110" s="29"/>
      <c r="Q110" s="29"/>
      <c r="R110" s="29"/>
    </row>
    <row r="111" spans="1:18" ht="17.7" hidden="1" customHeight="1">
      <c r="A111" s="521" t="s">
        <v>63</v>
      </c>
      <c r="B111" s="423" t="s">
        <v>259</v>
      </c>
      <c r="C111" s="50" t="s">
        <v>166</v>
      </c>
      <c r="D111" s="71" t="s">
        <v>242</v>
      </c>
      <c r="E111" s="71" t="s">
        <v>125</v>
      </c>
      <c r="F111" s="50" t="s">
        <v>126</v>
      </c>
      <c r="G111" s="72">
        <f t="shared" si="13"/>
        <v>2.0514824402872076E-3</v>
      </c>
      <c r="H111" s="73">
        <v>84</v>
      </c>
      <c r="I111" s="12">
        <v>840</v>
      </c>
      <c r="J111" s="12">
        <v>1</v>
      </c>
      <c r="K111" s="248">
        <f t="shared" si="21"/>
        <v>0</v>
      </c>
      <c r="L111" s="370">
        <v>2</v>
      </c>
      <c r="M111" s="249"/>
      <c r="O111" s="29"/>
      <c r="P111" s="29"/>
      <c r="Q111" s="29"/>
      <c r="R111" s="29"/>
    </row>
    <row r="112" spans="1:18" ht="17.7" hidden="1" customHeight="1">
      <c r="A112" s="521" t="s">
        <v>63</v>
      </c>
      <c r="B112" s="423" t="s">
        <v>260</v>
      </c>
      <c r="C112" s="50" t="s">
        <v>123</v>
      </c>
      <c r="D112" s="71" t="s">
        <v>242</v>
      </c>
      <c r="E112" s="71" t="s">
        <v>125</v>
      </c>
      <c r="F112" s="50" t="s">
        <v>126</v>
      </c>
      <c r="G112" s="72">
        <f t="shared" si="13"/>
        <v>1.1625067161627509E-2</v>
      </c>
      <c r="H112" s="73">
        <v>476</v>
      </c>
      <c r="I112" s="12">
        <v>4760</v>
      </c>
      <c r="J112" s="12">
        <v>1</v>
      </c>
      <c r="K112" s="248">
        <f t="shared" si="21"/>
        <v>2</v>
      </c>
      <c r="L112" s="370">
        <v>5</v>
      </c>
      <c r="M112" s="249"/>
      <c r="O112" s="29"/>
      <c r="P112" s="29"/>
      <c r="Q112" s="29"/>
      <c r="R112" s="29"/>
    </row>
    <row r="113" spans="1:18" ht="17.7" hidden="1" customHeight="1">
      <c r="A113" s="521" t="s">
        <v>63</v>
      </c>
      <c r="B113" s="423" t="s">
        <v>261</v>
      </c>
      <c r="C113" s="50" t="s">
        <v>166</v>
      </c>
      <c r="D113" s="71" t="s">
        <v>242</v>
      </c>
      <c r="E113" s="71" t="s">
        <v>125</v>
      </c>
      <c r="F113" s="50" t="s">
        <v>126</v>
      </c>
      <c r="G113" s="72">
        <f t="shared" si="13"/>
        <v>5.5390025887754601E-2</v>
      </c>
      <c r="H113" s="73">
        <v>2268</v>
      </c>
      <c r="I113" s="12">
        <v>22680</v>
      </c>
      <c r="J113" s="12">
        <v>1</v>
      </c>
      <c r="K113" s="248">
        <f t="shared" si="21"/>
        <v>5</v>
      </c>
      <c r="L113" s="370">
        <v>2</v>
      </c>
      <c r="M113" s="249"/>
      <c r="O113" s="29"/>
      <c r="P113" s="29"/>
      <c r="Q113" s="29"/>
      <c r="R113" s="29"/>
    </row>
    <row r="114" spans="1:18" ht="17.7" hidden="1" customHeight="1">
      <c r="A114" s="521" t="s">
        <v>63</v>
      </c>
      <c r="B114" s="423" t="s">
        <v>262</v>
      </c>
      <c r="C114" s="50" t="s">
        <v>166</v>
      </c>
      <c r="D114" s="71" t="s">
        <v>242</v>
      </c>
      <c r="E114" s="71" t="s">
        <v>125</v>
      </c>
      <c r="F114" s="50" t="s">
        <v>126</v>
      </c>
      <c r="G114" s="72">
        <f t="shared" si="13"/>
        <v>2.8134616323938846E-2</v>
      </c>
      <c r="H114" s="73">
        <v>1152</v>
      </c>
      <c r="I114" s="12">
        <v>11520</v>
      </c>
      <c r="J114" s="12">
        <v>1</v>
      </c>
      <c r="K114" s="248">
        <f t="shared" si="21"/>
        <v>2</v>
      </c>
      <c r="L114" s="370">
        <v>2</v>
      </c>
      <c r="M114" s="249"/>
      <c r="O114" s="29"/>
      <c r="P114" s="29"/>
      <c r="Q114" s="29"/>
      <c r="R114" s="29"/>
    </row>
    <row r="115" spans="1:18" ht="17.7" hidden="1" customHeight="1">
      <c r="A115" s="521" t="s">
        <v>63</v>
      </c>
      <c r="B115" s="423" t="s">
        <v>263</v>
      </c>
      <c r="C115" s="50" t="s">
        <v>166</v>
      </c>
      <c r="D115" s="71" t="s">
        <v>242</v>
      </c>
      <c r="E115" s="71" t="s">
        <v>125</v>
      </c>
      <c r="F115" s="50" t="s">
        <v>126</v>
      </c>
      <c r="G115" s="72">
        <f t="shared" si="13"/>
        <v>5.2752405607385333E-3</v>
      </c>
      <c r="H115" s="73">
        <v>216</v>
      </c>
      <c r="I115" s="12">
        <v>2160</v>
      </c>
      <c r="J115" s="12">
        <v>1</v>
      </c>
      <c r="K115" s="248">
        <f t="shared" si="21"/>
        <v>0</v>
      </c>
      <c r="L115" s="370">
        <v>2</v>
      </c>
      <c r="M115" s="249"/>
      <c r="O115" s="29"/>
      <c r="P115" s="29"/>
      <c r="Q115" s="29"/>
      <c r="R115" s="29"/>
    </row>
    <row r="116" spans="1:18" ht="17.7" hidden="1" customHeight="1">
      <c r="A116" s="521" t="s">
        <v>63</v>
      </c>
      <c r="B116" s="423" t="s">
        <v>264</v>
      </c>
      <c r="C116" s="50" t="s">
        <v>171</v>
      </c>
      <c r="D116" s="71" t="s">
        <v>242</v>
      </c>
      <c r="E116" s="71" t="s">
        <v>136</v>
      </c>
      <c r="F116" s="50" t="s">
        <v>126</v>
      </c>
      <c r="G116" s="72">
        <f t="shared" si="13"/>
        <v>1.4018463341962585E-2</v>
      </c>
      <c r="H116" s="73">
        <v>574</v>
      </c>
      <c r="I116" s="12">
        <v>5740</v>
      </c>
      <c r="J116" s="12">
        <v>1</v>
      </c>
      <c r="K116" s="248">
        <f t="shared" si="14"/>
        <v>2.87</v>
      </c>
      <c r="L116" s="370">
        <v>5</v>
      </c>
      <c r="M116" s="249"/>
      <c r="O116" s="29"/>
      <c r="P116" s="29"/>
      <c r="Q116" s="29"/>
      <c r="R116" s="29"/>
    </row>
    <row r="117" spans="1:18" ht="17.7" hidden="1" customHeight="1">
      <c r="A117" s="521" t="s">
        <v>63</v>
      </c>
      <c r="B117" s="423" t="s">
        <v>265</v>
      </c>
      <c r="C117" s="50" t="s">
        <v>266</v>
      </c>
      <c r="D117" s="71" t="s">
        <v>242</v>
      </c>
      <c r="E117" s="71" t="s">
        <v>140</v>
      </c>
      <c r="F117" s="50" t="s">
        <v>126</v>
      </c>
      <c r="G117" s="72">
        <f t="shared" si="13"/>
        <v>4.1029648805744152E-3</v>
      </c>
      <c r="H117" s="73">
        <v>168</v>
      </c>
      <c r="I117" s="12">
        <v>5040</v>
      </c>
      <c r="J117" s="12">
        <v>1</v>
      </c>
      <c r="K117" s="248">
        <f t="shared" ref="K117:K120" si="22">ROUND(L117*H117/1000,0)</f>
        <v>1</v>
      </c>
      <c r="L117" s="370">
        <v>5</v>
      </c>
      <c r="M117" s="249"/>
      <c r="O117" s="29"/>
      <c r="P117" s="29"/>
      <c r="Q117" s="29"/>
      <c r="R117" s="29"/>
    </row>
    <row r="118" spans="1:18" ht="17.7" hidden="1" customHeight="1">
      <c r="A118" s="521" t="s">
        <v>63</v>
      </c>
      <c r="B118" s="423" t="s">
        <v>267</v>
      </c>
      <c r="C118" s="393" t="s">
        <v>268</v>
      </c>
      <c r="D118" s="259" t="s">
        <v>269</v>
      </c>
      <c r="E118" s="50" t="s">
        <v>140</v>
      </c>
      <c r="F118" s="50" t="s">
        <v>784</v>
      </c>
      <c r="G118" s="72">
        <f t="shared" si="13"/>
        <v>3.4191374004786793E-3</v>
      </c>
      <c r="H118" s="73">
        <v>140</v>
      </c>
      <c r="I118" s="12">
        <v>4200</v>
      </c>
      <c r="J118" s="12">
        <v>1</v>
      </c>
      <c r="K118" s="248">
        <f t="shared" si="22"/>
        <v>0</v>
      </c>
      <c r="L118" s="370">
        <v>0</v>
      </c>
      <c r="M118" s="249"/>
      <c r="O118" s="29"/>
      <c r="P118" s="29"/>
      <c r="Q118" s="29"/>
      <c r="R118" s="29"/>
    </row>
    <row r="119" spans="1:18" ht="17.7" hidden="1" customHeight="1">
      <c r="A119" s="521" t="s">
        <v>63</v>
      </c>
      <c r="B119" s="423" t="s">
        <v>270</v>
      </c>
      <c r="C119" s="50" t="s">
        <v>266</v>
      </c>
      <c r="D119" s="71" t="s">
        <v>242</v>
      </c>
      <c r="E119" s="50" t="s">
        <v>140</v>
      </c>
      <c r="F119" s="50" t="s">
        <v>126</v>
      </c>
      <c r="G119" s="72">
        <f t="shared" si="13"/>
        <v>4.6891027206564743E-3</v>
      </c>
      <c r="H119" s="73">
        <v>192</v>
      </c>
      <c r="I119" s="12">
        <v>5760</v>
      </c>
      <c r="J119" s="12">
        <v>1</v>
      </c>
      <c r="K119" s="248">
        <f t="shared" si="22"/>
        <v>1</v>
      </c>
      <c r="L119" s="370">
        <v>5</v>
      </c>
      <c r="M119" s="249"/>
      <c r="O119" s="29"/>
      <c r="P119" s="29"/>
      <c r="Q119" s="29"/>
      <c r="R119" s="29"/>
    </row>
    <row r="120" spans="1:18" ht="16.5" hidden="1" customHeight="1">
      <c r="A120" s="521" t="s">
        <v>63</v>
      </c>
      <c r="B120" s="423" t="s">
        <v>271</v>
      </c>
      <c r="C120" s="50" t="s">
        <v>266</v>
      </c>
      <c r="D120" s="71" t="s">
        <v>242</v>
      </c>
      <c r="E120" s="71" t="s">
        <v>140</v>
      </c>
      <c r="F120" s="50" t="s">
        <v>126</v>
      </c>
      <c r="G120" s="72">
        <f t="shared" si="13"/>
        <v>2.3445513603282371E-3</v>
      </c>
      <c r="H120" s="73">
        <v>96</v>
      </c>
      <c r="I120" s="12">
        <v>2880</v>
      </c>
      <c r="J120" s="12">
        <v>1</v>
      </c>
      <c r="K120" s="248">
        <f t="shared" si="22"/>
        <v>0</v>
      </c>
      <c r="L120" s="370">
        <v>5</v>
      </c>
      <c r="M120" s="249"/>
      <c r="O120" s="29"/>
      <c r="P120" s="29"/>
      <c r="Q120" s="29"/>
      <c r="R120" s="29"/>
    </row>
    <row r="121" spans="1:18" ht="39.6" hidden="1" customHeight="1">
      <c r="A121" s="521" t="s">
        <v>272</v>
      </c>
      <c r="B121" s="423" t="s">
        <v>273</v>
      </c>
      <c r="C121" s="50" t="s">
        <v>274</v>
      </c>
      <c r="D121" s="50" t="s">
        <v>275</v>
      </c>
      <c r="E121" s="50"/>
      <c r="F121" s="75" t="s">
        <v>276</v>
      </c>
      <c r="G121" s="71"/>
      <c r="H121" s="13">
        <f>SUM(H3:H120)</f>
        <v>40946</v>
      </c>
      <c r="I121" s="12"/>
      <c r="J121" s="12">
        <f>SUM(J3:J120)</f>
        <v>118</v>
      </c>
      <c r="K121" s="248">
        <f>SUM(K3:K120)</f>
        <v>258.97800000000001</v>
      </c>
      <c r="L121" s="370"/>
      <c r="M121" s="249"/>
      <c r="O121" s="29"/>
      <c r="P121" s="29"/>
      <c r="Q121" s="29"/>
      <c r="R121" s="29"/>
    </row>
    <row r="122" spans="1:18" ht="13.2">
      <c r="G122" s="8"/>
      <c r="H122" s="8"/>
      <c r="I122" s="8"/>
      <c r="J122" s="8"/>
      <c r="K122" s="250"/>
      <c r="L122" s="250"/>
    </row>
    <row r="123" spans="1:18" ht="13.2">
      <c r="A123" s="29"/>
      <c r="B123" s="91"/>
      <c r="C123" s="29"/>
      <c r="D123" s="29"/>
      <c r="E123" s="29"/>
      <c r="F123" s="29"/>
      <c r="G123" s="22"/>
      <c r="I123" s="8"/>
      <c r="J123" s="8"/>
      <c r="K123" s="8"/>
      <c r="L123" s="8"/>
    </row>
    <row r="124" spans="1:18" ht="14.7" customHeight="1">
      <c r="A124" s="76"/>
      <c r="B124" s="395"/>
      <c r="C124" s="76"/>
      <c r="D124" s="76"/>
      <c r="E124" s="76"/>
      <c r="G124" s="8"/>
      <c r="H124" s="8"/>
      <c r="I124" s="8"/>
      <c r="J124" s="8"/>
      <c r="K124" s="8"/>
      <c r="L124" s="8"/>
    </row>
    <row r="125" spans="1:18" ht="13.2">
      <c r="A125" s="77"/>
      <c r="B125" s="396"/>
      <c r="C125" s="77"/>
      <c r="D125" s="77"/>
      <c r="E125" s="78"/>
      <c r="G125" s="8"/>
      <c r="H125" s="8"/>
      <c r="I125" s="8"/>
      <c r="J125" s="8"/>
      <c r="K125" s="8"/>
      <c r="L125" s="8"/>
    </row>
    <row r="126" spans="1:18" ht="13.2">
      <c r="A126" s="8"/>
      <c r="B126" s="8"/>
      <c r="C126" s="8"/>
      <c r="D126" s="8"/>
      <c r="E126" s="510"/>
      <c r="G126" s="8"/>
      <c r="H126" s="8"/>
      <c r="I126" s="8"/>
      <c r="J126" s="8"/>
      <c r="K126" s="8"/>
      <c r="L126" s="8"/>
    </row>
    <row r="127" spans="1:18" ht="13.2">
      <c r="A127" s="8"/>
      <c r="B127" s="8"/>
      <c r="C127" s="8"/>
      <c r="D127" s="8"/>
      <c r="E127" s="510"/>
      <c r="G127" s="8"/>
      <c r="H127" s="8"/>
      <c r="I127" s="8"/>
      <c r="J127" s="8"/>
      <c r="K127" s="8"/>
      <c r="L127" s="8"/>
    </row>
    <row r="128" spans="1:18" ht="13.2">
      <c r="G128" s="8"/>
      <c r="H128" s="8"/>
      <c r="I128" s="8"/>
      <c r="J128" s="8"/>
      <c r="K128" s="8"/>
      <c r="L128" s="8"/>
    </row>
    <row r="129" spans="7:12" ht="13.2">
      <c r="G129" s="8"/>
      <c r="H129" s="8"/>
      <c r="I129" s="8"/>
      <c r="J129" s="8"/>
      <c r="K129" s="8"/>
      <c r="L129" s="8"/>
    </row>
    <row r="130" spans="7:12" ht="13.2">
      <c r="G130" s="8"/>
      <c r="H130" s="8"/>
      <c r="I130" s="8"/>
      <c r="J130" s="8"/>
      <c r="K130" s="8"/>
      <c r="L130" s="8"/>
    </row>
    <row r="131" spans="7:12" ht="13.2">
      <c r="G131" s="8"/>
      <c r="H131" s="8"/>
      <c r="I131" s="8"/>
      <c r="J131" s="8"/>
      <c r="K131" s="8"/>
      <c r="L131" s="8"/>
    </row>
  </sheetData>
  <autoFilter ref="A2:M121" xr:uid="{2E9DC9C1-ABE9-4C74-8C0A-F769CBEC5074}">
    <filterColumn colId="2">
      <filters>
        <filter val="Restrooms"/>
      </filters>
    </filterColumn>
  </autoFilter>
  <mergeCells count="1">
    <mergeCell ref="A1:M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0A18112-0869-46BE-BB05-F2630BB50A23}">
          <x14:formula1>
            <xm:f>Data!$A$2:$A$200</xm:f>
          </x14:formula1>
          <xm:sqref>C3:C120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I36"/>
  <sheetViews>
    <sheetView zoomScale="80" zoomScaleNormal="80" workbookViewId="0">
      <selection sqref="A1:X1"/>
    </sheetView>
  </sheetViews>
  <sheetFormatPr defaultColWidth="9.33203125" defaultRowHeight="13.8"/>
  <cols>
    <col min="1" max="1" width="15.44140625" style="42" customWidth="1"/>
    <col min="2" max="2" width="13.5546875" style="44" customWidth="1"/>
    <col min="3" max="3" width="18.5546875" style="42" customWidth="1"/>
    <col min="4" max="4" width="35.6640625" style="42" customWidth="1"/>
    <col min="5" max="5" width="16" style="42" customWidth="1"/>
    <col min="6" max="6" width="17.44140625" style="42" customWidth="1"/>
    <col min="7" max="7" width="20.5546875" style="45" customWidth="1"/>
    <col min="8" max="8" width="50.88671875" style="42" customWidth="1"/>
    <col min="9" max="9" width="6.88671875" style="42" customWidth="1"/>
    <col min="10" max="12" width="7" style="42" customWidth="1"/>
    <col min="13" max="13" width="7.88671875" style="42" customWidth="1"/>
    <col min="14" max="14" width="8.6640625" style="42" customWidth="1"/>
    <col min="15" max="15" width="7" style="42" customWidth="1"/>
    <col min="16" max="16" width="7.109375" style="42" customWidth="1"/>
    <col min="17" max="17" width="7.5546875" style="42" customWidth="1"/>
    <col min="18" max="21" width="7" style="42" customWidth="1"/>
    <col min="22" max="22" width="7.6640625" style="42" customWidth="1"/>
    <col min="23" max="24" width="7" style="42" customWidth="1"/>
    <col min="25" max="25" width="9.33203125" style="42"/>
    <col min="26" max="29" width="7.6640625" style="42" customWidth="1"/>
    <col min="30" max="30" width="9.6640625" style="42" customWidth="1"/>
    <col min="31" max="31" width="7.5546875" style="42" customWidth="1"/>
    <col min="32" max="32" width="11.44140625" style="42" customWidth="1"/>
    <col min="33" max="41" width="7.6640625" style="42" customWidth="1"/>
    <col min="42" max="45" width="10.44140625" style="42" customWidth="1"/>
    <col min="46" max="46" width="9.88671875" style="42" customWidth="1"/>
    <col min="47" max="47" width="10.44140625" style="42" customWidth="1"/>
    <col min="48" max="48" width="21.6640625" style="42" customWidth="1"/>
    <col min="49" max="49" width="10.44140625" style="42" customWidth="1"/>
    <col min="50" max="52" width="7.44140625" style="42" customWidth="1"/>
    <col min="53" max="53" width="7.6640625" style="42" customWidth="1"/>
    <col min="54" max="54" width="7.44140625" style="42" customWidth="1"/>
    <col min="55" max="55" width="13.6640625" style="42" customWidth="1"/>
    <col min="56" max="59" width="7.44140625" style="42" customWidth="1"/>
    <col min="60" max="61" width="9.6640625" style="42" bestFit="1" customWidth="1"/>
    <col min="62" max="16384" width="9.33203125" style="42"/>
  </cols>
  <sheetData>
    <row r="1" spans="1:61" ht="31.95" customHeight="1">
      <c r="A1" s="561" t="str">
        <f>"Envelope - "&amp;Prototype!A2</f>
        <v>Envelope - Outpatient</v>
      </c>
      <c r="B1" s="561"/>
      <c r="C1" s="561"/>
      <c r="D1" s="561"/>
      <c r="E1" s="561"/>
      <c r="F1" s="561"/>
      <c r="G1" s="561"/>
      <c r="H1" s="561"/>
      <c r="I1" s="561"/>
      <c r="J1" s="561"/>
      <c r="K1" s="561"/>
      <c r="L1" s="561"/>
      <c r="M1" s="561"/>
      <c r="N1" s="561"/>
      <c r="O1" s="561"/>
      <c r="P1" s="561"/>
      <c r="Q1" s="561"/>
      <c r="R1" s="561"/>
      <c r="S1" s="561"/>
      <c r="T1" s="561"/>
      <c r="U1" s="561"/>
      <c r="V1" s="561"/>
      <c r="W1" s="561"/>
      <c r="X1" s="561"/>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61" ht="23.4" customHeight="1">
      <c r="A2" s="523" t="s">
        <v>277</v>
      </c>
      <c r="B2" s="523" t="s">
        <v>10</v>
      </c>
      <c r="C2" s="523" t="s">
        <v>278</v>
      </c>
      <c r="D2" s="523" t="s">
        <v>279</v>
      </c>
      <c r="E2" s="523" t="s">
        <v>280</v>
      </c>
      <c r="F2" s="523" t="s">
        <v>281</v>
      </c>
      <c r="G2" s="191" t="s">
        <v>282</v>
      </c>
      <c r="H2" s="523" t="s">
        <v>62</v>
      </c>
      <c r="I2" s="523" t="s">
        <v>283</v>
      </c>
      <c r="J2" s="523" t="s">
        <v>284</v>
      </c>
      <c r="K2" s="523" t="s">
        <v>285</v>
      </c>
      <c r="L2" s="523" t="s">
        <v>286</v>
      </c>
      <c r="M2" s="523" t="s">
        <v>287</v>
      </c>
      <c r="N2" s="523" t="s">
        <v>288</v>
      </c>
      <c r="O2" s="523" t="s">
        <v>289</v>
      </c>
      <c r="P2" s="523" t="s">
        <v>290</v>
      </c>
      <c r="Q2" s="523" t="s">
        <v>291</v>
      </c>
      <c r="R2" s="523" t="s">
        <v>292</v>
      </c>
      <c r="S2" s="523" t="s">
        <v>293</v>
      </c>
      <c r="T2" s="523" t="s">
        <v>294</v>
      </c>
      <c r="U2" s="523" t="s">
        <v>295</v>
      </c>
      <c r="V2" s="523" t="s">
        <v>296</v>
      </c>
      <c r="W2" s="523" t="s">
        <v>297</v>
      </c>
      <c r="X2" s="523" t="s">
        <v>298</v>
      </c>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row>
    <row r="3" spans="1:61" ht="25.2" customHeight="1">
      <c r="A3" s="563" t="s">
        <v>299</v>
      </c>
      <c r="B3" s="562" t="str">
        <f>Prototype!A2</f>
        <v>Outpatient</v>
      </c>
      <c r="C3" s="564" t="s">
        <v>300</v>
      </c>
      <c r="D3" s="564" t="s">
        <v>301</v>
      </c>
      <c r="E3" s="563" t="s">
        <v>302</v>
      </c>
      <c r="F3" s="511" t="s">
        <v>303</v>
      </c>
      <c r="G3" s="511" t="s">
        <v>304</v>
      </c>
      <c r="H3" s="427" t="s">
        <v>305</v>
      </c>
      <c r="I3" s="427">
        <v>0.35199999999999998</v>
      </c>
      <c r="J3" s="427">
        <v>0.35199999999999998</v>
      </c>
      <c r="K3" s="427">
        <v>0.35199999999999998</v>
      </c>
      <c r="L3" s="427">
        <v>0.35199999999999998</v>
      </c>
      <c r="M3" s="427">
        <v>0.35199999999999998</v>
      </c>
      <c r="N3" s="427">
        <v>0.35199999999999998</v>
      </c>
      <c r="O3" s="427">
        <v>0.35199999999999998</v>
      </c>
      <c r="P3" s="427">
        <v>0.35199999999999998</v>
      </c>
      <c r="Q3" s="427">
        <v>0.35199999999999998</v>
      </c>
      <c r="R3" s="427">
        <v>0.35199999999999998</v>
      </c>
      <c r="S3" s="427">
        <v>0.35199999999999998</v>
      </c>
      <c r="T3" s="427">
        <v>0.35199999999999998</v>
      </c>
      <c r="U3" s="427">
        <v>0.35199999999999998</v>
      </c>
      <c r="V3" s="427">
        <v>0.35199999999999998</v>
      </c>
      <c r="W3" s="427">
        <v>0.35199999999999998</v>
      </c>
      <c r="X3" s="427">
        <v>0.35199999999999998</v>
      </c>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61" ht="25.2" customHeight="1">
      <c r="A4" s="563"/>
      <c r="B4" s="562"/>
      <c r="C4" s="564"/>
      <c r="D4" s="564"/>
      <c r="E4" s="563"/>
      <c r="F4" s="428" t="s">
        <v>306</v>
      </c>
      <c r="G4" s="428">
        <v>1986</v>
      </c>
      <c r="H4" s="429" t="s">
        <v>307</v>
      </c>
      <c r="I4" s="430">
        <v>0.21299999999999999</v>
      </c>
      <c r="J4" s="430">
        <v>0.22700000000000001</v>
      </c>
      <c r="K4" s="430">
        <v>0.22700000000000001</v>
      </c>
      <c r="L4" s="430">
        <v>0.217</v>
      </c>
      <c r="M4" s="430">
        <v>0.25600000000000001</v>
      </c>
      <c r="N4" s="430">
        <v>0.25600000000000001</v>
      </c>
      <c r="O4" s="430">
        <v>0.25600000000000001</v>
      </c>
      <c r="P4" s="430">
        <v>0.25600000000000001</v>
      </c>
      <c r="Q4" s="430">
        <v>0.25600000000000001</v>
      </c>
      <c r="R4" s="430">
        <v>0.25600000000000001</v>
      </c>
      <c r="S4" s="430">
        <v>0.23799999999999999</v>
      </c>
      <c r="T4" s="430">
        <v>0.23799999999999999</v>
      </c>
      <c r="U4" s="430">
        <v>0.23799999999999999</v>
      </c>
      <c r="V4" s="430">
        <v>0.20799999999999999</v>
      </c>
      <c r="W4" s="430">
        <v>0.20799999999999999</v>
      </c>
      <c r="X4" s="430">
        <v>0.21299999999999999</v>
      </c>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row>
    <row r="5" spans="1:61" ht="25.2" customHeight="1">
      <c r="A5" s="563"/>
      <c r="B5" s="562"/>
      <c r="C5" s="564"/>
      <c r="D5" s="564"/>
      <c r="E5" s="563"/>
      <c r="F5" s="431" t="s">
        <v>308</v>
      </c>
      <c r="G5" s="431">
        <v>2001</v>
      </c>
      <c r="H5" s="431" t="s">
        <v>309</v>
      </c>
      <c r="I5" s="431">
        <v>0.182</v>
      </c>
      <c r="J5" s="431">
        <v>0.182</v>
      </c>
      <c r="K5" s="431">
        <v>0.189</v>
      </c>
      <c r="L5" s="431">
        <v>0.189</v>
      </c>
      <c r="M5" s="431">
        <v>0.189</v>
      </c>
      <c r="N5" s="431">
        <v>0.189</v>
      </c>
      <c r="O5" s="431">
        <v>0.189</v>
      </c>
      <c r="P5" s="431">
        <v>0.189</v>
      </c>
      <c r="Q5" s="431">
        <v>0.189</v>
      </c>
      <c r="R5" s="431">
        <v>0.182</v>
      </c>
      <c r="S5" s="431">
        <v>0.182</v>
      </c>
      <c r="T5" s="431">
        <v>0.182</v>
      </c>
      <c r="U5" s="431">
        <v>0.182</v>
      </c>
      <c r="V5" s="431">
        <v>0.182</v>
      </c>
      <c r="W5" s="432">
        <v>0.182</v>
      </c>
      <c r="X5" s="432">
        <v>0.182</v>
      </c>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row>
    <row r="6" spans="1:61" ht="25.2" customHeight="1">
      <c r="A6" s="563"/>
      <c r="B6" s="562"/>
      <c r="C6" s="564"/>
      <c r="D6" s="564"/>
      <c r="E6" s="563"/>
      <c r="F6" s="433" t="s">
        <v>310</v>
      </c>
      <c r="G6" s="433">
        <v>2013</v>
      </c>
      <c r="H6" s="433" t="s">
        <v>311</v>
      </c>
      <c r="I6" s="433">
        <v>9.8000000000000004E-2</v>
      </c>
      <c r="J6" s="433">
        <v>6.2E-2</v>
      </c>
      <c r="K6" s="433">
        <v>8.2000000000000003E-2</v>
      </c>
      <c r="L6" s="433">
        <v>6.2E-2</v>
      </c>
      <c r="M6" s="433">
        <v>6.2E-2</v>
      </c>
      <c r="N6" s="433">
        <v>9.8000000000000004E-2</v>
      </c>
      <c r="O6" s="433">
        <v>9.8000000000000004E-2</v>
      </c>
      <c r="P6" s="433">
        <v>6.2E-2</v>
      </c>
      <c r="Q6" s="433">
        <v>6.2E-2</v>
      </c>
      <c r="R6" s="433">
        <v>6.2E-2</v>
      </c>
      <c r="S6" s="433">
        <v>6.2E-2</v>
      </c>
      <c r="T6" s="433">
        <v>6.2E-2</v>
      </c>
      <c r="U6" s="433">
        <v>6.2E-2</v>
      </c>
      <c r="V6" s="433">
        <v>6.2E-2</v>
      </c>
      <c r="W6" s="434">
        <v>6.2E-2</v>
      </c>
      <c r="X6" s="434">
        <v>6.2E-2</v>
      </c>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row>
    <row r="7" spans="1:61" ht="25.2" customHeight="1">
      <c r="A7" s="563"/>
      <c r="B7" s="562"/>
      <c r="C7" s="564"/>
      <c r="D7" s="564"/>
      <c r="E7" s="563"/>
      <c r="F7" s="441" t="s">
        <v>313</v>
      </c>
      <c r="G7" s="442">
        <v>2025</v>
      </c>
      <c r="H7" s="442" t="s">
        <v>311</v>
      </c>
      <c r="I7" s="442">
        <v>0.06</v>
      </c>
      <c r="J7" s="442">
        <v>5.5E-2</v>
      </c>
      <c r="K7" s="442">
        <v>7.0999999999999994E-2</v>
      </c>
      <c r="L7" s="442">
        <v>5.5E-2</v>
      </c>
      <c r="M7" s="442">
        <v>5.5E-2</v>
      </c>
      <c r="N7" s="442">
        <v>0.06</v>
      </c>
      <c r="O7" s="442">
        <v>0.06</v>
      </c>
      <c r="P7" s="442">
        <v>5.5E-2</v>
      </c>
      <c r="Q7" s="442">
        <v>5.5E-2</v>
      </c>
      <c r="R7" s="442">
        <v>5.5E-2</v>
      </c>
      <c r="S7" s="442">
        <v>5.5E-2</v>
      </c>
      <c r="T7" s="442">
        <v>5.5E-2</v>
      </c>
      <c r="U7" s="442">
        <v>5.5E-2</v>
      </c>
      <c r="V7" s="442">
        <v>5.5E-2</v>
      </c>
      <c r="W7" s="443">
        <v>5.5E-2</v>
      </c>
      <c r="X7" s="443">
        <v>5.5E-2</v>
      </c>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row>
    <row r="8" spans="1:61" ht="23.4" customHeight="1">
      <c r="A8" s="563" t="s">
        <v>314</v>
      </c>
      <c r="B8" s="562" t="str">
        <f t="shared" ref="B8" si="0">$B$3</f>
        <v>Outpatient</v>
      </c>
      <c r="C8" s="564" t="s">
        <v>315</v>
      </c>
      <c r="D8" s="569" t="s">
        <v>316</v>
      </c>
      <c r="E8" s="563" t="s">
        <v>302</v>
      </c>
      <c r="F8" s="511" t="s">
        <v>303</v>
      </c>
      <c r="G8" s="511" t="s">
        <v>304</v>
      </c>
      <c r="H8" s="562" t="s">
        <v>317</v>
      </c>
      <c r="I8" s="511">
        <v>5.7000000000000002E-2</v>
      </c>
      <c r="J8" s="511">
        <v>5.7000000000000002E-2</v>
      </c>
      <c r="K8" s="511">
        <v>5.7000000000000002E-2</v>
      </c>
      <c r="L8" s="511">
        <v>5.7000000000000002E-2</v>
      </c>
      <c r="M8" s="511">
        <v>5.7000000000000002E-2</v>
      </c>
      <c r="N8" s="511">
        <v>7.8E-2</v>
      </c>
      <c r="O8" s="511">
        <v>7.8E-2</v>
      </c>
      <c r="P8" s="511">
        <v>7.8E-2</v>
      </c>
      <c r="Q8" s="511">
        <v>7.8E-2</v>
      </c>
      <c r="R8" s="511">
        <v>7.8E-2</v>
      </c>
      <c r="S8" s="511">
        <v>5.7000000000000002E-2</v>
      </c>
      <c r="T8" s="511">
        <v>5.7000000000000002E-2</v>
      </c>
      <c r="U8" s="511">
        <v>5.7000000000000002E-2</v>
      </c>
      <c r="V8" s="511">
        <v>5.7000000000000002E-2</v>
      </c>
      <c r="W8" s="511">
        <v>5.7000000000000002E-2</v>
      </c>
      <c r="X8" s="511">
        <v>5.7000000000000002E-2</v>
      </c>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row>
    <row r="9" spans="1:61" ht="23.4" customHeight="1">
      <c r="A9" s="563"/>
      <c r="B9" s="562"/>
      <c r="C9" s="564"/>
      <c r="D9" s="569"/>
      <c r="E9" s="563"/>
      <c r="F9" s="435" t="s">
        <v>306</v>
      </c>
      <c r="G9" s="435">
        <v>1992</v>
      </c>
      <c r="H9" s="562"/>
      <c r="I9" s="428">
        <v>5.7000000000000002E-2</v>
      </c>
      <c r="J9" s="428">
        <v>5.7000000000000002E-2</v>
      </c>
      <c r="K9" s="428">
        <v>5.7000000000000002E-2</v>
      </c>
      <c r="L9" s="428">
        <v>5.7000000000000002E-2</v>
      </c>
      <c r="M9" s="428">
        <v>5.7000000000000002E-2</v>
      </c>
      <c r="N9" s="428">
        <v>7.8E-2</v>
      </c>
      <c r="O9" s="428">
        <v>7.8E-2</v>
      </c>
      <c r="P9" s="428">
        <v>7.8E-2</v>
      </c>
      <c r="Q9" s="428">
        <v>7.8E-2</v>
      </c>
      <c r="R9" s="428">
        <v>7.8E-2</v>
      </c>
      <c r="S9" s="428">
        <v>5.7000000000000002E-2</v>
      </c>
      <c r="T9" s="428">
        <v>5.7000000000000002E-2</v>
      </c>
      <c r="U9" s="428">
        <v>5.7000000000000002E-2</v>
      </c>
      <c r="V9" s="428">
        <v>5.7000000000000002E-2</v>
      </c>
      <c r="W9" s="428">
        <v>5.7000000000000002E-2</v>
      </c>
      <c r="X9" s="428">
        <v>5.7000000000000002E-2</v>
      </c>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row>
    <row r="10" spans="1:61" ht="23.4" customHeight="1">
      <c r="A10" s="563"/>
      <c r="B10" s="562"/>
      <c r="C10" s="564"/>
      <c r="D10" s="569"/>
      <c r="E10" s="563"/>
      <c r="F10" s="431" t="s">
        <v>308</v>
      </c>
      <c r="G10" s="431">
        <v>2001</v>
      </c>
      <c r="H10" s="431" t="s">
        <v>309</v>
      </c>
      <c r="I10" s="431">
        <v>5.7000000000000002E-2</v>
      </c>
      <c r="J10" s="431">
        <v>5.7000000000000002E-2</v>
      </c>
      <c r="K10" s="431">
        <v>5.7000000000000002E-2</v>
      </c>
      <c r="L10" s="431">
        <v>5.7000000000000002E-2</v>
      </c>
      <c r="M10" s="431">
        <v>5.7000000000000002E-2</v>
      </c>
      <c r="N10" s="431">
        <v>7.8E-2</v>
      </c>
      <c r="O10" s="431">
        <v>7.8E-2</v>
      </c>
      <c r="P10" s="431">
        <v>7.8E-2</v>
      </c>
      <c r="Q10" s="431">
        <v>7.8E-2</v>
      </c>
      <c r="R10" s="431">
        <v>5.7000000000000002E-2</v>
      </c>
      <c r="S10" s="431">
        <v>5.7000000000000002E-2</v>
      </c>
      <c r="T10" s="431">
        <v>5.7000000000000002E-2</v>
      </c>
      <c r="U10" s="431">
        <v>5.7000000000000002E-2</v>
      </c>
      <c r="V10" s="431">
        <v>5.7000000000000002E-2</v>
      </c>
      <c r="W10" s="431">
        <v>5.7000000000000002E-2</v>
      </c>
      <c r="X10" s="431">
        <v>5.7000000000000002E-2</v>
      </c>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row>
    <row r="11" spans="1:61" ht="23.4" customHeight="1">
      <c r="A11" s="563"/>
      <c r="B11" s="562"/>
      <c r="C11" s="564"/>
      <c r="D11" s="569"/>
      <c r="E11" s="563"/>
      <c r="F11" s="433" t="s">
        <v>310</v>
      </c>
      <c r="G11" s="433">
        <v>2013</v>
      </c>
      <c r="H11" s="433" t="s">
        <v>311</v>
      </c>
      <c r="I11" s="433">
        <v>4.9000000000000002E-2</v>
      </c>
      <c r="J11" s="433">
        <v>3.9E-2</v>
      </c>
      <c r="K11" s="433">
        <v>3.9E-2</v>
      </c>
      <c r="L11" s="433">
        <v>3.9E-2</v>
      </c>
      <c r="M11" s="433">
        <v>4.9000000000000002E-2</v>
      </c>
      <c r="N11" s="433">
        <v>7.4999999999999997E-2</v>
      </c>
      <c r="O11" s="433">
        <v>6.7000000000000004E-2</v>
      </c>
      <c r="P11" s="433">
        <v>6.7000000000000004E-2</v>
      </c>
      <c r="Q11" s="433">
        <v>3.9E-2</v>
      </c>
      <c r="R11" s="433">
        <v>3.9E-2</v>
      </c>
      <c r="S11" s="433">
        <v>3.9E-2</v>
      </c>
      <c r="T11" s="433">
        <v>3.9E-2</v>
      </c>
      <c r="U11" s="433">
        <v>3.9E-2</v>
      </c>
      <c r="V11" s="433">
        <v>3.9E-2</v>
      </c>
      <c r="W11" s="433">
        <v>3.9E-2</v>
      </c>
      <c r="X11" s="433">
        <v>3.9E-2</v>
      </c>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row>
    <row r="12" spans="1:61" ht="23.4" customHeight="1">
      <c r="A12" s="563"/>
      <c r="B12" s="562"/>
      <c r="C12" s="564"/>
      <c r="D12" s="569"/>
      <c r="E12" s="563"/>
      <c r="F12" s="436" t="s">
        <v>318</v>
      </c>
      <c r="G12" s="437">
        <v>2025</v>
      </c>
      <c r="H12" s="437" t="s">
        <v>311</v>
      </c>
      <c r="I12" s="437">
        <v>3.7999999999999999E-2</v>
      </c>
      <c r="J12" s="437">
        <v>3.7999999999999999E-2</v>
      </c>
      <c r="K12" s="437">
        <v>3.7999999999999999E-2</v>
      </c>
      <c r="L12" s="437">
        <v>3.7999999999999999E-2</v>
      </c>
      <c r="M12" s="437">
        <v>3.7999999999999999E-2</v>
      </c>
      <c r="N12" s="437">
        <v>3.7999999999999999E-2</v>
      </c>
      <c r="O12" s="437">
        <v>3.7999999999999999E-2</v>
      </c>
      <c r="P12" s="437">
        <v>3.7999999999999999E-2</v>
      </c>
      <c r="Q12" s="437">
        <v>3.7999999999999999E-2</v>
      </c>
      <c r="R12" s="437">
        <v>3.7999999999999999E-2</v>
      </c>
      <c r="S12" s="437">
        <v>3.7999999999999999E-2</v>
      </c>
      <c r="T12" s="437">
        <v>3.7999999999999999E-2</v>
      </c>
      <c r="U12" s="437">
        <v>3.7999999999999999E-2</v>
      </c>
      <c r="V12" s="437">
        <v>3.7999999999999999E-2</v>
      </c>
      <c r="W12" s="437">
        <v>3.7999999999999999E-2</v>
      </c>
      <c r="X12" s="437">
        <v>3.7999999999999999E-2</v>
      </c>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row>
    <row r="13" spans="1:61" ht="24.6" customHeight="1">
      <c r="A13" s="563" t="s">
        <v>319</v>
      </c>
      <c r="B13" s="562" t="str">
        <f t="shared" ref="B13" si="1">$B$3</f>
        <v>Outpatient</v>
      </c>
      <c r="C13" s="562" t="s">
        <v>320</v>
      </c>
      <c r="D13" s="562" t="s">
        <v>321</v>
      </c>
      <c r="E13" s="563" t="s">
        <v>302</v>
      </c>
      <c r="F13" s="511" t="s">
        <v>303</v>
      </c>
      <c r="G13" s="511" t="s">
        <v>304</v>
      </c>
      <c r="H13" s="562" t="s">
        <v>322</v>
      </c>
      <c r="I13" s="438">
        <f>0.88*1.12+0.12*0.36</f>
        <v>1.0288000000000002</v>
      </c>
      <c r="J13" s="438">
        <f t="shared" ref="J13:X14" si="2">0.88*1.12+0.12*0.36</f>
        <v>1.0288000000000002</v>
      </c>
      <c r="K13" s="438">
        <f t="shared" si="2"/>
        <v>1.0288000000000002</v>
      </c>
      <c r="L13" s="438">
        <f t="shared" si="2"/>
        <v>1.0288000000000002</v>
      </c>
      <c r="M13" s="438">
        <f t="shared" si="2"/>
        <v>1.0288000000000002</v>
      </c>
      <c r="N13" s="438">
        <f t="shared" si="2"/>
        <v>1.0288000000000002</v>
      </c>
      <c r="O13" s="438">
        <f t="shared" si="2"/>
        <v>1.0288000000000002</v>
      </c>
      <c r="P13" s="438">
        <f t="shared" si="2"/>
        <v>1.0288000000000002</v>
      </c>
      <c r="Q13" s="438">
        <f t="shared" si="2"/>
        <v>1.0288000000000002</v>
      </c>
      <c r="R13" s="438">
        <f t="shared" si="2"/>
        <v>1.0288000000000002</v>
      </c>
      <c r="S13" s="438">
        <f t="shared" si="2"/>
        <v>1.0288000000000002</v>
      </c>
      <c r="T13" s="438">
        <f t="shared" si="2"/>
        <v>1.0288000000000002</v>
      </c>
      <c r="U13" s="438">
        <f t="shared" si="2"/>
        <v>1.0288000000000002</v>
      </c>
      <c r="V13" s="438">
        <f t="shared" si="2"/>
        <v>1.0288000000000002</v>
      </c>
      <c r="W13" s="438">
        <f t="shared" si="2"/>
        <v>1.0288000000000002</v>
      </c>
      <c r="X13" s="438">
        <f t="shared" si="2"/>
        <v>1.0288000000000002</v>
      </c>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row>
    <row r="14" spans="1:61" ht="24.6" customHeight="1">
      <c r="A14" s="563"/>
      <c r="B14" s="562"/>
      <c r="C14" s="562"/>
      <c r="D14" s="562"/>
      <c r="E14" s="563"/>
      <c r="F14" s="435" t="s">
        <v>306</v>
      </c>
      <c r="G14" s="435" t="s">
        <v>304</v>
      </c>
      <c r="H14" s="562"/>
      <c r="I14" s="439">
        <f>0.88*1.12+0.12*0.36</f>
        <v>1.0288000000000002</v>
      </c>
      <c r="J14" s="439">
        <f t="shared" si="2"/>
        <v>1.0288000000000002</v>
      </c>
      <c r="K14" s="439">
        <f t="shared" si="2"/>
        <v>1.0288000000000002</v>
      </c>
      <c r="L14" s="439">
        <f t="shared" si="2"/>
        <v>1.0288000000000002</v>
      </c>
      <c r="M14" s="439">
        <f t="shared" si="2"/>
        <v>1.0288000000000002</v>
      </c>
      <c r="N14" s="439">
        <f t="shared" si="2"/>
        <v>1.0288000000000002</v>
      </c>
      <c r="O14" s="439">
        <f t="shared" si="2"/>
        <v>1.0288000000000002</v>
      </c>
      <c r="P14" s="439">
        <f t="shared" si="2"/>
        <v>1.0288000000000002</v>
      </c>
      <c r="Q14" s="439">
        <f t="shared" si="2"/>
        <v>1.0288000000000002</v>
      </c>
      <c r="R14" s="439">
        <f t="shared" si="2"/>
        <v>1.0288000000000002</v>
      </c>
      <c r="S14" s="439">
        <f t="shared" si="2"/>
        <v>1.0288000000000002</v>
      </c>
      <c r="T14" s="439">
        <f t="shared" si="2"/>
        <v>1.0288000000000002</v>
      </c>
      <c r="U14" s="439">
        <f t="shared" si="2"/>
        <v>1.0288000000000002</v>
      </c>
      <c r="V14" s="439">
        <f t="shared" si="2"/>
        <v>1.0288000000000002</v>
      </c>
      <c r="W14" s="439">
        <f t="shared" si="2"/>
        <v>1.0288000000000002</v>
      </c>
      <c r="X14" s="439">
        <f t="shared" si="2"/>
        <v>1.0288000000000002</v>
      </c>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row>
    <row r="15" spans="1:61" ht="24.6" customHeight="1">
      <c r="A15" s="563"/>
      <c r="B15" s="562"/>
      <c r="C15" s="562"/>
      <c r="D15" s="563" t="s">
        <v>323</v>
      </c>
      <c r="E15" s="563"/>
      <c r="F15" s="431" t="s">
        <v>308</v>
      </c>
      <c r="G15" s="431">
        <v>2001</v>
      </c>
      <c r="H15" s="431" t="s">
        <v>309</v>
      </c>
      <c r="I15" s="431">
        <v>0.49</v>
      </c>
      <c r="J15" s="431">
        <v>0.49</v>
      </c>
      <c r="K15" s="431">
        <v>0.81</v>
      </c>
      <c r="L15" s="431">
        <v>0.81</v>
      </c>
      <c r="M15" s="431">
        <v>0.81</v>
      </c>
      <c r="N15" s="431">
        <v>0.81</v>
      </c>
      <c r="O15" s="431">
        <v>0.81</v>
      </c>
      <c r="P15" s="431">
        <v>0.81</v>
      </c>
      <c r="Q15" s="431">
        <v>0.81</v>
      </c>
      <c r="R15" s="431">
        <v>0.49</v>
      </c>
      <c r="S15" s="431">
        <v>0.49</v>
      </c>
      <c r="T15" s="431">
        <v>0.49</v>
      </c>
      <c r="U15" s="431">
        <v>0.49</v>
      </c>
      <c r="V15" s="431">
        <v>0.49</v>
      </c>
      <c r="W15" s="431">
        <v>0.49</v>
      </c>
      <c r="X15" s="431">
        <v>0.49</v>
      </c>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row>
    <row r="16" spans="1:61" ht="24.6" customHeight="1">
      <c r="A16" s="563"/>
      <c r="B16" s="562"/>
      <c r="C16" s="562"/>
      <c r="D16" s="563"/>
      <c r="E16" s="563"/>
      <c r="F16" s="433" t="s">
        <v>310</v>
      </c>
      <c r="G16" s="433">
        <v>2013</v>
      </c>
      <c r="H16" s="433" t="s">
        <v>311</v>
      </c>
      <c r="I16" s="433">
        <v>0.36</v>
      </c>
      <c r="J16" s="433">
        <v>0.36</v>
      </c>
      <c r="K16" s="433">
        <v>0.36</v>
      </c>
      <c r="L16" s="433">
        <v>0.36</v>
      </c>
      <c r="M16" s="433">
        <v>0.36</v>
      </c>
      <c r="N16" s="433">
        <v>0.36</v>
      </c>
      <c r="O16" s="433">
        <v>0.36</v>
      </c>
      <c r="P16" s="433">
        <v>0.36</v>
      </c>
      <c r="Q16" s="433">
        <v>0.36</v>
      </c>
      <c r="R16" s="433">
        <v>0.36</v>
      </c>
      <c r="S16" s="433">
        <v>0.36</v>
      </c>
      <c r="T16" s="433">
        <v>0.36</v>
      </c>
      <c r="U16" s="433">
        <v>0.36</v>
      </c>
      <c r="V16" s="433">
        <v>0.36</v>
      </c>
      <c r="W16" s="433">
        <v>0.36</v>
      </c>
      <c r="X16" s="433">
        <v>0.36</v>
      </c>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row>
    <row r="17" spans="1:61" ht="24.6" customHeight="1">
      <c r="A17" s="563"/>
      <c r="B17" s="562"/>
      <c r="C17" s="562"/>
      <c r="D17" s="563"/>
      <c r="E17" s="563"/>
      <c r="F17" s="436" t="s">
        <v>313</v>
      </c>
      <c r="G17" s="437">
        <v>2025</v>
      </c>
      <c r="H17" s="437" t="s">
        <v>311</v>
      </c>
      <c r="I17" s="437">
        <v>0.36</v>
      </c>
      <c r="J17" s="437">
        <v>0.36</v>
      </c>
      <c r="K17" s="437">
        <v>0.36</v>
      </c>
      <c r="L17" s="437">
        <v>0.36</v>
      </c>
      <c r="M17" s="437">
        <v>0.36</v>
      </c>
      <c r="N17" s="437">
        <v>0.36</v>
      </c>
      <c r="O17" s="437">
        <v>0.36</v>
      </c>
      <c r="P17" s="437">
        <v>0.36</v>
      </c>
      <c r="Q17" s="437">
        <v>0.34</v>
      </c>
      <c r="R17" s="437">
        <v>0.36</v>
      </c>
      <c r="S17" s="437">
        <v>0.34</v>
      </c>
      <c r="T17" s="437">
        <v>0.34</v>
      </c>
      <c r="U17" s="437">
        <v>0.34</v>
      </c>
      <c r="V17" s="437">
        <v>0.34</v>
      </c>
      <c r="W17" s="437">
        <v>0.34</v>
      </c>
      <c r="X17" s="437">
        <v>0.36</v>
      </c>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row>
    <row r="18" spans="1:61" ht="24.6" customHeight="1">
      <c r="A18" s="563"/>
      <c r="B18" s="562" t="str">
        <f t="shared" ref="B18" si="3">$B$3</f>
        <v>Outpatient</v>
      </c>
      <c r="C18" s="562" t="s">
        <v>320</v>
      </c>
      <c r="D18" s="562" t="s">
        <v>321</v>
      </c>
      <c r="E18" s="563" t="s">
        <v>324</v>
      </c>
      <c r="F18" s="511" t="s">
        <v>303</v>
      </c>
      <c r="G18" s="511" t="s">
        <v>304</v>
      </c>
      <c r="H18" s="562" t="s">
        <v>325</v>
      </c>
      <c r="I18" s="438">
        <f>0.79*0.88+0.12*I21</f>
        <v>0.72520000000000007</v>
      </c>
      <c r="J18" s="438">
        <f t="shared" ref="J18:X18" si="4">0.79*0.88+0.12*J21</f>
        <v>0.72520000000000007</v>
      </c>
      <c r="K18" s="438">
        <f t="shared" si="4"/>
        <v>0.72520000000000007</v>
      </c>
      <c r="L18" s="438">
        <f t="shared" si="4"/>
        <v>0.72520000000000007</v>
      </c>
      <c r="M18" s="438">
        <f t="shared" si="4"/>
        <v>0.72520000000000007</v>
      </c>
      <c r="N18" s="438">
        <f t="shared" si="4"/>
        <v>0.72520000000000007</v>
      </c>
      <c r="O18" s="438">
        <f t="shared" si="4"/>
        <v>0.72520000000000007</v>
      </c>
      <c r="P18" s="438">
        <f t="shared" si="4"/>
        <v>0.72520000000000007</v>
      </c>
      <c r="Q18" s="438">
        <f t="shared" si="4"/>
        <v>0.72520000000000007</v>
      </c>
      <c r="R18" s="438">
        <f t="shared" si="4"/>
        <v>0.72520000000000007</v>
      </c>
      <c r="S18" s="438">
        <f t="shared" si="4"/>
        <v>0.72520000000000007</v>
      </c>
      <c r="T18" s="438">
        <f t="shared" si="4"/>
        <v>0.72520000000000007</v>
      </c>
      <c r="U18" s="438">
        <f t="shared" si="4"/>
        <v>0.72520000000000007</v>
      </c>
      <c r="V18" s="438">
        <f t="shared" si="4"/>
        <v>0.72520000000000007</v>
      </c>
      <c r="W18" s="438">
        <f t="shared" si="4"/>
        <v>0.72520000000000007</v>
      </c>
      <c r="X18" s="438">
        <f t="shared" si="4"/>
        <v>0.72520000000000007</v>
      </c>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row>
    <row r="19" spans="1:61" ht="24.6" customHeight="1">
      <c r="A19" s="563"/>
      <c r="B19" s="562"/>
      <c r="C19" s="562"/>
      <c r="D19" s="562"/>
      <c r="E19" s="563"/>
      <c r="F19" s="435" t="s">
        <v>306</v>
      </c>
      <c r="G19" s="435" t="s">
        <v>304</v>
      </c>
      <c r="H19" s="562"/>
      <c r="I19" s="439">
        <f>0.79*0.88+0.12*I21</f>
        <v>0.72520000000000007</v>
      </c>
      <c r="J19" s="439">
        <f t="shared" ref="J19:X19" si="5">0.79*0.88+0.12*J21</f>
        <v>0.72520000000000007</v>
      </c>
      <c r="K19" s="439">
        <f t="shared" si="5"/>
        <v>0.72520000000000007</v>
      </c>
      <c r="L19" s="439">
        <f t="shared" si="5"/>
        <v>0.72520000000000007</v>
      </c>
      <c r="M19" s="439">
        <f t="shared" si="5"/>
        <v>0.72520000000000007</v>
      </c>
      <c r="N19" s="439">
        <f t="shared" si="5"/>
        <v>0.72520000000000007</v>
      </c>
      <c r="O19" s="439">
        <f t="shared" si="5"/>
        <v>0.72520000000000007</v>
      </c>
      <c r="P19" s="439">
        <f t="shared" si="5"/>
        <v>0.72520000000000007</v>
      </c>
      <c r="Q19" s="439">
        <f t="shared" si="5"/>
        <v>0.72520000000000007</v>
      </c>
      <c r="R19" s="439">
        <f t="shared" si="5"/>
        <v>0.72520000000000007</v>
      </c>
      <c r="S19" s="439">
        <f t="shared" si="5"/>
        <v>0.72520000000000007</v>
      </c>
      <c r="T19" s="439">
        <f t="shared" si="5"/>
        <v>0.72520000000000007</v>
      </c>
      <c r="U19" s="439">
        <f t="shared" si="5"/>
        <v>0.72520000000000007</v>
      </c>
      <c r="V19" s="439">
        <f t="shared" si="5"/>
        <v>0.72520000000000007</v>
      </c>
      <c r="W19" s="439">
        <f t="shared" si="5"/>
        <v>0.72520000000000007</v>
      </c>
      <c r="X19" s="439">
        <f t="shared" si="5"/>
        <v>0.72520000000000007</v>
      </c>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row>
    <row r="20" spans="1:61" ht="24.6" customHeight="1">
      <c r="A20" s="563"/>
      <c r="B20" s="562"/>
      <c r="C20" s="562"/>
      <c r="D20" s="563" t="s">
        <v>323</v>
      </c>
      <c r="E20" s="563"/>
      <c r="F20" s="431" t="s">
        <v>308</v>
      </c>
      <c r="G20" s="431">
        <v>2001</v>
      </c>
      <c r="H20" s="440" t="s">
        <v>326</v>
      </c>
      <c r="I20" s="431">
        <v>0.43</v>
      </c>
      <c r="J20" s="431">
        <v>0.36</v>
      </c>
      <c r="K20" s="431">
        <v>0.55000000000000004</v>
      </c>
      <c r="L20" s="431">
        <v>0.55000000000000004</v>
      </c>
      <c r="M20" s="431">
        <v>0.55000000000000004</v>
      </c>
      <c r="N20" s="431">
        <v>0.61</v>
      </c>
      <c r="O20" s="431">
        <v>0.61</v>
      </c>
      <c r="P20" s="431">
        <v>0.61</v>
      </c>
      <c r="Q20" s="431">
        <v>0.61</v>
      </c>
      <c r="R20" s="431">
        <v>0.36</v>
      </c>
      <c r="S20" s="431">
        <v>0.36</v>
      </c>
      <c r="T20" s="431">
        <v>0.36</v>
      </c>
      <c r="U20" s="431">
        <v>0.36</v>
      </c>
      <c r="V20" s="431">
        <v>0.36</v>
      </c>
      <c r="W20" s="431">
        <v>0.36</v>
      </c>
      <c r="X20" s="431">
        <v>0.43</v>
      </c>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row>
    <row r="21" spans="1:61" ht="24.6" customHeight="1">
      <c r="A21" s="563"/>
      <c r="B21" s="562"/>
      <c r="C21" s="562"/>
      <c r="D21" s="563"/>
      <c r="E21" s="563"/>
      <c r="F21" s="433" t="s">
        <v>310</v>
      </c>
      <c r="G21" s="433">
        <v>2013</v>
      </c>
      <c r="H21" s="433" t="s">
        <v>311</v>
      </c>
      <c r="I21" s="433">
        <v>0.25</v>
      </c>
      <c r="J21" s="433">
        <v>0.25</v>
      </c>
      <c r="K21" s="433">
        <v>0.25</v>
      </c>
      <c r="L21" s="433">
        <v>0.25</v>
      </c>
      <c r="M21" s="433">
        <v>0.25</v>
      </c>
      <c r="N21" s="433">
        <v>0.25</v>
      </c>
      <c r="O21" s="433">
        <v>0.25</v>
      </c>
      <c r="P21" s="433">
        <v>0.25</v>
      </c>
      <c r="Q21" s="433">
        <v>0.25</v>
      </c>
      <c r="R21" s="433">
        <v>0.25</v>
      </c>
      <c r="S21" s="433">
        <v>0.25</v>
      </c>
      <c r="T21" s="433">
        <v>0.25</v>
      </c>
      <c r="U21" s="433">
        <v>0.25</v>
      </c>
      <c r="V21" s="433">
        <v>0.25</v>
      </c>
      <c r="W21" s="433">
        <v>0.25</v>
      </c>
      <c r="X21" s="433">
        <v>0.25</v>
      </c>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row>
    <row r="22" spans="1:61" ht="24.6" customHeight="1">
      <c r="A22" s="563"/>
      <c r="B22" s="562"/>
      <c r="C22" s="562"/>
      <c r="D22" s="563"/>
      <c r="E22" s="563"/>
      <c r="F22" s="436" t="s">
        <v>313</v>
      </c>
      <c r="G22" s="437">
        <v>2025</v>
      </c>
      <c r="H22" s="436" t="s">
        <v>311</v>
      </c>
      <c r="I22" s="437">
        <v>0.25</v>
      </c>
      <c r="J22" s="437">
        <v>0.25</v>
      </c>
      <c r="K22" s="437">
        <v>0.25</v>
      </c>
      <c r="L22" s="437">
        <v>0.25</v>
      </c>
      <c r="M22" s="437">
        <v>0.25</v>
      </c>
      <c r="N22" s="437">
        <v>0.25</v>
      </c>
      <c r="O22" s="437">
        <v>0.25</v>
      </c>
      <c r="P22" s="437">
        <v>0.25</v>
      </c>
      <c r="Q22" s="437">
        <v>0.22</v>
      </c>
      <c r="R22" s="437">
        <v>0.25</v>
      </c>
      <c r="S22" s="437">
        <v>0.22</v>
      </c>
      <c r="T22" s="437">
        <v>0.22</v>
      </c>
      <c r="U22" s="437">
        <v>0.22</v>
      </c>
      <c r="V22" s="437">
        <v>0.22</v>
      </c>
      <c r="W22" s="437">
        <v>0.22</v>
      </c>
      <c r="X22" s="437">
        <v>0.25</v>
      </c>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row>
    <row r="23" spans="1:61" ht="25.95" customHeight="1">
      <c r="A23" s="5" t="s">
        <v>327</v>
      </c>
      <c r="B23" s="10"/>
      <c r="C23" s="5"/>
      <c r="D23" s="5"/>
      <c r="E23" s="80"/>
      <c r="F23" s="80"/>
      <c r="G23" s="80"/>
      <c r="H23" s="80"/>
      <c r="I23" s="80"/>
      <c r="J23" s="80"/>
      <c r="K23" s="80"/>
      <c r="L23" s="80"/>
      <c r="M23" s="81"/>
      <c r="N23" s="81"/>
      <c r="O23" s="81"/>
      <c r="P23" s="81"/>
      <c r="Q23" s="81"/>
      <c r="R23" s="81"/>
      <c r="S23" s="81"/>
      <c r="T23" s="81"/>
      <c r="U23" s="81"/>
      <c r="V23" s="81"/>
      <c r="W23" s="81"/>
      <c r="X23" s="81"/>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row>
    <row r="24" spans="1:61" ht="25.95" customHeight="1">
      <c r="A24" s="5"/>
      <c r="B24" s="10"/>
      <c r="C24" s="5"/>
      <c r="D24" s="5"/>
      <c r="E24" s="80"/>
      <c r="F24" s="80"/>
      <c r="G24" s="80"/>
      <c r="H24" s="80"/>
      <c r="I24" s="80"/>
      <c r="J24" s="80"/>
      <c r="K24" s="80"/>
      <c r="L24" s="80"/>
      <c r="M24" s="81"/>
      <c r="N24" s="81"/>
      <c r="O24" s="81"/>
      <c r="P24" s="81"/>
      <c r="Q24" s="81"/>
      <c r="R24" s="81"/>
      <c r="S24" s="81"/>
      <c r="T24" s="81"/>
      <c r="U24" s="81"/>
      <c r="V24" s="81"/>
      <c r="W24" s="81"/>
      <c r="X24" s="81"/>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row>
    <row r="25" spans="1:61" ht="26.4" customHeight="1">
      <c r="A25" s="3"/>
      <c r="B25" s="3"/>
      <c r="C25" s="555" t="s">
        <v>328</v>
      </c>
      <c r="D25" s="555"/>
      <c r="E25" s="555"/>
      <c r="F25" s="555"/>
      <c r="G25" s="555"/>
      <c r="H25" s="555"/>
      <c r="I25" s="555"/>
      <c r="J25" s="555"/>
      <c r="K25" s="555"/>
      <c r="L25" s="555"/>
      <c r="M25" s="555"/>
      <c r="N25" s="555"/>
      <c r="O25" s="555"/>
      <c r="P25" s="555"/>
      <c r="Q25" s="555"/>
      <c r="R25" s="555"/>
      <c r="S25" s="555"/>
      <c r="T25" s="555"/>
      <c r="U25" s="555"/>
      <c r="V25" s="555"/>
      <c r="W25" s="555"/>
      <c r="X25" s="560"/>
      <c r="Y25" s="54"/>
      <c r="Z25" s="54"/>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row>
    <row r="26" spans="1:61" ht="47.4" customHeight="1">
      <c r="A26" s="3"/>
      <c r="B26" s="3"/>
      <c r="C26" s="448"/>
      <c r="D26" s="448" t="s">
        <v>110</v>
      </c>
      <c r="E26" s="448" t="s">
        <v>329</v>
      </c>
      <c r="F26" s="531" t="s">
        <v>281</v>
      </c>
      <c r="G26" s="514" t="s">
        <v>330</v>
      </c>
      <c r="H26" s="514" t="s">
        <v>331</v>
      </c>
      <c r="I26" s="566" t="s">
        <v>332</v>
      </c>
      <c r="J26" s="566"/>
      <c r="K26" s="566"/>
      <c r="L26" s="566"/>
      <c r="M26" s="566"/>
      <c r="N26" s="566"/>
      <c r="O26" s="566"/>
      <c r="P26" s="566"/>
      <c r="Q26" s="566"/>
      <c r="R26" s="566"/>
      <c r="S26" s="566"/>
      <c r="T26" s="566"/>
      <c r="U26" s="566"/>
      <c r="V26" s="566"/>
      <c r="W26" s="566"/>
      <c r="X26" s="566"/>
      <c r="Y26" s="54"/>
      <c r="Z26" s="54"/>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row>
    <row r="27" spans="1:61" ht="25.2" customHeight="1">
      <c r="A27" s="3"/>
      <c r="B27" s="3"/>
      <c r="C27" s="557" t="s">
        <v>333</v>
      </c>
      <c r="D27" s="557" t="s">
        <v>63</v>
      </c>
      <c r="E27" s="557"/>
      <c r="F27" s="505" t="s">
        <v>303</v>
      </c>
      <c r="G27" s="529">
        <v>1.1000000000000001</v>
      </c>
      <c r="H27" s="79" t="s">
        <v>334</v>
      </c>
      <c r="I27" s="567">
        <v>0.34100000000000003</v>
      </c>
      <c r="J27" s="567"/>
      <c r="K27" s="567"/>
      <c r="L27" s="567"/>
      <c r="M27" s="567"/>
      <c r="N27" s="567"/>
      <c r="O27" s="567"/>
      <c r="P27" s="567"/>
      <c r="Q27" s="567"/>
      <c r="R27" s="567"/>
      <c r="S27" s="567"/>
      <c r="T27" s="567"/>
      <c r="U27" s="567"/>
      <c r="V27" s="567"/>
      <c r="W27" s="567"/>
      <c r="X27" s="567"/>
      <c r="Y27" s="54"/>
      <c r="Z27" s="54"/>
      <c r="AA27" s="43"/>
      <c r="AB27" s="3"/>
      <c r="AC27" s="3"/>
      <c r="AD27" s="565"/>
      <c r="AE27" s="565"/>
      <c r="AF27" s="565"/>
      <c r="AG27" s="565"/>
      <c r="AH27" s="565"/>
      <c r="AI27" s="565"/>
      <c r="AJ27" s="565"/>
      <c r="AK27" s="565"/>
      <c r="AL27" s="565"/>
      <c r="AM27" s="565"/>
      <c r="AN27" s="565"/>
      <c r="AO27" s="565"/>
      <c r="AP27" s="565"/>
      <c r="AQ27" s="565"/>
      <c r="AR27" s="565"/>
      <c r="AS27" s="565"/>
      <c r="AT27" s="565"/>
      <c r="AU27" s="565"/>
      <c r="AV27" s="565"/>
      <c r="AW27" s="565"/>
      <c r="AX27" s="565"/>
      <c r="AY27" s="565"/>
      <c r="AZ27" s="565"/>
      <c r="BA27" s="3"/>
      <c r="BB27" s="3"/>
      <c r="BC27" s="3"/>
      <c r="BD27" s="3"/>
      <c r="BE27" s="3"/>
      <c r="BF27" s="3"/>
      <c r="BG27" s="3"/>
      <c r="BH27" s="3"/>
      <c r="BI27" s="3"/>
    </row>
    <row r="28" spans="1:61" ht="25.2" customHeight="1">
      <c r="A28" s="3"/>
      <c r="B28" s="3"/>
      <c r="C28" s="558"/>
      <c r="D28" s="558"/>
      <c r="E28" s="558"/>
      <c r="F28" s="505" t="s">
        <v>306</v>
      </c>
      <c r="G28" s="529">
        <v>1.1000000000000001</v>
      </c>
      <c r="H28" s="79" t="s">
        <v>334</v>
      </c>
      <c r="I28" s="567">
        <v>0.34100000000000003</v>
      </c>
      <c r="J28" s="567"/>
      <c r="K28" s="567"/>
      <c r="L28" s="567"/>
      <c r="M28" s="567"/>
      <c r="N28" s="567"/>
      <c r="O28" s="567"/>
      <c r="P28" s="567"/>
      <c r="Q28" s="567"/>
      <c r="R28" s="567"/>
      <c r="S28" s="567"/>
      <c r="T28" s="567"/>
      <c r="U28" s="567"/>
      <c r="V28" s="567"/>
      <c r="W28" s="567"/>
      <c r="X28" s="567"/>
      <c r="Y28" s="54"/>
      <c r="Z28" s="54"/>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row>
    <row r="29" spans="1:61" ht="25.2" customHeight="1">
      <c r="A29" s="3"/>
      <c r="B29" s="3"/>
      <c r="C29" s="558"/>
      <c r="D29" s="558"/>
      <c r="E29" s="558"/>
      <c r="F29" s="505" t="s">
        <v>308</v>
      </c>
      <c r="G29" s="529">
        <v>1.1000000000000001</v>
      </c>
      <c r="H29" s="79" t="s">
        <v>334</v>
      </c>
      <c r="I29" s="568">
        <v>0.34100000000000003</v>
      </c>
      <c r="J29" s="568"/>
      <c r="K29" s="568"/>
      <c r="L29" s="568"/>
      <c r="M29" s="568"/>
      <c r="N29" s="568"/>
      <c r="O29" s="568"/>
      <c r="P29" s="568"/>
      <c r="Q29" s="568"/>
      <c r="R29" s="568"/>
      <c r="S29" s="568"/>
      <c r="T29" s="568"/>
      <c r="U29" s="568"/>
      <c r="V29" s="568"/>
      <c r="W29" s="568"/>
      <c r="X29" s="568"/>
      <c r="Y29" s="54"/>
      <c r="Z29" s="54"/>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row>
    <row r="30" spans="1:61" ht="43.95" customHeight="1">
      <c r="A30" s="3"/>
      <c r="B30" s="3"/>
      <c r="C30" s="558"/>
      <c r="D30" s="558"/>
      <c r="E30" s="558"/>
      <c r="F30" s="505" t="s">
        <v>310</v>
      </c>
      <c r="G30" s="529">
        <v>1</v>
      </c>
      <c r="H30" s="529" t="s">
        <v>335</v>
      </c>
      <c r="I30" s="567">
        <v>0.31209999999999999</v>
      </c>
      <c r="J30" s="567"/>
      <c r="K30" s="567"/>
      <c r="L30" s="567"/>
      <c r="M30" s="567"/>
      <c r="N30" s="567"/>
      <c r="O30" s="567"/>
      <c r="P30" s="567"/>
      <c r="Q30" s="567"/>
      <c r="R30" s="567"/>
      <c r="S30" s="567"/>
      <c r="T30" s="567"/>
      <c r="U30" s="567"/>
      <c r="V30" s="567"/>
      <c r="W30" s="567"/>
      <c r="X30" s="567"/>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row>
    <row r="31" spans="1:61" ht="40.950000000000003" customHeight="1">
      <c r="A31" s="3"/>
      <c r="B31" s="3"/>
      <c r="C31" s="559"/>
      <c r="D31" s="559"/>
      <c r="E31" s="559"/>
      <c r="F31" s="505" t="s">
        <v>313</v>
      </c>
      <c r="G31" s="529">
        <v>0.6</v>
      </c>
      <c r="H31" s="529" t="s">
        <v>336</v>
      </c>
      <c r="I31" s="567">
        <v>0.186</v>
      </c>
      <c r="J31" s="567"/>
      <c r="K31" s="567"/>
      <c r="L31" s="567"/>
      <c r="M31" s="567"/>
      <c r="N31" s="567"/>
      <c r="O31" s="567"/>
      <c r="P31" s="567"/>
      <c r="Q31" s="567"/>
      <c r="R31" s="567"/>
      <c r="S31" s="567"/>
      <c r="T31" s="567"/>
      <c r="U31" s="567"/>
      <c r="V31" s="567"/>
      <c r="W31" s="567"/>
      <c r="X31" s="567"/>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row>
    <row r="32" spans="1:61">
      <c r="A32" s="3"/>
      <c r="B32" s="3"/>
      <c r="C32" s="3"/>
      <c r="D32" s="3"/>
      <c r="E32" s="5" t="s">
        <v>337</v>
      </c>
      <c r="F32" s="3"/>
      <c r="G32" s="55"/>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row>
    <row r="33" spans="1:61" ht="14.4">
      <c r="A33" s="3"/>
      <c r="B33" s="3"/>
      <c r="C33" s="3"/>
      <c r="D33" s="3"/>
      <c r="E33" s="5" t="s">
        <v>338</v>
      </c>
      <c r="F33" s="3"/>
      <c r="G33" s="1" t="s">
        <v>339</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row>
    <row r="34" spans="1:61">
      <c r="A34" s="3"/>
      <c r="B34" s="68"/>
      <c r="C34" s="3"/>
      <c r="D34" s="3"/>
      <c r="E34" s="3"/>
      <c r="F34" s="55"/>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row>
    <row r="35" spans="1:61">
      <c r="A35" s="3"/>
      <c r="B35" s="68"/>
      <c r="C35" s="3"/>
      <c r="D35" s="3"/>
      <c r="E35" s="3"/>
      <c r="F35" s="55"/>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row>
    <row r="36" spans="1:61">
      <c r="A36" s="3"/>
      <c r="B36" s="68"/>
      <c r="C36" s="3"/>
      <c r="D36" s="3"/>
      <c r="E36" s="3"/>
      <c r="F36" s="3"/>
      <c r="G36" s="55"/>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row>
  </sheetData>
  <mergeCells count="40">
    <mergeCell ref="E3:E7"/>
    <mergeCell ref="C13:C17"/>
    <mergeCell ref="B8:B12"/>
    <mergeCell ref="E8:E12"/>
    <mergeCell ref="E13:E17"/>
    <mergeCell ref="D8:D12"/>
    <mergeCell ref="D15:D17"/>
    <mergeCell ref="D13:D14"/>
    <mergeCell ref="H18:H19"/>
    <mergeCell ref="A8:A12"/>
    <mergeCell ref="AS27:AV27"/>
    <mergeCell ref="AW27:AZ27"/>
    <mergeCell ref="AI27:AM27"/>
    <mergeCell ref="AD27:AH27"/>
    <mergeCell ref="AN27:AR27"/>
    <mergeCell ref="I26:X26"/>
    <mergeCell ref="E27:E31"/>
    <mergeCell ref="I27:X27"/>
    <mergeCell ref="I28:X28"/>
    <mergeCell ref="I30:X30"/>
    <mergeCell ref="I31:X31"/>
    <mergeCell ref="I29:X29"/>
    <mergeCell ref="C27:C31"/>
    <mergeCell ref="D20:D22"/>
    <mergeCell ref="D27:D31"/>
    <mergeCell ref="C25:X25"/>
    <mergeCell ref="A1:X1"/>
    <mergeCell ref="D18:D19"/>
    <mergeCell ref="C18:C22"/>
    <mergeCell ref="E18:E22"/>
    <mergeCell ref="A13:A22"/>
    <mergeCell ref="B18:B22"/>
    <mergeCell ref="B13:B17"/>
    <mergeCell ref="D3:D7"/>
    <mergeCell ref="B3:B7"/>
    <mergeCell ref="A3:A7"/>
    <mergeCell ref="C3:C7"/>
    <mergeCell ref="C8:C12"/>
    <mergeCell ref="H8:H9"/>
    <mergeCell ref="H13:H14"/>
  </mergeCells>
  <phoneticPr fontId="5" type="noConversion"/>
  <hyperlinks>
    <hyperlink ref="G33"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27"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S47"/>
  <sheetViews>
    <sheetView zoomScale="80" zoomScaleNormal="80" workbookViewId="0">
      <selection sqref="A1:S1"/>
    </sheetView>
  </sheetViews>
  <sheetFormatPr defaultRowHeight="14.4"/>
  <cols>
    <col min="1" max="1" width="40.6640625" customWidth="1"/>
    <col min="18" max="18" width="22.33203125" customWidth="1"/>
    <col min="19" max="19" width="73.5546875" customWidth="1"/>
  </cols>
  <sheetData>
    <row r="1" spans="1:19" ht="27" customHeight="1">
      <c r="A1" s="570" t="str">
        <f>"Thermostat - "&amp;Prototype!A2</f>
        <v>Thermostat - Outpatient</v>
      </c>
      <c r="B1" s="570"/>
      <c r="C1" s="570"/>
      <c r="D1" s="570"/>
      <c r="E1" s="570"/>
      <c r="F1" s="570"/>
      <c r="G1" s="570"/>
      <c r="H1" s="570"/>
      <c r="I1" s="570"/>
      <c r="J1" s="570"/>
      <c r="K1" s="570"/>
      <c r="L1" s="570"/>
      <c r="M1" s="570"/>
      <c r="N1" s="570"/>
      <c r="O1" s="570"/>
      <c r="P1" s="570"/>
      <c r="Q1" s="570"/>
      <c r="R1" s="570"/>
      <c r="S1" s="570"/>
    </row>
    <row r="2" spans="1:19" ht="27.6" customHeight="1" thickBot="1">
      <c r="A2" s="155" t="s">
        <v>340</v>
      </c>
      <c r="B2" s="523" t="s">
        <v>283</v>
      </c>
      <c r="C2" s="523" t="s">
        <v>284</v>
      </c>
      <c r="D2" s="523" t="s">
        <v>285</v>
      </c>
      <c r="E2" s="523" t="s">
        <v>286</v>
      </c>
      <c r="F2" s="523" t="s">
        <v>287</v>
      </c>
      <c r="G2" s="523" t="s">
        <v>288</v>
      </c>
      <c r="H2" s="523" t="s">
        <v>289</v>
      </c>
      <c r="I2" s="523" t="s">
        <v>290</v>
      </c>
      <c r="J2" s="523" t="s">
        <v>291</v>
      </c>
      <c r="K2" s="523" t="s">
        <v>292</v>
      </c>
      <c r="L2" s="523" t="s">
        <v>293</v>
      </c>
      <c r="M2" s="523" t="s">
        <v>294</v>
      </c>
      <c r="N2" s="523" t="s">
        <v>295</v>
      </c>
      <c r="O2" s="523" t="s">
        <v>296</v>
      </c>
      <c r="P2" s="523" t="s">
        <v>297</v>
      </c>
      <c r="Q2" s="523" t="s">
        <v>298</v>
      </c>
      <c r="R2" s="224" t="s">
        <v>67</v>
      </c>
      <c r="S2" s="224" t="s">
        <v>331</v>
      </c>
    </row>
    <row r="3" spans="1:19" ht="22.95" customHeight="1">
      <c r="A3" s="221" t="s">
        <v>341</v>
      </c>
      <c r="B3" s="140">
        <v>70</v>
      </c>
      <c r="C3" s="140">
        <v>70</v>
      </c>
      <c r="D3" s="140">
        <v>70</v>
      </c>
      <c r="E3" s="140">
        <v>70</v>
      </c>
      <c r="F3" s="140">
        <v>70</v>
      </c>
      <c r="G3" s="140">
        <v>70</v>
      </c>
      <c r="H3" s="140">
        <v>70</v>
      </c>
      <c r="I3" s="140">
        <v>70</v>
      </c>
      <c r="J3" s="140">
        <v>70</v>
      </c>
      <c r="K3" s="140">
        <v>70</v>
      </c>
      <c r="L3" s="140">
        <v>70</v>
      </c>
      <c r="M3" s="140">
        <v>70</v>
      </c>
      <c r="N3" s="140">
        <v>70</v>
      </c>
      <c r="O3" s="140">
        <v>70</v>
      </c>
      <c r="P3" s="140">
        <v>70</v>
      </c>
      <c r="Q3" s="140">
        <v>70</v>
      </c>
      <c r="R3" s="574" t="s">
        <v>342</v>
      </c>
      <c r="S3" s="571" t="s">
        <v>343</v>
      </c>
    </row>
    <row r="4" spans="1:19" ht="26.4" customHeight="1">
      <c r="A4" s="222" t="s">
        <v>344</v>
      </c>
      <c r="B4" s="425">
        <v>70</v>
      </c>
      <c r="C4" s="425">
        <v>70</v>
      </c>
      <c r="D4" s="425">
        <v>70</v>
      </c>
      <c r="E4" s="425">
        <v>70</v>
      </c>
      <c r="F4" s="425">
        <v>70</v>
      </c>
      <c r="G4" s="425">
        <v>70</v>
      </c>
      <c r="H4" s="425">
        <v>70</v>
      </c>
      <c r="I4" s="425">
        <v>70</v>
      </c>
      <c r="J4" s="425">
        <v>70</v>
      </c>
      <c r="K4" s="425">
        <v>70</v>
      </c>
      <c r="L4" s="425">
        <v>70</v>
      </c>
      <c r="M4" s="425">
        <v>70</v>
      </c>
      <c r="N4" s="425">
        <v>70</v>
      </c>
      <c r="O4" s="425">
        <v>70</v>
      </c>
      <c r="P4" s="425">
        <v>70</v>
      </c>
      <c r="Q4" s="425">
        <v>70</v>
      </c>
      <c r="R4" s="575"/>
      <c r="S4" s="572"/>
    </row>
    <row r="5" spans="1:19" ht="26.4" customHeight="1">
      <c r="A5" s="222" t="s">
        <v>345</v>
      </c>
      <c r="B5" s="425">
        <v>75</v>
      </c>
      <c r="C5" s="425">
        <v>75</v>
      </c>
      <c r="D5" s="425">
        <v>75</v>
      </c>
      <c r="E5" s="425">
        <v>75</v>
      </c>
      <c r="F5" s="425">
        <v>75</v>
      </c>
      <c r="G5" s="425">
        <v>75</v>
      </c>
      <c r="H5" s="425">
        <v>75</v>
      </c>
      <c r="I5" s="425">
        <v>75</v>
      </c>
      <c r="J5" s="425">
        <v>75</v>
      </c>
      <c r="K5" s="425">
        <v>75</v>
      </c>
      <c r="L5" s="425">
        <v>75</v>
      </c>
      <c r="M5" s="425">
        <v>75</v>
      </c>
      <c r="N5" s="425">
        <v>75</v>
      </c>
      <c r="O5" s="425">
        <v>75</v>
      </c>
      <c r="P5" s="425">
        <v>75</v>
      </c>
      <c r="Q5" s="425">
        <v>75</v>
      </c>
      <c r="R5" s="575"/>
      <c r="S5" s="572"/>
    </row>
    <row r="6" spans="1:19" ht="23.4" customHeight="1" thickBot="1">
      <c r="A6" s="223" t="s">
        <v>346</v>
      </c>
      <c r="B6" s="138">
        <v>75</v>
      </c>
      <c r="C6" s="138">
        <v>75</v>
      </c>
      <c r="D6" s="138">
        <v>75</v>
      </c>
      <c r="E6" s="138">
        <v>75</v>
      </c>
      <c r="F6" s="138">
        <v>75</v>
      </c>
      <c r="G6" s="138">
        <v>75</v>
      </c>
      <c r="H6" s="138">
        <v>75</v>
      </c>
      <c r="I6" s="138">
        <v>75</v>
      </c>
      <c r="J6" s="138">
        <v>75</v>
      </c>
      <c r="K6" s="138">
        <v>75</v>
      </c>
      <c r="L6" s="138">
        <v>75</v>
      </c>
      <c r="M6" s="138">
        <v>75</v>
      </c>
      <c r="N6" s="138">
        <v>75</v>
      </c>
      <c r="O6" s="138">
        <v>75</v>
      </c>
      <c r="P6" s="138">
        <v>75</v>
      </c>
      <c r="Q6" s="138">
        <v>75</v>
      </c>
      <c r="R6" s="576"/>
      <c r="S6" s="573"/>
    </row>
    <row r="7" spans="1:19" ht="24.6" customHeight="1">
      <c r="A7" s="221" t="s">
        <v>347</v>
      </c>
      <c r="B7" s="520">
        <v>66</v>
      </c>
      <c r="C7" s="520">
        <v>66</v>
      </c>
      <c r="D7" s="520">
        <v>66</v>
      </c>
      <c r="E7" s="520">
        <v>66</v>
      </c>
      <c r="F7" s="520">
        <v>66</v>
      </c>
      <c r="G7" s="520">
        <v>66</v>
      </c>
      <c r="H7" s="520">
        <v>66</v>
      </c>
      <c r="I7" s="520">
        <v>66</v>
      </c>
      <c r="J7" s="520">
        <v>66</v>
      </c>
      <c r="K7" s="520">
        <v>66</v>
      </c>
      <c r="L7" s="520">
        <v>66</v>
      </c>
      <c r="M7" s="520">
        <v>66</v>
      </c>
      <c r="N7" s="520">
        <v>66</v>
      </c>
      <c r="O7" s="520">
        <v>66</v>
      </c>
      <c r="P7" s="520">
        <v>66</v>
      </c>
      <c r="Q7" s="520">
        <v>66</v>
      </c>
      <c r="R7" s="581" t="s">
        <v>348</v>
      </c>
      <c r="S7" s="584"/>
    </row>
    <row r="8" spans="1:19" ht="24.6" customHeight="1">
      <c r="A8" s="222" t="s">
        <v>349</v>
      </c>
      <c r="B8" s="520">
        <v>60</v>
      </c>
      <c r="C8" s="520">
        <v>60</v>
      </c>
      <c r="D8" s="520">
        <v>60</v>
      </c>
      <c r="E8" s="520">
        <v>60</v>
      </c>
      <c r="F8" s="520">
        <v>60</v>
      </c>
      <c r="G8" s="520">
        <v>60</v>
      </c>
      <c r="H8" s="520">
        <v>60</v>
      </c>
      <c r="I8" s="520">
        <v>60</v>
      </c>
      <c r="J8" s="520">
        <v>60</v>
      </c>
      <c r="K8" s="520">
        <v>60</v>
      </c>
      <c r="L8" s="520">
        <v>60</v>
      </c>
      <c r="M8" s="520">
        <v>60</v>
      </c>
      <c r="N8" s="520">
        <v>60</v>
      </c>
      <c r="O8" s="520">
        <v>60</v>
      </c>
      <c r="P8" s="520">
        <v>60</v>
      </c>
      <c r="Q8" s="520">
        <v>60</v>
      </c>
      <c r="R8" s="582"/>
      <c r="S8" s="585"/>
    </row>
    <row r="9" spans="1:19" ht="24.6" customHeight="1">
      <c r="A9" s="222" t="s">
        <v>350</v>
      </c>
      <c r="B9" s="520">
        <v>79</v>
      </c>
      <c r="C9" s="520">
        <v>79</v>
      </c>
      <c r="D9" s="520">
        <v>79</v>
      </c>
      <c r="E9" s="520">
        <v>79</v>
      </c>
      <c r="F9" s="520">
        <v>79</v>
      </c>
      <c r="G9" s="520">
        <v>79</v>
      </c>
      <c r="H9" s="520">
        <v>79</v>
      </c>
      <c r="I9" s="520">
        <v>79</v>
      </c>
      <c r="J9" s="520">
        <v>79</v>
      </c>
      <c r="K9" s="520">
        <v>79</v>
      </c>
      <c r="L9" s="520">
        <v>79</v>
      </c>
      <c r="M9" s="520">
        <v>79</v>
      </c>
      <c r="N9" s="520">
        <v>79</v>
      </c>
      <c r="O9" s="520">
        <v>79</v>
      </c>
      <c r="P9" s="520">
        <v>79</v>
      </c>
      <c r="Q9" s="520">
        <v>79</v>
      </c>
      <c r="R9" s="582"/>
      <c r="S9" s="585"/>
    </row>
    <row r="10" spans="1:19" ht="24.6" customHeight="1">
      <c r="A10" s="223" t="s">
        <v>351</v>
      </c>
      <c r="B10" s="520">
        <v>86</v>
      </c>
      <c r="C10" s="520">
        <v>86</v>
      </c>
      <c r="D10" s="520">
        <v>86</v>
      </c>
      <c r="E10" s="520">
        <v>86</v>
      </c>
      <c r="F10" s="520">
        <v>86</v>
      </c>
      <c r="G10" s="520">
        <v>86</v>
      </c>
      <c r="H10" s="520">
        <v>86</v>
      </c>
      <c r="I10" s="520">
        <v>86</v>
      </c>
      <c r="J10" s="520">
        <v>86</v>
      </c>
      <c r="K10" s="520">
        <v>86</v>
      </c>
      <c r="L10" s="520">
        <v>86</v>
      </c>
      <c r="M10" s="520">
        <v>86</v>
      </c>
      <c r="N10" s="520">
        <v>86</v>
      </c>
      <c r="O10" s="520">
        <v>86</v>
      </c>
      <c r="P10" s="520">
        <v>86</v>
      </c>
      <c r="Q10" s="520">
        <v>86</v>
      </c>
      <c r="R10" s="583"/>
      <c r="S10" s="586"/>
    </row>
    <row r="11" spans="1:19" ht="23.25" customHeight="1">
      <c r="A11" s="397" t="s">
        <v>352</v>
      </c>
      <c r="B11" s="398">
        <v>60</v>
      </c>
      <c r="C11" s="398">
        <v>60</v>
      </c>
      <c r="D11" s="398">
        <v>60</v>
      </c>
      <c r="E11" s="398">
        <v>60</v>
      </c>
      <c r="F11" s="398">
        <v>60</v>
      </c>
      <c r="G11" s="398">
        <v>60</v>
      </c>
      <c r="H11" s="398">
        <v>60</v>
      </c>
      <c r="I11" s="398">
        <v>60</v>
      </c>
      <c r="J11" s="398">
        <v>60</v>
      </c>
      <c r="K11" s="398">
        <v>60</v>
      </c>
      <c r="L11" s="398">
        <v>60</v>
      </c>
      <c r="M11" s="398">
        <v>60</v>
      </c>
      <c r="N11" s="398">
        <v>60</v>
      </c>
      <c r="O11" s="398">
        <v>60</v>
      </c>
      <c r="P11" s="398">
        <v>60</v>
      </c>
      <c r="Q11" s="398">
        <v>60</v>
      </c>
      <c r="R11" s="587" t="s">
        <v>353</v>
      </c>
      <c r="S11" s="590"/>
    </row>
    <row r="12" spans="1:19" ht="23.25" customHeight="1">
      <c r="A12" s="399" t="s">
        <v>354</v>
      </c>
      <c r="B12" s="521">
        <v>60</v>
      </c>
      <c r="C12" s="521">
        <v>60</v>
      </c>
      <c r="D12" s="521">
        <v>60</v>
      </c>
      <c r="E12" s="521">
        <v>60</v>
      </c>
      <c r="F12" s="521">
        <v>60</v>
      </c>
      <c r="G12" s="521">
        <v>60</v>
      </c>
      <c r="H12" s="521">
        <v>60</v>
      </c>
      <c r="I12" s="521">
        <v>60</v>
      </c>
      <c r="J12" s="521">
        <v>60</v>
      </c>
      <c r="K12" s="521">
        <v>60</v>
      </c>
      <c r="L12" s="521">
        <v>60</v>
      </c>
      <c r="M12" s="521">
        <v>60</v>
      </c>
      <c r="N12" s="521">
        <v>60</v>
      </c>
      <c r="O12" s="521">
        <v>60</v>
      </c>
      <c r="P12" s="521">
        <v>60</v>
      </c>
      <c r="Q12" s="521">
        <v>60</v>
      </c>
      <c r="R12" s="588"/>
      <c r="S12" s="591"/>
    </row>
    <row r="13" spans="1:19" ht="23.25" customHeight="1">
      <c r="A13" s="399" t="s">
        <v>355</v>
      </c>
      <c r="B13" s="521">
        <v>85</v>
      </c>
      <c r="C13" s="521">
        <v>85</v>
      </c>
      <c r="D13" s="521">
        <v>85</v>
      </c>
      <c r="E13" s="521">
        <v>85</v>
      </c>
      <c r="F13" s="521">
        <v>85</v>
      </c>
      <c r="G13" s="521">
        <v>85</v>
      </c>
      <c r="H13" s="521">
        <v>85</v>
      </c>
      <c r="I13" s="521">
        <v>85</v>
      </c>
      <c r="J13" s="521">
        <v>85</v>
      </c>
      <c r="K13" s="521">
        <v>85</v>
      </c>
      <c r="L13" s="521">
        <v>85</v>
      </c>
      <c r="M13" s="521">
        <v>85</v>
      </c>
      <c r="N13" s="521">
        <v>85</v>
      </c>
      <c r="O13" s="521">
        <v>85</v>
      </c>
      <c r="P13" s="521">
        <v>85</v>
      </c>
      <c r="Q13" s="521">
        <v>85</v>
      </c>
      <c r="R13" s="588"/>
      <c r="S13" s="591"/>
    </row>
    <row r="14" spans="1:19" ht="23.25" customHeight="1">
      <c r="A14" s="400" t="s">
        <v>356</v>
      </c>
      <c r="B14" s="401">
        <v>85</v>
      </c>
      <c r="C14" s="401">
        <v>85</v>
      </c>
      <c r="D14" s="401">
        <v>85</v>
      </c>
      <c r="E14" s="401">
        <v>85</v>
      </c>
      <c r="F14" s="401">
        <v>85</v>
      </c>
      <c r="G14" s="401">
        <v>85</v>
      </c>
      <c r="H14" s="401">
        <v>85</v>
      </c>
      <c r="I14" s="401">
        <v>85</v>
      </c>
      <c r="J14" s="401">
        <v>85</v>
      </c>
      <c r="K14" s="401">
        <v>85</v>
      </c>
      <c r="L14" s="401">
        <v>85</v>
      </c>
      <c r="M14" s="401">
        <v>85</v>
      </c>
      <c r="N14" s="401">
        <v>85</v>
      </c>
      <c r="O14" s="401">
        <v>85</v>
      </c>
      <c r="P14" s="401">
        <v>85</v>
      </c>
      <c r="Q14" s="401">
        <v>85</v>
      </c>
      <c r="R14" s="589"/>
      <c r="S14" s="592"/>
    </row>
    <row r="15" spans="1:19" ht="23.25" customHeight="1">
      <c r="A15" s="378"/>
      <c r="B15" s="421"/>
      <c r="C15" s="421"/>
      <c r="D15" s="421"/>
      <c r="E15" s="421"/>
      <c r="F15" s="421"/>
      <c r="G15" s="421"/>
      <c r="H15" s="421"/>
      <c r="I15" s="421"/>
      <c r="J15" s="421"/>
      <c r="K15" s="421"/>
      <c r="L15" s="421"/>
      <c r="M15" s="421"/>
      <c r="N15" s="421"/>
      <c r="O15" s="421"/>
      <c r="P15" s="421"/>
      <c r="Q15" s="421"/>
      <c r="R15" s="422"/>
      <c r="S15" s="8"/>
    </row>
    <row r="16" spans="1:19" ht="23.25" customHeight="1">
      <c r="A16" s="378"/>
      <c r="B16" s="421"/>
      <c r="C16" s="421"/>
      <c r="D16" s="421"/>
      <c r="E16" s="421"/>
      <c r="F16" s="421"/>
      <c r="G16" s="421"/>
      <c r="H16" s="421"/>
      <c r="I16" s="421"/>
      <c r="J16" s="421"/>
      <c r="K16" s="421"/>
      <c r="L16" s="421"/>
      <c r="M16" s="421"/>
      <c r="N16" s="421"/>
      <c r="O16" s="421"/>
      <c r="P16" s="421"/>
      <c r="Q16" s="421"/>
      <c r="R16" s="422"/>
      <c r="S16" s="8"/>
    </row>
    <row r="17" spans="1:19" ht="23.25" customHeight="1">
      <c r="A17" s="378"/>
      <c r="B17" s="421"/>
      <c r="C17" s="421"/>
      <c r="D17" s="421"/>
      <c r="E17" s="421"/>
      <c r="F17" s="421"/>
      <c r="G17" s="421"/>
      <c r="H17" s="421"/>
      <c r="I17" s="421"/>
      <c r="J17" s="421"/>
      <c r="K17" s="421"/>
      <c r="L17" s="421"/>
      <c r="M17" s="421"/>
      <c r="N17" s="421"/>
      <c r="O17" s="421"/>
      <c r="P17" s="421"/>
      <c r="Q17" s="421"/>
      <c r="R17" s="422"/>
      <c r="S17" s="8"/>
    </row>
    <row r="18" spans="1:19" ht="23.25" customHeight="1">
      <c r="A18" s="378"/>
      <c r="B18" s="421"/>
      <c r="C18" s="421"/>
      <c r="D18" s="421"/>
      <c r="E18" s="421"/>
      <c r="F18" s="421"/>
      <c r="G18" s="421"/>
      <c r="H18" s="421"/>
      <c r="I18" s="421"/>
      <c r="J18" s="421"/>
      <c r="K18" s="421"/>
      <c r="L18" s="421"/>
      <c r="M18" s="421"/>
      <c r="N18" s="421"/>
      <c r="O18" s="421"/>
      <c r="P18" s="421"/>
      <c r="Q18" s="421"/>
      <c r="R18" s="422"/>
      <c r="S18" s="8"/>
    </row>
    <row r="19" spans="1:19" ht="23.25" customHeight="1">
      <c r="A19" s="378"/>
      <c r="B19" s="421"/>
      <c r="C19" s="421"/>
      <c r="D19" s="421"/>
      <c r="E19" s="421"/>
      <c r="F19" s="421"/>
      <c r="G19" s="421"/>
      <c r="H19" s="421"/>
      <c r="I19" s="421"/>
      <c r="J19" s="421"/>
      <c r="K19" s="421"/>
      <c r="L19" s="421"/>
      <c r="M19" s="421"/>
      <c r="N19" s="421"/>
      <c r="O19" s="421"/>
      <c r="P19" s="421"/>
      <c r="Q19" s="421"/>
      <c r="R19" s="422"/>
      <c r="S19" s="8"/>
    </row>
    <row r="20" spans="1:19" ht="23.25" customHeight="1">
      <c r="A20" s="378"/>
      <c r="B20" s="421"/>
      <c r="C20" s="421"/>
      <c r="D20" s="421"/>
      <c r="E20" s="421"/>
      <c r="F20" s="421"/>
      <c r="G20" s="421"/>
      <c r="H20" s="421"/>
      <c r="I20" s="421"/>
      <c r="J20" s="421"/>
      <c r="K20" s="421"/>
      <c r="L20" s="421"/>
      <c r="M20" s="421"/>
      <c r="N20" s="421"/>
      <c r="O20" s="421"/>
      <c r="P20" s="421"/>
      <c r="Q20" s="421"/>
      <c r="R20" s="422"/>
      <c r="S20" s="8"/>
    </row>
    <row r="21" spans="1:19">
      <c r="A21" s="449"/>
      <c r="B21" s="449"/>
      <c r="C21" s="449"/>
    </row>
    <row r="22" spans="1:19" hidden="1"/>
    <row r="23" spans="1:19" s="39" customFormat="1" ht="13.2" hidden="1">
      <c r="A23" s="578"/>
      <c r="B23" s="578"/>
      <c r="C23" s="578"/>
      <c r="D23" s="578"/>
      <c r="E23" s="578"/>
    </row>
    <row r="24" spans="1:19" hidden="1">
      <c r="B24" s="579"/>
      <c r="C24" s="579"/>
      <c r="D24" s="579"/>
      <c r="E24" s="579"/>
      <c r="F24" s="579"/>
      <c r="G24" s="579"/>
    </row>
    <row r="25" spans="1:19" hidden="1"/>
    <row r="26" spans="1:19" hidden="1">
      <c r="A26" s="580"/>
    </row>
    <row r="27" spans="1:19" hidden="1">
      <c r="A27" s="580"/>
    </row>
    <row r="28" spans="1:19" hidden="1">
      <c r="A28" s="580"/>
      <c r="B28" s="61"/>
      <c r="E28" s="61"/>
    </row>
    <row r="29" spans="1:19" hidden="1">
      <c r="A29" s="580"/>
    </row>
    <row r="30" spans="1:19" hidden="1"/>
    <row r="31" spans="1:19" hidden="1"/>
    <row r="32" spans="1:19" ht="42" hidden="1" customHeight="1">
      <c r="A32" s="577"/>
      <c r="B32" s="577"/>
      <c r="C32" s="577"/>
      <c r="D32" s="577"/>
      <c r="E32" s="577"/>
      <c r="F32" s="577"/>
      <c r="G32" s="577"/>
      <c r="H32" s="577"/>
      <c r="I32" s="577"/>
    </row>
    <row r="33" hidden="1"/>
    <row r="34" hidden="1"/>
    <row r="35" hidden="1"/>
    <row r="36" hidden="1"/>
    <row r="37" hidden="1"/>
    <row r="38" hidden="1"/>
    <row r="39" hidden="1"/>
    <row r="40" hidden="1"/>
    <row r="41" hidden="1"/>
    <row r="42" hidden="1"/>
    <row r="43" hidden="1"/>
    <row r="44" hidden="1"/>
    <row r="45" hidden="1"/>
    <row r="46" hidden="1"/>
    <row r="47" hidden="1"/>
  </sheetData>
  <mergeCells count="12">
    <mergeCell ref="A1:S1"/>
    <mergeCell ref="S3:S6"/>
    <mergeCell ref="R3:R6"/>
    <mergeCell ref="A32:I32"/>
    <mergeCell ref="A23:E23"/>
    <mergeCell ref="B24:D24"/>
    <mergeCell ref="E24:G24"/>
    <mergeCell ref="A26:A29"/>
    <mergeCell ref="R7:R10"/>
    <mergeCell ref="S7:S10"/>
    <mergeCell ref="R11:R14"/>
    <mergeCell ref="S11:S1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57"/>
  <sheetViews>
    <sheetView zoomScale="80" zoomScaleNormal="80" zoomScaleSheetLayoutView="40" workbookViewId="0">
      <selection sqref="A1:G1"/>
    </sheetView>
  </sheetViews>
  <sheetFormatPr defaultColWidth="8.6640625" defaultRowHeight="13.2"/>
  <cols>
    <col min="1" max="1" width="26" style="5" customWidth="1"/>
    <col min="2" max="2" width="32.44140625" style="5" customWidth="1"/>
    <col min="3" max="3" width="39.88671875" style="5" customWidth="1"/>
    <col min="4" max="4" width="38.109375" style="5" customWidth="1"/>
    <col min="5" max="5" width="32" style="5" customWidth="1"/>
    <col min="6" max="6" width="44.88671875" style="5" customWidth="1"/>
    <col min="7" max="7" width="29" style="5" customWidth="1"/>
    <col min="8" max="8" width="38.33203125" style="5" customWidth="1"/>
    <col min="9" max="9" width="22.44140625" style="5" customWidth="1"/>
    <col min="10" max="11" width="12.6640625" style="5" customWidth="1"/>
    <col min="12" max="19" width="15.33203125" style="5" customWidth="1"/>
    <col min="20" max="20" width="14.6640625" style="5" customWidth="1"/>
    <col min="21" max="21" width="13.5546875" style="5" customWidth="1"/>
    <col min="22" max="22" width="15.6640625" style="5" customWidth="1"/>
    <col min="23" max="29" width="11" style="5" customWidth="1"/>
    <col min="30" max="38" width="6.5546875" style="5" customWidth="1"/>
    <col min="39" max="39" width="8.6640625" style="5" customWidth="1"/>
    <col min="40" max="16384" width="8.6640625" style="5"/>
  </cols>
  <sheetData>
    <row r="1" spans="1:9" ht="27" customHeight="1">
      <c r="A1" s="604" t="str">
        <f>"HVAC System - "&amp;Prototype!A2</f>
        <v>HVAC System - Outpatient</v>
      </c>
      <c r="B1" s="604"/>
      <c r="C1" s="604"/>
      <c r="D1" s="604"/>
      <c r="E1" s="604"/>
      <c r="F1" s="604"/>
      <c r="G1" s="604"/>
    </row>
    <row r="2" spans="1:9" ht="27.6" customHeight="1">
      <c r="A2" s="531" t="s">
        <v>281</v>
      </c>
      <c r="B2" s="95" t="s">
        <v>357</v>
      </c>
      <c r="C2" s="533" t="s">
        <v>358</v>
      </c>
      <c r="D2" s="533" t="s">
        <v>359</v>
      </c>
      <c r="E2" s="533" t="s">
        <v>360</v>
      </c>
      <c r="F2" s="533" t="s">
        <v>67</v>
      </c>
      <c r="G2" s="533" t="s">
        <v>331</v>
      </c>
    </row>
    <row r="3" spans="1:9" ht="43.2" customHeight="1">
      <c r="A3" s="529" t="s">
        <v>312</v>
      </c>
      <c r="B3" s="529" t="s">
        <v>361</v>
      </c>
      <c r="C3" s="62" t="s">
        <v>362</v>
      </c>
      <c r="D3" s="519" t="s">
        <v>363</v>
      </c>
      <c r="E3" s="529" t="s">
        <v>364</v>
      </c>
      <c r="F3" s="529" t="s">
        <v>365</v>
      </c>
      <c r="G3" s="529" t="s">
        <v>366</v>
      </c>
      <c r="H3" s="508"/>
      <c r="I3" s="508"/>
    </row>
    <row r="4" spans="1:9" ht="46.2" customHeight="1">
      <c r="A4" s="505" t="s">
        <v>318</v>
      </c>
      <c r="B4" s="529" t="s">
        <v>361</v>
      </c>
      <c r="C4" s="62" t="s">
        <v>362</v>
      </c>
      <c r="D4" s="519" t="s">
        <v>363</v>
      </c>
      <c r="E4" s="529" t="s">
        <v>367</v>
      </c>
      <c r="F4" s="529" t="s">
        <v>368</v>
      </c>
      <c r="G4" s="529" t="s">
        <v>369</v>
      </c>
      <c r="H4" s="450"/>
      <c r="I4" s="450"/>
    </row>
    <row r="5" spans="1:9" ht="22.95" customHeight="1">
      <c r="A5" s="510"/>
      <c r="B5" s="510"/>
      <c r="C5" s="260"/>
      <c r="D5" s="260"/>
      <c r="E5" s="260"/>
      <c r="F5" s="450"/>
      <c r="G5" s="450"/>
      <c r="H5" s="450"/>
      <c r="I5" s="450"/>
    </row>
    <row r="6" spans="1:9" ht="25.95" customHeight="1">
      <c r="A6" s="260"/>
      <c r="B6" s="260"/>
      <c r="C6" s="260"/>
      <c r="D6" s="260"/>
      <c r="E6" s="260"/>
    </row>
    <row r="7" spans="1:9" ht="25.2" customHeight="1" thickBot="1">
      <c r="A7" s="260"/>
      <c r="B7" s="260"/>
      <c r="C7" s="260"/>
      <c r="D7" s="260"/>
      <c r="E7" s="260"/>
    </row>
    <row r="8" spans="1:9" ht="33.75" customHeight="1">
      <c r="A8" s="605" t="s">
        <v>370</v>
      </c>
      <c r="B8" s="606"/>
      <c r="C8" s="606"/>
      <c r="D8" s="606"/>
      <c r="E8" s="606"/>
      <c r="F8" s="606"/>
      <c r="G8" s="607"/>
      <c r="H8" s="57"/>
    </row>
    <row r="9" spans="1:9" ht="34.200000000000003" customHeight="1">
      <c r="A9" s="90" t="s">
        <v>281</v>
      </c>
      <c r="B9" s="531" t="s">
        <v>371</v>
      </c>
      <c r="C9" s="514" t="s">
        <v>372</v>
      </c>
      <c r="D9" s="514" t="s">
        <v>373</v>
      </c>
      <c r="E9" s="533" t="s">
        <v>374</v>
      </c>
      <c r="F9" s="533" t="s">
        <v>67</v>
      </c>
      <c r="G9" s="531" t="s">
        <v>331</v>
      </c>
    </row>
    <row r="10" spans="1:9" ht="25.5" customHeight="1">
      <c r="A10" s="505" t="s">
        <v>303</v>
      </c>
      <c r="B10" s="611">
        <v>2008</v>
      </c>
      <c r="C10" s="608" t="s">
        <v>375</v>
      </c>
      <c r="D10" s="603" t="s">
        <v>376</v>
      </c>
      <c r="E10" s="610" t="s">
        <v>377</v>
      </c>
      <c r="F10" s="603" t="s">
        <v>378</v>
      </c>
      <c r="G10" s="603"/>
    </row>
    <row r="11" spans="1:9" ht="25.5" customHeight="1">
      <c r="A11" s="505" t="s">
        <v>306</v>
      </c>
      <c r="B11" s="611"/>
      <c r="C11" s="609"/>
      <c r="D11" s="596"/>
      <c r="E11" s="610"/>
      <c r="F11" s="603"/>
      <c r="G11" s="603"/>
    </row>
    <row r="12" spans="1:9" ht="21" customHeight="1">
      <c r="A12" s="505" t="s">
        <v>308</v>
      </c>
      <c r="B12" s="611"/>
      <c r="C12" s="609"/>
      <c r="D12" s="596"/>
      <c r="E12" s="610"/>
      <c r="F12" s="603"/>
      <c r="G12" s="603"/>
    </row>
    <row r="13" spans="1:9" ht="57.6" customHeight="1">
      <c r="A13" s="505" t="s">
        <v>310</v>
      </c>
      <c r="B13" s="520">
        <v>2013</v>
      </c>
      <c r="C13" s="519" t="s">
        <v>379</v>
      </c>
      <c r="D13" s="518" t="s">
        <v>380</v>
      </c>
      <c r="E13" s="286" t="s">
        <v>381</v>
      </c>
      <c r="F13" s="518" t="s">
        <v>382</v>
      </c>
      <c r="G13" s="518"/>
    </row>
    <row r="14" spans="1:9" ht="81.75" customHeight="1">
      <c r="A14" s="505" t="s">
        <v>318</v>
      </c>
      <c r="B14" s="520">
        <v>2025</v>
      </c>
      <c r="C14" s="519" t="s">
        <v>379</v>
      </c>
      <c r="D14" s="518" t="s">
        <v>383</v>
      </c>
      <c r="E14" s="286" t="s">
        <v>381</v>
      </c>
      <c r="F14" s="518" t="s">
        <v>384</v>
      </c>
      <c r="G14" s="518"/>
    </row>
    <row r="15" spans="1:9">
      <c r="B15" s="7"/>
      <c r="C15" s="7"/>
      <c r="D15" s="28"/>
      <c r="E15" s="7"/>
    </row>
    <row r="16" spans="1:9">
      <c r="A16" s="29"/>
      <c r="B16" s="7"/>
      <c r="D16" s="7" t="s">
        <v>385</v>
      </c>
      <c r="E16" s="7" t="s">
        <v>386</v>
      </c>
    </row>
    <row r="17" spans="1:9">
      <c r="A17" s="29"/>
      <c r="B17" s="7"/>
      <c r="C17" s="7"/>
      <c r="D17" s="7"/>
      <c r="E17" s="7"/>
    </row>
    <row r="18" spans="1:9">
      <c r="A18" s="29"/>
      <c r="B18" s="7"/>
      <c r="C18" s="7"/>
      <c r="D18" s="7"/>
      <c r="E18" s="7"/>
    </row>
    <row r="19" spans="1:9" ht="26.4" customHeight="1">
      <c r="A19" s="597" t="s">
        <v>387</v>
      </c>
      <c r="B19" s="597"/>
      <c r="C19" s="597"/>
      <c r="D19" s="597"/>
      <c r="E19" s="597"/>
      <c r="F19" s="597"/>
      <c r="G19" s="597"/>
      <c r="H19" s="597"/>
      <c r="I19" s="597"/>
    </row>
    <row r="20" spans="1:9" ht="46.2" customHeight="1">
      <c r="A20" s="90" t="s">
        <v>281</v>
      </c>
      <c r="B20" s="338" t="s">
        <v>388</v>
      </c>
      <c r="C20" s="338" t="s">
        <v>389</v>
      </c>
      <c r="D20" s="339" t="s">
        <v>390</v>
      </c>
      <c r="E20" s="339" t="s">
        <v>391</v>
      </c>
      <c r="F20" s="339" t="s">
        <v>392</v>
      </c>
      <c r="G20" s="339" t="s">
        <v>393</v>
      </c>
      <c r="H20" s="90" t="s">
        <v>394</v>
      </c>
      <c r="I20" s="90" t="s">
        <v>331</v>
      </c>
    </row>
    <row r="21" spans="1:9" ht="99.75" customHeight="1">
      <c r="A21" s="451" t="s">
        <v>312</v>
      </c>
      <c r="B21" s="343" t="s">
        <v>395</v>
      </c>
      <c r="C21" s="451" t="s">
        <v>396</v>
      </c>
      <c r="D21" s="337">
        <v>4.09</v>
      </c>
      <c r="E21" s="337">
        <v>0.65</v>
      </c>
      <c r="F21" s="337" t="s">
        <v>397</v>
      </c>
      <c r="G21" s="342"/>
      <c r="H21" s="344" t="s">
        <v>398</v>
      </c>
      <c r="I21" s="96"/>
    </row>
    <row r="22" spans="1:9" ht="21" customHeight="1">
      <c r="A22" s="340" t="s">
        <v>399</v>
      </c>
      <c r="B22" s="340"/>
      <c r="C22" s="452"/>
      <c r="D22" s="452"/>
      <c r="E22" s="452"/>
      <c r="F22" s="452"/>
      <c r="G22" s="452"/>
      <c r="H22" s="452"/>
      <c r="I22" s="453"/>
    </row>
    <row r="23" spans="1:9" ht="21" customHeight="1">
      <c r="A23" s="341" t="s">
        <v>400</v>
      </c>
      <c r="B23" s="454"/>
      <c r="C23" s="454"/>
      <c r="D23" s="454"/>
      <c r="E23" s="454"/>
      <c r="F23" s="454"/>
      <c r="G23" s="454"/>
      <c r="H23" s="454"/>
      <c r="I23" s="455"/>
    </row>
    <row r="24" spans="1:9" ht="28.95" customHeight="1">
      <c r="A24" s="594" t="s">
        <v>318</v>
      </c>
      <c r="B24" s="594" t="s">
        <v>401</v>
      </c>
      <c r="C24" s="456" t="s">
        <v>402</v>
      </c>
      <c r="D24" s="345" t="s">
        <v>403</v>
      </c>
      <c r="E24" s="594">
        <v>0.65</v>
      </c>
      <c r="F24" s="598" t="s">
        <v>404</v>
      </c>
      <c r="G24" s="456">
        <v>0.78</v>
      </c>
      <c r="H24" s="600" t="s">
        <v>405</v>
      </c>
      <c r="I24" s="152"/>
    </row>
    <row r="25" spans="1:9" ht="28.95" customHeight="1">
      <c r="A25" s="595"/>
      <c r="B25" s="595"/>
      <c r="C25" s="456" t="s">
        <v>406</v>
      </c>
      <c r="D25" s="345" t="s">
        <v>403</v>
      </c>
      <c r="E25" s="595"/>
      <c r="F25" s="599"/>
      <c r="G25" s="517">
        <v>0.748</v>
      </c>
      <c r="H25" s="601"/>
      <c r="I25" s="152"/>
    </row>
    <row r="26" spans="1:9" ht="36" customHeight="1">
      <c r="A26" s="596"/>
      <c r="B26" s="596"/>
      <c r="C26" s="518" t="s">
        <v>407</v>
      </c>
      <c r="D26" s="345" t="s">
        <v>403</v>
      </c>
      <c r="E26" s="596"/>
      <c r="F26" s="599"/>
      <c r="G26" s="518">
        <v>1.0129999999999999</v>
      </c>
      <c r="H26" s="601"/>
      <c r="I26" s="56"/>
    </row>
    <row r="27" spans="1:9" ht="33" customHeight="1">
      <c r="A27" s="596"/>
      <c r="B27" s="596"/>
      <c r="C27" s="518" t="s">
        <v>408</v>
      </c>
      <c r="D27" s="345" t="s">
        <v>409</v>
      </c>
      <c r="E27" s="596"/>
      <c r="F27" s="595"/>
      <c r="G27" s="518">
        <v>0.94599999999999995</v>
      </c>
      <c r="H27" s="602"/>
      <c r="I27" s="56"/>
    </row>
    <row r="28" spans="1:9" ht="24" customHeight="1">
      <c r="A28" s="378"/>
      <c r="B28" s="378"/>
      <c r="C28" s="422"/>
      <c r="D28" s="422"/>
      <c r="E28" s="421"/>
      <c r="F28" s="378"/>
      <c r="G28" s="422"/>
      <c r="H28" s="421"/>
    </row>
    <row r="29" spans="1:9" ht="33" customHeight="1">
      <c r="A29" s="593" t="s">
        <v>410</v>
      </c>
      <c r="B29" s="593"/>
      <c r="C29" s="593"/>
      <c r="D29" s="593"/>
      <c r="E29" s="593"/>
      <c r="F29" s="593"/>
      <c r="G29" s="593"/>
      <c r="H29" s="593"/>
      <c r="I29" s="593"/>
    </row>
    <row r="30" spans="1:9" ht="29.25" customHeight="1">
      <c r="A30" s="593" t="s">
        <v>411</v>
      </c>
      <c r="B30" s="593"/>
      <c r="C30" s="593"/>
      <c r="D30" s="593"/>
      <c r="E30" s="593"/>
      <c r="F30" s="593"/>
      <c r="G30" s="593"/>
      <c r="H30" s="593"/>
      <c r="I30" s="593"/>
    </row>
    <row r="31" spans="1:9" ht="13.95" customHeight="1">
      <c r="A31" s="7"/>
    </row>
    <row r="32" spans="1:9" ht="13.95" customHeight="1">
      <c r="A32" s="7"/>
      <c r="B32" s="9"/>
      <c r="E32" s="25"/>
    </row>
    <row r="33" spans="4:22" ht="13.95" customHeight="1">
      <c r="D33" s="25"/>
    </row>
    <row r="34" spans="4:22" ht="13.95" customHeight="1">
      <c r="D34" s="25"/>
    </row>
    <row r="35" spans="4:22" ht="13.95" customHeight="1">
      <c r="D35" s="25"/>
    </row>
    <row r="36" spans="4:22" ht="13.95" customHeight="1">
      <c r="D36" s="25"/>
    </row>
    <row r="37" spans="4:22" ht="18" customHeight="1">
      <c r="D37" s="25"/>
    </row>
    <row r="38" spans="4:22">
      <c r="U38" s="24"/>
      <c r="V38" s="27"/>
    </row>
    <row r="39" spans="4:22">
      <c r="U39" s="24"/>
      <c r="V39" s="27"/>
    </row>
    <row r="40" spans="4:22">
      <c r="U40" s="24"/>
      <c r="V40" s="27"/>
    </row>
    <row r="41" spans="4:22">
      <c r="U41" s="24"/>
      <c r="V41" s="27"/>
    </row>
    <row r="42" spans="4:22">
      <c r="U42" s="24"/>
      <c r="V42" s="27"/>
    </row>
    <row r="43" spans="4:22">
      <c r="U43" s="24"/>
      <c r="V43" s="27"/>
    </row>
    <row r="44" spans="4:22">
      <c r="U44" s="24"/>
      <c r="V44" s="27"/>
    </row>
    <row r="45" spans="4:22">
      <c r="U45" s="24"/>
      <c r="V45" s="27"/>
    </row>
    <row r="46" spans="4:22">
      <c r="U46" s="24"/>
      <c r="V46" s="27"/>
    </row>
    <row r="47" spans="4:22">
      <c r="U47" s="24"/>
      <c r="V47" s="27"/>
    </row>
    <row r="48" spans="4:22">
      <c r="U48" s="24"/>
      <c r="V48" s="27"/>
    </row>
    <row r="49" spans="21:38">
      <c r="U49" s="24"/>
      <c r="V49" s="27"/>
    </row>
    <row r="50" spans="21:38">
      <c r="U50" s="24"/>
      <c r="V50" s="27"/>
    </row>
    <row r="51" spans="21:38">
      <c r="U51" s="24"/>
      <c r="V51" s="27"/>
    </row>
    <row r="52" spans="21:38">
      <c r="U52" s="24"/>
      <c r="V52" s="27"/>
    </row>
    <row r="53" spans="21:38">
      <c r="U53" s="24"/>
      <c r="V53" s="27"/>
    </row>
    <row r="54" spans="21:38">
      <c r="U54" s="24"/>
      <c r="V54" s="27"/>
    </row>
    <row r="55" spans="21:38">
      <c r="U55" s="24"/>
      <c r="V55" s="27"/>
    </row>
    <row r="56" spans="21:38">
      <c r="U56" s="24"/>
      <c r="W56" s="23"/>
      <c r="X56" s="23"/>
      <c r="Y56" s="23"/>
      <c r="Z56" s="23"/>
      <c r="AA56" s="23"/>
      <c r="AB56" s="23"/>
      <c r="AC56" s="23"/>
      <c r="AD56" s="23"/>
      <c r="AE56" s="23"/>
      <c r="AF56" s="23"/>
      <c r="AG56" s="23"/>
      <c r="AH56" s="23"/>
      <c r="AI56" s="23"/>
      <c r="AJ56" s="23"/>
      <c r="AK56" s="23"/>
      <c r="AL56" s="23"/>
    </row>
    <row r="57" spans="21:38">
      <c r="U57" s="26"/>
      <c r="W57" s="24"/>
      <c r="X57" s="24"/>
      <c r="Y57" s="24"/>
      <c r="Z57" s="24"/>
      <c r="AA57" s="24"/>
      <c r="AB57" s="24"/>
      <c r="AC57" s="24"/>
      <c r="AD57" s="24"/>
      <c r="AE57" s="24"/>
      <c r="AF57" s="24"/>
      <c r="AG57" s="24"/>
      <c r="AH57" s="24"/>
      <c r="AI57" s="24"/>
      <c r="AJ57" s="24"/>
      <c r="AK57" s="24"/>
      <c r="AL57" s="24"/>
    </row>
  </sheetData>
  <mergeCells count="16">
    <mergeCell ref="F10:F12"/>
    <mergeCell ref="G10:G12"/>
    <mergeCell ref="A1:G1"/>
    <mergeCell ref="A8:G8"/>
    <mergeCell ref="C10:C12"/>
    <mergeCell ref="D10:D12"/>
    <mergeCell ref="E10:E12"/>
    <mergeCell ref="B10:B12"/>
    <mergeCell ref="A29:I29"/>
    <mergeCell ref="A30:I30"/>
    <mergeCell ref="B24:B27"/>
    <mergeCell ref="A24:A27"/>
    <mergeCell ref="A19:I19"/>
    <mergeCell ref="E24:E27"/>
    <mergeCell ref="F24:F27"/>
    <mergeCell ref="H24:H27"/>
  </mergeCells>
  <phoneticPr fontId="5" type="noConversion"/>
  <hyperlinks>
    <hyperlink ref="B21" r:id="rId1" xr:uid="{319605CB-38AE-4F78-8AB4-CA6D3B240E1E}"/>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R257"/>
  <sheetViews>
    <sheetView zoomScaleNormal="100" workbookViewId="0">
      <selection sqref="A1:N1"/>
    </sheetView>
  </sheetViews>
  <sheetFormatPr defaultColWidth="9.33203125" defaultRowHeight="13.8"/>
  <cols>
    <col min="1" max="1" width="51" style="42" bestFit="1" customWidth="1"/>
    <col min="2" max="2" width="22.109375" style="42" customWidth="1"/>
    <col min="3" max="3" width="18.6640625" style="42" customWidth="1"/>
    <col min="4" max="4" width="12.5546875" style="42" customWidth="1"/>
    <col min="5" max="5" width="23.6640625" style="42" customWidth="1"/>
    <col min="6" max="6" width="24.33203125" style="42" customWidth="1"/>
    <col min="7" max="7" width="29.44140625" style="42" bestFit="1" customWidth="1"/>
    <col min="8" max="8" width="28.5546875" style="42" customWidth="1"/>
    <col min="9" max="9" width="44.109375" style="42" customWidth="1"/>
    <col min="10" max="10" width="16.88671875" style="42" customWidth="1"/>
    <col min="11" max="11" width="14.44140625" style="42" customWidth="1"/>
    <col min="12" max="12" width="15.5546875" style="42" customWidth="1"/>
    <col min="13" max="13" width="16.109375" style="42" customWidth="1"/>
    <col min="14" max="14" width="58.109375" style="42" customWidth="1"/>
    <col min="15" max="15" width="78.5546875" style="42" customWidth="1"/>
    <col min="16" max="18" width="9.33203125" style="42"/>
    <col min="19" max="19" width="49.33203125" style="42" customWidth="1"/>
    <col min="20" max="20" width="15.6640625" style="42" customWidth="1"/>
    <col min="21" max="21" width="20.33203125" style="42" customWidth="1"/>
    <col min="22" max="22" width="18.88671875" style="42" customWidth="1"/>
    <col min="23" max="23" width="20.33203125" style="42" customWidth="1"/>
    <col min="24" max="24" width="25.33203125" style="42" customWidth="1"/>
    <col min="25" max="26" width="30.109375" style="42" customWidth="1"/>
    <col min="27" max="27" width="14.44140625" style="42" customWidth="1"/>
    <col min="28" max="28" width="12.33203125" style="42" customWidth="1"/>
    <col min="29" max="29" width="13.6640625" style="42" customWidth="1"/>
    <col min="30" max="30" width="11.6640625" style="42" customWidth="1"/>
    <col min="31" max="31" width="13.6640625" style="42" customWidth="1"/>
    <col min="32" max="32" width="12.33203125" style="42" customWidth="1"/>
    <col min="33" max="33" width="13.6640625" style="42" customWidth="1"/>
    <col min="34" max="34" width="12.33203125" style="42" customWidth="1"/>
    <col min="35" max="35" width="13.6640625" style="42" customWidth="1"/>
    <col min="36" max="36" width="11.6640625" style="42" customWidth="1"/>
    <col min="37" max="38" width="10.6640625" style="42" customWidth="1"/>
    <col min="39" max="39" width="9.33203125" style="42"/>
    <col min="40" max="44" width="11.33203125" style="42" customWidth="1"/>
    <col min="45" max="16384" width="9.33203125" style="42"/>
  </cols>
  <sheetData>
    <row r="1" spans="1:17" ht="24.6" customHeight="1">
      <c r="A1" s="613" t="str">
        <f>"Outdoor Airflow Rate - "&amp;Prototype!A2</f>
        <v>Outdoor Airflow Rate - Outpatient</v>
      </c>
      <c r="B1" s="614"/>
      <c r="C1" s="614"/>
      <c r="D1" s="614"/>
      <c r="E1" s="614"/>
      <c r="F1" s="614"/>
      <c r="G1" s="614"/>
      <c r="H1" s="614"/>
      <c r="I1" s="614"/>
      <c r="J1" s="614"/>
      <c r="K1" s="614"/>
      <c r="L1" s="614"/>
      <c r="M1" s="614"/>
      <c r="N1" s="615"/>
      <c r="O1" s="80"/>
      <c r="P1" s="3"/>
      <c r="Q1" s="3"/>
    </row>
    <row r="2" spans="1:17" ht="61.95" customHeight="1">
      <c r="A2" s="116" t="s">
        <v>412</v>
      </c>
      <c r="B2" s="117" t="s">
        <v>413</v>
      </c>
      <c r="C2" s="118" t="s">
        <v>120</v>
      </c>
      <c r="D2" s="103" t="s">
        <v>414</v>
      </c>
      <c r="E2" s="114" t="s">
        <v>415</v>
      </c>
      <c r="F2" s="114" t="s">
        <v>416</v>
      </c>
      <c r="G2" s="114" t="s">
        <v>417</v>
      </c>
      <c r="H2" s="114" t="s">
        <v>418</v>
      </c>
      <c r="I2" s="524" t="s">
        <v>419</v>
      </c>
      <c r="J2" s="524" t="s">
        <v>420</v>
      </c>
      <c r="K2" s="524" t="s">
        <v>421</v>
      </c>
      <c r="L2" s="524" t="s">
        <v>422</v>
      </c>
      <c r="M2" s="104" t="s">
        <v>423</v>
      </c>
      <c r="N2" s="104" t="s">
        <v>331</v>
      </c>
      <c r="O2" s="3"/>
      <c r="P2" s="3"/>
      <c r="Q2" s="3"/>
    </row>
    <row r="3" spans="1:17" s="5" customFormat="1" ht="25.95" customHeight="1">
      <c r="A3" s="115" t="str">
        <f>Zones!C3</f>
        <v>Healthcare Facility and Hospitals (Exam/Treatment Room)</v>
      </c>
      <c r="B3" s="115" t="str">
        <f>Zones!B3</f>
        <v>Floor 1 Anesthesia</v>
      </c>
      <c r="C3" s="119">
        <f>Zones!K3</f>
        <v>1</v>
      </c>
      <c r="D3" s="119">
        <f>Zones!H3</f>
        <v>108</v>
      </c>
      <c r="E3" s="286">
        <v>15</v>
      </c>
      <c r="F3" s="286" t="str">
        <f t="shared" ref="F3:F16" si="0">VLOOKUP(A3,A$175:E$197,5,FALSE)</f>
        <v>n/a</v>
      </c>
      <c r="G3" s="286">
        <v>1.33</v>
      </c>
      <c r="H3" s="286"/>
      <c r="I3" s="457">
        <f t="shared" ref="I3:I34" si="1">VLOOKUP(A3,A$175:H$197,8,FALSE)</f>
        <v>0.33333333333333331</v>
      </c>
      <c r="J3" s="458">
        <f t="shared" ref="J3:J34" si="2">E3*C3</f>
        <v>15</v>
      </c>
      <c r="K3" s="459">
        <f t="shared" ref="K3:K34" si="3">IF(F3="n/a",D3*I3,F3*D3)</f>
        <v>36</v>
      </c>
      <c r="L3" s="459">
        <f t="shared" ref="L3:L16" si="4">G3*D3</f>
        <v>143.64000000000001</v>
      </c>
      <c r="M3" s="460">
        <f>MAX(J3:L3)</f>
        <v>143.64000000000001</v>
      </c>
      <c r="N3" s="146" t="s">
        <v>424</v>
      </c>
    </row>
    <row r="4" spans="1:17" s="5" customFormat="1" ht="19.95" customHeight="1">
      <c r="A4" s="115" t="str">
        <f>Zones!C4</f>
        <v>Healthcare Facility and Hospitals (Medical Supply Room)</v>
      </c>
      <c r="B4" s="115" t="str">
        <f>Zones!B4</f>
        <v>Floor 1 Bio Haz</v>
      </c>
      <c r="C4" s="119">
        <f>Zones!K4</f>
        <v>0</v>
      </c>
      <c r="D4" s="119">
        <f>Zones!H4</f>
        <v>56</v>
      </c>
      <c r="E4" s="286">
        <v>15</v>
      </c>
      <c r="F4" s="286" t="str">
        <f t="shared" si="0"/>
        <v>n/a</v>
      </c>
      <c r="G4" s="119"/>
      <c r="H4" s="119"/>
      <c r="I4" s="457">
        <f t="shared" si="1"/>
        <v>0.33333333333333331</v>
      </c>
      <c r="J4" s="458">
        <f t="shared" si="2"/>
        <v>0</v>
      </c>
      <c r="K4" s="459">
        <f t="shared" si="3"/>
        <v>18.666666666666664</v>
      </c>
      <c r="L4" s="459">
        <f t="shared" si="4"/>
        <v>0</v>
      </c>
      <c r="M4" s="460">
        <f t="shared" ref="M4:M67" si="5">MAX(J4:L4)</f>
        <v>18.666666666666664</v>
      </c>
      <c r="N4" s="112"/>
    </row>
    <row r="5" spans="1:17" s="5" customFormat="1" ht="16.95" customHeight="1">
      <c r="A5" s="115" t="str">
        <f>Zones!C5</f>
        <v>Dining Area (Cafeteria/Fast Food)</v>
      </c>
      <c r="B5" s="115" t="str">
        <f>Zones!B5</f>
        <v>Floor 1 Café</v>
      </c>
      <c r="C5" s="119">
        <f>Zones!K5</f>
        <v>14</v>
      </c>
      <c r="D5" s="119">
        <f>Zones!H5</f>
        <v>420</v>
      </c>
      <c r="E5" s="286">
        <v>15</v>
      </c>
      <c r="F5" s="286">
        <f t="shared" si="0"/>
        <v>0.15</v>
      </c>
      <c r="G5" s="119"/>
      <c r="H5" s="119"/>
      <c r="I5" s="457">
        <f t="shared" si="1"/>
        <v>0</v>
      </c>
      <c r="J5" s="458">
        <f t="shared" si="2"/>
        <v>210</v>
      </c>
      <c r="K5" s="459">
        <f t="shared" si="3"/>
        <v>63</v>
      </c>
      <c r="L5" s="459">
        <f t="shared" si="4"/>
        <v>0</v>
      </c>
      <c r="M5" s="460">
        <f t="shared" si="5"/>
        <v>210</v>
      </c>
      <c r="N5" s="112"/>
    </row>
    <row r="6" spans="1:17" s="5" customFormat="1" ht="16.95" customHeight="1">
      <c r="A6" s="115" t="str">
        <f>Zones!C6</f>
        <v>Healthcare Facility and Hospitals (Medical Supply Room)</v>
      </c>
      <c r="B6" s="115" t="str">
        <f>Zones!B6</f>
        <v>Floor 1 Clean</v>
      </c>
      <c r="C6" s="119">
        <f>Zones!K6</f>
        <v>1</v>
      </c>
      <c r="D6" s="119">
        <f>Zones!H6</f>
        <v>126</v>
      </c>
      <c r="E6" s="286">
        <v>15</v>
      </c>
      <c r="F6" s="286" t="str">
        <f t="shared" si="0"/>
        <v>n/a</v>
      </c>
      <c r="G6" s="119"/>
      <c r="H6" s="119"/>
      <c r="I6" s="457">
        <f t="shared" si="1"/>
        <v>0.33333333333333331</v>
      </c>
      <c r="J6" s="458">
        <f t="shared" si="2"/>
        <v>15</v>
      </c>
      <c r="K6" s="459">
        <f t="shared" si="3"/>
        <v>42</v>
      </c>
      <c r="L6" s="459">
        <f t="shared" si="4"/>
        <v>0</v>
      </c>
      <c r="M6" s="460">
        <f t="shared" si="5"/>
        <v>42</v>
      </c>
      <c r="N6" s="112"/>
    </row>
    <row r="7" spans="1:17" s="5" customFormat="1" ht="16.95" customHeight="1">
      <c r="A7" s="115" t="str">
        <f>Zones!C7</f>
        <v>Healthcare Facility and Hospitals (Medical Supply Room)</v>
      </c>
      <c r="B7" s="115" t="str">
        <f>Zones!B7</f>
        <v>Floor 1 Clean Work</v>
      </c>
      <c r="C7" s="119">
        <f>Zones!K7</f>
        <v>1</v>
      </c>
      <c r="D7" s="119">
        <f>Zones!H7</f>
        <v>165</v>
      </c>
      <c r="E7" s="286">
        <v>15</v>
      </c>
      <c r="F7" s="286" t="str">
        <f t="shared" si="0"/>
        <v>n/a</v>
      </c>
      <c r="G7" s="119"/>
      <c r="H7" s="119"/>
      <c r="I7" s="457">
        <f t="shared" si="1"/>
        <v>0.33333333333333331</v>
      </c>
      <c r="J7" s="458">
        <f t="shared" si="2"/>
        <v>15</v>
      </c>
      <c r="K7" s="459">
        <f t="shared" si="3"/>
        <v>55</v>
      </c>
      <c r="L7" s="459">
        <f t="shared" si="4"/>
        <v>0</v>
      </c>
      <c r="M7" s="460">
        <f t="shared" si="5"/>
        <v>55</v>
      </c>
      <c r="N7" s="112"/>
    </row>
    <row r="8" spans="1:17" s="5" customFormat="1" ht="16.95" customHeight="1">
      <c r="A8" s="115" t="str">
        <f>Zones!C8</f>
        <v>Office Area (&lt;250 square feet)</v>
      </c>
      <c r="B8" s="115" t="str">
        <f>Zones!B8</f>
        <v>Floor 1 Dictation</v>
      </c>
      <c r="C8" s="119">
        <f>Zones!K8</f>
        <v>0.63</v>
      </c>
      <c r="D8" s="119">
        <f>Zones!H8</f>
        <v>126</v>
      </c>
      <c r="E8" s="286">
        <v>15</v>
      </c>
      <c r="F8" s="286">
        <f t="shared" si="0"/>
        <v>0.15</v>
      </c>
      <c r="G8" s="119"/>
      <c r="H8" s="119"/>
      <c r="I8" s="457">
        <f t="shared" si="1"/>
        <v>0</v>
      </c>
      <c r="J8" s="458">
        <f t="shared" si="2"/>
        <v>9.4499999999999993</v>
      </c>
      <c r="K8" s="459">
        <f t="shared" si="3"/>
        <v>18.899999999999999</v>
      </c>
      <c r="L8" s="459">
        <f t="shared" si="4"/>
        <v>0</v>
      </c>
      <c r="M8" s="460">
        <f t="shared" si="5"/>
        <v>18.899999999999999</v>
      </c>
      <c r="N8" s="112"/>
    </row>
    <row r="9" spans="1:17" s="5" customFormat="1" ht="16.95" customHeight="1">
      <c r="A9" s="115" t="str">
        <f>Zones!C9</f>
        <v>Office Area (&lt;250 square feet)</v>
      </c>
      <c r="B9" s="115" t="str">
        <f>Zones!B9</f>
        <v>Floor 1 Dressing Room</v>
      </c>
      <c r="C9" s="119">
        <f>Zones!K9</f>
        <v>0.22500000000000001</v>
      </c>
      <c r="D9" s="119">
        <f>Zones!H9</f>
        <v>45</v>
      </c>
      <c r="E9" s="286">
        <v>15</v>
      </c>
      <c r="F9" s="286">
        <f t="shared" si="0"/>
        <v>0.15</v>
      </c>
      <c r="G9" s="119"/>
      <c r="H9" s="119"/>
      <c r="I9" s="457">
        <f t="shared" si="1"/>
        <v>0</v>
      </c>
      <c r="J9" s="458">
        <f t="shared" si="2"/>
        <v>3.375</v>
      </c>
      <c r="K9" s="459">
        <f t="shared" si="3"/>
        <v>6.75</v>
      </c>
      <c r="L9" s="459">
        <f t="shared" si="4"/>
        <v>0</v>
      </c>
      <c r="M9" s="460">
        <f t="shared" si="5"/>
        <v>6.75</v>
      </c>
      <c r="N9" s="112"/>
    </row>
    <row r="10" spans="1:17" s="5" customFormat="1" ht="16.95" customHeight="1">
      <c r="A10" s="115" t="str">
        <f>Zones!C10</f>
        <v>Electrical, Mechanical, Telephone Rooms</v>
      </c>
      <c r="B10" s="115" t="str">
        <f>Zones!B10</f>
        <v>Floor 1 Electrical Room</v>
      </c>
      <c r="C10" s="119">
        <f>Zones!K10</f>
        <v>0</v>
      </c>
      <c r="D10" s="119">
        <f>Zones!H10</f>
        <v>98</v>
      </c>
      <c r="E10" s="286">
        <v>15</v>
      </c>
      <c r="F10" s="286" t="str">
        <f t="shared" si="0"/>
        <v>n/a</v>
      </c>
      <c r="G10" s="119"/>
      <c r="H10" s="119"/>
      <c r="I10" s="457">
        <f t="shared" si="1"/>
        <v>0</v>
      </c>
      <c r="J10" s="458">
        <f t="shared" si="2"/>
        <v>0</v>
      </c>
      <c r="K10" s="459">
        <f t="shared" si="3"/>
        <v>0</v>
      </c>
      <c r="L10" s="459">
        <f t="shared" si="4"/>
        <v>0</v>
      </c>
      <c r="M10" s="460">
        <f t="shared" si="5"/>
        <v>0</v>
      </c>
      <c r="N10" s="112"/>
    </row>
    <row r="11" spans="1:17" s="5" customFormat="1" ht="16.95" customHeight="1">
      <c r="A11" s="115" t="str">
        <f>Zones!C11</f>
        <v>Electrical, Mechanical, Telephone Rooms</v>
      </c>
      <c r="B11" s="115" t="str">
        <f>Zones!B11</f>
        <v>Floor 1 Elevator Pump Room</v>
      </c>
      <c r="C11" s="119">
        <f>Zones!K11</f>
        <v>0</v>
      </c>
      <c r="D11" s="119">
        <f>Zones!H11</f>
        <v>91</v>
      </c>
      <c r="E11" s="286">
        <v>15</v>
      </c>
      <c r="F11" s="286" t="str">
        <f t="shared" si="0"/>
        <v>n/a</v>
      </c>
      <c r="G11" s="119"/>
      <c r="H11" s="119"/>
      <c r="I11" s="457">
        <f t="shared" si="1"/>
        <v>0</v>
      </c>
      <c r="J11" s="458">
        <f t="shared" si="2"/>
        <v>0</v>
      </c>
      <c r="K11" s="459">
        <f t="shared" si="3"/>
        <v>0</v>
      </c>
      <c r="L11" s="459">
        <f t="shared" si="4"/>
        <v>0</v>
      </c>
      <c r="M11" s="460">
        <f t="shared" si="5"/>
        <v>0</v>
      </c>
      <c r="N11" s="112"/>
    </row>
    <row r="12" spans="1:17" s="5" customFormat="1" ht="16.95" customHeight="1">
      <c r="A12" s="115" t="str">
        <f>Zones!C12</f>
        <v>Office Area (&lt;250 square feet)</v>
      </c>
      <c r="B12" s="115" t="str">
        <f>Zones!B12</f>
        <v>Floor 1 Humid</v>
      </c>
      <c r="C12" s="119">
        <f>Zones!K12</f>
        <v>0.27</v>
      </c>
      <c r="D12" s="119">
        <f>Zones!H12</f>
        <v>54</v>
      </c>
      <c r="E12" s="286">
        <v>15</v>
      </c>
      <c r="F12" s="286">
        <f t="shared" si="0"/>
        <v>0.15</v>
      </c>
      <c r="G12" s="119"/>
      <c r="H12" s="119"/>
      <c r="I12" s="457">
        <f t="shared" si="1"/>
        <v>0</v>
      </c>
      <c r="J12" s="458">
        <f t="shared" si="2"/>
        <v>4.0500000000000007</v>
      </c>
      <c r="K12" s="459">
        <f t="shared" si="3"/>
        <v>8.1</v>
      </c>
      <c r="L12" s="459">
        <f t="shared" si="4"/>
        <v>0</v>
      </c>
      <c r="M12" s="460">
        <f t="shared" si="5"/>
        <v>8.1</v>
      </c>
      <c r="N12" s="112"/>
    </row>
    <row r="13" spans="1:17" s="5" customFormat="1" ht="16.95" customHeight="1">
      <c r="A13" s="115" t="str">
        <f>Zones!C13</f>
        <v>Corridor Area</v>
      </c>
      <c r="B13" s="115" t="str">
        <f>Zones!B13</f>
        <v>Floor 1 IT Hall</v>
      </c>
      <c r="C13" s="119">
        <f>Zones!K13</f>
        <v>1</v>
      </c>
      <c r="D13" s="119">
        <f>Zones!H13</f>
        <v>140</v>
      </c>
      <c r="E13" s="286">
        <v>15</v>
      </c>
      <c r="F13" s="286">
        <f t="shared" si="0"/>
        <v>0.15</v>
      </c>
      <c r="G13" s="119"/>
      <c r="H13" s="119"/>
      <c r="I13" s="457">
        <f t="shared" si="1"/>
        <v>0</v>
      </c>
      <c r="J13" s="458">
        <f t="shared" si="2"/>
        <v>15</v>
      </c>
      <c r="K13" s="459">
        <f t="shared" si="3"/>
        <v>21</v>
      </c>
      <c r="L13" s="459">
        <f t="shared" si="4"/>
        <v>0</v>
      </c>
      <c r="M13" s="460">
        <f t="shared" si="5"/>
        <v>21</v>
      </c>
      <c r="N13" s="112"/>
    </row>
    <row r="14" spans="1:17" s="5" customFormat="1" ht="16.95" customHeight="1">
      <c r="A14" s="115" t="str">
        <f>Zones!C14</f>
        <v>Office Area (&lt;250 square feet)</v>
      </c>
      <c r="B14" s="115" t="str">
        <f>Zones!B14</f>
        <v>Floor 1 IT Room</v>
      </c>
      <c r="C14" s="119">
        <f>Zones!K14</f>
        <v>0.56000000000000005</v>
      </c>
      <c r="D14" s="119">
        <f>Zones!H14</f>
        <v>112</v>
      </c>
      <c r="E14" s="286">
        <v>15</v>
      </c>
      <c r="F14" s="286">
        <f t="shared" si="0"/>
        <v>0.15</v>
      </c>
      <c r="G14" s="119"/>
      <c r="H14" s="119"/>
      <c r="I14" s="457">
        <f t="shared" si="1"/>
        <v>0</v>
      </c>
      <c r="J14" s="458">
        <f t="shared" si="2"/>
        <v>8.4</v>
      </c>
      <c r="K14" s="459">
        <f t="shared" si="3"/>
        <v>16.8</v>
      </c>
      <c r="L14" s="459">
        <f t="shared" si="4"/>
        <v>0</v>
      </c>
      <c r="M14" s="460">
        <f t="shared" si="5"/>
        <v>16.8</v>
      </c>
      <c r="N14" s="112"/>
    </row>
    <row r="15" spans="1:17" s="5" customFormat="1" ht="16.95" customHeight="1">
      <c r="A15" s="115" t="str">
        <f>Zones!C15</f>
        <v>Lobby, Main Entry</v>
      </c>
      <c r="B15" s="115" t="str">
        <f>Zones!B15</f>
        <v>Floor 1 Lobby</v>
      </c>
      <c r="C15" s="119">
        <f>Zones!K15</f>
        <v>21</v>
      </c>
      <c r="D15" s="119">
        <f>Zones!H15</f>
        <v>622</v>
      </c>
      <c r="E15" s="286">
        <v>15</v>
      </c>
      <c r="F15" s="286">
        <f t="shared" si="0"/>
        <v>0.15</v>
      </c>
      <c r="G15" s="119"/>
      <c r="H15" s="119"/>
      <c r="I15" s="457">
        <f t="shared" si="1"/>
        <v>0</v>
      </c>
      <c r="J15" s="458">
        <f t="shared" si="2"/>
        <v>315</v>
      </c>
      <c r="K15" s="459">
        <f t="shared" si="3"/>
        <v>93.3</v>
      </c>
      <c r="L15" s="459">
        <f t="shared" si="4"/>
        <v>0</v>
      </c>
      <c r="M15" s="460">
        <f t="shared" si="5"/>
        <v>315</v>
      </c>
      <c r="N15" s="112"/>
    </row>
    <row r="16" spans="1:17" s="5" customFormat="1" ht="16.2" customHeight="1">
      <c r="A16" s="115" t="str">
        <f>Zones!C16</f>
        <v>Corridor Area</v>
      </c>
      <c r="B16" s="115" t="str">
        <f>Zones!B16</f>
        <v>Floor 1 Lobby Hall</v>
      </c>
      <c r="C16" s="119">
        <f>Zones!K16</f>
        <v>1</v>
      </c>
      <c r="D16" s="119">
        <f>Zones!H16</f>
        <v>240</v>
      </c>
      <c r="E16" s="286">
        <v>15</v>
      </c>
      <c r="F16" s="286">
        <f t="shared" si="0"/>
        <v>0.15</v>
      </c>
      <c r="G16" s="119"/>
      <c r="H16" s="119"/>
      <c r="I16" s="457">
        <f t="shared" si="1"/>
        <v>0</v>
      </c>
      <c r="J16" s="458">
        <f t="shared" si="2"/>
        <v>15</v>
      </c>
      <c r="K16" s="459">
        <f t="shared" si="3"/>
        <v>36</v>
      </c>
      <c r="L16" s="459">
        <f t="shared" si="4"/>
        <v>0</v>
      </c>
      <c r="M16" s="460">
        <f t="shared" si="5"/>
        <v>36</v>
      </c>
      <c r="N16" s="112"/>
    </row>
    <row r="17" spans="1:22" s="5" customFormat="1" ht="49.5" customHeight="1">
      <c r="A17" s="115" t="str">
        <f>Zones!C17</f>
        <v>Restrooms</v>
      </c>
      <c r="B17" s="115" t="str">
        <f>Zones!B17</f>
        <v>Floor 1 Lobby Toilet</v>
      </c>
      <c r="C17" s="119">
        <f>Zones!K17</f>
        <v>0</v>
      </c>
      <c r="D17" s="119">
        <f>Zones!H17</f>
        <v>54</v>
      </c>
      <c r="E17" s="286">
        <v>15</v>
      </c>
      <c r="F17" s="286" t="str">
        <f>VLOOKUP(A11,A$175:E$197,5,FALSE)</f>
        <v>n/a</v>
      </c>
      <c r="G17" s="107"/>
      <c r="H17" s="119">
        <v>50</v>
      </c>
      <c r="I17" s="457">
        <f t="shared" si="1"/>
        <v>0</v>
      </c>
      <c r="J17" s="458">
        <f t="shared" si="2"/>
        <v>0</v>
      </c>
      <c r="K17" s="459">
        <f t="shared" si="3"/>
        <v>0</v>
      </c>
      <c r="L17" s="459">
        <v>50</v>
      </c>
      <c r="M17" s="460">
        <v>0</v>
      </c>
      <c r="N17" s="159" t="s">
        <v>425</v>
      </c>
    </row>
    <row r="18" spans="1:22" s="5" customFormat="1" ht="16.95" customHeight="1">
      <c r="A18" s="115" t="str">
        <f>Zones!C18</f>
        <v>Locker Room</v>
      </c>
      <c r="B18" s="115" t="str">
        <f>Zones!B18</f>
        <v>Floor 1 Locker Room</v>
      </c>
      <c r="C18" s="119">
        <f>Zones!K18</f>
        <v>7</v>
      </c>
      <c r="D18" s="119">
        <f>Zones!H18</f>
        <v>660</v>
      </c>
      <c r="E18" s="286">
        <v>15</v>
      </c>
      <c r="F18" s="286" t="str">
        <f t="shared" ref="F18:F24" si="6">VLOOKUP(A18,A$175:E$197,5,FALSE)</f>
        <v>n/a</v>
      </c>
      <c r="G18" s="120">
        <v>0.25</v>
      </c>
      <c r="H18" s="120"/>
      <c r="I18" s="457">
        <f t="shared" si="1"/>
        <v>0</v>
      </c>
      <c r="J18" s="458">
        <f t="shared" si="2"/>
        <v>105</v>
      </c>
      <c r="K18" s="459">
        <f t="shared" si="3"/>
        <v>0</v>
      </c>
      <c r="L18" s="459">
        <f>G18*D18</f>
        <v>165</v>
      </c>
      <c r="M18" s="460">
        <f>MAX(J18:L18)</f>
        <v>165</v>
      </c>
      <c r="N18" s="112"/>
    </row>
    <row r="19" spans="1:22" s="5" customFormat="1" ht="16.95" customHeight="1">
      <c r="A19" s="115" t="str">
        <f>Zones!C19</f>
        <v>Corridor Area</v>
      </c>
      <c r="B19" s="115" t="str">
        <f>Zones!B19</f>
        <v>Floor 1 Locker Room Hall</v>
      </c>
      <c r="C19" s="119">
        <f>Zones!K19</f>
        <v>2</v>
      </c>
      <c r="D19" s="119">
        <f>Zones!H19</f>
        <v>496</v>
      </c>
      <c r="E19" s="286">
        <v>15</v>
      </c>
      <c r="F19" s="286">
        <f t="shared" si="6"/>
        <v>0.15</v>
      </c>
      <c r="G19" s="119"/>
      <c r="H19" s="119"/>
      <c r="I19" s="457">
        <f t="shared" si="1"/>
        <v>0</v>
      </c>
      <c r="J19" s="458">
        <f t="shared" si="2"/>
        <v>30</v>
      </c>
      <c r="K19" s="459">
        <f t="shared" si="3"/>
        <v>74.399999999999991</v>
      </c>
      <c r="L19" s="459">
        <f t="shared" ref="L19:L23" si="7">H19*D19</f>
        <v>0</v>
      </c>
      <c r="M19" s="460">
        <f t="shared" si="5"/>
        <v>74.399999999999991</v>
      </c>
      <c r="N19" s="112"/>
    </row>
    <row r="20" spans="1:22" s="5" customFormat="1" ht="13.2">
      <c r="A20" s="115" t="str">
        <f>Zones!C20</f>
        <v>Lounge, Breakroom, or Waiting Area</v>
      </c>
      <c r="B20" s="115" t="str">
        <f>Zones!B20</f>
        <v>Floor 1 Lounge</v>
      </c>
      <c r="C20" s="119">
        <f>Zones!K20</f>
        <v>12</v>
      </c>
      <c r="D20" s="119">
        <f>Zones!H20</f>
        <v>360</v>
      </c>
      <c r="E20" s="286">
        <v>15</v>
      </c>
      <c r="F20" s="286">
        <f t="shared" si="6"/>
        <v>0.15</v>
      </c>
      <c r="G20" s="119"/>
      <c r="H20" s="119"/>
      <c r="I20" s="457">
        <f t="shared" si="1"/>
        <v>0</v>
      </c>
      <c r="J20" s="458">
        <f t="shared" si="2"/>
        <v>180</v>
      </c>
      <c r="K20" s="459">
        <f t="shared" si="3"/>
        <v>54</v>
      </c>
      <c r="L20" s="459">
        <f t="shared" si="7"/>
        <v>0</v>
      </c>
      <c r="M20" s="460">
        <f t="shared" si="5"/>
        <v>180</v>
      </c>
      <c r="N20" s="112"/>
    </row>
    <row r="21" spans="1:22" s="5" customFormat="1" ht="13.2">
      <c r="A21" s="115" t="str">
        <f>Zones!C21</f>
        <v>Healthcare Facility and Hospitals (Medical Supply Room)</v>
      </c>
      <c r="B21" s="115" t="str">
        <f>Zones!B21</f>
        <v>Floor 1 Med Gas</v>
      </c>
      <c r="C21" s="119">
        <f>Zones!K21</f>
        <v>0</v>
      </c>
      <c r="D21" s="119">
        <f>Zones!H21</f>
        <v>56</v>
      </c>
      <c r="E21" s="286">
        <v>15</v>
      </c>
      <c r="F21" s="286" t="str">
        <f t="shared" si="6"/>
        <v>n/a</v>
      </c>
      <c r="G21" s="119"/>
      <c r="H21" s="119"/>
      <c r="I21" s="457">
        <f t="shared" si="1"/>
        <v>0.33333333333333331</v>
      </c>
      <c r="J21" s="458">
        <f t="shared" si="2"/>
        <v>0</v>
      </c>
      <c r="K21" s="459">
        <f t="shared" si="3"/>
        <v>18.666666666666664</v>
      </c>
      <c r="L21" s="459">
        <f t="shared" si="7"/>
        <v>0</v>
      </c>
      <c r="M21" s="460">
        <f t="shared" si="5"/>
        <v>18.666666666666664</v>
      </c>
      <c r="N21" s="112"/>
    </row>
    <row r="22" spans="1:22" s="5" customFormat="1" ht="52.8">
      <c r="A22" s="115" t="str">
        <f>Zones!C22</f>
        <v>Healthcare Facility and Hospitals (Imaging Room)</v>
      </c>
      <c r="B22" s="115" t="str">
        <f>Zones!B22</f>
        <v>Floor 1 MRI Control Room</v>
      </c>
      <c r="C22" s="119">
        <f>Zones!K22</f>
        <v>1</v>
      </c>
      <c r="D22" s="119">
        <f>Zones!H22</f>
        <v>168</v>
      </c>
      <c r="E22" s="286">
        <v>15</v>
      </c>
      <c r="F22" s="286" t="str">
        <f t="shared" si="6"/>
        <v>n/a</v>
      </c>
      <c r="G22" s="120">
        <v>2.02</v>
      </c>
      <c r="H22" s="120"/>
      <c r="I22" s="457">
        <f t="shared" si="1"/>
        <v>0.33333333333333331</v>
      </c>
      <c r="J22" s="458">
        <f t="shared" si="2"/>
        <v>15</v>
      </c>
      <c r="K22" s="459">
        <f t="shared" si="3"/>
        <v>56</v>
      </c>
      <c r="L22" s="459">
        <f>G22*D22</f>
        <v>339.36</v>
      </c>
      <c r="M22" s="460">
        <f t="shared" si="5"/>
        <v>339.36</v>
      </c>
      <c r="N22" s="389" t="s">
        <v>426</v>
      </c>
      <c r="O22" s="60"/>
    </row>
    <row r="23" spans="1:22" s="5" customFormat="1" ht="13.2">
      <c r="A23" s="115" t="str">
        <f>Zones!C23</f>
        <v>Corridor Area</v>
      </c>
      <c r="B23" s="115" t="str">
        <f>Zones!B23</f>
        <v>Floor 1 MRI Hall</v>
      </c>
      <c r="C23" s="119">
        <f>Zones!K23</f>
        <v>1</v>
      </c>
      <c r="D23" s="119">
        <f>Zones!H23</f>
        <v>147</v>
      </c>
      <c r="E23" s="286">
        <v>15</v>
      </c>
      <c r="F23" s="286">
        <f t="shared" si="6"/>
        <v>0.15</v>
      </c>
      <c r="G23" s="120"/>
      <c r="H23" s="120"/>
      <c r="I23" s="457">
        <f t="shared" si="1"/>
        <v>0</v>
      </c>
      <c r="J23" s="458">
        <f t="shared" si="2"/>
        <v>15</v>
      </c>
      <c r="K23" s="459">
        <f t="shared" si="3"/>
        <v>22.05</v>
      </c>
      <c r="L23" s="459">
        <f t="shared" si="7"/>
        <v>0</v>
      </c>
      <c r="M23" s="460">
        <f t="shared" si="5"/>
        <v>22.05</v>
      </c>
      <c r="N23" s="287"/>
      <c r="O23" s="60"/>
    </row>
    <row r="24" spans="1:22" s="5" customFormat="1" ht="39.6">
      <c r="A24" s="115" t="str">
        <f>Zones!C24</f>
        <v>Healthcare Facility and Hospitals (Imaging Room)</v>
      </c>
      <c r="B24" s="115" t="str">
        <f>Zones!B24</f>
        <v>Floor 1 MRI Room</v>
      </c>
      <c r="C24" s="119">
        <f>Zones!K24</f>
        <v>2</v>
      </c>
      <c r="D24" s="119">
        <f>Zones!H24</f>
        <v>440</v>
      </c>
      <c r="E24" s="286">
        <v>15</v>
      </c>
      <c r="F24" s="286" t="str">
        <f t="shared" si="6"/>
        <v>n/a</v>
      </c>
      <c r="G24" s="120">
        <v>2.02</v>
      </c>
      <c r="H24" s="120"/>
      <c r="I24" s="457">
        <f t="shared" si="1"/>
        <v>0.33333333333333331</v>
      </c>
      <c r="J24" s="458">
        <f t="shared" si="2"/>
        <v>30</v>
      </c>
      <c r="K24" s="459">
        <f t="shared" si="3"/>
        <v>146.66666666666666</v>
      </c>
      <c r="L24" s="459">
        <f>G24*D24</f>
        <v>888.8</v>
      </c>
      <c r="M24" s="460">
        <f t="shared" si="5"/>
        <v>888.8</v>
      </c>
      <c r="N24" s="389" t="s">
        <v>427</v>
      </c>
      <c r="O24" s="60"/>
    </row>
    <row r="25" spans="1:22" s="5" customFormat="1" ht="13.2">
      <c r="A25" s="115" t="str">
        <f>Zones!C25</f>
        <v>Restrooms</v>
      </c>
      <c r="B25" s="115" t="str">
        <f>Zones!B25</f>
        <v>Floor 1 MRI Toilet</v>
      </c>
      <c r="C25" s="119">
        <f>Zones!K25</f>
        <v>0</v>
      </c>
      <c r="D25" s="119">
        <f>Zones!H25</f>
        <v>54</v>
      </c>
      <c r="E25" s="286">
        <v>15</v>
      </c>
      <c r="F25" s="286" t="str">
        <f>VLOOKUP(A11,A$175:E$197,5,FALSE)</f>
        <v>n/a</v>
      </c>
      <c r="G25" s="107"/>
      <c r="H25" s="119">
        <v>50</v>
      </c>
      <c r="I25" s="457">
        <f t="shared" si="1"/>
        <v>0</v>
      </c>
      <c r="J25" s="458">
        <f t="shared" si="2"/>
        <v>0</v>
      </c>
      <c r="K25" s="459">
        <f t="shared" si="3"/>
        <v>0</v>
      </c>
      <c r="L25" s="459">
        <f>H25</f>
        <v>50</v>
      </c>
      <c r="M25" s="460">
        <f>MAX(J25:L25)</f>
        <v>50</v>
      </c>
      <c r="N25" s="112" t="s">
        <v>428</v>
      </c>
    </row>
    <row r="26" spans="1:22" s="5" customFormat="1" ht="13.2">
      <c r="A26" s="115" t="str">
        <f>Zones!C26</f>
        <v>Kitchen/Food Preparation Area</v>
      </c>
      <c r="B26" s="115" t="str">
        <f>Zones!B26</f>
        <v>Floor 1 Nourishment</v>
      </c>
      <c r="C26" s="119">
        <f>Zones!K26</f>
        <v>1</v>
      </c>
      <c r="D26" s="119">
        <f>Zones!H26</f>
        <v>182</v>
      </c>
      <c r="E26" s="286">
        <v>15</v>
      </c>
      <c r="F26" s="286">
        <f>VLOOKUP(A26,A$175:E$197,5,FALSE)</f>
        <v>0.15</v>
      </c>
      <c r="G26" s="120">
        <v>0.3</v>
      </c>
      <c r="H26" s="120"/>
      <c r="I26" s="457">
        <f t="shared" si="1"/>
        <v>0</v>
      </c>
      <c r="J26" s="458">
        <f t="shared" si="2"/>
        <v>15</v>
      </c>
      <c r="K26" s="459">
        <f t="shared" si="3"/>
        <v>27.3</v>
      </c>
      <c r="L26" s="459">
        <f>G26*D26</f>
        <v>54.6</v>
      </c>
      <c r="M26" s="460">
        <f>MAX(J26:L26)</f>
        <v>54.6</v>
      </c>
      <c r="N26" s="112"/>
      <c r="R26" s="69"/>
      <c r="S26" s="260"/>
      <c r="T26" s="260"/>
      <c r="U26" s="14"/>
      <c r="V26" s="510"/>
    </row>
    <row r="27" spans="1:22" s="5" customFormat="1" ht="13.2">
      <c r="A27" s="115" t="str">
        <f>Zones!C27</f>
        <v>Corridor Area</v>
      </c>
      <c r="B27" s="115" t="str">
        <f>Zones!B27</f>
        <v>Floor 1 Nurse Hall</v>
      </c>
      <c r="C27" s="119">
        <f>Zones!K27</f>
        <v>2</v>
      </c>
      <c r="D27" s="119">
        <f>Zones!H27</f>
        <v>496</v>
      </c>
      <c r="E27" s="286">
        <v>15</v>
      </c>
      <c r="F27" s="286">
        <f>VLOOKUP(A27,A$175:E$197,5,FALSE)</f>
        <v>0.15</v>
      </c>
      <c r="G27" s="107"/>
      <c r="H27" s="120"/>
      <c r="I27" s="457">
        <f t="shared" si="1"/>
        <v>0</v>
      </c>
      <c r="J27" s="458">
        <f t="shared" si="2"/>
        <v>30</v>
      </c>
      <c r="K27" s="459">
        <f t="shared" si="3"/>
        <v>74.399999999999991</v>
      </c>
      <c r="L27" s="459">
        <f>H27*D27</f>
        <v>0</v>
      </c>
      <c r="M27" s="460">
        <f t="shared" si="5"/>
        <v>74.399999999999991</v>
      </c>
      <c r="N27" s="112"/>
    </row>
    <row r="28" spans="1:22" s="5" customFormat="1" ht="13.2">
      <c r="A28" s="115" t="str">
        <f>Zones!C28</f>
        <v>Storage (General)</v>
      </c>
      <c r="B28" s="115" t="str">
        <f>Zones!B28</f>
        <v>Floor 1 Nurse Janitor</v>
      </c>
      <c r="C28" s="119">
        <f>Zones!K28</f>
        <v>0</v>
      </c>
      <c r="D28" s="119">
        <f>Zones!H28</f>
        <v>54</v>
      </c>
      <c r="E28" s="286">
        <v>15</v>
      </c>
      <c r="F28" s="286">
        <f>VLOOKUP(A28,A$175:E$197,5,FALSE)</f>
        <v>0.15</v>
      </c>
      <c r="G28" s="107"/>
      <c r="H28" s="120"/>
      <c r="I28" s="457">
        <f t="shared" si="1"/>
        <v>0</v>
      </c>
      <c r="J28" s="458">
        <f t="shared" si="2"/>
        <v>0</v>
      </c>
      <c r="K28" s="459">
        <f t="shared" si="3"/>
        <v>8.1</v>
      </c>
      <c r="L28" s="459">
        <f>H28*D28</f>
        <v>0</v>
      </c>
      <c r="M28" s="460">
        <f t="shared" si="5"/>
        <v>8.1</v>
      </c>
      <c r="N28" s="112"/>
    </row>
    <row r="29" spans="1:22" s="5" customFormat="1" ht="13.2">
      <c r="A29" s="115" t="str">
        <f>Zones!C29</f>
        <v>Healthcare Facility and Hospitals (Nurse's Station)</v>
      </c>
      <c r="B29" s="115" t="str">
        <f>Zones!B29</f>
        <v>Floor 1 Nurse Station</v>
      </c>
      <c r="C29" s="119">
        <f>Zones!K29</f>
        <v>1</v>
      </c>
      <c r="D29" s="119">
        <f>Zones!H29</f>
        <v>261</v>
      </c>
      <c r="E29" s="286">
        <v>15</v>
      </c>
      <c r="F29" s="286" t="str">
        <f>VLOOKUP(A29,A$175:E$197,5,FALSE)</f>
        <v>n/a</v>
      </c>
      <c r="G29" s="107"/>
      <c r="H29" s="119"/>
      <c r="I29" s="457">
        <f t="shared" si="1"/>
        <v>0.33333333333333331</v>
      </c>
      <c r="J29" s="458">
        <f t="shared" si="2"/>
        <v>15</v>
      </c>
      <c r="K29" s="459">
        <f t="shared" si="3"/>
        <v>87</v>
      </c>
      <c r="L29" s="459">
        <f>H29*D29</f>
        <v>0</v>
      </c>
      <c r="M29" s="460">
        <f t="shared" si="5"/>
        <v>87</v>
      </c>
      <c r="N29" s="112"/>
    </row>
    <row r="30" spans="1:22" s="5" customFormat="1" ht="13.2">
      <c r="A30" s="115" t="str">
        <f>Zones!C30</f>
        <v>Restrooms</v>
      </c>
      <c r="B30" s="115" t="str">
        <f>Zones!B30</f>
        <v>Floor 1 Nurse Toilet</v>
      </c>
      <c r="C30" s="119">
        <f>Zones!K30</f>
        <v>0</v>
      </c>
      <c r="D30" s="119">
        <f>Zones!H30</f>
        <v>54</v>
      </c>
      <c r="E30" s="286">
        <v>15</v>
      </c>
      <c r="F30" s="286" t="str">
        <f>VLOOKUP(A11,A$175:E$197,5,FALSE)</f>
        <v>n/a</v>
      </c>
      <c r="G30" s="107"/>
      <c r="H30" s="119">
        <v>50</v>
      </c>
      <c r="I30" s="457">
        <f t="shared" si="1"/>
        <v>0</v>
      </c>
      <c r="J30" s="458">
        <f t="shared" si="2"/>
        <v>0</v>
      </c>
      <c r="K30" s="459">
        <f t="shared" si="3"/>
        <v>0</v>
      </c>
      <c r="L30" s="459">
        <f>H30</f>
        <v>50</v>
      </c>
      <c r="M30" s="460">
        <f t="shared" si="5"/>
        <v>50</v>
      </c>
      <c r="N30" s="112" t="s">
        <v>428</v>
      </c>
    </row>
    <row r="31" spans="1:22" s="5" customFormat="1" ht="13.2">
      <c r="A31" s="115" t="str">
        <f>Zones!C31</f>
        <v>Office Area (&gt;250 square feet)</v>
      </c>
      <c r="B31" s="115" t="str">
        <f>Zones!B31</f>
        <v>Floor 1 Office</v>
      </c>
      <c r="C31" s="119">
        <f>Zones!K31</f>
        <v>2.415</v>
      </c>
      <c r="D31" s="119">
        <f>Zones!H31</f>
        <v>483</v>
      </c>
      <c r="E31" s="286">
        <v>15</v>
      </c>
      <c r="F31" s="286">
        <f t="shared" ref="F31:F38" si="8">VLOOKUP(A31,A$175:E$197,5,FALSE)</f>
        <v>0.15</v>
      </c>
      <c r="G31" s="107"/>
      <c r="H31" s="119"/>
      <c r="I31" s="457">
        <f t="shared" si="1"/>
        <v>0</v>
      </c>
      <c r="J31" s="458">
        <f t="shared" si="2"/>
        <v>36.225000000000001</v>
      </c>
      <c r="K31" s="459">
        <f t="shared" si="3"/>
        <v>72.45</v>
      </c>
      <c r="L31" s="459">
        <f t="shared" ref="L31:L38" si="9">H31*D31</f>
        <v>0</v>
      </c>
      <c r="M31" s="460">
        <f t="shared" si="5"/>
        <v>72.45</v>
      </c>
      <c r="N31" s="112"/>
    </row>
    <row r="32" spans="1:22" s="5" customFormat="1" ht="26.4">
      <c r="A32" s="115" t="str">
        <f>Zones!C32</f>
        <v>Healthcare Facility and Hospitals (Operating Room)</v>
      </c>
      <c r="B32" s="115" t="str">
        <f>Zones!B32</f>
        <v>Floor 1 Operating Room 1</v>
      </c>
      <c r="C32" s="119">
        <f>Zones!K32</f>
        <v>2</v>
      </c>
      <c r="D32" s="119">
        <f>Zones!H32</f>
        <v>460</v>
      </c>
      <c r="E32" s="286">
        <v>15</v>
      </c>
      <c r="F32" s="286" t="str">
        <f t="shared" si="8"/>
        <v>n/a</v>
      </c>
      <c r="G32" s="107"/>
      <c r="H32" s="119"/>
      <c r="I32" s="457">
        <f t="shared" si="1"/>
        <v>0.66666666666666663</v>
      </c>
      <c r="J32" s="458">
        <f t="shared" si="2"/>
        <v>30</v>
      </c>
      <c r="K32" s="459">
        <f t="shared" si="3"/>
        <v>306.66666666666663</v>
      </c>
      <c r="L32" s="459">
        <f t="shared" si="9"/>
        <v>0</v>
      </c>
      <c r="M32" s="460">
        <f t="shared" si="5"/>
        <v>306.66666666666663</v>
      </c>
      <c r="N32" s="112"/>
    </row>
    <row r="33" spans="1:26" s="5" customFormat="1" ht="26.4">
      <c r="A33" s="115" t="str">
        <f>Zones!C33</f>
        <v>Healthcare Facility and Hospitals (Operating Room)</v>
      </c>
      <c r="B33" s="115" t="str">
        <f>Zones!B33</f>
        <v>Floor 1 Operating Room 2</v>
      </c>
      <c r="C33" s="119">
        <f>Zones!K33</f>
        <v>2</v>
      </c>
      <c r="D33" s="119">
        <f>Zones!H33</f>
        <v>480</v>
      </c>
      <c r="E33" s="286">
        <v>15</v>
      </c>
      <c r="F33" s="286" t="str">
        <f t="shared" si="8"/>
        <v>n/a</v>
      </c>
      <c r="G33" s="107"/>
      <c r="H33" s="119"/>
      <c r="I33" s="457">
        <f t="shared" si="1"/>
        <v>0.66666666666666663</v>
      </c>
      <c r="J33" s="458">
        <f t="shared" si="2"/>
        <v>30</v>
      </c>
      <c r="K33" s="459">
        <f t="shared" si="3"/>
        <v>320</v>
      </c>
      <c r="L33" s="459">
        <f t="shared" si="9"/>
        <v>0</v>
      </c>
      <c r="M33" s="460">
        <f t="shared" si="5"/>
        <v>320</v>
      </c>
      <c r="N33" s="112"/>
    </row>
    <row r="34" spans="1:26" s="5" customFormat="1" ht="26.4">
      <c r="A34" s="115" t="str">
        <f>Zones!C34</f>
        <v>Healthcare Facility and Hospitals (Operating Room)</v>
      </c>
      <c r="B34" s="115" t="str">
        <f>Zones!B34</f>
        <v>Floor 1 Operating Room 3</v>
      </c>
      <c r="C34" s="119">
        <f>Zones!K34</f>
        <v>2</v>
      </c>
      <c r="D34" s="119">
        <f>Zones!H34</f>
        <v>476</v>
      </c>
      <c r="E34" s="286">
        <v>15</v>
      </c>
      <c r="F34" s="286" t="str">
        <f t="shared" si="8"/>
        <v>n/a</v>
      </c>
      <c r="G34" s="107"/>
      <c r="H34" s="119"/>
      <c r="I34" s="457">
        <f t="shared" si="1"/>
        <v>0.66666666666666663</v>
      </c>
      <c r="J34" s="458">
        <f t="shared" si="2"/>
        <v>30</v>
      </c>
      <c r="K34" s="459">
        <f t="shared" si="3"/>
        <v>317.33333333333331</v>
      </c>
      <c r="L34" s="459">
        <f t="shared" si="9"/>
        <v>0</v>
      </c>
      <c r="M34" s="460">
        <f t="shared" si="5"/>
        <v>317.33333333333331</v>
      </c>
      <c r="N34" s="112"/>
      <c r="V34" s="147"/>
    </row>
    <row r="35" spans="1:26" s="5" customFormat="1" ht="13.2">
      <c r="A35" s="115" t="str">
        <f>Zones!C35</f>
        <v>Healthcare Facility and Hospitals (Recovery Room)</v>
      </c>
      <c r="B35" s="115" t="str">
        <f>Zones!B35</f>
        <v>Floor 1 PACU</v>
      </c>
      <c r="C35" s="119">
        <f>Zones!K35</f>
        <v>1</v>
      </c>
      <c r="D35" s="119">
        <f>Zones!H35</f>
        <v>108</v>
      </c>
      <c r="E35" s="286">
        <v>15</v>
      </c>
      <c r="F35" s="286" t="str">
        <f t="shared" si="8"/>
        <v>n/a</v>
      </c>
      <c r="G35" s="107"/>
      <c r="H35" s="119"/>
      <c r="I35" s="457">
        <f t="shared" ref="I35:I66" si="10">VLOOKUP(A35,A$175:H$197,8,FALSE)</f>
        <v>0.33333333333333331</v>
      </c>
      <c r="J35" s="458">
        <f t="shared" ref="J35:J66" si="11">E35*C35</f>
        <v>15</v>
      </c>
      <c r="K35" s="459">
        <f t="shared" ref="K35:K66" si="12">IF(F35="n/a",D35*I35,F35*D35)</f>
        <v>36</v>
      </c>
      <c r="L35" s="459">
        <f t="shared" si="9"/>
        <v>0</v>
      </c>
      <c r="M35" s="460">
        <f t="shared" si="5"/>
        <v>36</v>
      </c>
      <c r="N35" s="112"/>
      <c r="R35" s="6"/>
      <c r="S35" s="6"/>
      <c r="T35" s="6"/>
      <c r="U35" s="6"/>
      <c r="V35" s="148"/>
      <c r="W35" s="149"/>
      <c r="X35" s="149"/>
      <c r="Y35" s="149"/>
      <c r="Z35" s="150"/>
    </row>
    <row r="36" spans="1:26" s="6" customFormat="1" ht="13.2">
      <c r="A36" s="115" t="str">
        <f>Zones!C36</f>
        <v>Corridor Area</v>
      </c>
      <c r="B36" s="115" t="str">
        <f>Zones!B36</f>
        <v>Floor 1 Pre-Op Hall</v>
      </c>
      <c r="C36" s="119">
        <f>Zones!K36</f>
        <v>3</v>
      </c>
      <c r="D36" s="119">
        <f>Zones!H36</f>
        <v>528</v>
      </c>
      <c r="E36" s="286">
        <v>15</v>
      </c>
      <c r="F36" s="286">
        <f t="shared" si="8"/>
        <v>0.15</v>
      </c>
      <c r="G36" s="153"/>
      <c r="H36" s="119"/>
      <c r="I36" s="457">
        <f t="shared" si="10"/>
        <v>0</v>
      </c>
      <c r="J36" s="458">
        <f t="shared" si="11"/>
        <v>45</v>
      </c>
      <c r="K36" s="459">
        <f t="shared" si="12"/>
        <v>79.2</v>
      </c>
      <c r="L36" s="459">
        <f t="shared" si="9"/>
        <v>0</v>
      </c>
      <c r="M36" s="460">
        <f t="shared" si="5"/>
        <v>79.2</v>
      </c>
      <c r="N36" s="151"/>
      <c r="R36" s="5"/>
      <c r="S36" s="5"/>
      <c r="T36" s="5"/>
      <c r="U36" s="5"/>
      <c r="V36" s="5"/>
      <c r="W36" s="5"/>
      <c r="X36" s="5"/>
      <c r="Y36" s="5"/>
      <c r="Z36" s="5"/>
    </row>
    <row r="37" spans="1:26" s="5" customFormat="1" ht="13.2">
      <c r="A37" s="115" t="str">
        <f>Zones!C37</f>
        <v>Healthcare Facility and Hospitals (Patient Room)</v>
      </c>
      <c r="B37" s="115" t="str">
        <f>Zones!B37</f>
        <v>Floor 1 Pre-Op Room 1</v>
      </c>
      <c r="C37" s="119">
        <f>Zones!K37</f>
        <v>1</v>
      </c>
      <c r="D37" s="119">
        <f>Zones!H37</f>
        <v>189</v>
      </c>
      <c r="E37" s="286">
        <v>15</v>
      </c>
      <c r="F37" s="286" t="str">
        <f t="shared" si="8"/>
        <v>n/a</v>
      </c>
      <c r="G37" s="107"/>
      <c r="H37" s="119"/>
      <c r="I37" s="457">
        <f t="shared" si="10"/>
        <v>0.33333333333333331</v>
      </c>
      <c r="J37" s="458">
        <f t="shared" si="11"/>
        <v>15</v>
      </c>
      <c r="K37" s="459">
        <f t="shared" si="12"/>
        <v>63</v>
      </c>
      <c r="L37" s="459">
        <f t="shared" si="9"/>
        <v>0</v>
      </c>
      <c r="M37" s="460">
        <f t="shared" si="5"/>
        <v>63</v>
      </c>
      <c r="N37" s="112"/>
    </row>
    <row r="38" spans="1:26" s="5" customFormat="1" ht="13.2">
      <c r="A38" s="115" t="str">
        <f>Zones!C38</f>
        <v>Healthcare Facility and Hospitals (Patient Room)</v>
      </c>
      <c r="B38" s="115" t="str">
        <f>Zones!B38</f>
        <v>Floor 1 Pre-Op Room 2</v>
      </c>
      <c r="C38" s="119">
        <f>Zones!K38</f>
        <v>2</v>
      </c>
      <c r="D38" s="119">
        <f>Zones!H38</f>
        <v>338</v>
      </c>
      <c r="E38" s="286">
        <v>15</v>
      </c>
      <c r="F38" s="286" t="str">
        <f t="shared" si="8"/>
        <v>n/a</v>
      </c>
      <c r="G38" s="107"/>
      <c r="H38" s="119"/>
      <c r="I38" s="457">
        <f t="shared" si="10"/>
        <v>0.33333333333333331</v>
      </c>
      <c r="J38" s="458">
        <f t="shared" si="11"/>
        <v>30</v>
      </c>
      <c r="K38" s="459">
        <f t="shared" si="12"/>
        <v>112.66666666666666</v>
      </c>
      <c r="L38" s="459">
        <f t="shared" si="9"/>
        <v>0</v>
      </c>
      <c r="M38" s="460">
        <f t="shared" si="5"/>
        <v>112.66666666666666</v>
      </c>
      <c r="N38" s="112"/>
    </row>
    <row r="39" spans="1:26" s="5" customFormat="1" ht="13.2">
      <c r="A39" s="115" t="str">
        <f>Zones!C39</f>
        <v>Restrooms</v>
      </c>
      <c r="B39" s="115" t="str">
        <f>Zones!B39</f>
        <v>Floor 1 Pre-Op Toilet</v>
      </c>
      <c r="C39" s="119">
        <f>Zones!K39</f>
        <v>0</v>
      </c>
      <c r="D39" s="119">
        <f>Zones!H39</f>
        <v>54</v>
      </c>
      <c r="E39" s="286">
        <v>15</v>
      </c>
      <c r="F39" s="286" t="str">
        <f>VLOOKUP(A11,A$175:E$197,5,FALSE)</f>
        <v>n/a</v>
      </c>
      <c r="G39" s="107"/>
      <c r="H39" s="119">
        <v>50</v>
      </c>
      <c r="I39" s="457">
        <f t="shared" si="10"/>
        <v>0</v>
      </c>
      <c r="J39" s="458">
        <f t="shared" si="11"/>
        <v>0</v>
      </c>
      <c r="K39" s="459">
        <f t="shared" si="12"/>
        <v>0</v>
      </c>
      <c r="L39" s="459">
        <f>H39</f>
        <v>50</v>
      </c>
      <c r="M39" s="460">
        <f t="shared" si="5"/>
        <v>50</v>
      </c>
      <c r="N39" s="112" t="s">
        <v>428</v>
      </c>
    </row>
    <row r="40" spans="1:26" s="5" customFormat="1" ht="13.2">
      <c r="A40" s="115" t="str">
        <f>Zones!C40</f>
        <v>Healthcare Facility and Hospitals (Exam/Treatment Room)</v>
      </c>
      <c r="B40" s="115" t="str">
        <f>Zones!B40</f>
        <v>Floor 1 Procedure Room</v>
      </c>
      <c r="C40" s="119">
        <f>Zones!K40</f>
        <v>1</v>
      </c>
      <c r="D40" s="119">
        <f>Zones!H40</f>
        <v>285</v>
      </c>
      <c r="E40" s="286">
        <v>15</v>
      </c>
      <c r="F40" s="286" t="str">
        <f t="shared" ref="F40:F58" si="13">VLOOKUP(A40,A$175:E$197,5,FALSE)</f>
        <v>n/a</v>
      </c>
      <c r="G40" s="107"/>
      <c r="H40" s="119"/>
      <c r="I40" s="457">
        <f t="shared" si="10"/>
        <v>0.33333333333333331</v>
      </c>
      <c r="J40" s="458">
        <f t="shared" si="11"/>
        <v>15</v>
      </c>
      <c r="K40" s="459">
        <f t="shared" si="12"/>
        <v>95</v>
      </c>
      <c r="L40" s="459">
        <f t="shared" ref="L40:L58" si="14">H40*D40</f>
        <v>0</v>
      </c>
      <c r="M40" s="460">
        <f t="shared" si="5"/>
        <v>95</v>
      </c>
      <c r="N40" s="112"/>
    </row>
    <row r="41" spans="1:26" s="5" customFormat="1" ht="13.2">
      <c r="A41" s="115" t="str">
        <f>Zones!C41</f>
        <v>Reception area</v>
      </c>
      <c r="B41" s="115" t="str">
        <f>Zones!B41</f>
        <v>Floor 1 Reception</v>
      </c>
      <c r="C41" s="119">
        <f>Zones!K41</f>
        <v>2.5449999999999999</v>
      </c>
      <c r="D41" s="119">
        <f>Zones!H41</f>
        <v>509</v>
      </c>
      <c r="E41" s="286">
        <v>15</v>
      </c>
      <c r="F41" s="286">
        <f t="shared" si="13"/>
        <v>0.15</v>
      </c>
      <c r="G41" s="107"/>
      <c r="H41" s="119"/>
      <c r="I41" s="457">
        <f t="shared" si="10"/>
        <v>0</v>
      </c>
      <c r="J41" s="458">
        <f t="shared" si="11"/>
        <v>38.174999999999997</v>
      </c>
      <c r="K41" s="459">
        <f t="shared" si="12"/>
        <v>76.349999999999994</v>
      </c>
      <c r="L41" s="459">
        <f t="shared" si="14"/>
        <v>0</v>
      </c>
      <c r="M41" s="460">
        <f t="shared" si="5"/>
        <v>76.349999999999994</v>
      </c>
      <c r="N41" s="112"/>
    </row>
    <row r="42" spans="1:26" s="5" customFormat="1" ht="13.2">
      <c r="A42" s="115" t="str">
        <f>Zones!C42</f>
        <v>Corridor Area</v>
      </c>
      <c r="B42" s="115" t="str">
        <f>Zones!B42</f>
        <v>Floor 1 Reception Hall</v>
      </c>
      <c r="C42" s="119">
        <f>Zones!K42</f>
        <v>1</v>
      </c>
      <c r="D42" s="119">
        <f>Zones!H42</f>
        <v>128</v>
      </c>
      <c r="E42" s="286">
        <v>15</v>
      </c>
      <c r="F42" s="286">
        <f t="shared" si="13"/>
        <v>0.15</v>
      </c>
      <c r="G42" s="107"/>
      <c r="H42" s="119"/>
      <c r="I42" s="457">
        <f t="shared" si="10"/>
        <v>0</v>
      </c>
      <c r="J42" s="458">
        <f t="shared" si="11"/>
        <v>15</v>
      </c>
      <c r="K42" s="459">
        <f t="shared" si="12"/>
        <v>19.2</v>
      </c>
      <c r="L42" s="459">
        <f t="shared" si="14"/>
        <v>0</v>
      </c>
      <c r="M42" s="460">
        <f t="shared" si="5"/>
        <v>19.2</v>
      </c>
      <c r="N42" s="112"/>
    </row>
    <row r="43" spans="1:26" s="5" customFormat="1" ht="13.2">
      <c r="A43" s="115" t="str">
        <f>Zones!C43</f>
        <v>Healthcare Facility and Hospitals (Recovery Room)</v>
      </c>
      <c r="B43" s="115" t="str">
        <f>Zones!B43</f>
        <v>Floor 1 Recovery Room</v>
      </c>
      <c r="C43" s="119">
        <f>Zones!K43</f>
        <v>3</v>
      </c>
      <c r="D43" s="119">
        <f>Zones!H43</f>
        <v>540</v>
      </c>
      <c r="E43" s="286">
        <v>15</v>
      </c>
      <c r="F43" s="286" t="str">
        <f t="shared" si="13"/>
        <v>n/a</v>
      </c>
      <c r="G43" s="107"/>
      <c r="H43" s="119"/>
      <c r="I43" s="457">
        <f t="shared" si="10"/>
        <v>0.33333333333333331</v>
      </c>
      <c r="J43" s="458">
        <f t="shared" si="11"/>
        <v>45</v>
      </c>
      <c r="K43" s="459">
        <f t="shared" si="12"/>
        <v>180</v>
      </c>
      <c r="L43" s="459">
        <f t="shared" si="14"/>
        <v>0</v>
      </c>
      <c r="M43" s="460">
        <f t="shared" si="5"/>
        <v>180</v>
      </c>
      <c r="N43" s="112"/>
    </row>
    <row r="44" spans="1:26" s="5" customFormat="1" ht="13.2">
      <c r="A44" s="115" t="str">
        <f>Zones!C44</f>
        <v>Office Area (&lt;250 square feet)</v>
      </c>
      <c r="B44" s="115" t="str">
        <f>Zones!B44</f>
        <v>Floor 1 Scheduling</v>
      </c>
      <c r="C44" s="119">
        <f>Zones!K44</f>
        <v>0.59499999999999997</v>
      </c>
      <c r="D44" s="119">
        <f>Zones!H44</f>
        <v>119</v>
      </c>
      <c r="E44" s="286">
        <v>15</v>
      </c>
      <c r="F44" s="286">
        <f t="shared" si="13"/>
        <v>0.15</v>
      </c>
      <c r="G44" s="107"/>
      <c r="H44" s="119"/>
      <c r="I44" s="457">
        <f t="shared" si="10"/>
        <v>0</v>
      </c>
      <c r="J44" s="458">
        <f t="shared" si="11"/>
        <v>8.9249999999999989</v>
      </c>
      <c r="K44" s="459">
        <f t="shared" si="12"/>
        <v>17.849999999999998</v>
      </c>
      <c r="L44" s="459">
        <f t="shared" si="14"/>
        <v>0</v>
      </c>
      <c r="M44" s="460">
        <f t="shared" si="5"/>
        <v>17.849999999999998</v>
      </c>
      <c r="N44" s="112"/>
    </row>
    <row r="45" spans="1:26" s="5" customFormat="1" ht="13.2">
      <c r="A45" s="115" t="str">
        <f>Zones!C45</f>
        <v>Corridor Area</v>
      </c>
      <c r="B45" s="115" t="str">
        <f>Zones!B45</f>
        <v>Floor 1 Scrub</v>
      </c>
      <c r="C45" s="119">
        <f>Zones!K45</f>
        <v>0</v>
      </c>
      <c r="D45" s="119">
        <f>Zones!H45</f>
        <v>84</v>
      </c>
      <c r="E45" s="286">
        <v>15</v>
      </c>
      <c r="F45" s="286">
        <f t="shared" si="13"/>
        <v>0.15</v>
      </c>
      <c r="G45" s="107"/>
      <c r="H45" s="119"/>
      <c r="I45" s="457">
        <f t="shared" si="10"/>
        <v>0</v>
      </c>
      <c r="J45" s="458">
        <f t="shared" si="11"/>
        <v>0</v>
      </c>
      <c r="K45" s="459">
        <f t="shared" si="12"/>
        <v>12.6</v>
      </c>
      <c r="L45" s="459">
        <f t="shared" si="14"/>
        <v>0</v>
      </c>
      <c r="M45" s="460">
        <f t="shared" si="5"/>
        <v>12.6</v>
      </c>
      <c r="N45" s="112"/>
    </row>
    <row r="46" spans="1:26" s="5" customFormat="1" ht="39.6">
      <c r="A46" s="115" t="str">
        <f>Zones!C46</f>
        <v>Healthcare Facility and Hospitals (Medical Supply Room)</v>
      </c>
      <c r="B46" s="115" t="str">
        <f>Zones!B46</f>
        <v>Floor 1 Soil</v>
      </c>
      <c r="C46" s="119">
        <f>Zones!K46</f>
        <v>1</v>
      </c>
      <c r="D46" s="119">
        <f>Zones!H46</f>
        <v>126</v>
      </c>
      <c r="E46" s="286">
        <v>15</v>
      </c>
      <c r="F46" s="286" t="str">
        <f t="shared" si="13"/>
        <v>n/a</v>
      </c>
      <c r="G46" s="120">
        <v>1.67</v>
      </c>
      <c r="H46" s="120"/>
      <c r="I46" s="457">
        <f t="shared" si="10"/>
        <v>0.33333333333333331</v>
      </c>
      <c r="J46" s="458">
        <f t="shared" si="11"/>
        <v>15</v>
      </c>
      <c r="K46" s="459">
        <f t="shared" si="12"/>
        <v>42</v>
      </c>
      <c r="L46" s="459">
        <f>G46*D46</f>
        <v>210.42</v>
      </c>
      <c r="M46" s="460">
        <f t="shared" si="5"/>
        <v>210.42</v>
      </c>
      <c r="N46" s="389" t="s">
        <v>427</v>
      </c>
      <c r="O46" s="60"/>
    </row>
    <row r="47" spans="1:26" s="5" customFormat="1" ht="39.6">
      <c r="A47" s="115" t="str">
        <f>Zones!C47</f>
        <v>Healthcare Facility and Hospitals (Medical Supply Room)</v>
      </c>
      <c r="B47" s="115" t="str">
        <f>Zones!B47</f>
        <v>Floor 1 Soil Hold</v>
      </c>
      <c r="C47" s="119">
        <f>Zones!K47</f>
        <v>0</v>
      </c>
      <c r="D47" s="119">
        <f>Zones!H47</f>
        <v>56</v>
      </c>
      <c r="E47" s="286">
        <v>15</v>
      </c>
      <c r="F47" s="286" t="str">
        <f t="shared" si="13"/>
        <v>n/a</v>
      </c>
      <c r="G47" s="120">
        <v>1.67</v>
      </c>
      <c r="H47" s="120"/>
      <c r="I47" s="457">
        <f t="shared" si="10"/>
        <v>0.33333333333333331</v>
      </c>
      <c r="J47" s="458">
        <f t="shared" si="11"/>
        <v>0</v>
      </c>
      <c r="K47" s="459">
        <f t="shared" si="12"/>
        <v>18.666666666666664</v>
      </c>
      <c r="L47" s="459">
        <f t="shared" ref="L47:L48" si="15">G47*D47</f>
        <v>93.52</v>
      </c>
      <c r="M47" s="460">
        <f t="shared" si="5"/>
        <v>93.52</v>
      </c>
      <c r="N47" s="389" t="s">
        <v>427</v>
      </c>
      <c r="O47" s="60"/>
    </row>
    <row r="48" spans="1:26" s="5" customFormat="1" ht="39.6">
      <c r="A48" s="115" t="str">
        <f>Zones!C48</f>
        <v>Healthcare Facility and Hospitals (Medical Supply Room)</v>
      </c>
      <c r="B48" s="115" t="str">
        <f>Zones!B48</f>
        <v>Floor 1 Soil Work</v>
      </c>
      <c r="C48" s="119">
        <f>Zones!K48</f>
        <v>1</v>
      </c>
      <c r="D48" s="119">
        <f>Zones!H48</f>
        <v>180</v>
      </c>
      <c r="E48" s="286">
        <v>15</v>
      </c>
      <c r="F48" s="286" t="str">
        <f t="shared" si="13"/>
        <v>n/a</v>
      </c>
      <c r="G48" s="120">
        <v>1.67</v>
      </c>
      <c r="H48" s="120"/>
      <c r="I48" s="457">
        <f t="shared" si="10"/>
        <v>0.33333333333333331</v>
      </c>
      <c r="J48" s="458">
        <f t="shared" si="11"/>
        <v>15</v>
      </c>
      <c r="K48" s="459">
        <f t="shared" si="12"/>
        <v>60</v>
      </c>
      <c r="L48" s="459">
        <f t="shared" si="15"/>
        <v>300.59999999999997</v>
      </c>
      <c r="M48" s="460">
        <f t="shared" si="5"/>
        <v>300.59999999999997</v>
      </c>
      <c r="N48" s="389" t="s">
        <v>427</v>
      </c>
      <c r="O48" s="60"/>
    </row>
    <row r="49" spans="1:14" s="5" customFormat="1" ht="13.2">
      <c r="A49" s="115" t="str">
        <f>Zones!C49</f>
        <v>Healthcare Facility and Hospitals (Recovery Room)</v>
      </c>
      <c r="B49" s="115" t="str">
        <f>Zones!B49</f>
        <v>Floor 1 Step Down</v>
      </c>
      <c r="C49" s="119">
        <f>Zones!K49</f>
        <v>2</v>
      </c>
      <c r="D49" s="119">
        <f>Zones!H49</f>
        <v>300</v>
      </c>
      <c r="E49" s="286">
        <v>15</v>
      </c>
      <c r="F49" s="286" t="str">
        <f t="shared" si="13"/>
        <v>n/a</v>
      </c>
      <c r="G49" s="107"/>
      <c r="H49" s="119"/>
      <c r="I49" s="457">
        <f t="shared" si="10"/>
        <v>0.33333333333333331</v>
      </c>
      <c r="J49" s="458">
        <f t="shared" si="11"/>
        <v>30</v>
      </c>
      <c r="K49" s="459">
        <f t="shared" si="12"/>
        <v>100</v>
      </c>
      <c r="L49" s="459">
        <f>H49*D49</f>
        <v>0</v>
      </c>
      <c r="M49" s="460">
        <f t="shared" si="5"/>
        <v>100</v>
      </c>
      <c r="N49" s="112"/>
    </row>
    <row r="50" spans="1:14" s="5" customFormat="1" ht="13.2">
      <c r="A50" s="115" t="str">
        <f>Zones!C50</f>
        <v>Corridor Area</v>
      </c>
      <c r="B50" s="115" t="str">
        <f>Zones!B50</f>
        <v>Floor 1 Sterile Hall</v>
      </c>
      <c r="C50" s="119">
        <f>Zones!K50</f>
        <v>3</v>
      </c>
      <c r="D50" s="119">
        <f>Zones!H50</f>
        <v>616</v>
      </c>
      <c r="E50" s="286">
        <v>15</v>
      </c>
      <c r="F50" s="286">
        <f t="shared" si="13"/>
        <v>0.15</v>
      </c>
      <c r="G50" s="107"/>
      <c r="H50" s="119"/>
      <c r="I50" s="457">
        <f t="shared" si="10"/>
        <v>0</v>
      </c>
      <c r="J50" s="458">
        <f t="shared" si="11"/>
        <v>45</v>
      </c>
      <c r="K50" s="459">
        <f t="shared" si="12"/>
        <v>92.399999999999991</v>
      </c>
      <c r="L50" s="459">
        <f t="shared" si="14"/>
        <v>0</v>
      </c>
      <c r="M50" s="460">
        <f t="shared" si="5"/>
        <v>92.399999999999991</v>
      </c>
      <c r="N50" s="112"/>
    </row>
    <row r="51" spans="1:14" s="5" customFormat="1" ht="13.2">
      <c r="A51" s="115" t="str">
        <f>Zones!C51</f>
        <v>Storage (General)</v>
      </c>
      <c r="B51" s="115" t="str">
        <f>Zones!B51</f>
        <v>Floor 1 Sterile Storage</v>
      </c>
      <c r="C51" s="119">
        <f>Zones!K51</f>
        <v>1</v>
      </c>
      <c r="D51" s="119">
        <f>Zones!H51</f>
        <v>396</v>
      </c>
      <c r="E51" s="286">
        <v>15</v>
      </c>
      <c r="F51" s="286">
        <f t="shared" si="13"/>
        <v>0.15</v>
      </c>
      <c r="G51" s="107"/>
      <c r="H51" s="119"/>
      <c r="I51" s="457">
        <f t="shared" si="10"/>
        <v>0</v>
      </c>
      <c r="J51" s="458">
        <f t="shared" si="11"/>
        <v>15</v>
      </c>
      <c r="K51" s="459">
        <f t="shared" si="12"/>
        <v>59.4</v>
      </c>
      <c r="L51" s="459">
        <f t="shared" si="14"/>
        <v>0</v>
      </c>
      <c r="M51" s="460">
        <f t="shared" si="5"/>
        <v>59.4</v>
      </c>
      <c r="N51" s="112"/>
    </row>
    <row r="52" spans="1:14" s="5" customFormat="1" ht="13.2">
      <c r="A52" s="115" t="str">
        <f>Zones!C52</f>
        <v>Storage (General)</v>
      </c>
      <c r="B52" s="115" t="str">
        <f>Zones!B52</f>
        <v>Floor 1 Storage</v>
      </c>
      <c r="C52" s="119">
        <f>Zones!K52</f>
        <v>2</v>
      </c>
      <c r="D52" s="119">
        <f>Zones!H52</f>
        <v>920</v>
      </c>
      <c r="E52" s="286">
        <v>15</v>
      </c>
      <c r="F52" s="286">
        <f t="shared" si="13"/>
        <v>0.15</v>
      </c>
      <c r="G52" s="107"/>
      <c r="H52" s="119"/>
      <c r="I52" s="457">
        <f t="shared" si="10"/>
        <v>0</v>
      </c>
      <c r="J52" s="458">
        <f t="shared" si="11"/>
        <v>30</v>
      </c>
      <c r="K52" s="459">
        <f t="shared" si="12"/>
        <v>138</v>
      </c>
      <c r="L52" s="459">
        <f t="shared" si="14"/>
        <v>0</v>
      </c>
      <c r="M52" s="460">
        <f t="shared" si="5"/>
        <v>138</v>
      </c>
      <c r="N52" s="112"/>
    </row>
    <row r="53" spans="1:14" s="5" customFormat="1" ht="13.2">
      <c r="A53" s="115" t="str">
        <f>Zones!C53</f>
        <v>Corridor Area</v>
      </c>
      <c r="B53" s="115" t="str">
        <f>Zones!B53</f>
        <v>Floor 1 Sub-Sterile</v>
      </c>
      <c r="C53" s="119">
        <f>Zones!K53</f>
        <v>1</v>
      </c>
      <c r="D53" s="119">
        <f>Zones!H53</f>
        <v>196</v>
      </c>
      <c r="E53" s="286">
        <v>15</v>
      </c>
      <c r="F53" s="286">
        <f t="shared" si="13"/>
        <v>0.15</v>
      </c>
      <c r="G53" s="107"/>
      <c r="H53" s="119"/>
      <c r="I53" s="457">
        <f t="shared" si="10"/>
        <v>0</v>
      </c>
      <c r="J53" s="458">
        <f t="shared" si="11"/>
        <v>15</v>
      </c>
      <c r="K53" s="459">
        <f t="shared" si="12"/>
        <v>29.4</v>
      </c>
      <c r="L53" s="459">
        <f t="shared" si="14"/>
        <v>0</v>
      </c>
      <c r="M53" s="460">
        <f t="shared" si="5"/>
        <v>29.4</v>
      </c>
      <c r="N53" s="112"/>
    </row>
    <row r="54" spans="1:14" s="5" customFormat="1" ht="13.2">
      <c r="A54" s="115" t="str">
        <f>Zones!C54</f>
        <v>Corridor Area</v>
      </c>
      <c r="B54" s="115" t="str">
        <f>Zones!B54</f>
        <v>Floor 1 Utility Hall</v>
      </c>
      <c r="C54" s="119">
        <f>Zones!K54</f>
        <v>1</v>
      </c>
      <c r="D54" s="119">
        <f>Zones!H54</f>
        <v>256</v>
      </c>
      <c r="E54" s="286">
        <v>15</v>
      </c>
      <c r="F54" s="286">
        <f t="shared" si="13"/>
        <v>0.15</v>
      </c>
      <c r="G54" s="107"/>
      <c r="H54" s="119"/>
      <c r="I54" s="457">
        <f t="shared" si="10"/>
        <v>0</v>
      </c>
      <c r="J54" s="458">
        <f t="shared" si="11"/>
        <v>15</v>
      </c>
      <c r="K54" s="459">
        <f t="shared" si="12"/>
        <v>38.4</v>
      </c>
      <c r="L54" s="459">
        <f t="shared" si="14"/>
        <v>0</v>
      </c>
      <c r="M54" s="460">
        <f t="shared" si="5"/>
        <v>38.4</v>
      </c>
      <c r="N54" s="112"/>
    </row>
    <row r="55" spans="1:14" s="5" customFormat="1" ht="13.2">
      <c r="A55" s="115" t="str">
        <f>Zones!C55</f>
        <v>Storage (General)</v>
      </c>
      <c r="B55" s="115" t="str">
        <f>Zones!B55</f>
        <v>Floor 1 Utility Janitor</v>
      </c>
      <c r="C55" s="119">
        <f>Zones!K55</f>
        <v>0</v>
      </c>
      <c r="D55" s="119">
        <f>Zones!H55</f>
        <v>42</v>
      </c>
      <c r="E55" s="286">
        <v>15</v>
      </c>
      <c r="F55" s="286">
        <f t="shared" si="13"/>
        <v>0.15</v>
      </c>
      <c r="G55" s="107"/>
      <c r="H55" s="119"/>
      <c r="I55" s="457">
        <f t="shared" si="10"/>
        <v>0</v>
      </c>
      <c r="J55" s="458">
        <f t="shared" si="11"/>
        <v>0</v>
      </c>
      <c r="K55" s="459">
        <f t="shared" si="12"/>
        <v>6.3</v>
      </c>
      <c r="L55" s="459">
        <f t="shared" si="14"/>
        <v>0</v>
      </c>
      <c r="M55" s="460">
        <f t="shared" si="5"/>
        <v>6.3</v>
      </c>
      <c r="N55" s="112"/>
    </row>
    <row r="56" spans="1:14" s="5" customFormat="1" ht="13.2">
      <c r="A56" s="115" t="str">
        <f>Zones!C56</f>
        <v>Storage (General)</v>
      </c>
      <c r="B56" s="115" t="str">
        <f>Zones!B56</f>
        <v>Floor 1 Utility Room</v>
      </c>
      <c r="C56" s="119">
        <f>Zones!K56</f>
        <v>1</v>
      </c>
      <c r="D56" s="119">
        <f>Zones!H56</f>
        <v>360</v>
      </c>
      <c r="E56" s="286">
        <v>15</v>
      </c>
      <c r="F56" s="286">
        <f t="shared" si="13"/>
        <v>0.15</v>
      </c>
      <c r="G56" s="107"/>
      <c r="H56" s="121"/>
      <c r="I56" s="457">
        <f t="shared" si="10"/>
        <v>0</v>
      </c>
      <c r="J56" s="458">
        <f t="shared" si="11"/>
        <v>15</v>
      </c>
      <c r="K56" s="459">
        <f t="shared" si="12"/>
        <v>54</v>
      </c>
      <c r="L56" s="459">
        <f t="shared" si="14"/>
        <v>0</v>
      </c>
      <c r="M56" s="460">
        <f t="shared" si="5"/>
        <v>54</v>
      </c>
      <c r="N56" s="112"/>
    </row>
    <row r="57" spans="1:14" s="5" customFormat="1" ht="13.2">
      <c r="A57" s="115" t="str">
        <f>Zones!C57</f>
        <v>Corridor Area</v>
      </c>
      <c r="B57" s="115" t="str">
        <f>Zones!B57</f>
        <v>Floor 1 Vestibule</v>
      </c>
      <c r="C57" s="119">
        <f>Zones!K57</f>
        <v>0</v>
      </c>
      <c r="D57" s="119">
        <f>Zones!H57</f>
        <v>72</v>
      </c>
      <c r="E57" s="286">
        <v>15</v>
      </c>
      <c r="F57" s="286">
        <f t="shared" si="13"/>
        <v>0.15</v>
      </c>
      <c r="G57" s="107"/>
      <c r="H57" s="119"/>
      <c r="I57" s="457">
        <f t="shared" si="10"/>
        <v>0</v>
      </c>
      <c r="J57" s="458">
        <f t="shared" si="11"/>
        <v>0</v>
      </c>
      <c r="K57" s="459">
        <f t="shared" si="12"/>
        <v>10.799999999999999</v>
      </c>
      <c r="L57" s="459">
        <f t="shared" si="14"/>
        <v>0</v>
      </c>
      <c r="M57" s="460">
        <f t="shared" si="5"/>
        <v>10.799999999999999</v>
      </c>
      <c r="N57" s="112"/>
    </row>
    <row r="58" spans="1:14" s="5" customFormat="1" ht="13.2">
      <c r="A58" s="115" t="str">
        <f>Zones!C58</f>
        <v>Convention, Conference, Multipurpose and Meeting Area</v>
      </c>
      <c r="B58" s="115" t="str">
        <f>Zones!B58</f>
        <v>Floor 2 Conference</v>
      </c>
      <c r="C58" s="119">
        <f>Zones!K58</f>
        <v>11.087999999999999</v>
      </c>
      <c r="D58" s="119">
        <f>Zones!H58</f>
        <v>336</v>
      </c>
      <c r="E58" s="286">
        <v>15</v>
      </c>
      <c r="F58" s="286">
        <f t="shared" si="13"/>
        <v>0.15</v>
      </c>
      <c r="G58" s="107"/>
      <c r="H58" s="119"/>
      <c r="I58" s="457">
        <f t="shared" si="10"/>
        <v>0</v>
      </c>
      <c r="J58" s="458">
        <f t="shared" si="11"/>
        <v>166.32</v>
      </c>
      <c r="K58" s="459">
        <f t="shared" si="12"/>
        <v>50.4</v>
      </c>
      <c r="L58" s="459">
        <f t="shared" si="14"/>
        <v>0</v>
      </c>
      <c r="M58" s="460">
        <f t="shared" si="5"/>
        <v>166.32</v>
      </c>
      <c r="N58" s="112"/>
    </row>
    <row r="59" spans="1:14" s="5" customFormat="1" ht="13.2">
      <c r="A59" s="115" t="str">
        <f>Zones!C59</f>
        <v>Restrooms</v>
      </c>
      <c r="B59" s="115" t="str">
        <f>Zones!B59</f>
        <v>Floor 2 Conference Toilet</v>
      </c>
      <c r="C59" s="119">
        <f>Zones!K59</f>
        <v>0</v>
      </c>
      <c r="D59" s="119">
        <f>Zones!H59</f>
        <v>64</v>
      </c>
      <c r="E59" s="286">
        <v>15</v>
      </c>
      <c r="F59" s="286" t="str">
        <f>VLOOKUP(A11,A$175:E$197,5,FALSE)</f>
        <v>n/a</v>
      </c>
      <c r="G59" s="107"/>
      <c r="H59" s="119">
        <v>50</v>
      </c>
      <c r="I59" s="457">
        <f t="shared" si="10"/>
        <v>0</v>
      </c>
      <c r="J59" s="458">
        <f t="shared" si="11"/>
        <v>0</v>
      </c>
      <c r="K59" s="459">
        <f t="shared" si="12"/>
        <v>0</v>
      </c>
      <c r="L59" s="459">
        <f>50</f>
        <v>50</v>
      </c>
      <c r="M59" s="460">
        <f t="shared" si="5"/>
        <v>50</v>
      </c>
      <c r="N59" s="112" t="s">
        <v>428</v>
      </c>
    </row>
    <row r="60" spans="1:14" s="5" customFormat="1" ht="13.2">
      <c r="A60" s="115" t="str">
        <f>Zones!C60</f>
        <v>Office Area (&lt;250 square feet)</v>
      </c>
      <c r="B60" s="115" t="str">
        <f>Zones!B60</f>
        <v>Floor 2 Dictation</v>
      </c>
      <c r="C60" s="119">
        <f>Zones!K60</f>
        <v>0.35</v>
      </c>
      <c r="D60" s="119">
        <f>Zones!H60</f>
        <v>70</v>
      </c>
      <c r="E60" s="286">
        <v>15</v>
      </c>
      <c r="F60" s="286">
        <f t="shared" ref="F60:F83" si="16">VLOOKUP(A60,A$175:E$197,5,FALSE)</f>
        <v>0.15</v>
      </c>
      <c r="G60" s="107"/>
      <c r="H60" s="107"/>
      <c r="I60" s="457">
        <f t="shared" si="10"/>
        <v>0</v>
      </c>
      <c r="J60" s="458">
        <f t="shared" si="11"/>
        <v>5.25</v>
      </c>
      <c r="K60" s="459">
        <f t="shared" si="12"/>
        <v>10.5</v>
      </c>
      <c r="L60" s="459">
        <f t="shared" ref="L60:L83" si="17">H60*D60</f>
        <v>0</v>
      </c>
      <c r="M60" s="460">
        <f>MAX(J60:L60)</f>
        <v>10.5</v>
      </c>
      <c r="N60" s="112"/>
    </row>
    <row r="61" spans="1:14" s="5" customFormat="1" ht="13.2">
      <c r="A61" s="115" t="str">
        <f>Zones!C61</f>
        <v>Healthcare Facility and Hospitals (Exam/Treatment Room)</v>
      </c>
      <c r="B61" s="115" t="str">
        <f>Zones!B61</f>
        <v>Floor 2 Exam 1</v>
      </c>
      <c r="C61" s="119">
        <f>Zones!K61</f>
        <v>2</v>
      </c>
      <c r="D61" s="119">
        <f>Zones!H61</f>
        <v>360</v>
      </c>
      <c r="E61" s="286">
        <v>15</v>
      </c>
      <c r="F61" s="286" t="str">
        <f t="shared" si="16"/>
        <v>n/a</v>
      </c>
      <c r="G61" s="107"/>
      <c r="H61" s="107"/>
      <c r="I61" s="457">
        <f t="shared" si="10"/>
        <v>0.33333333333333331</v>
      </c>
      <c r="J61" s="458">
        <f t="shared" si="11"/>
        <v>30</v>
      </c>
      <c r="K61" s="459">
        <f t="shared" si="12"/>
        <v>120</v>
      </c>
      <c r="L61" s="459">
        <f t="shared" si="17"/>
        <v>0</v>
      </c>
      <c r="M61" s="460">
        <f t="shared" si="5"/>
        <v>120</v>
      </c>
      <c r="N61" s="112"/>
    </row>
    <row r="62" spans="1:14" s="5" customFormat="1" ht="13.2">
      <c r="A62" s="115" t="str">
        <f>Zones!C62</f>
        <v>Healthcare Facility and Hospitals (Exam/Treatment Room)</v>
      </c>
      <c r="B62" s="115" t="str">
        <f>Zones!B62</f>
        <v>Floor 2 Exam 2</v>
      </c>
      <c r="C62" s="119">
        <f>Zones!K62</f>
        <v>3</v>
      </c>
      <c r="D62" s="119">
        <f>Zones!H62</f>
        <v>540</v>
      </c>
      <c r="E62" s="286">
        <v>15</v>
      </c>
      <c r="F62" s="286" t="str">
        <f t="shared" si="16"/>
        <v>n/a</v>
      </c>
      <c r="G62" s="107"/>
      <c r="H62" s="107"/>
      <c r="I62" s="457">
        <f t="shared" si="10"/>
        <v>0.33333333333333331</v>
      </c>
      <c r="J62" s="458">
        <f t="shared" si="11"/>
        <v>45</v>
      </c>
      <c r="K62" s="459">
        <f t="shared" si="12"/>
        <v>180</v>
      </c>
      <c r="L62" s="459">
        <f t="shared" si="17"/>
        <v>0</v>
      </c>
      <c r="M62" s="460">
        <f t="shared" si="5"/>
        <v>180</v>
      </c>
      <c r="N62" s="112"/>
    </row>
    <row r="63" spans="1:14" s="5" customFormat="1" ht="13.2">
      <c r="A63" s="115" t="str">
        <f>Zones!C63</f>
        <v>Healthcare Facility and Hospitals (Exam/Treatment Room)</v>
      </c>
      <c r="B63" s="115" t="str">
        <f>Zones!B63</f>
        <v>Floor 2 Exam 3</v>
      </c>
      <c r="C63" s="119">
        <f>Zones!K63</f>
        <v>4</v>
      </c>
      <c r="D63" s="119">
        <f>Zones!H63</f>
        <v>720</v>
      </c>
      <c r="E63" s="286">
        <v>15</v>
      </c>
      <c r="F63" s="286" t="str">
        <f t="shared" si="16"/>
        <v>n/a</v>
      </c>
      <c r="G63" s="107"/>
      <c r="H63" s="107"/>
      <c r="I63" s="457">
        <f t="shared" si="10"/>
        <v>0.33333333333333331</v>
      </c>
      <c r="J63" s="458">
        <f t="shared" si="11"/>
        <v>60</v>
      </c>
      <c r="K63" s="459">
        <f t="shared" si="12"/>
        <v>240</v>
      </c>
      <c r="L63" s="459">
        <f t="shared" si="17"/>
        <v>0</v>
      </c>
      <c r="M63" s="460">
        <f t="shared" si="5"/>
        <v>240</v>
      </c>
      <c r="N63" s="112"/>
    </row>
    <row r="64" spans="1:14" s="5" customFormat="1" ht="13.2">
      <c r="A64" s="115" t="str">
        <f>Zones!C64</f>
        <v>Healthcare Facility and Hospitals (Exam/Treatment Room)</v>
      </c>
      <c r="B64" s="115" t="str">
        <f>Zones!B64</f>
        <v>Floor 2 Exam 4</v>
      </c>
      <c r="C64" s="119">
        <f>Zones!K64</f>
        <v>0</v>
      </c>
      <c r="D64" s="119">
        <f>Zones!H64</f>
        <v>84</v>
      </c>
      <c r="E64" s="286">
        <v>15</v>
      </c>
      <c r="F64" s="286" t="str">
        <f t="shared" si="16"/>
        <v>n/a</v>
      </c>
      <c r="G64" s="107"/>
      <c r="H64" s="107"/>
      <c r="I64" s="457">
        <f t="shared" si="10"/>
        <v>0.33333333333333331</v>
      </c>
      <c r="J64" s="458">
        <f t="shared" si="11"/>
        <v>0</v>
      </c>
      <c r="K64" s="459">
        <f t="shared" si="12"/>
        <v>28</v>
      </c>
      <c r="L64" s="459">
        <f t="shared" si="17"/>
        <v>0</v>
      </c>
      <c r="M64" s="460">
        <f t="shared" si="5"/>
        <v>28</v>
      </c>
      <c r="N64" s="112"/>
    </row>
    <row r="65" spans="1:14" s="5" customFormat="1" ht="13.2">
      <c r="A65" s="115" t="str">
        <f>Zones!C65</f>
        <v>Healthcare Facility and Hospitals (Exam/Treatment Room)</v>
      </c>
      <c r="B65" s="115" t="str">
        <f>Zones!B65</f>
        <v>Floor 2 Exam 5</v>
      </c>
      <c r="C65" s="119">
        <f>Zones!K65</f>
        <v>2</v>
      </c>
      <c r="D65" s="119">
        <f>Zones!H65</f>
        <v>350</v>
      </c>
      <c r="E65" s="286">
        <v>15</v>
      </c>
      <c r="F65" s="286" t="str">
        <f t="shared" si="16"/>
        <v>n/a</v>
      </c>
      <c r="G65" s="107"/>
      <c r="H65" s="107"/>
      <c r="I65" s="457">
        <f t="shared" si="10"/>
        <v>0.33333333333333331</v>
      </c>
      <c r="J65" s="458">
        <f t="shared" si="11"/>
        <v>30</v>
      </c>
      <c r="K65" s="459">
        <f t="shared" si="12"/>
        <v>116.66666666666666</v>
      </c>
      <c r="L65" s="459">
        <f t="shared" si="17"/>
        <v>0</v>
      </c>
      <c r="M65" s="460">
        <f t="shared" si="5"/>
        <v>116.66666666666666</v>
      </c>
      <c r="N65" s="112"/>
    </row>
    <row r="66" spans="1:14" s="5" customFormat="1" ht="13.2">
      <c r="A66" s="115" t="str">
        <f>Zones!C66</f>
        <v>Healthcare Facility and Hospitals (Exam/Treatment Room)</v>
      </c>
      <c r="B66" s="115" t="str">
        <f>Zones!B66</f>
        <v>Floor 2 Exam 6</v>
      </c>
      <c r="C66" s="119">
        <f>Zones!K66</f>
        <v>1</v>
      </c>
      <c r="D66" s="119">
        <f>Zones!H66</f>
        <v>225</v>
      </c>
      <c r="E66" s="286">
        <v>15</v>
      </c>
      <c r="F66" s="286" t="str">
        <f t="shared" si="16"/>
        <v>n/a</v>
      </c>
      <c r="G66" s="107"/>
      <c r="H66" s="107"/>
      <c r="I66" s="457">
        <f t="shared" si="10"/>
        <v>0.33333333333333331</v>
      </c>
      <c r="J66" s="458">
        <f t="shared" si="11"/>
        <v>15</v>
      </c>
      <c r="K66" s="459">
        <f t="shared" si="12"/>
        <v>75</v>
      </c>
      <c r="L66" s="459">
        <f t="shared" si="17"/>
        <v>0</v>
      </c>
      <c r="M66" s="460">
        <f t="shared" si="5"/>
        <v>75</v>
      </c>
      <c r="N66" s="112"/>
    </row>
    <row r="67" spans="1:14" s="5" customFormat="1" ht="13.2">
      <c r="A67" s="115" t="str">
        <f>Zones!C67</f>
        <v>Healthcare Facility and Hospitals (Exam/Treatment Room)</v>
      </c>
      <c r="B67" s="115" t="str">
        <f>Zones!B67</f>
        <v>Floor 2 Exam 7</v>
      </c>
      <c r="C67" s="119">
        <f>Zones!K67</f>
        <v>4</v>
      </c>
      <c r="D67" s="119">
        <f>Zones!H67</f>
        <v>792</v>
      </c>
      <c r="E67" s="286">
        <v>15</v>
      </c>
      <c r="F67" s="286" t="str">
        <f t="shared" si="16"/>
        <v>n/a</v>
      </c>
      <c r="G67" s="107"/>
      <c r="H67" s="107"/>
      <c r="I67" s="457">
        <f t="shared" ref="I67:I98" si="18">VLOOKUP(A67,A$175:H$197,8,FALSE)</f>
        <v>0.33333333333333331</v>
      </c>
      <c r="J67" s="458">
        <f t="shared" ref="J67:J98" si="19">E67*C67</f>
        <v>60</v>
      </c>
      <c r="K67" s="459">
        <f t="shared" ref="K67:K98" si="20">IF(F67="n/a",D67*I67,F67*D67)</f>
        <v>264</v>
      </c>
      <c r="L67" s="459">
        <f t="shared" si="17"/>
        <v>0</v>
      </c>
      <c r="M67" s="460">
        <f t="shared" si="5"/>
        <v>264</v>
      </c>
      <c r="N67" s="112"/>
    </row>
    <row r="68" spans="1:14" s="5" customFormat="1" ht="13.2">
      <c r="A68" s="115" t="str">
        <f>Zones!C68</f>
        <v>Healthcare Facility and Hospitals (Exam/Treatment Room)</v>
      </c>
      <c r="B68" s="115" t="str">
        <f>Zones!B68</f>
        <v>Floor 2 Exam 8</v>
      </c>
      <c r="C68" s="119">
        <f>Zones!K68</f>
        <v>1</v>
      </c>
      <c r="D68" s="119">
        <f>Zones!H68</f>
        <v>270</v>
      </c>
      <c r="E68" s="286">
        <v>15</v>
      </c>
      <c r="F68" s="286" t="str">
        <f t="shared" si="16"/>
        <v>n/a</v>
      </c>
      <c r="G68" s="107"/>
      <c r="H68" s="107"/>
      <c r="I68" s="457">
        <f t="shared" si="18"/>
        <v>0.33333333333333331</v>
      </c>
      <c r="J68" s="458">
        <f t="shared" si="19"/>
        <v>15</v>
      </c>
      <c r="K68" s="459">
        <f t="shared" si="20"/>
        <v>90</v>
      </c>
      <c r="L68" s="459">
        <f t="shared" si="17"/>
        <v>0</v>
      </c>
      <c r="M68" s="460">
        <f t="shared" ref="M68:M117" si="21">MAX(J68:L68)</f>
        <v>90</v>
      </c>
      <c r="N68" s="112"/>
    </row>
    <row r="69" spans="1:14" s="5" customFormat="1" ht="13.2">
      <c r="A69" s="115" t="str">
        <f>Zones!C69</f>
        <v>Healthcare Facility and Hospitals (Exam/Treatment Room)</v>
      </c>
      <c r="B69" s="115" t="str">
        <f>Zones!B69</f>
        <v>Floor 2 Exam 9</v>
      </c>
      <c r="C69" s="119">
        <f>Zones!K69</f>
        <v>2</v>
      </c>
      <c r="D69" s="119">
        <f>Zones!H69</f>
        <v>396</v>
      </c>
      <c r="E69" s="286">
        <v>15</v>
      </c>
      <c r="F69" s="286" t="str">
        <f t="shared" si="16"/>
        <v>n/a</v>
      </c>
      <c r="G69" s="107"/>
      <c r="H69" s="107"/>
      <c r="I69" s="457">
        <f t="shared" si="18"/>
        <v>0.33333333333333331</v>
      </c>
      <c r="J69" s="458">
        <f t="shared" si="19"/>
        <v>30</v>
      </c>
      <c r="K69" s="459">
        <f t="shared" si="20"/>
        <v>132</v>
      </c>
      <c r="L69" s="459">
        <f t="shared" si="17"/>
        <v>0</v>
      </c>
      <c r="M69" s="460">
        <f t="shared" si="21"/>
        <v>132</v>
      </c>
      <c r="N69" s="112"/>
    </row>
    <row r="70" spans="1:14" s="5" customFormat="1" ht="13.2">
      <c r="A70" s="115" t="str">
        <f>Zones!C70</f>
        <v>Corridor Area</v>
      </c>
      <c r="B70" s="115" t="str">
        <f>Zones!B70</f>
        <v>Floor 2 Exam Hall 1</v>
      </c>
      <c r="C70" s="119">
        <f>Zones!K70</f>
        <v>1</v>
      </c>
      <c r="D70" s="119">
        <f>Zones!H70</f>
        <v>180</v>
      </c>
      <c r="E70" s="286">
        <v>15</v>
      </c>
      <c r="F70" s="286">
        <f t="shared" si="16"/>
        <v>0.15</v>
      </c>
      <c r="G70" s="107"/>
      <c r="H70" s="107"/>
      <c r="I70" s="457">
        <f t="shared" si="18"/>
        <v>0</v>
      </c>
      <c r="J70" s="458">
        <f t="shared" si="19"/>
        <v>15</v>
      </c>
      <c r="K70" s="459">
        <f t="shared" si="20"/>
        <v>27</v>
      </c>
      <c r="L70" s="459">
        <f t="shared" si="17"/>
        <v>0</v>
      </c>
      <c r="M70" s="460">
        <f t="shared" si="21"/>
        <v>27</v>
      </c>
      <c r="N70" s="112"/>
    </row>
    <row r="71" spans="1:14" s="5" customFormat="1" ht="13.2">
      <c r="A71" s="115" t="str">
        <f>Zones!C71</f>
        <v>Corridor Area</v>
      </c>
      <c r="B71" s="115" t="str">
        <f>Zones!B71</f>
        <v>Floor 2 Exam Hall 2</v>
      </c>
      <c r="C71" s="119">
        <f>Zones!K71</f>
        <v>1</v>
      </c>
      <c r="D71" s="119">
        <f>Zones!H71</f>
        <v>180</v>
      </c>
      <c r="E71" s="286">
        <v>15</v>
      </c>
      <c r="F71" s="286">
        <f t="shared" si="16"/>
        <v>0.15</v>
      </c>
      <c r="G71" s="107"/>
      <c r="H71" s="107"/>
      <c r="I71" s="457">
        <f t="shared" si="18"/>
        <v>0</v>
      </c>
      <c r="J71" s="458">
        <f t="shared" si="19"/>
        <v>15</v>
      </c>
      <c r="K71" s="459">
        <f t="shared" si="20"/>
        <v>27</v>
      </c>
      <c r="L71" s="459">
        <f t="shared" si="17"/>
        <v>0</v>
      </c>
      <c r="M71" s="460">
        <f t="shared" si="21"/>
        <v>27</v>
      </c>
      <c r="N71" s="112"/>
    </row>
    <row r="72" spans="1:14" s="5" customFormat="1" ht="13.2">
      <c r="A72" s="115" t="str">
        <f>Zones!C72</f>
        <v>Corridor Area</v>
      </c>
      <c r="B72" s="115" t="str">
        <f>Zones!B72</f>
        <v>Floor 2 Exam Hall 3</v>
      </c>
      <c r="C72" s="119">
        <f>Zones!K72</f>
        <v>1</v>
      </c>
      <c r="D72" s="119">
        <f>Zones!H72</f>
        <v>180</v>
      </c>
      <c r="E72" s="286">
        <v>15</v>
      </c>
      <c r="F72" s="286">
        <f t="shared" si="16"/>
        <v>0.15</v>
      </c>
      <c r="G72" s="107"/>
      <c r="H72" s="107"/>
      <c r="I72" s="457">
        <f t="shared" si="18"/>
        <v>0</v>
      </c>
      <c r="J72" s="458">
        <f t="shared" si="19"/>
        <v>15</v>
      </c>
      <c r="K72" s="459">
        <f t="shared" si="20"/>
        <v>27</v>
      </c>
      <c r="L72" s="459">
        <f t="shared" si="17"/>
        <v>0</v>
      </c>
      <c r="M72" s="460">
        <f t="shared" si="21"/>
        <v>27</v>
      </c>
      <c r="N72" s="112"/>
    </row>
    <row r="73" spans="1:14" s="5" customFormat="1" ht="13.2">
      <c r="A73" s="115" t="str">
        <f>Zones!C73</f>
        <v>Corridor Area</v>
      </c>
      <c r="B73" s="115" t="str">
        <f>Zones!B73</f>
        <v>Floor 2 Exam Hall 4</v>
      </c>
      <c r="C73" s="119">
        <f>Zones!K73</f>
        <v>1</v>
      </c>
      <c r="D73" s="119">
        <f>Zones!H73</f>
        <v>198</v>
      </c>
      <c r="E73" s="286">
        <v>15</v>
      </c>
      <c r="F73" s="286">
        <f t="shared" si="16"/>
        <v>0.15</v>
      </c>
      <c r="G73" s="107"/>
      <c r="H73" s="107"/>
      <c r="I73" s="457">
        <f t="shared" si="18"/>
        <v>0</v>
      </c>
      <c r="J73" s="458">
        <f t="shared" si="19"/>
        <v>15</v>
      </c>
      <c r="K73" s="459">
        <f t="shared" si="20"/>
        <v>29.7</v>
      </c>
      <c r="L73" s="459">
        <f t="shared" si="17"/>
        <v>0</v>
      </c>
      <c r="M73" s="460">
        <f t="shared" si="21"/>
        <v>29.7</v>
      </c>
      <c r="N73" s="112"/>
    </row>
    <row r="74" spans="1:14" s="5" customFormat="1" ht="13.2">
      <c r="A74" s="115" t="str">
        <f>Zones!C74</f>
        <v>Corridor Area</v>
      </c>
      <c r="B74" s="115" t="str">
        <f>Zones!B74</f>
        <v>Floor 2 Exam Hall 5</v>
      </c>
      <c r="C74" s="119">
        <f>Zones!K74</f>
        <v>1</v>
      </c>
      <c r="D74" s="119">
        <f>Zones!H74</f>
        <v>198</v>
      </c>
      <c r="E74" s="286">
        <v>15</v>
      </c>
      <c r="F74" s="286">
        <f t="shared" si="16"/>
        <v>0.15</v>
      </c>
      <c r="G74" s="107"/>
      <c r="H74" s="107"/>
      <c r="I74" s="457">
        <f t="shared" si="18"/>
        <v>0</v>
      </c>
      <c r="J74" s="458">
        <f t="shared" si="19"/>
        <v>15</v>
      </c>
      <c r="K74" s="459">
        <f t="shared" si="20"/>
        <v>29.7</v>
      </c>
      <c r="L74" s="459">
        <f t="shared" si="17"/>
        <v>0</v>
      </c>
      <c r="M74" s="460">
        <f t="shared" si="21"/>
        <v>29.7</v>
      </c>
      <c r="N74" s="112"/>
    </row>
    <row r="75" spans="1:14" s="5" customFormat="1" ht="13.2">
      <c r="A75" s="115" t="str">
        <f>Zones!C75</f>
        <v>Corridor Area</v>
      </c>
      <c r="B75" s="115" t="str">
        <f>Zones!B75</f>
        <v>Floor 2 Exam Hall 6</v>
      </c>
      <c r="C75" s="119">
        <f>Zones!K75</f>
        <v>1</v>
      </c>
      <c r="D75" s="119">
        <f>Zones!H75</f>
        <v>198</v>
      </c>
      <c r="E75" s="286">
        <v>15</v>
      </c>
      <c r="F75" s="286">
        <f t="shared" si="16"/>
        <v>0.15</v>
      </c>
      <c r="G75" s="107"/>
      <c r="H75" s="107"/>
      <c r="I75" s="457">
        <f t="shared" si="18"/>
        <v>0</v>
      </c>
      <c r="J75" s="458">
        <f t="shared" si="19"/>
        <v>15</v>
      </c>
      <c r="K75" s="459">
        <f t="shared" si="20"/>
        <v>29.7</v>
      </c>
      <c r="L75" s="459">
        <f t="shared" si="17"/>
        <v>0</v>
      </c>
      <c r="M75" s="460">
        <f t="shared" si="21"/>
        <v>29.7</v>
      </c>
      <c r="N75" s="112"/>
    </row>
    <row r="76" spans="1:14" s="5" customFormat="1" ht="13.2">
      <c r="A76" s="115" t="str">
        <f>Zones!C76</f>
        <v>Storage (General)</v>
      </c>
      <c r="B76" s="115" t="str">
        <f>Zones!B76</f>
        <v>Floor 2 Janitor</v>
      </c>
      <c r="C76" s="119">
        <f>Zones!K76</f>
        <v>0</v>
      </c>
      <c r="D76" s="119">
        <f>Zones!H76</f>
        <v>63</v>
      </c>
      <c r="E76" s="286">
        <v>15</v>
      </c>
      <c r="F76" s="286">
        <f t="shared" si="16"/>
        <v>0.15</v>
      </c>
      <c r="G76" s="107"/>
      <c r="H76" s="107"/>
      <c r="I76" s="457">
        <f t="shared" si="18"/>
        <v>0</v>
      </c>
      <c r="J76" s="458">
        <f t="shared" si="19"/>
        <v>0</v>
      </c>
      <c r="K76" s="459">
        <f t="shared" si="20"/>
        <v>9.4499999999999993</v>
      </c>
      <c r="L76" s="459">
        <f t="shared" si="17"/>
        <v>0</v>
      </c>
      <c r="M76" s="460">
        <f t="shared" si="21"/>
        <v>9.4499999999999993</v>
      </c>
      <c r="N76" s="112"/>
    </row>
    <row r="77" spans="1:14" s="5" customFormat="1" ht="13.2">
      <c r="A77" s="115" t="str">
        <f>Zones!C77</f>
        <v>Lounge, Breakroom, or Waiting Area</v>
      </c>
      <c r="B77" s="115" t="str">
        <f>Zones!B77</f>
        <v>Floor 2 Lounge</v>
      </c>
      <c r="C77" s="119">
        <f>Zones!K77</f>
        <v>3</v>
      </c>
      <c r="D77" s="119">
        <f>Zones!H77</f>
        <v>80</v>
      </c>
      <c r="E77" s="286">
        <v>15</v>
      </c>
      <c r="F77" s="286">
        <f t="shared" si="16"/>
        <v>0.15</v>
      </c>
      <c r="G77" s="107"/>
      <c r="H77" s="107"/>
      <c r="I77" s="457">
        <f t="shared" si="18"/>
        <v>0</v>
      </c>
      <c r="J77" s="458">
        <f t="shared" si="19"/>
        <v>45</v>
      </c>
      <c r="K77" s="459">
        <f t="shared" si="20"/>
        <v>12</v>
      </c>
      <c r="L77" s="459">
        <f t="shared" si="17"/>
        <v>0</v>
      </c>
      <c r="M77" s="460">
        <f t="shared" si="21"/>
        <v>45</v>
      </c>
      <c r="N77" s="112"/>
    </row>
    <row r="78" spans="1:14" s="5" customFormat="1" ht="13.2">
      <c r="A78" s="115" t="str">
        <f>Zones!C78</f>
        <v>Healthcare Facility and Hospitals (Nurse's Station)</v>
      </c>
      <c r="B78" s="115" t="str">
        <f>Zones!B78</f>
        <v>Floor 2 Nurse Station 1</v>
      </c>
      <c r="C78" s="119">
        <f>Zones!K78</f>
        <v>1</v>
      </c>
      <c r="D78" s="119">
        <f>Zones!H78</f>
        <v>150</v>
      </c>
      <c r="E78" s="286">
        <v>15</v>
      </c>
      <c r="F78" s="286" t="str">
        <f t="shared" si="16"/>
        <v>n/a</v>
      </c>
      <c r="G78" s="107"/>
      <c r="H78" s="107"/>
      <c r="I78" s="457">
        <f t="shared" si="18"/>
        <v>0.33333333333333331</v>
      </c>
      <c r="J78" s="458">
        <f t="shared" si="19"/>
        <v>15</v>
      </c>
      <c r="K78" s="459">
        <f t="shared" si="20"/>
        <v>50</v>
      </c>
      <c r="L78" s="459">
        <f t="shared" si="17"/>
        <v>0</v>
      </c>
      <c r="M78" s="460">
        <f t="shared" si="21"/>
        <v>50</v>
      </c>
      <c r="N78" s="112"/>
    </row>
    <row r="79" spans="1:14" s="5" customFormat="1" ht="13.2">
      <c r="A79" s="115" t="str">
        <f>Zones!C79</f>
        <v>Healthcare Facility and Hospitals (Nurse's Station)</v>
      </c>
      <c r="B79" s="115" t="str">
        <f>Zones!B79</f>
        <v>Floor 2 Nurse Station 2</v>
      </c>
      <c r="C79" s="119">
        <f>Zones!K79</f>
        <v>1</v>
      </c>
      <c r="D79" s="119">
        <f>Zones!H79</f>
        <v>180</v>
      </c>
      <c r="E79" s="286">
        <v>15</v>
      </c>
      <c r="F79" s="286" t="str">
        <f t="shared" si="16"/>
        <v>n/a</v>
      </c>
      <c r="G79" s="107"/>
      <c r="H79" s="107"/>
      <c r="I79" s="457">
        <f t="shared" si="18"/>
        <v>0.33333333333333331</v>
      </c>
      <c r="J79" s="458">
        <f t="shared" si="19"/>
        <v>15</v>
      </c>
      <c r="K79" s="459">
        <f t="shared" si="20"/>
        <v>60</v>
      </c>
      <c r="L79" s="459">
        <f t="shared" si="17"/>
        <v>0</v>
      </c>
      <c r="M79" s="460">
        <f t="shared" si="21"/>
        <v>60</v>
      </c>
      <c r="N79" s="112"/>
    </row>
    <row r="80" spans="1:14" s="5" customFormat="1" ht="13.2">
      <c r="A80" s="115" t="str">
        <f>Zones!C80</f>
        <v>Office Area (&gt;250 square feet)</v>
      </c>
      <c r="B80" s="115" t="str">
        <f>Zones!B80</f>
        <v>Floor 2 Office</v>
      </c>
      <c r="C80" s="119">
        <f>Zones!K80</f>
        <v>2.8</v>
      </c>
      <c r="D80" s="119">
        <f>Zones!H80</f>
        <v>560</v>
      </c>
      <c r="E80" s="286">
        <v>15</v>
      </c>
      <c r="F80" s="286">
        <f t="shared" si="16"/>
        <v>0.15</v>
      </c>
      <c r="G80" s="107"/>
      <c r="H80" s="107"/>
      <c r="I80" s="457">
        <f t="shared" si="18"/>
        <v>0</v>
      </c>
      <c r="J80" s="458">
        <f t="shared" si="19"/>
        <v>42</v>
      </c>
      <c r="K80" s="459">
        <f t="shared" si="20"/>
        <v>84</v>
      </c>
      <c r="L80" s="459">
        <f t="shared" si="17"/>
        <v>0</v>
      </c>
      <c r="M80" s="460">
        <f t="shared" si="21"/>
        <v>84</v>
      </c>
      <c r="N80" s="112"/>
    </row>
    <row r="81" spans="1:15" s="5" customFormat="1" ht="13.2">
      <c r="A81" s="115" t="str">
        <f>Zones!C81</f>
        <v>Corridor Area</v>
      </c>
      <c r="B81" s="115" t="str">
        <f>Zones!B81</f>
        <v>Floor 2 Office Hall</v>
      </c>
      <c r="C81" s="119">
        <f>Zones!K81</f>
        <v>2</v>
      </c>
      <c r="D81" s="119">
        <f>Zones!H81</f>
        <v>444</v>
      </c>
      <c r="E81" s="286">
        <v>15</v>
      </c>
      <c r="F81" s="286">
        <f t="shared" si="16"/>
        <v>0.15</v>
      </c>
      <c r="G81" s="107"/>
      <c r="H81" s="107"/>
      <c r="I81" s="457">
        <f t="shared" si="18"/>
        <v>0</v>
      </c>
      <c r="J81" s="458">
        <f t="shared" si="19"/>
        <v>30</v>
      </c>
      <c r="K81" s="459">
        <f t="shared" si="20"/>
        <v>66.599999999999994</v>
      </c>
      <c r="L81" s="459">
        <f t="shared" si="17"/>
        <v>0</v>
      </c>
      <c r="M81" s="460">
        <f t="shared" si="21"/>
        <v>66.599999999999994</v>
      </c>
      <c r="N81" s="112"/>
    </row>
    <row r="82" spans="1:15" s="5" customFormat="1" ht="13.2">
      <c r="A82" s="115" t="str">
        <f>Zones!C82</f>
        <v>Reception area</v>
      </c>
      <c r="B82" s="115" t="str">
        <f>Zones!B82</f>
        <v>Floor 2 Reception</v>
      </c>
      <c r="C82" s="119">
        <f>Zones!K82</f>
        <v>4.92</v>
      </c>
      <c r="D82" s="119">
        <f>Zones!H82</f>
        <v>984</v>
      </c>
      <c r="E82" s="286">
        <v>15</v>
      </c>
      <c r="F82" s="286">
        <f t="shared" si="16"/>
        <v>0.15</v>
      </c>
      <c r="G82" s="107"/>
      <c r="H82" s="107"/>
      <c r="I82" s="457">
        <f t="shared" si="18"/>
        <v>0</v>
      </c>
      <c r="J82" s="458">
        <f t="shared" si="19"/>
        <v>73.8</v>
      </c>
      <c r="K82" s="459">
        <f t="shared" si="20"/>
        <v>147.6</v>
      </c>
      <c r="L82" s="459">
        <f t="shared" si="17"/>
        <v>0</v>
      </c>
      <c r="M82" s="460">
        <f t="shared" si="21"/>
        <v>147.6</v>
      </c>
      <c r="N82" s="112"/>
    </row>
    <row r="83" spans="1:15" s="5" customFormat="1" ht="13.2">
      <c r="A83" s="115" t="str">
        <f>Zones!C83</f>
        <v>Corridor Area</v>
      </c>
      <c r="B83" s="115" t="str">
        <f>Zones!B83</f>
        <v>Floor 2 Reception Hall</v>
      </c>
      <c r="C83" s="119">
        <f>Zones!K83</f>
        <v>3</v>
      </c>
      <c r="D83" s="119">
        <f>Zones!H83</f>
        <v>564</v>
      </c>
      <c r="E83" s="286">
        <v>15</v>
      </c>
      <c r="F83" s="286">
        <f t="shared" si="16"/>
        <v>0.15</v>
      </c>
      <c r="G83" s="107"/>
      <c r="H83" s="107"/>
      <c r="I83" s="457">
        <f t="shared" si="18"/>
        <v>0</v>
      </c>
      <c r="J83" s="458">
        <f t="shared" si="19"/>
        <v>45</v>
      </c>
      <c r="K83" s="459">
        <f t="shared" si="20"/>
        <v>84.6</v>
      </c>
      <c r="L83" s="459">
        <f t="shared" si="17"/>
        <v>0</v>
      </c>
      <c r="M83" s="460">
        <f t="shared" si="21"/>
        <v>84.6</v>
      </c>
      <c r="N83" s="112"/>
    </row>
    <row r="84" spans="1:15" s="5" customFormat="1" ht="13.2">
      <c r="A84" s="115" t="str">
        <f>Zones!C84</f>
        <v>Restrooms</v>
      </c>
      <c r="B84" s="115" t="str">
        <f>Zones!B84</f>
        <v>Floor 2 Reception Toilet</v>
      </c>
      <c r="C84" s="119">
        <f>Zones!K84</f>
        <v>1</v>
      </c>
      <c r="D84" s="119">
        <f>Zones!H84</f>
        <v>126</v>
      </c>
      <c r="E84" s="286">
        <v>15</v>
      </c>
      <c r="F84" s="286" t="str">
        <f>VLOOKUP(A11,A$175:E$197,5,FALSE)</f>
        <v>n/a</v>
      </c>
      <c r="G84" s="107"/>
      <c r="H84" s="119">
        <f>3*50</f>
        <v>150</v>
      </c>
      <c r="I84" s="457">
        <f t="shared" si="18"/>
        <v>0</v>
      </c>
      <c r="J84" s="458">
        <f t="shared" si="19"/>
        <v>15</v>
      </c>
      <c r="K84" s="459">
        <f t="shared" si="20"/>
        <v>0</v>
      </c>
      <c r="L84" s="459">
        <f>H84</f>
        <v>150</v>
      </c>
      <c r="M84" s="460">
        <f t="shared" si="21"/>
        <v>150</v>
      </c>
      <c r="N84" s="112" t="s">
        <v>428</v>
      </c>
    </row>
    <row r="85" spans="1:15" s="5" customFormat="1" ht="13.2">
      <c r="A85" s="115" t="str">
        <f>Zones!C85</f>
        <v>Office Area (&gt;250 square feet)</v>
      </c>
      <c r="B85" s="115" t="str">
        <f>Zones!B85</f>
        <v>Floor 2 Scheduling 1</v>
      </c>
      <c r="C85" s="119">
        <f>Zones!K85</f>
        <v>1.62</v>
      </c>
      <c r="D85" s="119">
        <f>Zones!H85</f>
        <v>324</v>
      </c>
      <c r="E85" s="286">
        <v>15</v>
      </c>
      <c r="F85" s="286">
        <f t="shared" ref="F85:F92" si="22">VLOOKUP(A85,A$175:E$197,5,FALSE)</f>
        <v>0.15</v>
      </c>
      <c r="G85" s="107"/>
      <c r="H85" s="107"/>
      <c r="I85" s="457">
        <f t="shared" si="18"/>
        <v>0</v>
      </c>
      <c r="J85" s="458">
        <f t="shared" si="19"/>
        <v>24.3</v>
      </c>
      <c r="K85" s="459">
        <f t="shared" si="20"/>
        <v>48.6</v>
      </c>
      <c r="L85" s="459">
        <f t="shared" ref="L85:L92" si="23">H85*D85</f>
        <v>0</v>
      </c>
      <c r="M85" s="460">
        <f t="shared" si="21"/>
        <v>48.6</v>
      </c>
      <c r="N85" s="112"/>
    </row>
    <row r="86" spans="1:15" s="5" customFormat="1" ht="13.2">
      <c r="A86" s="115" t="str">
        <f>Zones!C86</f>
        <v>Office Area (&gt;250 square feet)</v>
      </c>
      <c r="B86" s="115" t="str">
        <f>Zones!B86</f>
        <v>Floor 2 Scheduling 2</v>
      </c>
      <c r="C86" s="119">
        <f>Zones!K86</f>
        <v>1.71</v>
      </c>
      <c r="D86" s="119">
        <f>Zones!H86</f>
        <v>342</v>
      </c>
      <c r="E86" s="286">
        <v>15</v>
      </c>
      <c r="F86" s="286">
        <f t="shared" si="22"/>
        <v>0.15</v>
      </c>
      <c r="G86" s="107"/>
      <c r="H86" s="107"/>
      <c r="I86" s="457">
        <f t="shared" si="18"/>
        <v>0</v>
      </c>
      <c r="J86" s="458">
        <f t="shared" si="19"/>
        <v>25.65</v>
      </c>
      <c r="K86" s="459">
        <f t="shared" si="20"/>
        <v>51.3</v>
      </c>
      <c r="L86" s="459">
        <f t="shared" si="23"/>
        <v>0</v>
      </c>
      <c r="M86" s="460">
        <f t="shared" si="21"/>
        <v>51.3</v>
      </c>
      <c r="N86" s="112"/>
    </row>
    <row r="87" spans="1:15" s="5" customFormat="1" ht="13.2">
      <c r="A87" s="115" t="str">
        <f>Zones!C87</f>
        <v>Storage (General)</v>
      </c>
      <c r="B87" s="115" t="str">
        <f>Zones!B87</f>
        <v>Floor 2 Storage 1</v>
      </c>
      <c r="C87" s="119">
        <f>Zones!K87</f>
        <v>0</v>
      </c>
      <c r="D87" s="119">
        <f>Zones!H87</f>
        <v>56</v>
      </c>
      <c r="E87" s="286">
        <v>15</v>
      </c>
      <c r="F87" s="286">
        <f t="shared" si="22"/>
        <v>0.15</v>
      </c>
      <c r="G87" s="107"/>
      <c r="H87" s="107"/>
      <c r="I87" s="457">
        <f t="shared" si="18"/>
        <v>0</v>
      </c>
      <c r="J87" s="458">
        <f t="shared" si="19"/>
        <v>0</v>
      </c>
      <c r="K87" s="459">
        <f t="shared" si="20"/>
        <v>8.4</v>
      </c>
      <c r="L87" s="459">
        <f t="shared" si="23"/>
        <v>0</v>
      </c>
      <c r="M87" s="460">
        <f t="shared" si="21"/>
        <v>8.4</v>
      </c>
      <c r="N87" s="112"/>
    </row>
    <row r="88" spans="1:15" s="5" customFormat="1" ht="13.2">
      <c r="A88" s="115" t="str">
        <f>Zones!C88</f>
        <v>Storage (General)</v>
      </c>
      <c r="B88" s="115" t="str">
        <f>Zones!B88</f>
        <v>Floor 2 Storage 2</v>
      </c>
      <c r="C88" s="119">
        <f>Zones!K88</f>
        <v>0</v>
      </c>
      <c r="D88" s="119">
        <f>Zones!H88</f>
        <v>120</v>
      </c>
      <c r="E88" s="286">
        <v>15</v>
      </c>
      <c r="F88" s="286">
        <f t="shared" si="22"/>
        <v>0.15</v>
      </c>
      <c r="G88" s="107"/>
      <c r="H88" s="107"/>
      <c r="I88" s="457">
        <f t="shared" si="18"/>
        <v>0</v>
      </c>
      <c r="J88" s="458">
        <f t="shared" si="19"/>
        <v>0</v>
      </c>
      <c r="K88" s="459">
        <f t="shared" si="20"/>
        <v>18</v>
      </c>
      <c r="L88" s="459">
        <f t="shared" si="23"/>
        <v>0</v>
      </c>
      <c r="M88" s="460">
        <f t="shared" si="21"/>
        <v>18</v>
      </c>
      <c r="N88" s="112"/>
    </row>
    <row r="89" spans="1:15" s="5" customFormat="1" ht="13.2">
      <c r="A89" s="115" t="str">
        <f>Zones!C89</f>
        <v>Storage (General)</v>
      </c>
      <c r="B89" s="115" t="str">
        <f>Zones!B89</f>
        <v>Floor 2 Storage 3</v>
      </c>
      <c r="C89" s="119">
        <f>Zones!K89</f>
        <v>0</v>
      </c>
      <c r="D89" s="119">
        <f>Zones!H89</f>
        <v>144</v>
      </c>
      <c r="E89" s="286">
        <v>15</v>
      </c>
      <c r="F89" s="286">
        <f t="shared" si="22"/>
        <v>0.15</v>
      </c>
      <c r="G89" s="107"/>
      <c r="H89" s="107"/>
      <c r="I89" s="457">
        <f t="shared" si="18"/>
        <v>0</v>
      </c>
      <c r="J89" s="458">
        <f t="shared" si="19"/>
        <v>0</v>
      </c>
      <c r="K89" s="459">
        <f t="shared" si="20"/>
        <v>21.599999999999998</v>
      </c>
      <c r="L89" s="459">
        <f t="shared" si="23"/>
        <v>0</v>
      </c>
      <c r="M89" s="460">
        <f t="shared" si="21"/>
        <v>21.599999999999998</v>
      </c>
      <c r="N89" s="112"/>
    </row>
    <row r="90" spans="1:15" s="5" customFormat="1" ht="13.2">
      <c r="A90" s="115" t="str">
        <f>Zones!C90</f>
        <v>Storage (General)</v>
      </c>
      <c r="B90" s="115" t="str">
        <f>Zones!B90</f>
        <v>Floor 2 Utility</v>
      </c>
      <c r="C90" s="119">
        <f>Zones!K90</f>
        <v>0</v>
      </c>
      <c r="D90" s="119">
        <f>Zones!H90</f>
        <v>126</v>
      </c>
      <c r="E90" s="286">
        <v>15</v>
      </c>
      <c r="F90" s="286">
        <f t="shared" si="22"/>
        <v>0.15</v>
      </c>
      <c r="G90" s="107"/>
      <c r="H90" s="107"/>
      <c r="I90" s="457">
        <f t="shared" si="18"/>
        <v>0</v>
      </c>
      <c r="J90" s="458">
        <f t="shared" si="19"/>
        <v>0</v>
      </c>
      <c r="K90" s="459">
        <f t="shared" si="20"/>
        <v>18.899999999999999</v>
      </c>
      <c r="L90" s="459">
        <f t="shared" si="23"/>
        <v>0</v>
      </c>
      <c r="M90" s="460">
        <f t="shared" si="21"/>
        <v>18.899999999999999</v>
      </c>
      <c r="N90" s="112"/>
    </row>
    <row r="91" spans="1:15" s="5" customFormat="1" ht="13.2">
      <c r="A91" s="115" t="str">
        <f>Zones!C91</f>
        <v>Office Area (&gt;250 square feet)</v>
      </c>
      <c r="B91" s="115" t="str">
        <f>Zones!B91</f>
        <v>Floor 2 Work</v>
      </c>
      <c r="C91" s="119">
        <f>Zones!K91</f>
        <v>8.4499999999999993</v>
      </c>
      <c r="D91" s="119">
        <f>Zones!H91</f>
        <v>1690</v>
      </c>
      <c r="E91" s="286">
        <v>15</v>
      </c>
      <c r="F91" s="286">
        <f t="shared" si="22"/>
        <v>0.15</v>
      </c>
      <c r="G91" s="107"/>
      <c r="H91" s="107"/>
      <c r="I91" s="457">
        <f t="shared" si="18"/>
        <v>0</v>
      </c>
      <c r="J91" s="458">
        <f t="shared" si="19"/>
        <v>126.74999999999999</v>
      </c>
      <c r="K91" s="459">
        <f t="shared" si="20"/>
        <v>253.5</v>
      </c>
      <c r="L91" s="459">
        <f t="shared" si="23"/>
        <v>0</v>
      </c>
      <c r="M91" s="460">
        <f t="shared" si="21"/>
        <v>253.5</v>
      </c>
      <c r="N91" s="112"/>
    </row>
    <row r="92" spans="1:15" s="5" customFormat="1" ht="13.2">
      <c r="A92" s="115" t="str">
        <f>Zones!C92</f>
        <v>Corridor Area</v>
      </c>
      <c r="B92" s="115" t="str">
        <f>Zones!B92</f>
        <v>Floor 2 Work Hall</v>
      </c>
      <c r="C92" s="119">
        <f>Zones!K92</f>
        <v>4</v>
      </c>
      <c r="D92" s="119">
        <f>Zones!H92</f>
        <v>834</v>
      </c>
      <c r="E92" s="286">
        <v>15</v>
      </c>
      <c r="F92" s="286">
        <f t="shared" si="22"/>
        <v>0.15</v>
      </c>
      <c r="G92" s="107"/>
      <c r="H92" s="107"/>
      <c r="I92" s="457">
        <f t="shared" si="18"/>
        <v>0</v>
      </c>
      <c r="J92" s="458">
        <f t="shared" si="19"/>
        <v>60</v>
      </c>
      <c r="K92" s="459">
        <f t="shared" si="20"/>
        <v>125.1</v>
      </c>
      <c r="L92" s="459">
        <f t="shared" si="23"/>
        <v>0</v>
      </c>
      <c r="M92" s="460">
        <f t="shared" si="21"/>
        <v>125.1</v>
      </c>
      <c r="N92" s="112"/>
    </row>
    <row r="93" spans="1:15" s="5" customFormat="1" ht="13.2">
      <c r="A93" s="115" t="str">
        <f>Zones!C93</f>
        <v>Restrooms</v>
      </c>
      <c r="B93" s="115" t="str">
        <f>Zones!B93</f>
        <v>Floor 2 Work Toilet</v>
      </c>
      <c r="C93" s="119">
        <f>Zones!K93</f>
        <v>0</v>
      </c>
      <c r="D93" s="119">
        <f>Zones!H93</f>
        <v>54</v>
      </c>
      <c r="E93" s="286">
        <v>15</v>
      </c>
      <c r="F93" s="286" t="str">
        <f>VLOOKUP(A11,A$175:E$197,5,FALSE)</f>
        <v>n/a</v>
      </c>
      <c r="G93" s="107"/>
      <c r="H93" s="119">
        <v>50</v>
      </c>
      <c r="I93" s="457">
        <f t="shared" si="18"/>
        <v>0</v>
      </c>
      <c r="J93" s="458">
        <f t="shared" si="19"/>
        <v>0</v>
      </c>
      <c r="K93" s="459">
        <f t="shared" si="20"/>
        <v>0</v>
      </c>
      <c r="L93" s="459">
        <f>H93</f>
        <v>50</v>
      </c>
      <c r="M93" s="460">
        <f t="shared" si="21"/>
        <v>50</v>
      </c>
      <c r="N93" s="112" t="s">
        <v>428</v>
      </c>
    </row>
    <row r="94" spans="1:15" s="5" customFormat="1" ht="39.6">
      <c r="A94" s="115" t="str">
        <f>Zones!C94</f>
        <v>Healthcare Facility and Hospitals (Imaging Room)</v>
      </c>
      <c r="B94" s="115" t="str">
        <f>Zones!B94</f>
        <v>Floor 2 X-Ray</v>
      </c>
      <c r="C94" s="119">
        <f>Zones!K94</f>
        <v>5</v>
      </c>
      <c r="D94" s="119">
        <f>Zones!H94</f>
        <v>900</v>
      </c>
      <c r="E94" s="286">
        <v>15</v>
      </c>
      <c r="F94" s="286" t="str">
        <f t="shared" ref="F94:F100" si="24">VLOOKUP(A94,A$175:E$197,5,FALSE)</f>
        <v>n/a</v>
      </c>
      <c r="G94" s="425">
        <v>2.02</v>
      </c>
      <c r="H94" s="425"/>
      <c r="I94" s="457">
        <f t="shared" si="18"/>
        <v>0.33333333333333331</v>
      </c>
      <c r="J94" s="458">
        <f t="shared" si="19"/>
        <v>75</v>
      </c>
      <c r="K94" s="459">
        <f t="shared" si="20"/>
        <v>300</v>
      </c>
      <c r="L94" s="459">
        <f>G94*D94</f>
        <v>1818</v>
      </c>
      <c r="M94" s="460">
        <f t="shared" si="21"/>
        <v>1818</v>
      </c>
      <c r="N94" s="389" t="s">
        <v>427</v>
      </c>
      <c r="O94" s="60"/>
    </row>
    <row r="95" spans="1:15" s="5" customFormat="1" ht="13.2">
      <c r="A95" s="115" t="str">
        <f>Zones!C95</f>
        <v>Office Area (&lt;250 square feet)</v>
      </c>
      <c r="B95" s="115" t="str">
        <f>Zones!B95</f>
        <v>Floor 3 Dressing Room</v>
      </c>
      <c r="C95" s="119">
        <f>Zones!K95</f>
        <v>0.21</v>
      </c>
      <c r="D95" s="119">
        <f>Zones!H95</f>
        <v>42</v>
      </c>
      <c r="E95" s="286">
        <v>15</v>
      </c>
      <c r="F95" s="286">
        <f t="shared" si="24"/>
        <v>0.15</v>
      </c>
      <c r="G95" s="107"/>
      <c r="H95" s="107"/>
      <c r="I95" s="457">
        <f t="shared" si="18"/>
        <v>0</v>
      </c>
      <c r="J95" s="458">
        <f t="shared" si="19"/>
        <v>3.15</v>
      </c>
      <c r="K95" s="459">
        <f t="shared" si="20"/>
        <v>6.3</v>
      </c>
      <c r="L95" s="459">
        <f t="shared" ref="L95:L100" si="25">H95*D95</f>
        <v>0</v>
      </c>
      <c r="M95" s="460">
        <f t="shared" si="21"/>
        <v>6.3</v>
      </c>
      <c r="N95" s="112"/>
    </row>
    <row r="96" spans="1:15" s="5" customFormat="1" ht="13.2">
      <c r="A96" s="115" t="str">
        <f>Zones!C96</f>
        <v>Corridor Area</v>
      </c>
      <c r="B96" s="115" t="str">
        <f>Zones!B96</f>
        <v>Floor 3 Elevator Hall</v>
      </c>
      <c r="C96" s="119">
        <f>Zones!K96</f>
        <v>2</v>
      </c>
      <c r="D96" s="119">
        <f>Zones!H96</f>
        <v>370</v>
      </c>
      <c r="E96" s="286">
        <v>15</v>
      </c>
      <c r="F96" s="286">
        <f t="shared" si="24"/>
        <v>0.15</v>
      </c>
      <c r="G96" s="107"/>
      <c r="H96" s="107"/>
      <c r="I96" s="457">
        <f t="shared" si="18"/>
        <v>0</v>
      </c>
      <c r="J96" s="458">
        <f t="shared" si="19"/>
        <v>30</v>
      </c>
      <c r="K96" s="459">
        <f t="shared" si="20"/>
        <v>55.5</v>
      </c>
      <c r="L96" s="459">
        <f t="shared" si="25"/>
        <v>0</v>
      </c>
      <c r="M96" s="460">
        <f t="shared" si="21"/>
        <v>55.5</v>
      </c>
      <c r="N96" s="112"/>
    </row>
    <row r="97" spans="1:14" s="5" customFormat="1" ht="13.2">
      <c r="A97" s="115" t="str">
        <f>Zones!C97</f>
        <v>Office Area (&lt;250 square feet)</v>
      </c>
      <c r="B97" s="115" t="str">
        <f>Zones!B97</f>
        <v>Floor 3 Humid</v>
      </c>
      <c r="C97" s="119">
        <f>Zones!K97</f>
        <v>0.54</v>
      </c>
      <c r="D97" s="119">
        <f>Zones!H97</f>
        <v>108</v>
      </c>
      <c r="E97" s="286">
        <v>15</v>
      </c>
      <c r="F97" s="286">
        <f t="shared" si="24"/>
        <v>0.15</v>
      </c>
      <c r="G97" s="107"/>
      <c r="H97" s="107"/>
      <c r="I97" s="457">
        <f t="shared" si="18"/>
        <v>0</v>
      </c>
      <c r="J97" s="458">
        <f t="shared" si="19"/>
        <v>8.1000000000000014</v>
      </c>
      <c r="K97" s="459">
        <f t="shared" si="20"/>
        <v>16.2</v>
      </c>
      <c r="L97" s="459">
        <f t="shared" si="25"/>
        <v>0</v>
      </c>
      <c r="M97" s="460">
        <f t="shared" si="21"/>
        <v>16.2</v>
      </c>
      <c r="N97" s="112"/>
    </row>
    <row r="98" spans="1:14" s="5" customFormat="1" ht="13.2">
      <c r="A98" s="115" t="str">
        <f>Zones!C98</f>
        <v>Storage (General)</v>
      </c>
      <c r="B98" s="115" t="str">
        <f>Zones!B98</f>
        <v>Floor 3 Janitor</v>
      </c>
      <c r="C98" s="119">
        <f>Zones!K98</f>
        <v>0</v>
      </c>
      <c r="D98" s="119">
        <f>Zones!H98</f>
        <v>63</v>
      </c>
      <c r="E98" s="286">
        <v>15</v>
      </c>
      <c r="F98" s="286">
        <f t="shared" si="24"/>
        <v>0.15</v>
      </c>
      <c r="G98" s="107"/>
      <c r="H98" s="107"/>
      <c r="I98" s="457">
        <f t="shared" si="18"/>
        <v>0</v>
      </c>
      <c r="J98" s="458">
        <f t="shared" si="19"/>
        <v>0</v>
      </c>
      <c r="K98" s="459">
        <f t="shared" si="20"/>
        <v>9.4499999999999993</v>
      </c>
      <c r="L98" s="459">
        <f t="shared" si="25"/>
        <v>0</v>
      </c>
      <c r="M98" s="460">
        <f t="shared" si="21"/>
        <v>9.4499999999999993</v>
      </c>
      <c r="N98" s="112"/>
    </row>
    <row r="99" spans="1:14" s="5" customFormat="1" ht="13.2">
      <c r="A99" s="115" t="str">
        <f>Zones!C99</f>
        <v>Locker Room</v>
      </c>
      <c r="B99" s="115" t="str">
        <f>Zones!B99</f>
        <v>Floor 3 Locker</v>
      </c>
      <c r="C99" s="119">
        <f>Zones!K99</f>
        <v>1</v>
      </c>
      <c r="D99" s="119">
        <f>Zones!H99</f>
        <v>120</v>
      </c>
      <c r="E99" s="286">
        <v>15</v>
      </c>
      <c r="F99" s="286" t="str">
        <f t="shared" si="24"/>
        <v>n/a</v>
      </c>
      <c r="G99" s="120">
        <v>0.25</v>
      </c>
      <c r="H99" s="120"/>
      <c r="I99" s="457">
        <f t="shared" ref="I99:I117" si="26">VLOOKUP(A99,A$175:H$197,8,FALSE)</f>
        <v>0</v>
      </c>
      <c r="J99" s="458">
        <f t="shared" ref="J99:J117" si="27">E99*C99</f>
        <v>15</v>
      </c>
      <c r="K99" s="459">
        <f t="shared" ref="K99:K117" si="28">IF(F99="n/a",D99*I99,F99*D99)</f>
        <v>0</v>
      </c>
      <c r="L99" s="459">
        <f>G99*D99</f>
        <v>30</v>
      </c>
      <c r="M99" s="460">
        <f t="shared" si="21"/>
        <v>30</v>
      </c>
      <c r="N99" s="112"/>
    </row>
    <row r="100" spans="1:14" s="5" customFormat="1" ht="13.2">
      <c r="A100" s="115" t="str">
        <f>Zones!C100</f>
        <v>Lounge, Breakroom, or Waiting Area</v>
      </c>
      <c r="B100" s="115" t="str">
        <f>Zones!B100</f>
        <v>Floor 3 Lounge</v>
      </c>
      <c r="C100" s="119">
        <f>Zones!K100</f>
        <v>25</v>
      </c>
      <c r="D100" s="119">
        <f>Zones!H100</f>
        <v>759</v>
      </c>
      <c r="E100" s="286">
        <v>15</v>
      </c>
      <c r="F100" s="286">
        <f t="shared" si="24"/>
        <v>0.15</v>
      </c>
      <c r="G100" s="107"/>
      <c r="H100" s="107"/>
      <c r="I100" s="457">
        <f t="shared" si="26"/>
        <v>0</v>
      </c>
      <c r="J100" s="458">
        <f t="shared" si="27"/>
        <v>375</v>
      </c>
      <c r="K100" s="459">
        <f t="shared" si="28"/>
        <v>113.85</v>
      </c>
      <c r="L100" s="459">
        <f t="shared" si="25"/>
        <v>0</v>
      </c>
      <c r="M100" s="460">
        <f t="shared" si="21"/>
        <v>375</v>
      </c>
      <c r="N100" s="112"/>
    </row>
    <row r="101" spans="1:14" s="5" customFormat="1" ht="13.2">
      <c r="A101" s="115" t="str">
        <f>Zones!C101</f>
        <v>Restrooms</v>
      </c>
      <c r="B101" s="115" t="str">
        <f>Zones!B101</f>
        <v>Floor 3 Lounge Toilet</v>
      </c>
      <c r="C101" s="119">
        <f>Zones!K101</f>
        <v>1</v>
      </c>
      <c r="D101" s="119">
        <f>Zones!H101</f>
        <v>192</v>
      </c>
      <c r="E101" s="286">
        <v>15</v>
      </c>
      <c r="F101" s="286" t="str">
        <f>VLOOKUP(A11,A$175:E$197,5,FALSE)</f>
        <v>n/a</v>
      </c>
      <c r="G101" s="107"/>
      <c r="H101" s="119">
        <f>4*50</f>
        <v>200</v>
      </c>
      <c r="I101" s="457">
        <f t="shared" si="26"/>
        <v>0</v>
      </c>
      <c r="J101" s="458">
        <f t="shared" si="27"/>
        <v>15</v>
      </c>
      <c r="K101" s="459">
        <f t="shared" si="28"/>
        <v>0</v>
      </c>
      <c r="L101" s="459">
        <f>H101</f>
        <v>200</v>
      </c>
      <c r="M101" s="460">
        <f t="shared" si="21"/>
        <v>200</v>
      </c>
      <c r="N101" s="112" t="s">
        <v>428</v>
      </c>
    </row>
    <row r="102" spans="1:14" s="5" customFormat="1" ht="13.2">
      <c r="A102" s="115" t="str">
        <f>Zones!C102</f>
        <v>Electrical, Mechanical, Telephone Rooms</v>
      </c>
      <c r="B102" s="115" t="str">
        <f>Zones!B102</f>
        <v>Floor 3 Mechanical</v>
      </c>
      <c r="C102" s="119">
        <f>Zones!K102</f>
        <v>1</v>
      </c>
      <c r="D102" s="119">
        <f>Zones!H102</f>
        <v>350</v>
      </c>
      <c r="E102" s="286">
        <v>15</v>
      </c>
      <c r="F102" s="286" t="str">
        <f>VLOOKUP(A102,A$175:E$197,5,FALSE)</f>
        <v>n/a</v>
      </c>
      <c r="G102" s="107"/>
      <c r="H102" s="107"/>
      <c r="I102" s="457">
        <f t="shared" si="26"/>
        <v>0</v>
      </c>
      <c r="J102" s="458">
        <f t="shared" si="27"/>
        <v>15</v>
      </c>
      <c r="K102" s="459">
        <f t="shared" si="28"/>
        <v>0</v>
      </c>
      <c r="L102" s="459">
        <f>H102*D102</f>
        <v>0</v>
      </c>
      <c r="M102" s="460">
        <f t="shared" si="21"/>
        <v>15</v>
      </c>
      <c r="N102" s="112"/>
    </row>
    <row r="103" spans="1:14" s="5" customFormat="1" ht="13.2">
      <c r="A103" s="115" t="str">
        <f>Zones!C103</f>
        <v>Corridor Area</v>
      </c>
      <c r="B103" s="115" t="str">
        <f>Zones!B103</f>
        <v>Floor 3 Mechanical Hall</v>
      </c>
      <c r="C103" s="119">
        <f>Zones!K103</f>
        <v>2</v>
      </c>
      <c r="D103" s="119">
        <f>Zones!H103</f>
        <v>300</v>
      </c>
      <c r="E103" s="286">
        <v>15</v>
      </c>
      <c r="F103" s="286">
        <f>VLOOKUP(A103,A$175:E$197,5,FALSE)</f>
        <v>0.15</v>
      </c>
      <c r="G103" s="107"/>
      <c r="H103" s="107"/>
      <c r="I103" s="457">
        <f t="shared" si="26"/>
        <v>0</v>
      </c>
      <c r="J103" s="458">
        <f t="shared" si="27"/>
        <v>30</v>
      </c>
      <c r="K103" s="459">
        <f t="shared" si="28"/>
        <v>45</v>
      </c>
      <c r="L103" s="459">
        <f>H103*D103</f>
        <v>0</v>
      </c>
      <c r="M103" s="460">
        <f t="shared" si="21"/>
        <v>45</v>
      </c>
      <c r="N103" s="112"/>
    </row>
    <row r="104" spans="1:14" s="5" customFormat="1" ht="13.2">
      <c r="A104" s="115" t="str">
        <f>Zones!C104</f>
        <v>Office Area (&gt;250 square feet)</v>
      </c>
      <c r="B104" s="115" t="str">
        <f>Zones!B104</f>
        <v>Floor 3 Office</v>
      </c>
      <c r="C104" s="119">
        <f>Zones!K104</f>
        <v>15.18</v>
      </c>
      <c r="D104" s="119">
        <f>Zones!H104</f>
        <v>3036</v>
      </c>
      <c r="E104" s="286">
        <v>15</v>
      </c>
      <c r="F104" s="286">
        <f>VLOOKUP(A104,A$175:E$197,5,FALSE)</f>
        <v>0.15</v>
      </c>
      <c r="G104" s="107"/>
      <c r="H104" s="107"/>
      <c r="I104" s="457">
        <f t="shared" si="26"/>
        <v>0</v>
      </c>
      <c r="J104" s="458">
        <f t="shared" si="27"/>
        <v>227.7</v>
      </c>
      <c r="K104" s="459">
        <f t="shared" si="28"/>
        <v>455.4</v>
      </c>
      <c r="L104" s="459">
        <f>H104*D104</f>
        <v>0</v>
      </c>
      <c r="M104" s="460">
        <f t="shared" si="21"/>
        <v>455.4</v>
      </c>
      <c r="N104" s="112"/>
    </row>
    <row r="105" spans="1:14" s="5" customFormat="1" ht="13.2">
      <c r="A105" s="115" t="str">
        <f>Zones!C105</f>
        <v>Corridor Area</v>
      </c>
      <c r="B105" s="115" t="str">
        <f>Zones!B105</f>
        <v>Floor 3 Office Hall</v>
      </c>
      <c r="C105" s="119">
        <f>Zones!K105</f>
        <v>4</v>
      </c>
      <c r="D105" s="119">
        <f>Zones!H105</f>
        <v>834</v>
      </c>
      <c r="E105" s="286">
        <v>15</v>
      </c>
      <c r="F105" s="286">
        <f>VLOOKUP(A105,A$175:E$197,5,FALSE)</f>
        <v>0.15</v>
      </c>
      <c r="G105" s="107"/>
      <c r="H105" s="107"/>
      <c r="I105" s="457">
        <f t="shared" si="26"/>
        <v>0</v>
      </c>
      <c r="J105" s="458">
        <f t="shared" si="27"/>
        <v>60</v>
      </c>
      <c r="K105" s="459">
        <f t="shared" si="28"/>
        <v>125.1</v>
      </c>
      <c r="L105" s="459">
        <f>H105*D105</f>
        <v>0</v>
      </c>
      <c r="M105" s="460">
        <f t="shared" si="21"/>
        <v>125.1</v>
      </c>
      <c r="N105" s="112"/>
    </row>
    <row r="106" spans="1:14" s="5" customFormat="1" ht="20.25" customHeight="1">
      <c r="A106" s="115" t="str">
        <f>Zones!C106</f>
        <v>Restrooms</v>
      </c>
      <c r="B106" s="115" t="str">
        <f>Zones!B106</f>
        <v>Floor 3 Office Toilet</v>
      </c>
      <c r="C106" s="119">
        <f>Zones!K106</f>
        <v>0</v>
      </c>
      <c r="D106" s="119">
        <f>Zones!H106</f>
        <v>54</v>
      </c>
      <c r="E106" s="286">
        <v>15</v>
      </c>
      <c r="F106" s="286" t="str">
        <f>VLOOKUP(A11,A$175:E$197,5,FALSE)</f>
        <v>n/a</v>
      </c>
      <c r="G106" s="107"/>
      <c r="H106" s="119">
        <v>50</v>
      </c>
      <c r="I106" s="457">
        <f t="shared" si="26"/>
        <v>0</v>
      </c>
      <c r="J106" s="458">
        <f t="shared" si="27"/>
        <v>0</v>
      </c>
      <c r="K106" s="459">
        <f t="shared" si="28"/>
        <v>0</v>
      </c>
      <c r="L106" s="459">
        <f>H106</f>
        <v>50</v>
      </c>
      <c r="M106" s="460">
        <f t="shared" si="21"/>
        <v>50</v>
      </c>
      <c r="N106" s="112" t="s">
        <v>428</v>
      </c>
    </row>
    <row r="107" spans="1:14" s="5" customFormat="1" ht="14.4" customHeight="1">
      <c r="A107" s="115" t="str">
        <f>Zones!C107</f>
        <v>Healthcare Facility and Hospitals (Physical Therapy Room)</v>
      </c>
      <c r="B107" s="115" t="str">
        <f>Zones!B107</f>
        <v>Floor 3 Physical Therapy 1</v>
      </c>
      <c r="C107" s="119">
        <f>Zones!K107</f>
        <v>7</v>
      </c>
      <c r="D107" s="119">
        <f>Zones!H107</f>
        <v>1300</v>
      </c>
      <c r="E107" s="286">
        <v>15</v>
      </c>
      <c r="F107" s="286" t="str">
        <f t="shared" ref="F107:F117" si="29">VLOOKUP(A107,A$175:E$197,5,FALSE)</f>
        <v>n/a</v>
      </c>
      <c r="G107" s="107"/>
      <c r="H107" s="107"/>
      <c r="I107" s="457">
        <f t="shared" si="26"/>
        <v>0.33333333333333331</v>
      </c>
      <c r="J107" s="458">
        <f t="shared" si="27"/>
        <v>105</v>
      </c>
      <c r="K107" s="459">
        <f t="shared" si="28"/>
        <v>433.33333333333331</v>
      </c>
      <c r="L107" s="459">
        <f>H107*D107</f>
        <v>0</v>
      </c>
      <c r="M107" s="460">
        <f t="shared" si="21"/>
        <v>433.33333333333331</v>
      </c>
      <c r="N107" s="112"/>
    </row>
    <row r="108" spans="1:14" s="5" customFormat="1" ht="14.4" customHeight="1">
      <c r="A108" s="115" t="str">
        <f>Zones!C108</f>
        <v>Healthcare Facility and Hospitals (Physical Therapy Room)</v>
      </c>
      <c r="B108" s="115" t="str">
        <f>Zones!B108</f>
        <v>Floor 3 Physical Therapy 2</v>
      </c>
      <c r="C108" s="119">
        <f>Zones!K108</f>
        <v>3</v>
      </c>
      <c r="D108" s="119">
        <f>Zones!H108</f>
        <v>592</v>
      </c>
      <c r="E108" s="286">
        <v>15</v>
      </c>
      <c r="F108" s="286" t="str">
        <f t="shared" si="29"/>
        <v>n/a</v>
      </c>
      <c r="G108" s="107"/>
      <c r="H108" s="107"/>
      <c r="I108" s="457">
        <f t="shared" si="26"/>
        <v>0.33333333333333331</v>
      </c>
      <c r="J108" s="458">
        <f t="shared" si="27"/>
        <v>45</v>
      </c>
      <c r="K108" s="459">
        <f t="shared" si="28"/>
        <v>197.33333333333331</v>
      </c>
      <c r="L108" s="459">
        <f>H108*D108</f>
        <v>0</v>
      </c>
      <c r="M108" s="460">
        <f t="shared" si="21"/>
        <v>197.33333333333331</v>
      </c>
      <c r="N108" s="112"/>
    </row>
    <row r="109" spans="1:14" s="5" customFormat="1" ht="35.25" customHeight="1">
      <c r="A109" s="115" t="str">
        <f>Zones!C109</f>
        <v>Restrooms</v>
      </c>
      <c r="B109" s="115" t="str">
        <f>Zones!B109</f>
        <v>Floor 3 Physical Therapy Toilet</v>
      </c>
      <c r="C109" s="119">
        <f>Zones!K109</f>
        <v>0</v>
      </c>
      <c r="D109" s="119">
        <f>Zones!H109</f>
        <v>84</v>
      </c>
      <c r="E109" s="286">
        <v>15</v>
      </c>
      <c r="F109" s="286" t="str">
        <f t="shared" si="29"/>
        <v>n/a</v>
      </c>
      <c r="G109" s="107"/>
      <c r="H109" s="119">
        <f>2*50</f>
        <v>100</v>
      </c>
      <c r="I109" s="457">
        <f t="shared" si="26"/>
        <v>0</v>
      </c>
      <c r="J109" s="458">
        <f t="shared" si="27"/>
        <v>0</v>
      </c>
      <c r="K109" s="459">
        <f t="shared" si="28"/>
        <v>0</v>
      </c>
      <c r="L109" s="459">
        <f>H109</f>
        <v>100</v>
      </c>
      <c r="M109" s="460">
        <f t="shared" si="21"/>
        <v>100</v>
      </c>
      <c r="N109" s="112" t="s">
        <v>428</v>
      </c>
    </row>
    <row r="110" spans="1:14" s="5" customFormat="1" ht="13.2">
      <c r="A110" s="115" t="str">
        <f>Zones!C110</f>
        <v>Storage (General)</v>
      </c>
      <c r="B110" s="115" t="str">
        <f>Zones!B110</f>
        <v>Floor 3 Storage 1</v>
      </c>
      <c r="C110" s="119">
        <f>Zones!K110</f>
        <v>0</v>
      </c>
      <c r="D110" s="119">
        <f>Zones!H110</f>
        <v>108</v>
      </c>
      <c r="E110" s="286">
        <v>15</v>
      </c>
      <c r="F110" s="286">
        <f t="shared" si="29"/>
        <v>0.15</v>
      </c>
      <c r="G110" s="107"/>
      <c r="H110" s="107"/>
      <c r="I110" s="457">
        <f t="shared" si="26"/>
        <v>0</v>
      </c>
      <c r="J110" s="458">
        <f t="shared" si="27"/>
        <v>0</v>
      </c>
      <c r="K110" s="459">
        <f t="shared" si="28"/>
        <v>16.2</v>
      </c>
      <c r="L110" s="459">
        <f t="shared" ref="L110:L117" si="30">G110*D110</f>
        <v>0</v>
      </c>
      <c r="M110" s="460">
        <f t="shared" si="21"/>
        <v>16.2</v>
      </c>
      <c r="N110" s="112"/>
    </row>
    <row r="111" spans="1:14" s="5" customFormat="1" ht="13.2">
      <c r="A111" s="115" t="str">
        <f>Zones!C111</f>
        <v>Storage (General)</v>
      </c>
      <c r="B111" s="115" t="str">
        <f>Zones!B111</f>
        <v>Floor 3 Storage 2</v>
      </c>
      <c r="C111" s="119">
        <f>Zones!K111</f>
        <v>0</v>
      </c>
      <c r="D111" s="119">
        <f>Zones!H111</f>
        <v>84</v>
      </c>
      <c r="E111" s="286">
        <v>15</v>
      </c>
      <c r="F111" s="286">
        <f t="shared" si="29"/>
        <v>0.15</v>
      </c>
      <c r="G111" s="107"/>
      <c r="H111" s="107"/>
      <c r="I111" s="457">
        <f t="shared" si="26"/>
        <v>0</v>
      </c>
      <c r="J111" s="458">
        <f t="shared" si="27"/>
        <v>0</v>
      </c>
      <c r="K111" s="459">
        <f t="shared" si="28"/>
        <v>12.6</v>
      </c>
      <c r="L111" s="459">
        <f t="shared" si="30"/>
        <v>0</v>
      </c>
      <c r="M111" s="460">
        <f t="shared" si="21"/>
        <v>12.6</v>
      </c>
      <c r="N111" s="112"/>
    </row>
    <row r="112" spans="1:14" s="5" customFormat="1" ht="13.2">
      <c r="A112" s="115" t="str">
        <f>Zones!C112</f>
        <v>Healthcare Facility and Hospitals (Exam/Treatment Room)</v>
      </c>
      <c r="B112" s="115" t="str">
        <f>Zones!B112</f>
        <v>Floor 3 Treatment</v>
      </c>
      <c r="C112" s="119">
        <f>Zones!K112</f>
        <v>2</v>
      </c>
      <c r="D112" s="119">
        <f>Zones!H112</f>
        <v>476</v>
      </c>
      <c r="E112" s="286">
        <v>15</v>
      </c>
      <c r="F112" s="286" t="str">
        <f t="shared" si="29"/>
        <v>n/a</v>
      </c>
      <c r="G112" s="107"/>
      <c r="H112" s="107"/>
      <c r="I112" s="457">
        <f t="shared" si="26"/>
        <v>0.33333333333333331</v>
      </c>
      <c r="J112" s="458">
        <f t="shared" si="27"/>
        <v>30</v>
      </c>
      <c r="K112" s="459">
        <f t="shared" si="28"/>
        <v>158.66666666666666</v>
      </c>
      <c r="L112" s="459">
        <f t="shared" si="30"/>
        <v>0</v>
      </c>
      <c r="M112" s="460">
        <f t="shared" si="21"/>
        <v>158.66666666666666</v>
      </c>
      <c r="N112" s="112"/>
    </row>
    <row r="113" spans="1:44" s="5" customFormat="1" ht="13.2">
      <c r="A113" s="115" t="str">
        <f>Zones!C113</f>
        <v>Storage (General)</v>
      </c>
      <c r="B113" s="115" t="str">
        <f>Zones!B113</f>
        <v>Floor 3 Undeveloped 1</v>
      </c>
      <c r="C113" s="119">
        <f>Zones!K113</f>
        <v>5</v>
      </c>
      <c r="D113" s="119">
        <f>Zones!H113</f>
        <v>2268</v>
      </c>
      <c r="E113" s="286">
        <v>15</v>
      </c>
      <c r="F113" s="286">
        <f t="shared" si="29"/>
        <v>0.15</v>
      </c>
      <c r="G113" s="107"/>
      <c r="H113" s="107"/>
      <c r="I113" s="457">
        <f t="shared" si="26"/>
        <v>0</v>
      </c>
      <c r="J113" s="458">
        <f t="shared" si="27"/>
        <v>75</v>
      </c>
      <c r="K113" s="459">
        <f t="shared" si="28"/>
        <v>340.2</v>
      </c>
      <c r="L113" s="459">
        <f t="shared" si="30"/>
        <v>0</v>
      </c>
      <c r="M113" s="460">
        <f t="shared" si="21"/>
        <v>340.2</v>
      </c>
      <c r="N113" s="112"/>
    </row>
    <row r="114" spans="1:44" s="5" customFormat="1" ht="13.2">
      <c r="A114" s="115" t="str">
        <f>Zones!C114</f>
        <v>Storage (General)</v>
      </c>
      <c r="B114" s="115" t="str">
        <f>Zones!B114</f>
        <v>Floor 3 Undeveloped 2</v>
      </c>
      <c r="C114" s="119">
        <f>Zones!K114</f>
        <v>2</v>
      </c>
      <c r="D114" s="119">
        <f>Zones!H114</f>
        <v>1152</v>
      </c>
      <c r="E114" s="286">
        <v>15</v>
      </c>
      <c r="F114" s="286">
        <f t="shared" si="29"/>
        <v>0.15</v>
      </c>
      <c r="G114" s="107"/>
      <c r="H114" s="107"/>
      <c r="I114" s="457">
        <f t="shared" si="26"/>
        <v>0</v>
      </c>
      <c r="J114" s="458">
        <f t="shared" si="27"/>
        <v>30</v>
      </c>
      <c r="K114" s="459">
        <f t="shared" si="28"/>
        <v>172.79999999999998</v>
      </c>
      <c r="L114" s="459">
        <f t="shared" si="30"/>
        <v>0</v>
      </c>
      <c r="M114" s="460">
        <f t="shared" si="21"/>
        <v>172.79999999999998</v>
      </c>
      <c r="N114" s="112"/>
    </row>
    <row r="115" spans="1:44" s="5" customFormat="1" ht="13.2">
      <c r="A115" s="115" t="str">
        <f>Zones!C115</f>
        <v>Storage (General)</v>
      </c>
      <c r="B115" s="115" t="str">
        <f>Zones!B115</f>
        <v>Floor 3 Utility</v>
      </c>
      <c r="C115" s="119">
        <f>Zones!K115</f>
        <v>0</v>
      </c>
      <c r="D115" s="119">
        <f>Zones!H115</f>
        <v>216</v>
      </c>
      <c r="E115" s="286">
        <v>15</v>
      </c>
      <c r="F115" s="286">
        <f t="shared" si="29"/>
        <v>0.15</v>
      </c>
      <c r="G115" s="107"/>
      <c r="H115" s="107"/>
      <c r="I115" s="457">
        <f t="shared" si="26"/>
        <v>0</v>
      </c>
      <c r="J115" s="458">
        <f t="shared" si="27"/>
        <v>0</v>
      </c>
      <c r="K115" s="459">
        <f t="shared" si="28"/>
        <v>32.4</v>
      </c>
      <c r="L115" s="459">
        <f t="shared" si="30"/>
        <v>0</v>
      </c>
      <c r="M115" s="460">
        <f t="shared" si="21"/>
        <v>32.4</v>
      </c>
      <c r="N115" s="112"/>
    </row>
    <row r="116" spans="1:44" s="5" customFormat="1" ht="13.2">
      <c r="A116" s="115" t="str">
        <f>Zones!C116</f>
        <v>Office Area (&gt;250 square feet)</v>
      </c>
      <c r="B116" s="115" t="str">
        <f>Zones!B116</f>
        <v>Floor 3 Work</v>
      </c>
      <c r="C116" s="119">
        <f>Zones!K116</f>
        <v>2.87</v>
      </c>
      <c r="D116" s="119">
        <f>Zones!H116</f>
        <v>574</v>
      </c>
      <c r="E116" s="286">
        <v>15</v>
      </c>
      <c r="F116" s="286">
        <f t="shared" si="29"/>
        <v>0.15</v>
      </c>
      <c r="G116" s="107"/>
      <c r="H116" s="107"/>
      <c r="I116" s="457">
        <f t="shared" si="26"/>
        <v>0</v>
      </c>
      <c r="J116" s="458">
        <f t="shared" si="27"/>
        <v>43.050000000000004</v>
      </c>
      <c r="K116" s="459">
        <f t="shared" si="28"/>
        <v>86.1</v>
      </c>
      <c r="L116" s="459">
        <f t="shared" si="30"/>
        <v>0</v>
      </c>
      <c r="M116" s="460">
        <f t="shared" si="21"/>
        <v>86.1</v>
      </c>
      <c r="N116" s="112"/>
    </row>
    <row r="117" spans="1:44" s="5" customFormat="1" ht="13.2">
      <c r="A117" s="115" t="str">
        <f>Zones!C117</f>
        <v>Stairwell</v>
      </c>
      <c r="B117" s="115" t="str">
        <f>Zones!B117</f>
        <v>NE Stair</v>
      </c>
      <c r="C117" s="119">
        <f>Zones!K117</f>
        <v>1</v>
      </c>
      <c r="D117" s="119">
        <f>Zones!H117</f>
        <v>168</v>
      </c>
      <c r="E117" s="286">
        <v>15</v>
      </c>
      <c r="F117" s="286">
        <f t="shared" si="29"/>
        <v>0.15</v>
      </c>
      <c r="G117" s="107"/>
      <c r="H117" s="107"/>
      <c r="I117" s="457">
        <f t="shared" si="26"/>
        <v>0</v>
      </c>
      <c r="J117" s="458">
        <f t="shared" si="27"/>
        <v>15</v>
      </c>
      <c r="K117" s="459">
        <f t="shared" si="28"/>
        <v>25.2</v>
      </c>
      <c r="L117" s="459">
        <f t="shared" si="30"/>
        <v>0</v>
      </c>
      <c r="M117" s="460">
        <f t="shared" si="21"/>
        <v>25.2</v>
      </c>
      <c r="N117" s="112"/>
    </row>
    <row r="118" spans="1:44" s="5" customFormat="1" ht="13.2">
      <c r="A118" s="115" t="str">
        <f>Zones!C118</f>
        <v>Elevator</v>
      </c>
      <c r="B118" s="115" t="str">
        <f>Zones!B118</f>
        <v>NW Elevator</v>
      </c>
      <c r="C118" s="119">
        <f>Zones!K118</f>
        <v>0</v>
      </c>
      <c r="D118" s="119">
        <f>Zones!H118</f>
        <v>140</v>
      </c>
      <c r="E118" s="286">
        <v>0</v>
      </c>
      <c r="F118" s="286">
        <v>0</v>
      </c>
      <c r="G118" s="107"/>
      <c r="H118" s="107"/>
      <c r="I118" s="457"/>
      <c r="J118" s="458">
        <f>E118*C118</f>
        <v>0</v>
      </c>
      <c r="K118" s="459">
        <f>IF(F118="n/a",D118*I118,F118*D118)</f>
        <v>0</v>
      </c>
      <c r="L118" s="459">
        <f>G118*D118</f>
        <v>0</v>
      </c>
      <c r="M118" s="460">
        <f>MAX(J118:L118)</f>
        <v>0</v>
      </c>
      <c r="N118" s="112"/>
    </row>
    <row r="119" spans="1:44" s="5" customFormat="1" ht="13.2">
      <c r="A119" s="115" t="str">
        <f>Zones!C119</f>
        <v>Stairwell</v>
      </c>
      <c r="B119" s="115" t="str">
        <f>Zones!B119</f>
        <v>NW Stair</v>
      </c>
      <c r="C119" s="119">
        <f>Zones!K119</f>
        <v>1</v>
      </c>
      <c r="D119" s="119">
        <f>Zones!H119</f>
        <v>192</v>
      </c>
      <c r="E119" s="286">
        <v>17</v>
      </c>
      <c r="F119" s="286">
        <f>VLOOKUP(A119,A$175:E$197,5,FALSE)</f>
        <v>0.15</v>
      </c>
      <c r="G119" s="107"/>
      <c r="H119" s="107"/>
      <c r="I119" s="457">
        <f>VLOOKUP(A119,A$175:H$197,8,FALSE)</f>
        <v>0</v>
      </c>
      <c r="J119" s="458">
        <f>E119*C119</f>
        <v>17</v>
      </c>
      <c r="K119" s="459">
        <f>IF(F119="n/a",D119*I119,F119*D119)</f>
        <v>28.799999999999997</v>
      </c>
      <c r="L119" s="459">
        <f>G119*D119</f>
        <v>0</v>
      </c>
      <c r="M119" s="460">
        <f>MAX(J119:L119)</f>
        <v>28.799999999999997</v>
      </c>
      <c r="N119" s="112"/>
    </row>
    <row r="120" spans="1:44" s="5" customFormat="1" ht="13.2">
      <c r="A120" s="115" t="str">
        <f>Zones!C120</f>
        <v>Stairwell</v>
      </c>
      <c r="B120" s="115" t="str">
        <f>Zones!B120</f>
        <v>SW Stair</v>
      </c>
      <c r="C120" s="119">
        <f>Zones!K120</f>
        <v>0</v>
      </c>
      <c r="D120" s="119">
        <f>Zones!H120</f>
        <v>96</v>
      </c>
      <c r="E120" s="286">
        <v>18</v>
      </c>
      <c r="F120" s="286">
        <f>VLOOKUP(A120,A$175:E$197,5,FALSE)</f>
        <v>0.15</v>
      </c>
      <c r="G120" s="107"/>
      <c r="H120" s="107"/>
      <c r="I120" s="457">
        <f>VLOOKUP(A120,A$175:H$197,8,FALSE)</f>
        <v>0</v>
      </c>
      <c r="J120" s="458">
        <f>E120*C120</f>
        <v>0</v>
      </c>
      <c r="K120" s="459">
        <f>IF(F120="n/a",D120*I120,F120*D120)</f>
        <v>14.399999999999999</v>
      </c>
      <c r="L120" s="459">
        <f>G120*D120</f>
        <v>0</v>
      </c>
      <c r="M120" s="460">
        <f>MAX(J120:L120)</f>
        <v>14.399999999999999</v>
      </c>
      <c r="N120" s="112"/>
    </row>
    <row r="121" spans="1:44">
      <c r="A121" s="130" t="str">
        <f>Zones!C121</f>
        <v>Total (23 Space types)</v>
      </c>
      <c r="B121" s="130" t="str">
        <f>Zones!B121</f>
        <v>Total ( 118 spaces)</v>
      </c>
      <c r="C121" s="119">
        <f>Zones!K121</f>
        <v>258.97800000000001</v>
      </c>
      <c r="D121" s="119">
        <f>Zones!H121</f>
        <v>40946</v>
      </c>
      <c r="E121" s="286">
        <v>19</v>
      </c>
      <c r="F121" s="286"/>
      <c r="G121" s="107"/>
      <c r="H121" s="107"/>
      <c r="I121" s="461"/>
      <c r="J121" s="458">
        <f>E121*C121</f>
        <v>4920.5820000000003</v>
      </c>
      <c r="K121" s="462">
        <f>IF(F121="n/a",D121*I121,F121*D121)</f>
        <v>0</v>
      </c>
      <c r="L121" s="462">
        <f>G121*D121</f>
        <v>0</v>
      </c>
      <c r="M121" s="460">
        <f>MAX(J121:L121)</f>
        <v>4920.5820000000003</v>
      </c>
      <c r="N121" s="112"/>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row>
    <row r="122" spans="1:44">
      <c r="A122" s="258" t="s">
        <v>429</v>
      </c>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row>
    <row r="123" spans="1:44">
      <c r="A123" s="64"/>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row>
    <row r="124" spans="1:44">
      <c r="A124" s="6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row>
    <row r="125" spans="1:4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row>
    <row r="126" spans="1:4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row>
    <row r="127" spans="1:4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row>
    <row r="128" spans="1:4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row>
    <row r="129" spans="1:4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row>
    <row r="130" spans="1:4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row>
    <row r="131" spans="1:4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row>
    <row r="132" spans="1:4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row>
    <row r="133" spans="1:4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row>
    <row r="134" spans="1:4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row>
    <row r="135" spans="1:4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row>
    <row r="136" spans="1:4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row>
    <row r="137" spans="1:4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row>
    <row r="138" spans="1:4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row>
    <row r="139" spans="1:4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row>
    <row r="140" spans="1:4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row>
    <row r="141" spans="1:4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row>
    <row r="142" spans="1:4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row>
    <row r="143" spans="1:4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row>
    <row r="144" spans="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row>
    <row r="145" spans="1:4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row>
    <row r="146" spans="1:4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row>
    <row r="147" spans="1:4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row>
    <row r="148" spans="1:4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row>
    <row r="149" spans="1:4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row>
    <row r="150" spans="1:4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row>
    <row r="151" spans="1:4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row>
    <row r="152" spans="1:4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row>
    <row r="153" spans="1:4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row>
    <row r="154" spans="1:4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row>
    <row r="155" spans="1:4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row>
    <row r="156" spans="1:4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row>
    <row r="157" spans="1:4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row>
    <row r="158" spans="1:4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row>
    <row r="159" spans="1:4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row>
    <row r="160" spans="1:4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row>
    <row r="161" spans="1:4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row>
    <row r="162" spans="1:4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row>
    <row r="163" spans="1:4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row>
    <row r="164" spans="1:4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row>
    <row r="165" spans="1:4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row>
    <row r="166" spans="1:4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row>
    <row r="167" spans="1:4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row>
    <row r="168" spans="1:4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row>
    <row r="169" spans="1:4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row>
    <row r="170" spans="1:4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row>
    <row r="171" spans="1:44" hidden="1">
      <c r="A171" s="3"/>
      <c r="B171" s="3"/>
      <c r="C171" s="3"/>
      <c r="D171" s="3"/>
      <c r="E171" s="3"/>
      <c r="F171" s="3"/>
      <c r="G171" s="3"/>
      <c r="H171" s="3"/>
      <c r="I171" s="3"/>
      <c r="J171" s="3"/>
      <c r="K171" s="3"/>
      <c r="L171" s="3"/>
      <c r="M171" s="3"/>
      <c r="N171" s="3"/>
      <c r="O171" s="3"/>
      <c r="P171" s="3"/>
      <c r="Q171" s="3"/>
      <c r="R171" s="3"/>
      <c r="S171" s="65"/>
      <c r="T171" s="65"/>
      <c r="U171" s="65"/>
      <c r="V171" s="65"/>
      <c r="W171" s="65"/>
      <c r="X171" s="65"/>
      <c r="Y171" s="65"/>
      <c r="Z171" s="65"/>
      <c r="AA171" s="65"/>
      <c r="AB171" s="3"/>
      <c r="AC171" s="3"/>
      <c r="AD171" s="3"/>
      <c r="AE171" s="3"/>
      <c r="AF171" s="3"/>
      <c r="AG171" s="3"/>
      <c r="AH171" s="3"/>
      <c r="AI171" s="3"/>
      <c r="AJ171" s="3"/>
      <c r="AK171" s="3"/>
      <c r="AL171" s="3"/>
      <c r="AM171" s="3"/>
      <c r="AN171" s="3"/>
      <c r="AO171" s="3"/>
      <c r="AP171" s="3"/>
      <c r="AQ171" s="3"/>
      <c r="AR171" s="3"/>
    </row>
    <row r="172" spans="1:44" hidden="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row>
    <row r="173" spans="1:44" hidden="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row>
    <row r="174" spans="1:44" ht="15.6" hidden="1" customHeight="1">
      <c r="A174" s="612" t="s">
        <v>430</v>
      </c>
      <c r="B174" s="612"/>
      <c r="C174" s="612"/>
      <c r="D174" s="612"/>
      <c r="E174" s="612"/>
      <c r="F174" s="612"/>
      <c r="G174" s="612"/>
      <c r="H174" s="612"/>
      <c r="I174" s="612"/>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row>
    <row r="175" spans="1:44" ht="52.8" hidden="1">
      <c r="A175" s="531" t="s">
        <v>412</v>
      </c>
      <c r="B175" s="514" t="s">
        <v>82</v>
      </c>
      <c r="C175" s="514" t="s">
        <v>431</v>
      </c>
      <c r="D175" s="514" t="s">
        <v>432</v>
      </c>
      <c r="E175" s="514" t="s">
        <v>433</v>
      </c>
      <c r="F175" s="514" t="s">
        <v>434</v>
      </c>
      <c r="G175" s="514" t="s">
        <v>435</v>
      </c>
      <c r="H175" s="514" t="s">
        <v>436</v>
      </c>
      <c r="I175" s="531" t="s">
        <v>437</v>
      </c>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row>
    <row r="176" spans="1:44" hidden="1">
      <c r="A176" s="82" t="str">
        <f>Zones!C3</f>
        <v>Healthcare Facility and Hospitals (Exam/Treatment Room)</v>
      </c>
      <c r="B176" s="51">
        <f>SUMIF(Zones!C$3:C$120, "*Healthcare Facility and Hospitals (Exam/Treatment Room)*", Zones!H3:H120)</f>
        <v>4606</v>
      </c>
      <c r="C176" s="84">
        <v>10</v>
      </c>
      <c r="D176" s="84">
        <f>(B176/1000)*C176</f>
        <v>46.06</v>
      </c>
      <c r="E176" s="505" t="s">
        <v>85</v>
      </c>
      <c r="F176" s="85" t="s">
        <v>122</v>
      </c>
      <c r="G176" s="505">
        <v>2</v>
      </c>
      <c r="H176" s="63">
        <f>(G176*10)/60</f>
        <v>0.33333333333333331</v>
      </c>
      <c r="I176" s="86">
        <v>1647</v>
      </c>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row>
    <row r="177" spans="1:44" ht="26.4" hidden="1">
      <c r="A177" s="82" t="str">
        <f>Zones!C4</f>
        <v>Healthcare Facility and Hospitals (Medical Supply Room)</v>
      </c>
      <c r="B177" s="51">
        <f>SUMIF(Zones!C$3:C$120, "*Healthcare Facility and Hospitals (Medical Supply Room)*", Zones!H$3:H$120)</f>
        <v>765</v>
      </c>
      <c r="C177" s="84">
        <v>10</v>
      </c>
      <c r="D177" s="84">
        <f t="shared" ref="D177:D197" si="31">(B177/1000)*C177</f>
        <v>7.65</v>
      </c>
      <c r="E177" s="505" t="s">
        <v>85</v>
      </c>
      <c r="F177" s="529" t="s">
        <v>438</v>
      </c>
      <c r="G177" s="505">
        <v>2</v>
      </c>
      <c r="H177" s="63">
        <f t="shared" ref="H177:H183" si="32">(G177*10)/60</f>
        <v>0.33333333333333331</v>
      </c>
      <c r="I177" s="86">
        <v>728</v>
      </c>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row>
    <row r="178" spans="1:44" ht="39.6" hidden="1">
      <c r="A178" s="82" t="str">
        <f>Zones!C22</f>
        <v>Healthcare Facility and Hospitals (Imaging Room)</v>
      </c>
      <c r="B178" s="51">
        <f>SUMIF(Zones!C$3:C$120, "*Healthcare Facility and Hospitals (Imaging Room)*", Zones!H$3:H$120)</f>
        <v>1508</v>
      </c>
      <c r="C178" s="84">
        <v>10</v>
      </c>
      <c r="D178" s="84">
        <f t="shared" si="31"/>
        <v>15.08</v>
      </c>
      <c r="E178" s="505" t="s">
        <v>85</v>
      </c>
      <c r="F178" s="529" t="s">
        <v>439</v>
      </c>
      <c r="G178" s="505">
        <v>2</v>
      </c>
      <c r="H178" s="63">
        <f t="shared" si="32"/>
        <v>0.33333333333333331</v>
      </c>
      <c r="I178" s="86">
        <v>3046</v>
      </c>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row>
    <row r="179" spans="1:44" hidden="1">
      <c r="A179" s="82" t="str">
        <f>Zones!C29</f>
        <v>Healthcare Facility and Hospitals (Nurse's Station)</v>
      </c>
      <c r="B179" s="51">
        <f>SUMIF(Zones!C$3:C$120, "*Healthcare Facility and Hospitals (Nurse's Station)*", Zones!H$3:H$120)</f>
        <v>591</v>
      </c>
      <c r="C179" s="84">
        <v>10</v>
      </c>
      <c r="D179" s="84">
        <f t="shared" si="31"/>
        <v>5.91</v>
      </c>
      <c r="E179" s="505" t="s">
        <v>85</v>
      </c>
      <c r="F179" s="529"/>
      <c r="G179" s="505">
        <v>2</v>
      </c>
      <c r="H179" s="63">
        <f t="shared" si="32"/>
        <v>0.33333333333333331</v>
      </c>
      <c r="I179" s="86">
        <f>H179*B179</f>
        <v>197</v>
      </c>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row>
    <row r="180" spans="1:44" hidden="1">
      <c r="A180" s="82" t="str">
        <f>Zones!C32</f>
        <v>Healthcare Facility and Hospitals (Operating Room)</v>
      </c>
      <c r="B180" s="51">
        <f>SUMIF(Zones!C$3:C$120, "*Healthcare Facility and Hospitals (Operating Room)*", Zones!H$3:H$120)</f>
        <v>1416</v>
      </c>
      <c r="C180" s="84">
        <v>10</v>
      </c>
      <c r="D180" s="84">
        <f t="shared" si="31"/>
        <v>14.16</v>
      </c>
      <c r="E180" s="505" t="s">
        <v>85</v>
      </c>
      <c r="F180" s="529"/>
      <c r="G180" s="505">
        <v>4</v>
      </c>
      <c r="H180" s="63">
        <f t="shared" si="32"/>
        <v>0.66666666666666663</v>
      </c>
      <c r="I180" s="86">
        <f t="shared" ref="I180:I182" si="33">H180*B180</f>
        <v>944</v>
      </c>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row>
    <row r="181" spans="1:44" hidden="1">
      <c r="A181" s="70" t="str">
        <f>Zones!C35</f>
        <v>Healthcare Facility and Hospitals (Recovery Room)</v>
      </c>
      <c r="B181" s="51">
        <f>SUMIF(Zones!C$3:C$120, "*Healthcare Facility and Hospitals (Recovery Room)*", Zones!H$3:H$120)</f>
        <v>948</v>
      </c>
      <c r="C181" s="84">
        <v>10</v>
      </c>
      <c r="D181" s="84">
        <f t="shared" si="31"/>
        <v>9.48</v>
      </c>
      <c r="E181" s="505" t="s">
        <v>85</v>
      </c>
      <c r="F181" s="529"/>
      <c r="G181" s="529">
        <v>2</v>
      </c>
      <c r="H181" s="63">
        <f t="shared" si="32"/>
        <v>0.33333333333333331</v>
      </c>
      <c r="I181" s="86">
        <f t="shared" si="33"/>
        <v>316</v>
      </c>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row>
    <row r="182" spans="1:44" hidden="1">
      <c r="A182" s="82" t="str">
        <f>Zones!C107</f>
        <v>Healthcare Facility and Hospitals (Physical Therapy Room)</v>
      </c>
      <c r="B182" s="51">
        <f>SUMIF(Zones!C$3:C$120, "*Healthcare Facility and Hospitals (Physical Therapy Room)*", Zones!H$3:H$120)</f>
        <v>1892</v>
      </c>
      <c r="C182" s="84">
        <v>10</v>
      </c>
      <c r="D182" s="84">
        <f t="shared" si="31"/>
        <v>18.919999999999998</v>
      </c>
      <c r="E182" s="505" t="s">
        <v>85</v>
      </c>
      <c r="F182" s="529"/>
      <c r="G182" s="505">
        <v>2</v>
      </c>
      <c r="H182" s="63">
        <f t="shared" si="32"/>
        <v>0.33333333333333331</v>
      </c>
      <c r="I182" s="86">
        <f t="shared" si="33"/>
        <v>630.66666666666663</v>
      </c>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row>
    <row r="183" spans="1:44" hidden="1">
      <c r="A183" s="82" t="str">
        <f>Zones!C37</f>
        <v>Healthcare Facility and Hospitals (Patient Room)</v>
      </c>
      <c r="B183" s="51">
        <f>SUMIF(Zones!C$3:C$120, "*Healthcare Facility and Hospitals (Patient Room)*", Zones!H$3:H$120)</f>
        <v>527</v>
      </c>
      <c r="C183" s="84">
        <v>10</v>
      </c>
      <c r="D183" s="84">
        <f t="shared" si="31"/>
        <v>5.2700000000000005</v>
      </c>
      <c r="E183" s="505" t="s">
        <v>85</v>
      </c>
      <c r="F183" s="505"/>
      <c r="G183" s="505">
        <v>2</v>
      </c>
      <c r="H183" s="63">
        <f t="shared" si="32"/>
        <v>0.33333333333333331</v>
      </c>
      <c r="I183" s="86">
        <f>H183*B183</f>
        <v>175.66666666666666</v>
      </c>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row>
    <row r="184" spans="1:44" hidden="1">
      <c r="A184" s="82" t="str">
        <f>Zones!C5</f>
        <v>Dining Area (Cafeteria/Fast Food)</v>
      </c>
      <c r="B184" s="51">
        <f>SUMIF(Zones!C$3:C$120, "*Dining Area (Cafeteria/Fast Food)*", Zones!H$3:H$120)</f>
        <v>420</v>
      </c>
      <c r="C184" s="84">
        <f>Zones!L5</f>
        <v>33</v>
      </c>
      <c r="D184" s="84">
        <f t="shared" si="31"/>
        <v>13.86</v>
      </c>
      <c r="E184" s="505">
        <v>0.15</v>
      </c>
      <c r="F184" s="505"/>
      <c r="G184" s="505"/>
      <c r="H184" s="63"/>
      <c r="I184" s="86">
        <f t="shared" ref="I184:I197" si="34">MAX(D184*15,B184*E184,F184*B184)</f>
        <v>207.89999999999998</v>
      </c>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row>
    <row r="185" spans="1:44" hidden="1">
      <c r="A185" s="82" t="str">
        <f>Zones!C8</f>
        <v>Office Area (&lt;250 square feet)</v>
      </c>
      <c r="B185" s="51">
        <f>SUMIF(Zones!C$3:C$120, "*Office Area (&lt;250 square feet)*", Zones!H$3:H$120)</f>
        <v>676</v>
      </c>
      <c r="C185" s="84">
        <f>Zones!L8</f>
        <v>5</v>
      </c>
      <c r="D185" s="84">
        <f t="shared" si="31"/>
        <v>3.3800000000000003</v>
      </c>
      <c r="E185" s="505">
        <v>0.15</v>
      </c>
      <c r="F185" s="505"/>
      <c r="G185" s="505"/>
      <c r="H185" s="63"/>
      <c r="I185" s="86">
        <f t="shared" si="34"/>
        <v>101.39999999999999</v>
      </c>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row>
    <row r="186" spans="1:44" hidden="1">
      <c r="A186" s="82" t="str">
        <f>Zones!C31</f>
        <v>Office Area (&gt;250 square feet)</v>
      </c>
      <c r="B186" s="51">
        <f>SUMIF(Zones!C$3:C$120, "*Office Area (&gt;250 square feet)*", Zones!H$3:H$120)</f>
        <v>7009</v>
      </c>
      <c r="C186" s="84">
        <v>5</v>
      </c>
      <c r="D186" s="84">
        <f t="shared" si="31"/>
        <v>35.045000000000002</v>
      </c>
      <c r="E186" s="505">
        <v>0.15</v>
      </c>
      <c r="F186" s="505"/>
      <c r="G186" s="505"/>
      <c r="H186" s="63"/>
      <c r="I186" s="86">
        <f t="shared" si="34"/>
        <v>1051.3499999999999</v>
      </c>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row>
    <row r="187" spans="1:44" hidden="1">
      <c r="A187" s="82" t="str">
        <f>Zones!C58</f>
        <v>Convention, Conference, Multipurpose and Meeting Area</v>
      </c>
      <c r="B187" s="51">
        <f>SUMIF(Zones!C$3:C$120, "*Conference/Meeting*", Zones!H$3:H$120)</f>
        <v>0</v>
      </c>
      <c r="C187" s="84">
        <f>Zones!L58</f>
        <v>33</v>
      </c>
      <c r="D187" s="84">
        <f t="shared" si="31"/>
        <v>0</v>
      </c>
      <c r="E187" s="505">
        <v>0.15</v>
      </c>
      <c r="F187" s="505"/>
      <c r="G187" s="505"/>
      <c r="H187" s="63"/>
      <c r="I187" s="86">
        <f t="shared" si="34"/>
        <v>0</v>
      </c>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row>
    <row r="188" spans="1:44" hidden="1">
      <c r="A188" s="82" t="str">
        <f>Zones!C15</f>
        <v>Lobby, Main Entry</v>
      </c>
      <c r="B188" s="51">
        <f>SUMIF(Zones!C$3:C$120, "*Lobby, Main Entry*", Zones!H$3:H$120)</f>
        <v>622</v>
      </c>
      <c r="C188" s="84">
        <f>Zones!L15</f>
        <v>33</v>
      </c>
      <c r="D188" s="84">
        <f t="shared" si="31"/>
        <v>20.526</v>
      </c>
      <c r="E188" s="505">
        <v>0.15</v>
      </c>
      <c r="F188" s="505"/>
      <c r="G188" s="505"/>
      <c r="H188" s="63"/>
      <c r="I188" s="86">
        <f t="shared" si="34"/>
        <v>307.89</v>
      </c>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row>
    <row r="189" spans="1:44" hidden="1">
      <c r="A189" s="82" t="str">
        <f>Zones!C13</f>
        <v>Corridor Area</v>
      </c>
      <c r="B189" s="51">
        <f>SUMIF(Zones!C$3:C$120, "*Corridor Area*", Zones!H$3:H$120)</f>
        <v>7879</v>
      </c>
      <c r="C189" s="84">
        <f>Zones!L16</f>
        <v>5</v>
      </c>
      <c r="D189" s="84">
        <f t="shared" si="31"/>
        <v>39.394999999999996</v>
      </c>
      <c r="E189" s="505">
        <v>0.15</v>
      </c>
      <c r="F189" s="505"/>
      <c r="G189" s="505"/>
      <c r="H189" s="63"/>
      <c r="I189" s="86">
        <f>MAX(D189*15,B189*E189,F189*B189)</f>
        <v>1181.8499999999999</v>
      </c>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row>
    <row r="190" spans="1:44" hidden="1">
      <c r="A190" s="82" t="str">
        <f>Zones!C17</f>
        <v>Restrooms</v>
      </c>
      <c r="B190" s="51">
        <f>SUMIF(Zones!C$3:C$120, "*Restroom*", Zones!H$3:H$120)</f>
        <v>790</v>
      </c>
      <c r="C190" s="84">
        <f>Zones!L17</f>
        <v>5</v>
      </c>
      <c r="D190" s="84">
        <f t="shared" si="31"/>
        <v>3.95</v>
      </c>
      <c r="E190" s="505" t="s">
        <v>85</v>
      </c>
      <c r="F190" s="505" t="s">
        <v>440</v>
      </c>
      <c r="G190" s="505"/>
      <c r="H190" s="63"/>
      <c r="I190" s="86">
        <v>0</v>
      </c>
      <c r="J190" s="5"/>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row>
    <row r="191" spans="1:44" hidden="1">
      <c r="A191" s="82" t="str">
        <f>Zones!C18</f>
        <v>Locker Room</v>
      </c>
      <c r="B191" s="51">
        <f>SUMIF(Zones!C$3:C$120, "*Locker Room *", Zones!H$3:H$120)</f>
        <v>0</v>
      </c>
      <c r="C191" s="84">
        <f>Zones!L18</f>
        <v>10</v>
      </c>
      <c r="D191" s="84">
        <f t="shared" si="31"/>
        <v>0</v>
      </c>
      <c r="E191" s="505" t="s">
        <v>85</v>
      </c>
      <c r="F191" s="505">
        <v>0.25</v>
      </c>
      <c r="G191" s="505"/>
      <c r="H191" s="63"/>
      <c r="I191" s="86" t="e">
        <f t="shared" si="34"/>
        <v>#VALUE!</v>
      </c>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row>
    <row r="192" spans="1:44" hidden="1">
      <c r="A192" s="82" t="str">
        <f>Zones!C26</f>
        <v>Kitchen/Food Preparation Area</v>
      </c>
      <c r="B192" s="51">
        <f>SUMIF(Zones!C$3:C$120, "*Kitchen/Food Preparation Area*", Zones!H$3:H$120)</f>
        <v>182</v>
      </c>
      <c r="C192" s="84">
        <f>Zones!L26</f>
        <v>3</v>
      </c>
      <c r="D192" s="84">
        <f t="shared" si="31"/>
        <v>0.54600000000000004</v>
      </c>
      <c r="E192" s="505">
        <v>0.15</v>
      </c>
      <c r="F192" s="505">
        <v>0.7</v>
      </c>
      <c r="G192" s="505"/>
      <c r="H192" s="63"/>
      <c r="I192" s="86">
        <f t="shared" si="34"/>
        <v>127.39999999999999</v>
      </c>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row>
    <row r="193" spans="1:44" hidden="1">
      <c r="A193" s="82" t="str">
        <f>Zones!C28</f>
        <v>Storage (General)</v>
      </c>
      <c r="B193" s="51">
        <f>SUMIF(Zones!C$3:C$120, "*Storage*", Zones!H$3:H$120)</f>
        <v>6172</v>
      </c>
      <c r="C193" s="84">
        <f>Zones!L28</f>
        <v>2</v>
      </c>
      <c r="D193" s="84">
        <f t="shared" si="31"/>
        <v>12.343999999999999</v>
      </c>
      <c r="E193" s="505">
        <v>0.15</v>
      </c>
      <c r="F193" s="505"/>
      <c r="G193" s="505"/>
      <c r="H193" s="63"/>
      <c r="I193" s="86">
        <f t="shared" si="34"/>
        <v>925.8</v>
      </c>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row>
    <row r="194" spans="1:44" hidden="1">
      <c r="A194" s="82" t="str">
        <f>Zones!C20</f>
        <v>Lounge, Breakroom, or Waiting Area</v>
      </c>
      <c r="B194" s="51">
        <f>SUMIF(Zones!C$3:C$120, "*Breakroom/Lounge*", Zones!H$3:H$120)</f>
        <v>0</v>
      </c>
      <c r="C194" s="84">
        <f>Zones!L20</f>
        <v>33</v>
      </c>
      <c r="D194" s="84">
        <f t="shared" si="31"/>
        <v>0</v>
      </c>
      <c r="E194" s="505">
        <v>0.15</v>
      </c>
      <c r="F194" s="505"/>
      <c r="G194" s="505"/>
      <c r="H194" s="63"/>
      <c r="I194" s="86">
        <f t="shared" si="34"/>
        <v>0</v>
      </c>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row>
    <row r="195" spans="1:44" hidden="1">
      <c r="A195" s="82" t="str">
        <f>Zones!C41</f>
        <v>Reception area</v>
      </c>
      <c r="B195" s="51">
        <f>SUMIF(Zones!C$3:C$120, "*Reception area*", Zones!H$3:H$120)</f>
        <v>1493</v>
      </c>
      <c r="C195" s="84">
        <f>Zones!L41</f>
        <v>5</v>
      </c>
      <c r="D195" s="84">
        <f t="shared" si="31"/>
        <v>7.4650000000000007</v>
      </c>
      <c r="E195" s="505">
        <v>0.15</v>
      </c>
      <c r="F195" s="505"/>
      <c r="G195" s="505"/>
      <c r="H195" s="63"/>
      <c r="I195" s="86">
        <f t="shared" si="34"/>
        <v>223.95</v>
      </c>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row>
    <row r="196" spans="1:44" hidden="1">
      <c r="A196" s="82" t="str">
        <f>Zones!C117</f>
        <v>Stairwell</v>
      </c>
      <c r="B196" s="51">
        <f>SUMIF(Zones!C$3:C$120, "*Stair*", Zones!H$3:H$120)</f>
        <v>456</v>
      </c>
      <c r="C196" s="84">
        <f>Zones!L117</f>
        <v>5</v>
      </c>
      <c r="D196" s="84">
        <f t="shared" si="31"/>
        <v>2.2800000000000002</v>
      </c>
      <c r="E196" s="505">
        <v>0.15</v>
      </c>
      <c r="F196" s="505"/>
      <c r="G196" s="505"/>
      <c r="H196" s="63"/>
      <c r="I196" s="86">
        <f t="shared" si="34"/>
        <v>68.399999999999991</v>
      </c>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row>
    <row r="197" spans="1:44" hidden="1">
      <c r="A197" s="82" t="str">
        <f>Zones!C10</f>
        <v>Electrical, Mechanical, Telephone Rooms</v>
      </c>
      <c r="B197" s="51">
        <f>SUMIF(Zones!C$3:C$120, "*Mech/Elec*", Zones!H$3:H$120)</f>
        <v>0</v>
      </c>
      <c r="C197" s="84">
        <f>Zones!L10</f>
        <v>1.5</v>
      </c>
      <c r="D197" s="84">
        <f t="shared" si="31"/>
        <v>0</v>
      </c>
      <c r="E197" s="505" t="s">
        <v>85</v>
      </c>
      <c r="F197" s="505"/>
      <c r="G197" s="505"/>
      <c r="H197" s="63"/>
      <c r="I197" s="86" t="e">
        <f t="shared" si="34"/>
        <v>#VALUE!</v>
      </c>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row>
    <row r="198" spans="1:44" hidden="1">
      <c r="A198" s="83" t="s">
        <v>441</v>
      </c>
      <c r="B198" s="51">
        <f>SUM(B176:B197)</f>
        <v>37952</v>
      </c>
      <c r="C198" s="505"/>
      <c r="D198" s="84">
        <f>SUM(D176:D197)</f>
        <v>261.32099999999991</v>
      </c>
      <c r="E198" s="505"/>
      <c r="F198" s="505"/>
      <c r="G198" s="505"/>
      <c r="H198" s="505"/>
      <c r="I198" s="86" t="e">
        <f>SUM(I176:I197)</f>
        <v>#VALUE!</v>
      </c>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row>
    <row r="199" spans="1:44" hidden="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row>
    <row r="200" spans="1:4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row>
    <row r="201" spans="1:4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row>
    <row r="202" spans="1:44">
      <c r="A202" s="6"/>
      <c r="B202" s="6"/>
      <c r="C202" s="6"/>
      <c r="D202" s="6"/>
      <c r="E202" s="6"/>
      <c r="F202" s="6"/>
      <c r="G202" s="6"/>
      <c r="H202" s="6"/>
      <c r="I202" s="6"/>
      <c r="J202" s="6"/>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row>
    <row r="203" spans="1:4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row>
    <row r="204" spans="1:4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row>
    <row r="205" spans="1:4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row>
    <row r="206" spans="1:4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row>
    <row r="207" spans="1:4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row>
    <row r="208" spans="1:4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row>
    <row r="209" spans="1:4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row>
    <row r="210" spans="1:4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row>
    <row r="211" spans="1:4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row>
    <row r="212" spans="1:4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row>
    <row r="213" spans="1:4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row>
    <row r="214" spans="1:4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row>
    <row r="215" spans="1:4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row>
    <row r="216" spans="1:4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row>
    <row r="217" spans="1:4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row>
    <row r="218" spans="1:4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row>
    <row r="219" spans="1:4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row>
    <row r="220" spans="1:4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row>
    <row r="221" spans="1:4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row>
    <row r="222" spans="1:4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row>
    <row r="223" spans="1:4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row>
    <row r="224" spans="1:4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row>
    <row r="225" spans="1:4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row>
    <row r="226" spans="1:4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row>
    <row r="227" spans="1:4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row>
    <row r="228" spans="1:4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row>
    <row r="229" spans="1:4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row>
    <row r="230" spans="1:4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row>
    <row r="231" spans="1:4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row>
    <row r="232" spans="1:4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row>
    <row r="233" spans="1:4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row>
    <row r="234" spans="1:4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row>
    <row r="235" spans="1:4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row>
    <row r="236" spans="1:4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row>
    <row r="237" spans="1:4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row>
    <row r="238" spans="1:4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row>
    <row r="239" spans="1:4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row>
    <row r="240" spans="1:4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row>
    <row r="241" spans="1:4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row>
    <row r="242" spans="1:4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row>
    <row r="243" spans="1:4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row>
    <row r="244" spans="1: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row>
    <row r="245" spans="1:4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row>
    <row r="246" spans="1:4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row>
    <row r="247" spans="1:4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row>
    <row r="248" spans="1:4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row>
    <row r="249" spans="1:4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row>
    <row r="250" spans="1:4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row>
    <row r="251" spans="1:4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row>
    <row r="252" spans="1:4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row>
    <row r="253" spans="1:4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row>
    <row r="254" spans="1:4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row>
    <row r="255" spans="1:4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row>
    <row r="256" spans="1:4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row>
    <row r="257" spans="1:4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row>
  </sheetData>
  <autoFilter ref="A2:N122" xr:uid="{9B1730C9-5C61-418E-9D38-D82374F9BCB6}"/>
  <mergeCells count="2">
    <mergeCell ref="A174:I174"/>
    <mergeCell ref="A1:N1"/>
  </mergeCells>
  <phoneticPr fontId="5"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3428C-F9F9-4458-922E-16FEDE8CA654}">
  <dimension ref="A1:AJ226"/>
  <sheetViews>
    <sheetView zoomScale="80" zoomScaleNormal="80" workbookViewId="0">
      <selection sqref="A1:G1"/>
    </sheetView>
  </sheetViews>
  <sheetFormatPr defaultColWidth="8.6640625" defaultRowHeight="13.2"/>
  <cols>
    <col min="1" max="1" width="35.88671875" style="7" customWidth="1"/>
    <col min="2" max="2" width="29.6640625" style="7" customWidth="1"/>
    <col min="3" max="4" width="23.109375" style="7" customWidth="1"/>
    <col min="5" max="5" width="33" style="7" customWidth="1"/>
    <col min="6" max="6" width="32.44140625" style="7" customWidth="1"/>
    <col min="7" max="7" width="25.5546875" style="7" customWidth="1"/>
    <col min="8" max="8" width="23" style="7" customWidth="1"/>
    <col min="9" max="9" width="27.44140625" style="7" customWidth="1"/>
    <col min="10" max="11" width="23" style="7" customWidth="1"/>
    <col min="12" max="12" width="19" style="7" customWidth="1"/>
    <col min="13" max="13" width="8.6640625" style="7" customWidth="1"/>
    <col min="14" max="14" width="11" style="7" customWidth="1"/>
    <col min="15" max="18" width="15.33203125" style="7" customWidth="1"/>
    <col min="19" max="19" width="7.6640625" style="7" hidden="1" customWidth="1"/>
    <col min="20" max="20" width="12.44140625" style="7" hidden="1" customWidth="1"/>
    <col min="21" max="36" width="6.5546875" style="7" hidden="1" customWidth="1"/>
    <col min="37" max="37" width="15.33203125" style="7" customWidth="1"/>
    <col min="38" max="38" width="11.33203125" style="7" customWidth="1"/>
    <col min="39" max="39" width="6.33203125" style="7" customWidth="1"/>
    <col min="40" max="43" width="4.6640625" style="7" customWidth="1"/>
    <col min="44" max="44" width="6.33203125" style="7" customWidth="1"/>
    <col min="45" max="59" width="4.6640625" style="7" customWidth="1"/>
    <col min="60" max="16384" width="8.6640625" style="7"/>
  </cols>
  <sheetData>
    <row r="1" spans="1:9" ht="24" customHeight="1">
      <c r="A1" s="616" t="str">
        <f>"Water Heater - "&amp;Prototype!A2</f>
        <v>Water Heater - Outpatient</v>
      </c>
      <c r="B1" s="617"/>
      <c r="C1" s="617"/>
      <c r="D1" s="617"/>
      <c r="E1" s="617"/>
      <c r="F1" s="617"/>
      <c r="G1" s="617"/>
      <c r="H1" s="262"/>
    </row>
    <row r="2" spans="1:9" ht="22.35" customHeight="1">
      <c r="A2" s="95" t="s">
        <v>281</v>
      </c>
      <c r="B2" s="95" t="s">
        <v>442</v>
      </c>
      <c r="C2" s="95" t="s">
        <v>443</v>
      </c>
      <c r="D2" s="463" t="s">
        <v>444</v>
      </c>
      <c r="E2" s="263" t="s">
        <v>445</v>
      </c>
      <c r="F2" s="263" t="s">
        <v>446</v>
      </c>
      <c r="G2" s="264" t="s">
        <v>67</v>
      </c>
      <c r="H2" s="265"/>
    </row>
    <row r="3" spans="1:9" ht="61.5" customHeight="1">
      <c r="A3" s="529" t="s">
        <v>447</v>
      </c>
      <c r="B3" s="529" t="s">
        <v>448</v>
      </c>
      <c r="C3" s="266">
        <v>0.8</v>
      </c>
      <c r="D3" s="415">
        <v>1</v>
      </c>
      <c r="E3" s="349" t="s">
        <v>449</v>
      </c>
      <c r="F3" s="348" t="s">
        <v>450</v>
      </c>
      <c r="G3" s="518" t="s">
        <v>451</v>
      </c>
      <c r="H3" s="267"/>
    </row>
    <row r="4" spans="1:9" ht="63.75" customHeight="1">
      <c r="A4" s="529" t="s">
        <v>318</v>
      </c>
      <c r="B4" s="529" t="s">
        <v>448</v>
      </c>
      <c r="C4" s="266">
        <v>0.8</v>
      </c>
      <c r="D4" s="415">
        <v>1</v>
      </c>
      <c r="E4" s="349" t="str">
        <f>E3</f>
        <v>See table below for CZ-specific values: Climate Zone Water Heater Sizing and Loss Coefficients, Storage Volume column (col F)</v>
      </c>
      <c r="F4" s="349" t="str">
        <f>F3</f>
        <v>See table below: Climate Zone Water Heater Sizing and Loss Coefficients, Standby Loss column (col G)</v>
      </c>
      <c r="G4" s="518" t="str">
        <f>G3</f>
        <v>See table below for sources: Climate Zone Water Heater Sizing and Loss Coefficients</v>
      </c>
      <c r="H4" s="267"/>
    </row>
    <row r="5" spans="1:9" ht="14.7" customHeight="1"/>
    <row r="6" spans="1:9" ht="13.95" customHeight="1"/>
    <row r="7" spans="1:9" ht="27.75" customHeight="1">
      <c r="A7" s="618" t="s">
        <v>452</v>
      </c>
      <c r="B7" s="570"/>
      <c r="C7" s="570"/>
      <c r="D7" s="570"/>
      <c r="E7" s="570"/>
      <c r="F7" s="570"/>
      <c r="G7" s="570"/>
      <c r="H7" s="570"/>
      <c r="I7" s="570"/>
    </row>
    <row r="8" spans="1:9" ht="52.8">
      <c r="A8" s="103" t="s">
        <v>453</v>
      </c>
      <c r="B8" s="103" t="s">
        <v>454</v>
      </c>
      <c r="C8" s="103" t="s">
        <v>455</v>
      </c>
      <c r="D8" s="103"/>
      <c r="E8" s="103" t="s">
        <v>120</v>
      </c>
      <c r="F8" s="103" t="s">
        <v>456</v>
      </c>
      <c r="G8" s="103" t="s">
        <v>457</v>
      </c>
      <c r="H8" s="103" t="s">
        <v>458</v>
      </c>
      <c r="I8" s="268" t="s">
        <v>331</v>
      </c>
    </row>
    <row r="9" spans="1:9" ht="22.2" customHeight="1">
      <c r="A9" s="131" t="str">
        <f>Zones!B3</f>
        <v>Floor 1 Anesthesia</v>
      </c>
      <c r="B9" s="425" t="s">
        <v>448</v>
      </c>
      <c r="C9" s="132">
        <f>Zones!H3</f>
        <v>108</v>
      </c>
      <c r="D9" s="132"/>
      <c r="E9" s="129">
        <f>Zones!K3</f>
        <v>1</v>
      </c>
      <c r="F9" s="133">
        <f>VLOOKUP(Zones!C3,'Water Heater'!$A$205:$B$226, 2, FALSE)</f>
        <v>0.24</v>
      </c>
      <c r="G9" s="113">
        <f>F9*E9</f>
        <v>0.24</v>
      </c>
      <c r="H9" s="269">
        <f t="shared" ref="H9:H72" si="0">G9/60</f>
        <v>4.0000000000000001E-3</v>
      </c>
      <c r="I9" s="619" t="s">
        <v>459</v>
      </c>
    </row>
    <row r="10" spans="1:9" ht="22.2" customHeight="1">
      <c r="A10" s="131" t="str">
        <f>Zones!B4</f>
        <v>Floor 1 Bio Haz</v>
      </c>
      <c r="B10" s="425" t="s">
        <v>448</v>
      </c>
      <c r="C10" s="132">
        <f>Zones!H4</f>
        <v>56</v>
      </c>
      <c r="D10" s="132"/>
      <c r="E10" s="129">
        <f>Zones!K4</f>
        <v>0</v>
      </c>
      <c r="F10" s="133">
        <f>VLOOKUP(Zones!C4,'Water Heater'!$A$205:$B$226, 2, FALSE)</f>
        <v>0.24</v>
      </c>
      <c r="G10" s="113">
        <f t="shared" ref="G10:G73" si="1">F10*E10</f>
        <v>0</v>
      </c>
      <c r="H10" s="269">
        <f t="shared" si="0"/>
        <v>0</v>
      </c>
      <c r="I10" s="620"/>
    </row>
    <row r="11" spans="1:9" ht="22.2" customHeight="1">
      <c r="A11" s="131" t="str">
        <f>Zones!B5</f>
        <v>Floor 1 Café</v>
      </c>
      <c r="B11" s="425" t="s">
        <v>448</v>
      </c>
      <c r="C11" s="132">
        <f>Zones!H5</f>
        <v>420</v>
      </c>
      <c r="D11" s="132"/>
      <c r="E11" s="129">
        <f>Zones!K5</f>
        <v>14</v>
      </c>
      <c r="F11" s="133">
        <f>VLOOKUP(Zones!C5,'Water Heater'!$A$205:$B$226, 2, FALSE)</f>
        <v>0.57799999999999996</v>
      </c>
      <c r="G11" s="113">
        <f t="shared" si="1"/>
        <v>8.0919999999999987</v>
      </c>
      <c r="H11" s="270">
        <f t="shared" si="0"/>
        <v>0.13486666666666663</v>
      </c>
      <c r="I11" s="620"/>
    </row>
    <row r="12" spans="1:9" ht="22.2" customHeight="1">
      <c r="A12" s="131" t="str">
        <f>Zones!B6</f>
        <v>Floor 1 Clean</v>
      </c>
      <c r="B12" s="425" t="s">
        <v>448</v>
      </c>
      <c r="C12" s="132">
        <f>Zones!H6</f>
        <v>126</v>
      </c>
      <c r="D12" s="132"/>
      <c r="E12" s="129">
        <f>Zones!K6</f>
        <v>1</v>
      </c>
      <c r="F12" s="133">
        <f>VLOOKUP(Zones!C6,'Water Heater'!$A$205:$B$226, 2, FALSE)</f>
        <v>0.24</v>
      </c>
      <c r="G12" s="113">
        <f t="shared" si="1"/>
        <v>0.24</v>
      </c>
      <c r="H12" s="270">
        <f t="shared" si="0"/>
        <v>4.0000000000000001E-3</v>
      </c>
      <c r="I12" s="620"/>
    </row>
    <row r="13" spans="1:9" ht="22.2" customHeight="1">
      <c r="A13" s="131" t="str">
        <f>Zones!B7</f>
        <v>Floor 1 Clean Work</v>
      </c>
      <c r="B13" s="425" t="s">
        <v>448</v>
      </c>
      <c r="C13" s="132">
        <f>Zones!H7</f>
        <v>165</v>
      </c>
      <c r="D13" s="132"/>
      <c r="E13" s="129">
        <f>Zones!K7</f>
        <v>1</v>
      </c>
      <c r="F13" s="133">
        <f>VLOOKUP(Zones!C7,'Water Heater'!$A$205:$B$226, 2, FALSE)</f>
        <v>0.24</v>
      </c>
      <c r="G13" s="113">
        <f t="shared" si="1"/>
        <v>0.24</v>
      </c>
      <c r="H13" s="270">
        <f t="shared" si="0"/>
        <v>4.0000000000000001E-3</v>
      </c>
      <c r="I13" s="620"/>
    </row>
    <row r="14" spans="1:9" ht="22.2" customHeight="1">
      <c r="A14" s="131" t="str">
        <f>Zones!B8</f>
        <v>Floor 1 Dictation</v>
      </c>
      <c r="B14" s="425" t="s">
        <v>448</v>
      </c>
      <c r="C14" s="132">
        <f>Zones!H8</f>
        <v>126</v>
      </c>
      <c r="D14" s="132"/>
      <c r="E14" s="129">
        <f>Zones!K8</f>
        <v>0.63</v>
      </c>
      <c r="F14" s="133">
        <f>VLOOKUP(Zones!C8,'Water Heater'!$A$205:$B$226, 2, FALSE)</f>
        <v>0.18</v>
      </c>
      <c r="G14" s="113">
        <f t="shared" si="1"/>
        <v>0.1134</v>
      </c>
      <c r="H14" s="270">
        <f t="shared" si="0"/>
        <v>1.89E-3</v>
      </c>
      <c r="I14" s="620"/>
    </row>
    <row r="15" spans="1:9" ht="22.2" customHeight="1">
      <c r="A15" s="131" t="str">
        <f>Zones!B9</f>
        <v>Floor 1 Dressing Room</v>
      </c>
      <c r="B15" s="425" t="s">
        <v>448</v>
      </c>
      <c r="C15" s="132">
        <f>Zones!H9</f>
        <v>45</v>
      </c>
      <c r="D15" s="132"/>
      <c r="E15" s="129">
        <f>Zones!K9</f>
        <v>0.22500000000000001</v>
      </c>
      <c r="F15" s="133">
        <f>VLOOKUP(Zones!C9,'Water Heater'!$A$205:$B$226, 2, FALSE)</f>
        <v>0.18</v>
      </c>
      <c r="G15" s="113">
        <f t="shared" si="1"/>
        <v>4.0500000000000001E-2</v>
      </c>
      <c r="H15" s="270">
        <f t="shared" si="0"/>
        <v>6.7500000000000004E-4</v>
      </c>
      <c r="I15" s="620"/>
    </row>
    <row r="16" spans="1:9" ht="22.2" customHeight="1">
      <c r="A16" s="131" t="str">
        <f>Zones!B10</f>
        <v>Floor 1 Electrical Room</v>
      </c>
      <c r="B16" s="425" t="s">
        <v>448</v>
      </c>
      <c r="C16" s="132">
        <f>Zones!H10</f>
        <v>98</v>
      </c>
      <c r="D16" s="132"/>
      <c r="E16" s="129">
        <f>Zones!K10</f>
        <v>0</v>
      </c>
      <c r="F16" s="133">
        <f>VLOOKUP(Zones!C10,'Water Heater'!$A$205:$B$226, 2, FALSE)</f>
        <v>0.18</v>
      </c>
      <c r="G16" s="113">
        <f t="shared" si="1"/>
        <v>0</v>
      </c>
      <c r="H16" s="270">
        <f t="shared" si="0"/>
        <v>0</v>
      </c>
      <c r="I16" s="620"/>
    </row>
    <row r="17" spans="1:9" ht="22.2" customHeight="1">
      <c r="A17" s="131" t="str">
        <f>Zones!B11</f>
        <v>Floor 1 Elevator Pump Room</v>
      </c>
      <c r="B17" s="425" t="s">
        <v>448</v>
      </c>
      <c r="C17" s="132">
        <f>Zones!H11</f>
        <v>91</v>
      </c>
      <c r="D17" s="132"/>
      <c r="E17" s="129">
        <f>Zones!K11</f>
        <v>0</v>
      </c>
      <c r="F17" s="133">
        <f>VLOOKUP(Zones!C11,'Water Heater'!$A$205:$B$226, 2, FALSE)</f>
        <v>0.18</v>
      </c>
      <c r="G17" s="113">
        <f t="shared" si="1"/>
        <v>0</v>
      </c>
      <c r="H17" s="270">
        <f t="shared" si="0"/>
        <v>0</v>
      </c>
      <c r="I17" s="620"/>
    </row>
    <row r="18" spans="1:9" ht="22.2" customHeight="1">
      <c r="A18" s="131" t="str">
        <f>Zones!B12</f>
        <v>Floor 1 Humid</v>
      </c>
      <c r="B18" s="425" t="s">
        <v>448</v>
      </c>
      <c r="C18" s="132">
        <f>Zones!H12</f>
        <v>54</v>
      </c>
      <c r="D18" s="132"/>
      <c r="E18" s="129">
        <f>Zones!K12</f>
        <v>0.27</v>
      </c>
      <c r="F18" s="133">
        <f>VLOOKUP(Zones!C12,'Water Heater'!$A$205:$B$226, 2, FALSE)</f>
        <v>0.18</v>
      </c>
      <c r="G18" s="113">
        <f t="shared" si="1"/>
        <v>4.8600000000000004E-2</v>
      </c>
      <c r="H18" s="270">
        <f t="shared" si="0"/>
        <v>8.1000000000000006E-4</v>
      </c>
      <c r="I18" s="620"/>
    </row>
    <row r="19" spans="1:9" ht="22.2" customHeight="1">
      <c r="A19" s="131" t="str">
        <f>Zones!B13</f>
        <v>Floor 1 IT Hall</v>
      </c>
      <c r="B19" s="425" t="s">
        <v>448</v>
      </c>
      <c r="C19" s="132">
        <f>Zones!H13</f>
        <v>140</v>
      </c>
      <c r="D19" s="132"/>
      <c r="E19" s="129">
        <f>Zones!K13</f>
        <v>1</v>
      </c>
      <c r="F19" s="133">
        <f>VLOOKUP(Zones!C13,'Water Heater'!$A$205:$B$226, 2, FALSE)</f>
        <v>0</v>
      </c>
      <c r="G19" s="113">
        <f t="shared" si="1"/>
        <v>0</v>
      </c>
      <c r="H19" s="270">
        <f t="shared" si="0"/>
        <v>0</v>
      </c>
      <c r="I19" s="620"/>
    </row>
    <row r="20" spans="1:9" ht="22.2" customHeight="1">
      <c r="A20" s="131" t="str">
        <f>Zones!B14</f>
        <v>Floor 1 IT Room</v>
      </c>
      <c r="B20" s="425" t="s">
        <v>448</v>
      </c>
      <c r="C20" s="132">
        <f>Zones!H14</f>
        <v>112</v>
      </c>
      <c r="D20" s="132"/>
      <c r="E20" s="129">
        <f>Zones!K14</f>
        <v>0.56000000000000005</v>
      </c>
      <c r="F20" s="133">
        <f>VLOOKUP(Zones!C14,'Water Heater'!$A$205:$B$226, 2, FALSE)</f>
        <v>0.18</v>
      </c>
      <c r="G20" s="113">
        <f t="shared" si="1"/>
        <v>0.1008</v>
      </c>
      <c r="H20" s="270">
        <f t="shared" si="0"/>
        <v>1.6800000000000001E-3</v>
      </c>
      <c r="I20" s="620"/>
    </row>
    <row r="21" spans="1:9" ht="22.2" customHeight="1">
      <c r="A21" s="131" t="str">
        <f>Zones!B15</f>
        <v>Floor 1 Lobby</v>
      </c>
      <c r="B21" s="425" t="s">
        <v>448</v>
      </c>
      <c r="C21" s="132">
        <f>Zones!H15</f>
        <v>622</v>
      </c>
      <c r="D21" s="132"/>
      <c r="E21" s="129">
        <f>Zones!K15</f>
        <v>21</v>
      </c>
      <c r="F21" s="133">
        <f>VLOOKUP(Zones!C15,'Water Heater'!$A$205:$B$226, 2, FALSE)</f>
        <v>0.09</v>
      </c>
      <c r="G21" s="113">
        <f t="shared" si="1"/>
        <v>1.89</v>
      </c>
      <c r="H21" s="270">
        <f t="shared" si="0"/>
        <v>3.15E-2</v>
      </c>
      <c r="I21" s="620"/>
    </row>
    <row r="22" spans="1:9" ht="22.2" customHeight="1">
      <c r="A22" s="131" t="str">
        <f>Zones!B16</f>
        <v>Floor 1 Lobby Hall</v>
      </c>
      <c r="B22" s="425" t="s">
        <v>448</v>
      </c>
      <c r="C22" s="132">
        <f>Zones!H16</f>
        <v>240</v>
      </c>
      <c r="D22" s="132"/>
      <c r="E22" s="129">
        <f>Zones!K16</f>
        <v>1</v>
      </c>
      <c r="F22" s="133">
        <f>VLOOKUP(Zones!C16,'Water Heater'!$A$205:$B$226, 2, FALSE)</f>
        <v>0</v>
      </c>
      <c r="G22" s="113">
        <f t="shared" si="1"/>
        <v>0</v>
      </c>
      <c r="H22" s="270">
        <f t="shared" si="0"/>
        <v>0</v>
      </c>
      <c r="I22" s="620"/>
    </row>
    <row r="23" spans="1:9" ht="22.2" customHeight="1">
      <c r="A23" s="131" t="str">
        <f>Zones!B17</f>
        <v>Floor 1 Lobby Toilet</v>
      </c>
      <c r="B23" s="425" t="s">
        <v>448</v>
      </c>
      <c r="C23" s="132">
        <f>Zones!H17</f>
        <v>54</v>
      </c>
      <c r="D23" s="132"/>
      <c r="E23" s="129">
        <f>Zones!K17</f>
        <v>0</v>
      </c>
      <c r="F23" s="133">
        <f>VLOOKUP(Zones!C17,'Water Heater'!$A$205:$B$226, 2, FALSE)</f>
        <v>0</v>
      </c>
      <c r="G23" s="113">
        <f t="shared" si="1"/>
        <v>0</v>
      </c>
      <c r="H23" s="270">
        <f t="shared" si="0"/>
        <v>0</v>
      </c>
      <c r="I23" s="620"/>
    </row>
    <row r="24" spans="1:9" ht="22.2" customHeight="1">
      <c r="A24" s="131" t="str">
        <f>Zones!B18</f>
        <v>Floor 1 Locker Room</v>
      </c>
      <c r="B24" s="425" t="s">
        <v>448</v>
      </c>
      <c r="C24" s="132">
        <f>Zones!H18</f>
        <v>660</v>
      </c>
      <c r="D24" s="132"/>
      <c r="E24" s="129">
        <f>Zones!K18</f>
        <v>7</v>
      </c>
      <c r="F24" s="133">
        <f>VLOOKUP(Zones!C18,'Water Heater'!$A$205:$B$226, 2, FALSE)</f>
        <v>0.57799999999999996</v>
      </c>
      <c r="G24" s="113">
        <f t="shared" si="1"/>
        <v>4.0459999999999994</v>
      </c>
      <c r="H24" s="270">
        <f t="shared" si="0"/>
        <v>6.7433333333333317E-2</v>
      </c>
      <c r="I24" s="620"/>
    </row>
    <row r="25" spans="1:9" ht="22.2" customHeight="1">
      <c r="A25" s="131" t="str">
        <f>Zones!B19</f>
        <v>Floor 1 Locker Room Hall</v>
      </c>
      <c r="B25" s="425" t="s">
        <v>448</v>
      </c>
      <c r="C25" s="132">
        <f>Zones!H19</f>
        <v>496</v>
      </c>
      <c r="D25" s="132"/>
      <c r="E25" s="129">
        <f>Zones!K19</f>
        <v>2</v>
      </c>
      <c r="F25" s="133">
        <f>VLOOKUP(Zones!C19,'Water Heater'!$A$205:$B$226, 2, FALSE)</f>
        <v>0</v>
      </c>
      <c r="G25" s="113">
        <f t="shared" si="1"/>
        <v>0</v>
      </c>
      <c r="H25" s="270">
        <f t="shared" si="0"/>
        <v>0</v>
      </c>
      <c r="I25" s="620"/>
    </row>
    <row r="26" spans="1:9" ht="22.2" customHeight="1">
      <c r="A26" s="131" t="str">
        <f>Zones!B20</f>
        <v>Floor 1 Lounge</v>
      </c>
      <c r="B26" s="425" t="s">
        <v>448</v>
      </c>
      <c r="C26" s="132">
        <f>Zones!H20</f>
        <v>360</v>
      </c>
      <c r="D26" s="132"/>
      <c r="E26" s="129">
        <f>Zones!K20</f>
        <v>12</v>
      </c>
      <c r="F26" s="133">
        <f>VLOOKUP(Zones!C20,'Water Heater'!$A$205:$B$226, 2, FALSE)</f>
        <v>0.09</v>
      </c>
      <c r="G26" s="113">
        <f t="shared" si="1"/>
        <v>1.08</v>
      </c>
      <c r="H26" s="270">
        <f t="shared" si="0"/>
        <v>1.8000000000000002E-2</v>
      </c>
      <c r="I26" s="620"/>
    </row>
    <row r="27" spans="1:9" ht="22.2" customHeight="1">
      <c r="A27" s="131" t="str">
        <f>Zones!B21</f>
        <v>Floor 1 Med Gas</v>
      </c>
      <c r="B27" s="425" t="s">
        <v>448</v>
      </c>
      <c r="C27" s="132">
        <f>Zones!H21</f>
        <v>56</v>
      </c>
      <c r="D27" s="132"/>
      <c r="E27" s="129">
        <f>Zones!K21</f>
        <v>0</v>
      </c>
      <c r="F27" s="133">
        <f>VLOOKUP(Zones!C21,'Water Heater'!$A$205:$B$226, 2, FALSE)</f>
        <v>0.24</v>
      </c>
      <c r="G27" s="113">
        <f t="shared" si="1"/>
        <v>0</v>
      </c>
      <c r="H27" s="270">
        <f t="shared" si="0"/>
        <v>0</v>
      </c>
      <c r="I27" s="620"/>
    </row>
    <row r="28" spans="1:9" ht="22.2" customHeight="1">
      <c r="A28" s="131" t="str">
        <f>Zones!B22</f>
        <v>Floor 1 MRI Control Room</v>
      </c>
      <c r="B28" s="425" t="s">
        <v>448</v>
      </c>
      <c r="C28" s="132">
        <f>Zones!H22</f>
        <v>168</v>
      </c>
      <c r="D28" s="132"/>
      <c r="E28" s="129">
        <f>Zones!K22</f>
        <v>1</v>
      </c>
      <c r="F28" s="133">
        <f>VLOOKUP(Zones!C22,'Water Heater'!$A$205:$B$226, 2, FALSE)</f>
        <v>0.24</v>
      </c>
      <c r="G28" s="113">
        <f t="shared" si="1"/>
        <v>0.24</v>
      </c>
      <c r="H28" s="270">
        <f t="shared" si="0"/>
        <v>4.0000000000000001E-3</v>
      </c>
      <c r="I28" s="620"/>
    </row>
    <row r="29" spans="1:9" ht="22.2" customHeight="1">
      <c r="A29" s="131" t="str">
        <f>Zones!B23</f>
        <v>Floor 1 MRI Hall</v>
      </c>
      <c r="B29" s="425" t="s">
        <v>448</v>
      </c>
      <c r="C29" s="132">
        <f>Zones!H23</f>
        <v>147</v>
      </c>
      <c r="D29" s="132"/>
      <c r="E29" s="129">
        <f>Zones!K23</f>
        <v>1</v>
      </c>
      <c r="F29" s="133">
        <f>VLOOKUP(Zones!C23,'Water Heater'!$A$205:$B$226, 2, FALSE)</f>
        <v>0</v>
      </c>
      <c r="G29" s="113">
        <f t="shared" si="1"/>
        <v>0</v>
      </c>
      <c r="H29" s="270">
        <f t="shared" si="0"/>
        <v>0</v>
      </c>
      <c r="I29" s="620"/>
    </row>
    <row r="30" spans="1:9" ht="22.2" customHeight="1">
      <c r="A30" s="131" t="str">
        <f>Zones!B24</f>
        <v>Floor 1 MRI Room</v>
      </c>
      <c r="B30" s="425" t="s">
        <v>448</v>
      </c>
      <c r="C30" s="132">
        <f>Zones!H24</f>
        <v>440</v>
      </c>
      <c r="D30" s="132"/>
      <c r="E30" s="129">
        <f>Zones!K24</f>
        <v>2</v>
      </c>
      <c r="F30" s="133">
        <f>VLOOKUP(Zones!C24,'Water Heater'!$A$205:$B$226, 2, FALSE)</f>
        <v>0.24</v>
      </c>
      <c r="G30" s="113">
        <f t="shared" si="1"/>
        <v>0.48</v>
      </c>
      <c r="H30" s="270">
        <f t="shared" si="0"/>
        <v>8.0000000000000002E-3</v>
      </c>
      <c r="I30" s="620"/>
    </row>
    <row r="31" spans="1:9" ht="22.2" customHeight="1">
      <c r="A31" s="131" t="str">
        <f>Zones!B25</f>
        <v>Floor 1 MRI Toilet</v>
      </c>
      <c r="B31" s="425" t="s">
        <v>448</v>
      </c>
      <c r="C31" s="132">
        <f>Zones!H25</f>
        <v>54</v>
      </c>
      <c r="D31" s="132"/>
      <c r="E31" s="129">
        <f>Zones!K25</f>
        <v>0</v>
      </c>
      <c r="F31" s="133">
        <f>VLOOKUP(Zones!C25,'Water Heater'!$A$205:$B$226, 2, FALSE)</f>
        <v>0</v>
      </c>
      <c r="G31" s="113">
        <f t="shared" si="1"/>
        <v>0</v>
      </c>
      <c r="H31" s="270">
        <f t="shared" si="0"/>
        <v>0</v>
      </c>
      <c r="I31" s="620"/>
    </row>
    <row r="32" spans="1:9" ht="22.2" customHeight="1">
      <c r="A32" s="131" t="str">
        <f>Zones!B26</f>
        <v>Floor 1 Nourishment</v>
      </c>
      <c r="B32" s="425" t="s">
        <v>448</v>
      </c>
      <c r="C32" s="132">
        <f>Zones!H26</f>
        <v>182</v>
      </c>
      <c r="D32" s="132"/>
      <c r="E32" s="129">
        <f>Zones!K26</f>
        <v>1</v>
      </c>
      <c r="F32" s="133">
        <f>VLOOKUP(Zones!C26,'Water Heater'!$A$205:$B$226, 2, FALSE)</f>
        <v>0.57799999999999996</v>
      </c>
      <c r="G32" s="113">
        <f t="shared" si="1"/>
        <v>0.57799999999999996</v>
      </c>
      <c r="H32" s="270">
        <f t="shared" si="0"/>
        <v>9.6333333333333323E-3</v>
      </c>
      <c r="I32" s="620"/>
    </row>
    <row r="33" spans="1:9" ht="22.2" customHeight="1">
      <c r="A33" s="131" t="str">
        <f>Zones!B27</f>
        <v>Floor 1 Nurse Hall</v>
      </c>
      <c r="B33" s="425" t="s">
        <v>448</v>
      </c>
      <c r="C33" s="132">
        <f>Zones!H27</f>
        <v>496</v>
      </c>
      <c r="D33" s="132"/>
      <c r="E33" s="129">
        <f>Zones!K27</f>
        <v>2</v>
      </c>
      <c r="F33" s="133">
        <f>VLOOKUP(Zones!C27,'Water Heater'!$A$205:$B$226, 2, FALSE)</f>
        <v>0</v>
      </c>
      <c r="G33" s="113">
        <f t="shared" si="1"/>
        <v>0</v>
      </c>
      <c r="H33" s="270">
        <f t="shared" si="0"/>
        <v>0</v>
      </c>
      <c r="I33" s="620"/>
    </row>
    <row r="34" spans="1:9" ht="22.2" customHeight="1">
      <c r="A34" s="131" t="str">
        <f>Zones!B28</f>
        <v>Floor 1 Nurse Janitor</v>
      </c>
      <c r="B34" s="425" t="s">
        <v>448</v>
      </c>
      <c r="C34" s="132">
        <f>Zones!H28</f>
        <v>54</v>
      </c>
      <c r="D34" s="132"/>
      <c r="E34" s="129">
        <f>Zones!K28</f>
        <v>0</v>
      </c>
      <c r="F34" s="133">
        <f>VLOOKUP(Zones!C28,'Water Heater'!$A$205:$B$226, 2, FALSE)</f>
        <v>0</v>
      </c>
      <c r="G34" s="113">
        <f t="shared" si="1"/>
        <v>0</v>
      </c>
      <c r="H34" s="270">
        <f t="shared" si="0"/>
        <v>0</v>
      </c>
      <c r="I34" s="620"/>
    </row>
    <row r="35" spans="1:9" ht="22.2" customHeight="1">
      <c r="A35" s="131" t="str">
        <f>Zones!B29</f>
        <v>Floor 1 Nurse Station</v>
      </c>
      <c r="B35" s="425" t="s">
        <v>448</v>
      </c>
      <c r="C35" s="132">
        <f>Zones!H29</f>
        <v>261</v>
      </c>
      <c r="D35" s="132"/>
      <c r="E35" s="129">
        <f>Zones!K29</f>
        <v>1</v>
      </c>
      <c r="F35" s="133">
        <f>VLOOKUP(Zones!C29,'Water Heater'!$A$205:$B$226, 2, FALSE)</f>
        <v>0.24</v>
      </c>
      <c r="G35" s="113">
        <f t="shared" si="1"/>
        <v>0.24</v>
      </c>
      <c r="H35" s="270">
        <f t="shared" si="0"/>
        <v>4.0000000000000001E-3</v>
      </c>
      <c r="I35" s="620"/>
    </row>
    <row r="36" spans="1:9" ht="22.2" customHeight="1">
      <c r="A36" s="131" t="str">
        <f>Zones!B30</f>
        <v>Floor 1 Nurse Toilet</v>
      </c>
      <c r="B36" s="425" t="s">
        <v>448</v>
      </c>
      <c r="C36" s="132">
        <f>Zones!H30</f>
        <v>54</v>
      </c>
      <c r="D36" s="132"/>
      <c r="E36" s="129">
        <f>Zones!K30</f>
        <v>0</v>
      </c>
      <c r="F36" s="133">
        <f>VLOOKUP(Zones!C30,'Water Heater'!$A$205:$B$226, 2, FALSE)</f>
        <v>0</v>
      </c>
      <c r="G36" s="113">
        <f t="shared" si="1"/>
        <v>0</v>
      </c>
      <c r="H36" s="270">
        <f t="shared" si="0"/>
        <v>0</v>
      </c>
      <c r="I36" s="620"/>
    </row>
    <row r="37" spans="1:9" ht="22.2" customHeight="1">
      <c r="A37" s="131" t="str">
        <f>Zones!B31</f>
        <v>Floor 1 Office</v>
      </c>
      <c r="B37" s="425" t="s">
        <v>448</v>
      </c>
      <c r="C37" s="132">
        <f>Zones!H31</f>
        <v>483</v>
      </c>
      <c r="D37" s="132"/>
      <c r="E37" s="129">
        <f>Zones!K31</f>
        <v>2.415</v>
      </c>
      <c r="F37" s="133">
        <f>VLOOKUP(Zones!C31,'Water Heater'!$A$205:$B$226, 2, FALSE)</f>
        <v>0.18</v>
      </c>
      <c r="G37" s="113">
        <f t="shared" si="1"/>
        <v>0.43469999999999998</v>
      </c>
      <c r="H37" s="270">
        <f t="shared" si="0"/>
        <v>7.2449999999999997E-3</v>
      </c>
      <c r="I37" s="620"/>
    </row>
    <row r="38" spans="1:9" ht="22.2" customHeight="1">
      <c r="A38" s="131" t="str">
        <f>Zones!B32</f>
        <v>Floor 1 Operating Room 1</v>
      </c>
      <c r="B38" s="425" t="s">
        <v>448</v>
      </c>
      <c r="C38" s="132">
        <f>Zones!H32</f>
        <v>460</v>
      </c>
      <c r="D38" s="132"/>
      <c r="E38" s="129">
        <f>Zones!K32</f>
        <v>2</v>
      </c>
      <c r="F38" s="133">
        <f>VLOOKUP(Zones!C32,'Water Heater'!$A$205:$B$226, 2, FALSE)</f>
        <v>0.24</v>
      </c>
      <c r="G38" s="113">
        <f t="shared" si="1"/>
        <v>0.48</v>
      </c>
      <c r="H38" s="270">
        <f t="shared" si="0"/>
        <v>8.0000000000000002E-3</v>
      </c>
      <c r="I38" s="620"/>
    </row>
    <row r="39" spans="1:9" ht="22.2" customHeight="1">
      <c r="A39" s="131" t="str">
        <f>Zones!B33</f>
        <v>Floor 1 Operating Room 2</v>
      </c>
      <c r="B39" s="425" t="s">
        <v>448</v>
      </c>
      <c r="C39" s="132">
        <f>Zones!H33</f>
        <v>480</v>
      </c>
      <c r="D39" s="132"/>
      <c r="E39" s="129">
        <f>Zones!K33</f>
        <v>2</v>
      </c>
      <c r="F39" s="133">
        <f>VLOOKUP(Zones!C33,'Water Heater'!$A$205:$B$226, 2, FALSE)</f>
        <v>0.24</v>
      </c>
      <c r="G39" s="113">
        <f t="shared" si="1"/>
        <v>0.48</v>
      </c>
      <c r="H39" s="270">
        <f t="shared" si="0"/>
        <v>8.0000000000000002E-3</v>
      </c>
      <c r="I39" s="620"/>
    </row>
    <row r="40" spans="1:9" ht="22.2" customHeight="1">
      <c r="A40" s="131" t="str">
        <f>Zones!B34</f>
        <v>Floor 1 Operating Room 3</v>
      </c>
      <c r="B40" s="425" t="s">
        <v>448</v>
      </c>
      <c r="C40" s="132">
        <f>Zones!H34</f>
        <v>476</v>
      </c>
      <c r="D40" s="132"/>
      <c r="E40" s="129">
        <f>Zones!K34</f>
        <v>2</v>
      </c>
      <c r="F40" s="133">
        <f>VLOOKUP(Zones!C34,'Water Heater'!$A$205:$B$226, 2, FALSE)</f>
        <v>0.24</v>
      </c>
      <c r="G40" s="113">
        <f t="shared" si="1"/>
        <v>0.48</v>
      </c>
      <c r="H40" s="270">
        <f t="shared" si="0"/>
        <v>8.0000000000000002E-3</v>
      </c>
      <c r="I40" s="620"/>
    </row>
    <row r="41" spans="1:9" ht="22.2" customHeight="1">
      <c r="A41" s="131" t="str">
        <f>Zones!B35</f>
        <v>Floor 1 PACU</v>
      </c>
      <c r="B41" s="425" t="s">
        <v>448</v>
      </c>
      <c r="C41" s="132">
        <f>Zones!H35</f>
        <v>108</v>
      </c>
      <c r="D41" s="132"/>
      <c r="E41" s="129">
        <f>Zones!K35</f>
        <v>1</v>
      </c>
      <c r="F41" s="133">
        <f>VLOOKUP(Zones!C35,'Water Heater'!$A$205:$B$226, 2, FALSE)</f>
        <v>0.24</v>
      </c>
      <c r="G41" s="113">
        <f t="shared" si="1"/>
        <v>0.24</v>
      </c>
      <c r="H41" s="270">
        <f t="shared" si="0"/>
        <v>4.0000000000000001E-3</v>
      </c>
      <c r="I41" s="620"/>
    </row>
    <row r="42" spans="1:9" ht="22.2" customHeight="1">
      <c r="A42" s="131" t="str">
        <f>Zones!B36</f>
        <v>Floor 1 Pre-Op Hall</v>
      </c>
      <c r="B42" s="425" t="s">
        <v>448</v>
      </c>
      <c r="C42" s="132">
        <f>Zones!H36</f>
        <v>528</v>
      </c>
      <c r="D42" s="132"/>
      <c r="E42" s="129">
        <f>Zones!K36</f>
        <v>3</v>
      </c>
      <c r="F42" s="133">
        <f>VLOOKUP(Zones!C36,'Water Heater'!$A$205:$B$226, 2, FALSE)</f>
        <v>0</v>
      </c>
      <c r="G42" s="113">
        <f t="shared" si="1"/>
        <v>0</v>
      </c>
      <c r="H42" s="270">
        <f t="shared" si="0"/>
        <v>0</v>
      </c>
      <c r="I42" s="620"/>
    </row>
    <row r="43" spans="1:9" ht="22.2" customHeight="1">
      <c r="A43" s="131" t="str">
        <f>Zones!B37</f>
        <v>Floor 1 Pre-Op Room 1</v>
      </c>
      <c r="B43" s="425" t="s">
        <v>448</v>
      </c>
      <c r="C43" s="132">
        <f>Zones!H37</f>
        <v>189</v>
      </c>
      <c r="D43" s="132"/>
      <c r="E43" s="129">
        <f>Zones!K37</f>
        <v>1</v>
      </c>
      <c r="F43" s="133">
        <f>VLOOKUP(Zones!C37,'Water Heater'!$A$205:$B$226, 2, FALSE)</f>
        <v>0.24</v>
      </c>
      <c r="G43" s="113">
        <f t="shared" si="1"/>
        <v>0.24</v>
      </c>
      <c r="H43" s="270">
        <f t="shared" si="0"/>
        <v>4.0000000000000001E-3</v>
      </c>
      <c r="I43" s="620"/>
    </row>
    <row r="44" spans="1:9" ht="22.2" customHeight="1">
      <c r="A44" s="131" t="str">
        <f>Zones!B38</f>
        <v>Floor 1 Pre-Op Room 2</v>
      </c>
      <c r="B44" s="425" t="s">
        <v>448</v>
      </c>
      <c r="C44" s="132">
        <f>Zones!H38</f>
        <v>338</v>
      </c>
      <c r="D44" s="132"/>
      <c r="E44" s="129">
        <f>Zones!K38</f>
        <v>2</v>
      </c>
      <c r="F44" s="133">
        <f>VLOOKUP(Zones!C38,'Water Heater'!$A$205:$B$226, 2, FALSE)</f>
        <v>0.24</v>
      </c>
      <c r="G44" s="113">
        <f t="shared" si="1"/>
        <v>0.48</v>
      </c>
      <c r="H44" s="270">
        <f t="shared" si="0"/>
        <v>8.0000000000000002E-3</v>
      </c>
      <c r="I44" s="620"/>
    </row>
    <row r="45" spans="1:9" ht="22.2" customHeight="1">
      <c r="A45" s="131" t="str">
        <f>Zones!B39</f>
        <v>Floor 1 Pre-Op Toilet</v>
      </c>
      <c r="B45" s="425" t="s">
        <v>448</v>
      </c>
      <c r="C45" s="132">
        <f>Zones!H39</f>
        <v>54</v>
      </c>
      <c r="D45" s="132"/>
      <c r="E45" s="129">
        <f>Zones!K39</f>
        <v>0</v>
      </c>
      <c r="F45" s="133">
        <f>VLOOKUP(Zones!C39,'Water Heater'!$A$205:$B$226, 2, FALSE)</f>
        <v>0</v>
      </c>
      <c r="G45" s="113">
        <f t="shared" si="1"/>
        <v>0</v>
      </c>
      <c r="H45" s="270">
        <f t="shared" si="0"/>
        <v>0</v>
      </c>
      <c r="I45" s="620"/>
    </row>
    <row r="46" spans="1:9" ht="22.2" customHeight="1">
      <c r="A46" s="131" t="str">
        <f>Zones!B40</f>
        <v>Floor 1 Procedure Room</v>
      </c>
      <c r="B46" s="425" t="s">
        <v>448</v>
      </c>
      <c r="C46" s="132">
        <f>Zones!H40</f>
        <v>285</v>
      </c>
      <c r="D46" s="132"/>
      <c r="E46" s="129">
        <f>Zones!K40</f>
        <v>1</v>
      </c>
      <c r="F46" s="133">
        <f>VLOOKUP(Zones!C40,'Water Heater'!$A$205:$B$226, 2, FALSE)</f>
        <v>0.24</v>
      </c>
      <c r="G46" s="113">
        <f t="shared" si="1"/>
        <v>0.24</v>
      </c>
      <c r="H46" s="270">
        <f t="shared" si="0"/>
        <v>4.0000000000000001E-3</v>
      </c>
      <c r="I46" s="620"/>
    </row>
    <row r="47" spans="1:9" ht="22.2" customHeight="1">
      <c r="A47" s="131" t="str">
        <f>Zones!B41</f>
        <v>Floor 1 Reception</v>
      </c>
      <c r="B47" s="425" t="s">
        <v>448</v>
      </c>
      <c r="C47" s="132">
        <f>Zones!H41</f>
        <v>509</v>
      </c>
      <c r="D47" s="132"/>
      <c r="E47" s="129">
        <f>Zones!K41</f>
        <v>2.5449999999999999</v>
      </c>
      <c r="F47" s="133">
        <f>VLOOKUP(Zones!C41,'Water Heater'!$A$205:$B$226, 2, FALSE)</f>
        <v>0.18</v>
      </c>
      <c r="G47" s="113">
        <f t="shared" si="1"/>
        <v>0.45809999999999995</v>
      </c>
      <c r="H47" s="270">
        <f t="shared" si="0"/>
        <v>7.6349999999999994E-3</v>
      </c>
      <c r="I47" s="620"/>
    </row>
    <row r="48" spans="1:9" ht="22.2" customHeight="1">
      <c r="A48" s="131" t="str">
        <f>Zones!B42</f>
        <v>Floor 1 Reception Hall</v>
      </c>
      <c r="B48" s="425" t="s">
        <v>448</v>
      </c>
      <c r="C48" s="132">
        <f>Zones!H42</f>
        <v>128</v>
      </c>
      <c r="D48" s="132"/>
      <c r="E48" s="129">
        <f>Zones!K42</f>
        <v>1</v>
      </c>
      <c r="F48" s="133">
        <f>VLOOKUP(Zones!C42,'Water Heater'!$A$205:$B$226, 2, FALSE)</f>
        <v>0</v>
      </c>
      <c r="G48" s="113">
        <f t="shared" si="1"/>
        <v>0</v>
      </c>
      <c r="H48" s="270">
        <f t="shared" si="0"/>
        <v>0</v>
      </c>
      <c r="I48" s="620"/>
    </row>
    <row r="49" spans="1:9" ht="22.2" customHeight="1">
      <c r="A49" s="131" t="str">
        <f>Zones!B43</f>
        <v>Floor 1 Recovery Room</v>
      </c>
      <c r="B49" s="425" t="s">
        <v>448</v>
      </c>
      <c r="C49" s="132">
        <f>Zones!H43</f>
        <v>540</v>
      </c>
      <c r="D49" s="132"/>
      <c r="E49" s="129">
        <f>Zones!K43</f>
        <v>3</v>
      </c>
      <c r="F49" s="133">
        <f>VLOOKUP(Zones!C43,'Water Heater'!$A$205:$B$226, 2, FALSE)</f>
        <v>0.24</v>
      </c>
      <c r="G49" s="113">
        <f t="shared" si="1"/>
        <v>0.72</v>
      </c>
      <c r="H49" s="270">
        <f t="shared" si="0"/>
        <v>1.2E-2</v>
      </c>
      <c r="I49" s="620"/>
    </row>
    <row r="50" spans="1:9" ht="22.2" customHeight="1">
      <c r="A50" s="131" t="str">
        <f>Zones!B44</f>
        <v>Floor 1 Scheduling</v>
      </c>
      <c r="B50" s="425" t="s">
        <v>448</v>
      </c>
      <c r="C50" s="132">
        <f>Zones!H44</f>
        <v>119</v>
      </c>
      <c r="D50" s="132"/>
      <c r="E50" s="129">
        <f>Zones!K44</f>
        <v>0.59499999999999997</v>
      </c>
      <c r="F50" s="133">
        <f>VLOOKUP(Zones!C44,'Water Heater'!$A$205:$B$226, 2, FALSE)</f>
        <v>0.18</v>
      </c>
      <c r="G50" s="113">
        <f t="shared" si="1"/>
        <v>0.10709999999999999</v>
      </c>
      <c r="H50" s="270">
        <f t="shared" si="0"/>
        <v>1.7849999999999997E-3</v>
      </c>
      <c r="I50" s="620"/>
    </row>
    <row r="51" spans="1:9" ht="22.2" customHeight="1">
      <c r="A51" s="131" t="str">
        <f>Zones!B45</f>
        <v>Floor 1 Scrub</v>
      </c>
      <c r="B51" s="425" t="s">
        <v>448</v>
      </c>
      <c r="C51" s="132">
        <f>Zones!H45</f>
        <v>84</v>
      </c>
      <c r="D51" s="132"/>
      <c r="E51" s="129">
        <f>Zones!K45</f>
        <v>0</v>
      </c>
      <c r="F51" s="133">
        <f>VLOOKUP(Zones!C45,'Water Heater'!$A$205:$B$226, 2, FALSE)</f>
        <v>0</v>
      </c>
      <c r="G51" s="113">
        <f t="shared" si="1"/>
        <v>0</v>
      </c>
      <c r="H51" s="270">
        <f t="shared" si="0"/>
        <v>0</v>
      </c>
      <c r="I51" s="620"/>
    </row>
    <row r="52" spans="1:9" ht="22.2" customHeight="1">
      <c r="A52" s="131" t="str">
        <f>Zones!B46</f>
        <v>Floor 1 Soil</v>
      </c>
      <c r="B52" s="425" t="s">
        <v>448</v>
      </c>
      <c r="C52" s="132">
        <f>Zones!H46</f>
        <v>126</v>
      </c>
      <c r="D52" s="132"/>
      <c r="E52" s="129">
        <f>Zones!K46</f>
        <v>1</v>
      </c>
      <c r="F52" s="133">
        <f>VLOOKUP(Zones!C46,'Water Heater'!$A$205:$B$226, 2, FALSE)</f>
        <v>0.24</v>
      </c>
      <c r="G52" s="113">
        <f t="shared" si="1"/>
        <v>0.24</v>
      </c>
      <c r="H52" s="270">
        <f t="shared" si="0"/>
        <v>4.0000000000000001E-3</v>
      </c>
      <c r="I52" s="620"/>
    </row>
    <row r="53" spans="1:9" ht="22.2" customHeight="1">
      <c r="A53" s="131" t="str">
        <f>Zones!B47</f>
        <v>Floor 1 Soil Hold</v>
      </c>
      <c r="B53" s="425" t="s">
        <v>448</v>
      </c>
      <c r="C53" s="132">
        <f>Zones!H47</f>
        <v>56</v>
      </c>
      <c r="D53" s="132"/>
      <c r="E53" s="129">
        <f>Zones!K47</f>
        <v>0</v>
      </c>
      <c r="F53" s="133">
        <f>VLOOKUP(Zones!C47,'Water Heater'!$A$205:$B$226, 2, FALSE)</f>
        <v>0.24</v>
      </c>
      <c r="G53" s="113">
        <f t="shared" si="1"/>
        <v>0</v>
      </c>
      <c r="H53" s="270">
        <f t="shared" si="0"/>
        <v>0</v>
      </c>
      <c r="I53" s="620"/>
    </row>
    <row r="54" spans="1:9" ht="22.2" customHeight="1">
      <c r="A54" s="131" t="str">
        <f>Zones!B48</f>
        <v>Floor 1 Soil Work</v>
      </c>
      <c r="B54" s="425" t="s">
        <v>448</v>
      </c>
      <c r="C54" s="132">
        <f>Zones!H48</f>
        <v>180</v>
      </c>
      <c r="D54" s="132"/>
      <c r="E54" s="129">
        <f>Zones!K48</f>
        <v>1</v>
      </c>
      <c r="F54" s="133">
        <f>VLOOKUP(Zones!C48,'Water Heater'!$A$205:$B$226, 2, FALSE)</f>
        <v>0.24</v>
      </c>
      <c r="G54" s="113">
        <f t="shared" si="1"/>
        <v>0.24</v>
      </c>
      <c r="H54" s="270">
        <f t="shared" si="0"/>
        <v>4.0000000000000001E-3</v>
      </c>
      <c r="I54" s="620"/>
    </row>
    <row r="55" spans="1:9" ht="22.2" customHeight="1">
      <c r="A55" s="131" t="str">
        <f>Zones!B49</f>
        <v>Floor 1 Step Down</v>
      </c>
      <c r="B55" s="425" t="s">
        <v>448</v>
      </c>
      <c r="C55" s="132">
        <f>Zones!H49</f>
        <v>300</v>
      </c>
      <c r="D55" s="132"/>
      <c r="E55" s="129">
        <f>Zones!K49</f>
        <v>2</v>
      </c>
      <c r="F55" s="133">
        <f>VLOOKUP(Zones!C49,'Water Heater'!$A$205:$B$226, 2, FALSE)</f>
        <v>0.24</v>
      </c>
      <c r="G55" s="113">
        <f t="shared" si="1"/>
        <v>0.48</v>
      </c>
      <c r="H55" s="270">
        <f t="shared" si="0"/>
        <v>8.0000000000000002E-3</v>
      </c>
      <c r="I55" s="620"/>
    </row>
    <row r="56" spans="1:9" ht="22.2" customHeight="1">
      <c r="A56" s="131" t="str">
        <f>Zones!B50</f>
        <v>Floor 1 Sterile Hall</v>
      </c>
      <c r="B56" s="425" t="s">
        <v>448</v>
      </c>
      <c r="C56" s="132">
        <f>Zones!H50</f>
        <v>616</v>
      </c>
      <c r="D56" s="132"/>
      <c r="E56" s="129">
        <f>Zones!K50</f>
        <v>3</v>
      </c>
      <c r="F56" s="133">
        <f>VLOOKUP(Zones!C50,'Water Heater'!$A$205:$B$226, 2, FALSE)</f>
        <v>0</v>
      </c>
      <c r="G56" s="113">
        <f t="shared" si="1"/>
        <v>0</v>
      </c>
      <c r="H56" s="270">
        <f t="shared" si="0"/>
        <v>0</v>
      </c>
      <c r="I56" s="620"/>
    </row>
    <row r="57" spans="1:9" ht="22.2" customHeight="1">
      <c r="A57" s="131" t="str">
        <f>Zones!B51</f>
        <v>Floor 1 Sterile Storage</v>
      </c>
      <c r="B57" s="425" t="s">
        <v>448</v>
      </c>
      <c r="C57" s="132">
        <f>Zones!H51</f>
        <v>396</v>
      </c>
      <c r="D57" s="132"/>
      <c r="E57" s="129">
        <f>Zones!K51</f>
        <v>1</v>
      </c>
      <c r="F57" s="133">
        <f>VLOOKUP(Zones!C51,'Water Heater'!$A$205:$B$226, 2, FALSE)</f>
        <v>0</v>
      </c>
      <c r="G57" s="113">
        <f t="shared" si="1"/>
        <v>0</v>
      </c>
      <c r="H57" s="270">
        <f t="shared" si="0"/>
        <v>0</v>
      </c>
      <c r="I57" s="620"/>
    </row>
    <row r="58" spans="1:9" ht="22.2" customHeight="1">
      <c r="A58" s="131" t="str">
        <f>Zones!B52</f>
        <v>Floor 1 Storage</v>
      </c>
      <c r="B58" s="425" t="s">
        <v>448</v>
      </c>
      <c r="C58" s="132">
        <f>Zones!H52</f>
        <v>920</v>
      </c>
      <c r="D58" s="132"/>
      <c r="E58" s="129">
        <f>Zones!K52</f>
        <v>2</v>
      </c>
      <c r="F58" s="133">
        <f>VLOOKUP(Zones!C52,'Water Heater'!$A$205:$B$226, 2, FALSE)</f>
        <v>0</v>
      </c>
      <c r="G58" s="113">
        <f t="shared" si="1"/>
        <v>0</v>
      </c>
      <c r="H58" s="270">
        <f t="shared" si="0"/>
        <v>0</v>
      </c>
      <c r="I58" s="620"/>
    </row>
    <row r="59" spans="1:9" ht="22.2" customHeight="1">
      <c r="A59" s="131" t="str">
        <f>Zones!B53</f>
        <v>Floor 1 Sub-Sterile</v>
      </c>
      <c r="B59" s="425" t="s">
        <v>448</v>
      </c>
      <c r="C59" s="132">
        <f>Zones!H53</f>
        <v>196</v>
      </c>
      <c r="D59" s="132"/>
      <c r="E59" s="129">
        <f>Zones!K53</f>
        <v>1</v>
      </c>
      <c r="F59" s="133">
        <f>VLOOKUP(Zones!C53,'Water Heater'!$A$205:$B$226, 2, FALSE)</f>
        <v>0</v>
      </c>
      <c r="G59" s="113">
        <f t="shared" si="1"/>
        <v>0</v>
      </c>
      <c r="H59" s="270">
        <f t="shared" si="0"/>
        <v>0</v>
      </c>
      <c r="I59" s="620"/>
    </row>
    <row r="60" spans="1:9" ht="22.2" customHeight="1">
      <c r="A60" s="131" t="str">
        <f>Zones!B54</f>
        <v>Floor 1 Utility Hall</v>
      </c>
      <c r="B60" s="425" t="s">
        <v>448</v>
      </c>
      <c r="C60" s="132">
        <f>Zones!H54</f>
        <v>256</v>
      </c>
      <c r="D60" s="132"/>
      <c r="E60" s="129">
        <f>Zones!K54</f>
        <v>1</v>
      </c>
      <c r="F60" s="133">
        <f>VLOOKUP(Zones!C54,'Water Heater'!$A$205:$B$226, 2, FALSE)</f>
        <v>0</v>
      </c>
      <c r="G60" s="113">
        <f t="shared" si="1"/>
        <v>0</v>
      </c>
      <c r="H60" s="270">
        <f t="shared" si="0"/>
        <v>0</v>
      </c>
      <c r="I60" s="620"/>
    </row>
    <row r="61" spans="1:9" ht="22.2" customHeight="1">
      <c r="A61" s="131" t="str">
        <f>Zones!B55</f>
        <v>Floor 1 Utility Janitor</v>
      </c>
      <c r="B61" s="425" t="s">
        <v>448</v>
      </c>
      <c r="C61" s="132">
        <f>Zones!H55</f>
        <v>42</v>
      </c>
      <c r="D61" s="132"/>
      <c r="E61" s="129">
        <f>Zones!K55</f>
        <v>0</v>
      </c>
      <c r="F61" s="133">
        <f>VLOOKUP(Zones!C55,'Water Heater'!$A$205:$B$226, 2, FALSE)</f>
        <v>0</v>
      </c>
      <c r="G61" s="113">
        <f t="shared" si="1"/>
        <v>0</v>
      </c>
      <c r="H61" s="270">
        <f t="shared" si="0"/>
        <v>0</v>
      </c>
      <c r="I61" s="620"/>
    </row>
    <row r="62" spans="1:9" ht="22.2" customHeight="1">
      <c r="A62" s="131" t="str">
        <f>Zones!B56</f>
        <v>Floor 1 Utility Room</v>
      </c>
      <c r="B62" s="425" t="s">
        <v>448</v>
      </c>
      <c r="C62" s="132">
        <f>Zones!H56</f>
        <v>360</v>
      </c>
      <c r="D62" s="132"/>
      <c r="E62" s="129">
        <f>Zones!K56</f>
        <v>1</v>
      </c>
      <c r="F62" s="133">
        <f>VLOOKUP(Zones!C56,'Water Heater'!$A$205:$B$226, 2, FALSE)</f>
        <v>0</v>
      </c>
      <c r="G62" s="113">
        <f t="shared" si="1"/>
        <v>0</v>
      </c>
      <c r="H62" s="270">
        <f t="shared" si="0"/>
        <v>0</v>
      </c>
      <c r="I62" s="620"/>
    </row>
    <row r="63" spans="1:9" ht="22.2" customHeight="1">
      <c r="A63" s="131" t="str">
        <f>Zones!B57</f>
        <v>Floor 1 Vestibule</v>
      </c>
      <c r="B63" s="425" t="s">
        <v>448</v>
      </c>
      <c r="C63" s="132">
        <f>Zones!H57</f>
        <v>72</v>
      </c>
      <c r="D63" s="132"/>
      <c r="E63" s="129">
        <f>Zones!K57</f>
        <v>0</v>
      </c>
      <c r="F63" s="133">
        <f>VLOOKUP(Zones!C57,'Water Heater'!$A$205:$B$226, 2, FALSE)</f>
        <v>0</v>
      </c>
      <c r="G63" s="113">
        <f t="shared" si="1"/>
        <v>0</v>
      </c>
      <c r="H63" s="270">
        <f t="shared" si="0"/>
        <v>0</v>
      </c>
      <c r="I63" s="620"/>
    </row>
    <row r="64" spans="1:9" ht="22.2" customHeight="1">
      <c r="A64" s="131" t="str">
        <f>Zones!B58</f>
        <v>Floor 2 Conference</v>
      </c>
      <c r="B64" s="425" t="s">
        <v>448</v>
      </c>
      <c r="C64" s="132">
        <f>Zones!H58</f>
        <v>336</v>
      </c>
      <c r="D64" s="132"/>
      <c r="E64" s="129">
        <f>Zones!K58</f>
        <v>11.087999999999999</v>
      </c>
      <c r="F64" s="133">
        <f>VLOOKUP(Zones!C58,'Water Heater'!$A$205:$B$226, 2, FALSE)</f>
        <v>0.09</v>
      </c>
      <c r="G64" s="113">
        <f t="shared" si="1"/>
        <v>0.99791999999999992</v>
      </c>
      <c r="H64" s="270">
        <f t="shared" si="0"/>
        <v>1.6631999999999997E-2</v>
      </c>
      <c r="I64" s="620"/>
    </row>
    <row r="65" spans="1:9" ht="22.2" customHeight="1">
      <c r="A65" s="131" t="str">
        <f>Zones!B59</f>
        <v>Floor 2 Conference Toilet</v>
      </c>
      <c r="B65" s="425" t="s">
        <v>448</v>
      </c>
      <c r="C65" s="132">
        <f>Zones!H59</f>
        <v>64</v>
      </c>
      <c r="D65" s="132"/>
      <c r="E65" s="129">
        <f>Zones!K59</f>
        <v>0</v>
      </c>
      <c r="F65" s="133">
        <f>VLOOKUP(Zones!C59,'Water Heater'!$A$205:$B$226, 2, FALSE)</f>
        <v>0</v>
      </c>
      <c r="G65" s="113">
        <f t="shared" si="1"/>
        <v>0</v>
      </c>
      <c r="H65" s="270">
        <f t="shared" si="0"/>
        <v>0</v>
      </c>
      <c r="I65" s="620"/>
    </row>
    <row r="66" spans="1:9" ht="22.2" customHeight="1">
      <c r="A66" s="131" t="str">
        <f>Zones!B60</f>
        <v>Floor 2 Dictation</v>
      </c>
      <c r="B66" s="425" t="s">
        <v>448</v>
      </c>
      <c r="C66" s="132">
        <f>Zones!H60</f>
        <v>70</v>
      </c>
      <c r="D66" s="132"/>
      <c r="E66" s="129">
        <f>Zones!K60</f>
        <v>0.35</v>
      </c>
      <c r="F66" s="133">
        <f>VLOOKUP(Zones!C60,'Water Heater'!$A$205:$B$226, 2, FALSE)</f>
        <v>0.18</v>
      </c>
      <c r="G66" s="113">
        <f t="shared" si="1"/>
        <v>6.3E-2</v>
      </c>
      <c r="H66" s="270">
        <f t="shared" si="0"/>
        <v>1.0499999999999999E-3</v>
      </c>
      <c r="I66" s="620"/>
    </row>
    <row r="67" spans="1:9" ht="22.2" customHeight="1">
      <c r="A67" s="131" t="str">
        <f>Zones!B61</f>
        <v>Floor 2 Exam 1</v>
      </c>
      <c r="B67" s="425" t="s">
        <v>448</v>
      </c>
      <c r="C67" s="132">
        <f>Zones!H61</f>
        <v>360</v>
      </c>
      <c r="D67" s="132"/>
      <c r="E67" s="129">
        <f>Zones!K61</f>
        <v>2</v>
      </c>
      <c r="F67" s="133">
        <f>VLOOKUP(Zones!C61,'Water Heater'!$A$205:$B$226, 2, FALSE)</f>
        <v>0.24</v>
      </c>
      <c r="G67" s="113">
        <f t="shared" si="1"/>
        <v>0.48</v>
      </c>
      <c r="H67" s="270">
        <f t="shared" si="0"/>
        <v>8.0000000000000002E-3</v>
      </c>
      <c r="I67" s="620"/>
    </row>
    <row r="68" spans="1:9" ht="22.2" customHeight="1">
      <c r="A68" s="131" t="str">
        <f>Zones!B62</f>
        <v>Floor 2 Exam 2</v>
      </c>
      <c r="B68" s="425" t="s">
        <v>448</v>
      </c>
      <c r="C68" s="132">
        <f>Zones!H62</f>
        <v>540</v>
      </c>
      <c r="D68" s="132"/>
      <c r="E68" s="129">
        <f>Zones!K62</f>
        <v>3</v>
      </c>
      <c r="F68" s="133">
        <f>VLOOKUP(Zones!C62,'Water Heater'!$A$205:$B$226, 2, FALSE)</f>
        <v>0.24</v>
      </c>
      <c r="G68" s="113">
        <f t="shared" si="1"/>
        <v>0.72</v>
      </c>
      <c r="H68" s="270">
        <f t="shared" si="0"/>
        <v>1.2E-2</v>
      </c>
      <c r="I68" s="620"/>
    </row>
    <row r="69" spans="1:9" ht="22.2" customHeight="1">
      <c r="A69" s="131" t="str">
        <f>Zones!B63</f>
        <v>Floor 2 Exam 3</v>
      </c>
      <c r="B69" s="425" t="s">
        <v>448</v>
      </c>
      <c r="C69" s="132">
        <f>Zones!H63</f>
        <v>720</v>
      </c>
      <c r="D69" s="132"/>
      <c r="E69" s="129">
        <f>Zones!K63</f>
        <v>4</v>
      </c>
      <c r="F69" s="133">
        <f>VLOOKUP(Zones!C63,'Water Heater'!$A$205:$B$226, 2, FALSE)</f>
        <v>0.24</v>
      </c>
      <c r="G69" s="113">
        <f t="shared" si="1"/>
        <v>0.96</v>
      </c>
      <c r="H69" s="270">
        <f t="shared" si="0"/>
        <v>1.6E-2</v>
      </c>
      <c r="I69" s="620"/>
    </row>
    <row r="70" spans="1:9" ht="22.2" customHeight="1">
      <c r="A70" s="131" t="str">
        <f>Zones!B64</f>
        <v>Floor 2 Exam 4</v>
      </c>
      <c r="B70" s="425" t="s">
        <v>448</v>
      </c>
      <c r="C70" s="132">
        <f>Zones!H64</f>
        <v>84</v>
      </c>
      <c r="D70" s="132"/>
      <c r="E70" s="129">
        <f>Zones!K64</f>
        <v>0</v>
      </c>
      <c r="F70" s="133">
        <f>VLOOKUP(Zones!C64,'Water Heater'!$A$205:$B$226, 2, FALSE)</f>
        <v>0.24</v>
      </c>
      <c r="G70" s="113">
        <f t="shared" si="1"/>
        <v>0</v>
      </c>
      <c r="H70" s="270">
        <f t="shared" si="0"/>
        <v>0</v>
      </c>
      <c r="I70" s="620"/>
    </row>
    <row r="71" spans="1:9" ht="22.2" customHeight="1">
      <c r="A71" s="131" t="str">
        <f>Zones!B65</f>
        <v>Floor 2 Exam 5</v>
      </c>
      <c r="B71" s="425" t="s">
        <v>448</v>
      </c>
      <c r="C71" s="132">
        <f>Zones!H65</f>
        <v>350</v>
      </c>
      <c r="D71" s="132"/>
      <c r="E71" s="129">
        <f>Zones!K65</f>
        <v>2</v>
      </c>
      <c r="F71" s="133">
        <f>VLOOKUP(Zones!C65,'Water Heater'!$A$205:$B$226, 2, FALSE)</f>
        <v>0.24</v>
      </c>
      <c r="G71" s="113">
        <f t="shared" si="1"/>
        <v>0.48</v>
      </c>
      <c r="H71" s="270">
        <f t="shared" si="0"/>
        <v>8.0000000000000002E-3</v>
      </c>
      <c r="I71" s="620"/>
    </row>
    <row r="72" spans="1:9" ht="22.2" customHeight="1">
      <c r="A72" s="131" t="str">
        <f>Zones!B66</f>
        <v>Floor 2 Exam 6</v>
      </c>
      <c r="B72" s="425" t="s">
        <v>448</v>
      </c>
      <c r="C72" s="132">
        <f>Zones!H66</f>
        <v>225</v>
      </c>
      <c r="D72" s="132"/>
      <c r="E72" s="129">
        <f>Zones!K66</f>
        <v>1</v>
      </c>
      <c r="F72" s="133">
        <f>VLOOKUP(Zones!C66,'Water Heater'!$A$205:$B$226, 2, FALSE)</f>
        <v>0.24</v>
      </c>
      <c r="G72" s="113">
        <f t="shared" si="1"/>
        <v>0.24</v>
      </c>
      <c r="H72" s="270">
        <f t="shared" si="0"/>
        <v>4.0000000000000001E-3</v>
      </c>
      <c r="I72" s="620"/>
    </row>
    <row r="73" spans="1:9" ht="22.2" customHeight="1">
      <c r="A73" s="131" t="str">
        <f>Zones!B67</f>
        <v>Floor 2 Exam 7</v>
      </c>
      <c r="B73" s="425" t="s">
        <v>448</v>
      </c>
      <c r="C73" s="132">
        <f>Zones!H67</f>
        <v>792</v>
      </c>
      <c r="D73" s="132"/>
      <c r="E73" s="129">
        <f>Zones!K67</f>
        <v>4</v>
      </c>
      <c r="F73" s="133">
        <f>VLOOKUP(Zones!C67,'Water Heater'!$A$205:$B$226, 2, FALSE)</f>
        <v>0.24</v>
      </c>
      <c r="G73" s="113">
        <f t="shared" si="1"/>
        <v>0.96</v>
      </c>
      <c r="H73" s="270">
        <f t="shared" ref="H73:H126" si="2">G73/60</f>
        <v>1.6E-2</v>
      </c>
      <c r="I73" s="620"/>
    </row>
    <row r="74" spans="1:9" ht="22.2" customHeight="1">
      <c r="A74" s="131" t="str">
        <f>Zones!B68</f>
        <v>Floor 2 Exam 8</v>
      </c>
      <c r="B74" s="425" t="s">
        <v>448</v>
      </c>
      <c r="C74" s="132">
        <f>Zones!H68</f>
        <v>270</v>
      </c>
      <c r="D74" s="132"/>
      <c r="E74" s="129">
        <f>Zones!K68</f>
        <v>1</v>
      </c>
      <c r="F74" s="133">
        <f>VLOOKUP(Zones!C68,'Water Heater'!$A$205:$B$226, 2, FALSE)</f>
        <v>0.24</v>
      </c>
      <c r="G74" s="113">
        <f t="shared" ref="G74:G126" si="3">F74*E74</f>
        <v>0.24</v>
      </c>
      <c r="H74" s="270">
        <f t="shared" si="2"/>
        <v>4.0000000000000001E-3</v>
      </c>
      <c r="I74" s="620"/>
    </row>
    <row r="75" spans="1:9" ht="22.2" customHeight="1">
      <c r="A75" s="131" t="str">
        <f>Zones!B69</f>
        <v>Floor 2 Exam 9</v>
      </c>
      <c r="B75" s="425" t="s">
        <v>448</v>
      </c>
      <c r="C75" s="132">
        <f>Zones!H69</f>
        <v>396</v>
      </c>
      <c r="D75" s="132"/>
      <c r="E75" s="129">
        <f>Zones!K69</f>
        <v>2</v>
      </c>
      <c r="F75" s="133">
        <f>VLOOKUP(Zones!C69,'Water Heater'!$A$205:$B$226, 2, FALSE)</f>
        <v>0.24</v>
      </c>
      <c r="G75" s="113">
        <f t="shared" si="3"/>
        <v>0.48</v>
      </c>
      <c r="H75" s="270">
        <f t="shared" si="2"/>
        <v>8.0000000000000002E-3</v>
      </c>
      <c r="I75" s="620"/>
    </row>
    <row r="76" spans="1:9" ht="22.2" customHeight="1">
      <c r="A76" s="131" t="str">
        <f>Zones!B70</f>
        <v>Floor 2 Exam Hall 1</v>
      </c>
      <c r="B76" s="425" t="s">
        <v>448</v>
      </c>
      <c r="C76" s="132">
        <f>Zones!H70</f>
        <v>180</v>
      </c>
      <c r="D76" s="132"/>
      <c r="E76" s="129">
        <f>Zones!K70</f>
        <v>1</v>
      </c>
      <c r="F76" s="133">
        <f>VLOOKUP(Zones!C70,'Water Heater'!$A$205:$B$226, 2, FALSE)</f>
        <v>0</v>
      </c>
      <c r="G76" s="113">
        <f t="shared" si="3"/>
        <v>0</v>
      </c>
      <c r="H76" s="270">
        <f t="shared" si="2"/>
        <v>0</v>
      </c>
      <c r="I76" s="620"/>
    </row>
    <row r="77" spans="1:9" ht="22.2" customHeight="1">
      <c r="A77" s="131" t="str">
        <f>Zones!B71</f>
        <v>Floor 2 Exam Hall 2</v>
      </c>
      <c r="B77" s="425" t="s">
        <v>448</v>
      </c>
      <c r="C77" s="132">
        <f>Zones!H71</f>
        <v>180</v>
      </c>
      <c r="D77" s="132"/>
      <c r="E77" s="129">
        <f>Zones!K71</f>
        <v>1</v>
      </c>
      <c r="F77" s="133">
        <f>VLOOKUP(Zones!C71,'Water Heater'!$A$205:$B$226, 2, FALSE)</f>
        <v>0</v>
      </c>
      <c r="G77" s="113">
        <f t="shared" si="3"/>
        <v>0</v>
      </c>
      <c r="H77" s="270">
        <f t="shared" si="2"/>
        <v>0</v>
      </c>
      <c r="I77" s="620"/>
    </row>
    <row r="78" spans="1:9" ht="22.2" customHeight="1">
      <c r="A78" s="131" t="str">
        <f>Zones!B72</f>
        <v>Floor 2 Exam Hall 3</v>
      </c>
      <c r="B78" s="425" t="s">
        <v>448</v>
      </c>
      <c r="C78" s="132">
        <f>Zones!H72</f>
        <v>180</v>
      </c>
      <c r="D78" s="132"/>
      <c r="E78" s="129">
        <f>Zones!K72</f>
        <v>1</v>
      </c>
      <c r="F78" s="133">
        <f>VLOOKUP(Zones!C72,'Water Heater'!$A$205:$B$226, 2, FALSE)</f>
        <v>0</v>
      </c>
      <c r="G78" s="113">
        <f t="shared" si="3"/>
        <v>0</v>
      </c>
      <c r="H78" s="270">
        <f t="shared" si="2"/>
        <v>0</v>
      </c>
      <c r="I78" s="620"/>
    </row>
    <row r="79" spans="1:9" ht="22.2" customHeight="1">
      <c r="A79" s="131" t="str">
        <f>Zones!B73</f>
        <v>Floor 2 Exam Hall 4</v>
      </c>
      <c r="B79" s="425" t="s">
        <v>448</v>
      </c>
      <c r="C79" s="132">
        <f>Zones!H73</f>
        <v>198</v>
      </c>
      <c r="D79" s="132"/>
      <c r="E79" s="129">
        <f>Zones!K73</f>
        <v>1</v>
      </c>
      <c r="F79" s="133">
        <f>VLOOKUP(Zones!C73,'Water Heater'!$A$205:$B$226, 2, FALSE)</f>
        <v>0</v>
      </c>
      <c r="G79" s="113">
        <f t="shared" si="3"/>
        <v>0</v>
      </c>
      <c r="H79" s="270">
        <f t="shared" si="2"/>
        <v>0</v>
      </c>
      <c r="I79" s="620"/>
    </row>
    <row r="80" spans="1:9" ht="22.2" customHeight="1">
      <c r="A80" s="131" t="str">
        <f>Zones!B74</f>
        <v>Floor 2 Exam Hall 5</v>
      </c>
      <c r="B80" s="425" t="s">
        <v>448</v>
      </c>
      <c r="C80" s="132">
        <f>Zones!H74</f>
        <v>198</v>
      </c>
      <c r="D80" s="132"/>
      <c r="E80" s="129">
        <f>Zones!K74</f>
        <v>1</v>
      </c>
      <c r="F80" s="133">
        <f>VLOOKUP(Zones!C74,'Water Heater'!$A$205:$B$226, 2, FALSE)</f>
        <v>0</v>
      </c>
      <c r="G80" s="113">
        <f t="shared" si="3"/>
        <v>0</v>
      </c>
      <c r="H80" s="270">
        <f t="shared" si="2"/>
        <v>0</v>
      </c>
      <c r="I80" s="620"/>
    </row>
    <row r="81" spans="1:9" ht="22.2" customHeight="1">
      <c r="A81" s="131" t="str">
        <f>Zones!B75</f>
        <v>Floor 2 Exam Hall 6</v>
      </c>
      <c r="B81" s="425" t="s">
        <v>448</v>
      </c>
      <c r="C81" s="132">
        <f>Zones!H75</f>
        <v>198</v>
      </c>
      <c r="D81" s="132"/>
      <c r="E81" s="129">
        <f>Zones!K75</f>
        <v>1</v>
      </c>
      <c r="F81" s="133">
        <f>VLOOKUP(Zones!C75,'Water Heater'!$A$205:$B$226, 2, FALSE)</f>
        <v>0</v>
      </c>
      <c r="G81" s="113">
        <f t="shared" si="3"/>
        <v>0</v>
      </c>
      <c r="H81" s="270">
        <f t="shared" si="2"/>
        <v>0</v>
      </c>
      <c r="I81" s="620"/>
    </row>
    <row r="82" spans="1:9" ht="22.2" customHeight="1">
      <c r="A82" s="131" t="str">
        <f>Zones!B76</f>
        <v>Floor 2 Janitor</v>
      </c>
      <c r="B82" s="425" t="s">
        <v>448</v>
      </c>
      <c r="C82" s="132">
        <f>Zones!H76</f>
        <v>63</v>
      </c>
      <c r="D82" s="132"/>
      <c r="E82" s="129">
        <f>Zones!K76</f>
        <v>0</v>
      </c>
      <c r="F82" s="133">
        <f>VLOOKUP(Zones!C76,'Water Heater'!$A$205:$B$226, 2, FALSE)</f>
        <v>0</v>
      </c>
      <c r="G82" s="113">
        <f t="shared" si="3"/>
        <v>0</v>
      </c>
      <c r="H82" s="270">
        <f t="shared" si="2"/>
        <v>0</v>
      </c>
      <c r="I82" s="620"/>
    </row>
    <row r="83" spans="1:9" ht="22.2" customHeight="1">
      <c r="A83" s="131" t="str">
        <f>Zones!B77</f>
        <v>Floor 2 Lounge</v>
      </c>
      <c r="B83" s="425" t="s">
        <v>448</v>
      </c>
      <c r="C83" s="132">
        <f>Zones!H77</f>
        <v>80</v>
      </c>
      <c r="D83" s="132"/>
      <c r="E83" s="129">
        <f>Zones!K77</f>
        <v>3</v>
      </c>
      <c r="F83" s="133">
        <f>VLOOKUP(Zones!C77,'Water Heater'!$A$205:$B$226, 2, FALSE)</f>
        <v>0.09</v>
      </c>
      <c r="G83" s="113">
        <f t="shared" si="3"/>
        <v>0.27</v>
      </c>
      <c r="H83" s="270">
        <f t="shared" si="2"/>
        <v>4.5000000000000005E-3</v>
      </c>
      <c r="I83" s="620"/>
    </row>
    <row r="84" spans="1:9" ht="22.2" customHeight="1">
      <c r="A84" s="131" t="str">
        <f>Zones!B78</f>
        <v>Floor 2 Nurse Station 1</v>
      </c>
      <c r="B84" s="425" t="s">
        <v>448</v>
      </c>
      <c r="C84" s="132">
        <f>Zones!H78</f>
        <v>150</v>
      </c>
      <c r="D84" s="132"/>
      <c r="E84" s="129">
        <f>Zones!K78</f>
        <v>1</v>
      </c>
      <c r="F84" s="133">
        <f>VLOOKUP(Zones!C78,'Water Heater'!$A$205:$B$226, 2, FALSE)</f>
        <v>0.24</v>
      </c>
      <c r="G84" s="113">
        <f t="shared" si="3"/>
        <v>0.24</v>
      </c>
      <c r="H84" s="270">
        <f t="shared" si="2"/>
        <v>4.0000000000000001E-3</v>
      </c>
      <c r="I84" s="620"/>
    </row>
    <row r="85" spans="1:9" ht="22.2" customHeight="1">
      <c r="A85" s="131" t="str">
        <f>Zones!B79</f>
        <v>Floor 2 Nurse Station 2</v>
      </c>
      <c r="B85" s="425" t="s">
        <v>448</v>
      </c>
      <c r="C85" s="132">
        <f>Zones!H79</f>
        <v>180</v>
      </c>
      <c r="D85" s="132"/>
      <c r="E85" s="129">
        <f>Zones!K79</f>
        <v>1</v>
      </c>
      <c r="F85" s="133">
        <f>VLOOKUP(Zones!C79,'Water Heater'!$A$205:$B$226, 2, FALSE)</f>
        <v>0.24</v>
      </c>
      <c r="G85" s="113">
        <f t="shared" si="3"/>
        <v>0.24</v>
      </c>
      <c r="H85" s="270">
        <f t="shared" si="2"/>
        <v>4.0000000000000001E-3</v>
      </c>
      <c r="I85" s="620"/>
    </row>
    <row r="86" spans="1:9" ht="22.2" customHeight="1">
      <c r="A86" s="131" t="str">
        <f>Zones!B80</f>
        <v>Floor 2 Office</v>
      </c>
      <c r="B86" s="425" t="s">
        <v>448</v>
      </c>
      <c r="C86" s="132">
        <f>Zones!H80</f>
        <v>560</v>
      </c>
      <c r="D86" s="132"/>
      <c r="E86" s="129">
        <f>Zones!K80</f>
        <v>2.8</v>
      </c>
      <c r="F86" s="133">
        <f>VLOOKUP(Zones!C80,'Water Heater'!$A$205:$B$226, 2, FALSE)</f>
        <v>0.18</v>
      </c>
      <c r="G86" s="113">
        <f t="shared" si="3"/>
        <v>0.504</v>
      </c>
      <c r="H86" s="270">
        <f t="shared" si="2"/>
        <v>8.3999999999999995E-3</v>
      </c>
      <c r="I86" s="620"/>
    </row>
    <row r="87" spans="1:9" ht="22.2" customHeight="1">
      <c r="A87" s="131" t="str">
        <f>Zones!B81</f>
        <v>Floor 2 Office Hall</v>
      </c>
      <c r="B87" s="425" t="s">
        <v>448</v>
      </c>
      <c r="C87" s="132">
        <f>Zones!H81</f>
        <v>444</v>
      </c>
      <c r="D87" s="132"/>
      <c r="E87" s="129">
        <f>Zones!K81</f>
        <v>2</v>
      </c>
      <c r="F87" s="133">
        <f>VLOOKUP(Zones!C81,'Water Heater'!$A$205:$B$226, 2, FALSE)</f>
        <v>0</v>
      </c>
      <c r="G87" s="113">
        <f t="shared" si="3"/>
        <v>0</v>
      </c>
      <c r="H87" s="270">
        <f t="shared" si="2"/>
        <v>0</v>
      </c>
      <c r="I87" s="620"/>
    </row>
    <row r="88" spans="1:9" ht="22.2" customHeight="1">
      <c r="A88" s="131" t="str">
        <f>Zones!B82</f>
        <v>Floor 2 Reception</v>
      </c>
      <c r="B88" s="425" t="s">
        <v>448</v>
      </c>
      <c r="C88" s="132">
        <f>Zones!H82</f>
        <v>984</v>
      </c>
      <c r="D88" s="132"/>
      <c r="E88" s="129">
        <f>Zones!K82</f>
        <v>4.92</v>
      </c>
      <c r="F88" s="133">
        <f>VLOOKUP(Zones!C82,'Water Heater'!$A$205:$B$226, 2, FALSE)</f>
        <v>0.18</v>
      </c>
      <c r="G88" s="113">
        <f t="shared" si="3"/>
        <v>0.88559999999999994</v>
      </c>
      <c r="H88" s="270">
        <f t="shared" si="2"/>
        <v>1.4759999999999999E-2</v>
      </c>
      <c r="I88" s="620"/>
    </row>
    <row r="89" spans="1:9" ht="22.2" customHeight="1">
      <c r="A89" s="131" t="str">
        <f>Zones!B83</f>
        <v>Floor 2 Reception Hall</v>
      </c>
      <c r="B89" s="425" t="s">
        <v>448</v>
      </c>
      <c r="C89" s="132">
        <f>Zones!H83</f>
        <v>564</v>
      </c>
      <c r="D89" s="132"/>
      <c r="E89" s="129">
        <f>Zones!K83</f>
        <v>3</v>
      </c>
      <c r="F89" s="133">
        <f>VLOOKUP(Zones!C83,'Water Heater'!$A$205:$B$226, 2, FALSE)</f>
        <v>0</v>
      </c>
      <c r="G89" s="113">
        <f t="shared" si="3"/>
        <v>0</v>
      </c>
      <c r="H89" s="270">
        <f t="shared" si="2"/>
        <v>0</v>
      </c>
      <c r="I89" s="620"/>
    </row>
    <row r="90" spans="1:9" ht="22.2" customHeight="1">
      <c r="A90" s="131" t="str">
        <f>Zones!B84</f>
        <v>Floor 2 Reception Toilet</v>
      </c>
      <c r="B90" s="425" t="s">
        <v>448</v>
      </c>
      <c r="C90" s="132">
        <f>Zones!H84</f>
        <v>126</v>
      </c>
      <c r="D90" s="132"/>
      <c r="E90" s="129">
        <f>Zones!K84</f>
        <v>1</v>
      </c>
      <c r="F90" s="133">
        <f>VLOOKUP(Zones!C84,'Water Heater'!$A$205:$B$226, 2, FALSE)</f>
        <v>0</v>
      </c>
      <c r="G90" s="113">
        <f t="shared" si="3"/>
        <v>0</v>
      </c>
      <c r="H90" s="270">
        <f t="shared" si="2"/>
        <v>0</v>
      </c>
      <c r="I90" s="620"/>
    </row>
    <row r="91" spans="1:9" ht="22.2" customHeight="1">
      <c r="A91" s="131" t="str">
        <f>Zones!B85</f>
        <v>Floor 2 Scheduling 1</v>
      </c>
      <c r="B91" s="425" t="s">
        <v>448</v>
      </c>
      <c r="C91" s="132">
        <f>Zones!H85</f>
        <v>324</v>
      </c>
      <c r="D91" s="132"/>
      <c r="E91" s="129">
        <f>Zones!K85</f>
        <v>1.62</v>
      </c>
      <c r="F91" s="133">
        <f>VLOOKUP(Zones!C85,'Water Heater'!$A$205:$B$226, 2, FALSE)</f>
        <v>0.18</v>
      </c>
      <c r="G91" s="113">
        <f t="shared" si="3"/>
        <v>0.29160000000000003</v>
      </c>
      <c r="H91" s="270">
        <f t="shared" si="2"/>
        <v>4.8600000000000006E-3</v>
      </c>
      <c r="I91" s="620"/>
    </row>
    <row r="92" spans="1:9" ht="22.2" customHeight="1">
      <c r="A92" s="131" t="str">
        <f>Zones!B86</f>
        <v>Floor 2 Scheduling 2</v>
      </c>
      <c r="B92" s="425" t="s">
        <v>448</v>
      </c>
      <c r="C92" s="132">
        <f>Zones!H86</f>
        <v>342</v>
      </c>
      <c r="D92" s="132"/>
      <c r="E92" s="129">
        <f>Zones!K86</f>
        <v>1.71</v>
      </c>
      <c r="F92" s="133">
        <f>VLOOKUP(Zones!C86,'Water Heater'!$A$205:$B$226, 2, FALSE)</f>
        <v>0.18</v>
      </c>
      <c r="G92" s="113">
        <f t="shared" si="3"/>
        <v>0.30779999999999996</v>
      </c>
      <c r="H92" s="270">
        <f t="shared" si="2"/>
        <v>5.1299999999999991E-3</v>
      </c>
      <c r="I92" s="620"/>
    </row>
    <row r="93" spans="1:9" ht="22.2" customHeight="1">
      <c r="A93" s="131" t="str">
        <f>Zones!B87</f>
        <v>Floor 2 Storage 1</v>
      </c>
      <c r="B93" s="425" t="s">
        <v>448</v>
      </c>
      <c r="C93" s="132">
        <f>Zones!H87</f>
        <v>56</v>
      </c>
      <c r="D93" s="132"/>
      <c r="E93" s="129">
        <f>Zones!K87</f>
        <v>0</v>
      </c>
      <c r="F93" s="133">
        <f>VLOOKUP(Zones!C87,'Water Heater'!$A$205:$B$226, 2, FALSE)</f>
        <v>0</v>
      </c>
      <c r="G93" s="113">
        <f t="shared" si="3"/>
        <v>0</v>
      </c>
      <c r="H93" s="270">
        <f t="shared" si="2"/>
        <v>0</v>
      </c>
      <c r="I93" s="620"/>
    </row>
    <row r="94" spans="1:9" ht="22.2" customHeight="1">
      <c r="A94" s="131" t="str">
        <f>Zones!B88</f>
        <v>Floor 2 Storage 2</v>
      </c>
      <c r="B94" s="425" t="s">
        <v>448</v>
      </c>
      <c r="C94" s="132">
        <f>Zones!H88</f>
        <v>120</v>
      </c>
      <c r="D94" s="132"/>
      <c r="E94" s="129">
        <f>Zones!K88</f>
        <v>0</v>
      </c>
      <c r="F94" s="133">
        <f>VLOOKUP(Zones!C88,'Water Heater'!$A$205:$B$226, 2, FALSE)</f>
        <v>0</v>
      </c>
      <c r="G94" s="113">
        <f t="shared" si="3"/>
        <v>0</v>
      </c>
      <c r="H94" s="270">
        <f t="shared" si="2"/>
        <v>0</v>
      </c>
      <c r="I94" s="620"/>
    </row>
    <row r="95" spans="1:9" ht="22.2" customHeight="1">
      <c r="A95" s="131" t="str">
        <f>Zones!B89</f>
        <v>Floor 2 Storage 3</v>
      </c>
      <c r="B95" s="425" t="s">
        <v>448</v>
      </c>
      <c r="C95" s="132">
        <f>Zones!H89</f>
        <v>144</v>
      </c>
      <c r="D95" s="132"/>
      <c r="E95" s="129">
        <f>Zones!K89</f>
        <v>0</v>
      </c>
      <c r="F95" s="133">
        <f>VLOOKUP(Zones!C89,'Water Heater'!$A$205:$B$226, 2, FALSE)</f>
        <v>0</v>
      </c>
      <c r="G95" s="113">
        <f t="shared" si="3"/>
        <v>0</v>
      </c>
      <c r="H95" s="270">
        <f t="shared" si="2"/>
        <v>0</v>
      </c>
      <c r="I95" s="620"/>
    </row>
    <row r="96" spans="1:9" ht="22.2" customHeight="1">
      <c r="A96" s="131" t="str">
        <f>Zones!B90</f>
        <v>Floor 2 Utility</v>
      </c>
      <c r="B96" s="425" t="s">
        <v>448</v>
      </c>
      <c r="C96" s="132">
        <f>Zones!H90</f>
        <v>126</v>
      </c>
      <c r="D96" s="132"/>
      <c r="E96" s="129">
        <f>Zones!K90</f>
        <v>0</v>
      </c>
      <c r="F96" s="133">
        <f>VLOOKUP(Zones!C90,'Water Heater'!$A$205:$B$226, 2, FALSE)</f>
        <v>0</v>
      </c>
      <c r="G96" s="113">
        <f t="shared" si="3"/>
        <v>0</v>
      </c>
      <c r="H96" s="270">
        <f t="shared" si="2"/>
        <v>0</v>
      </c>
      <c r="I96" s="620"/>
    </row>
    <row r="97" spans="1:9" ht="22.2" customHeight="1">
      <c r="A97" s="131" t="str">
        <f>Zones!B91</f>
        <v>Floor 2 Work</v>
      </c>
      <c r="B97" s="425" t="s">
        <v>448</v>
      </c>
      <c r="C97" s="132">
        <f>Zones!H91</f>
        <v>1690</v>
      </c>
      <c r="D97" s="132"/>
      <c r="E97" s="129">
        <f>Zones!K91</f>
        <v>8.4499999999999993</v>
      </c>
      <c r="F97" s="133">
        <f>VLOOKUP(Zones!C91,'Water Heater'!$A$205:$B$226, 2, FALSE)</f>
        <v>0.18</v>
      </c>
      <c r="G97" s="113">
        <f t="shared" si="3"/>
        <v>1.5209999999999999</v>
      </c>
      <c r="H97" s="270">
        <f t="shared" si="2"/>
        <v>2.5349999999999998E-2</v>
      </c>
      <c r="I97" s="620"/>
    </row>
    <row r="98" spans="1:9" ht="22.2" customHeight="1">
      <c r="A98" s="131" t="str">
        <f>Zones!B92</f>
        <v>Floor 2 Work Hall</v>
      </c>
      <c r="B98" s="425" t="s">
        <v>448</v>
      </c>
      <c r="C98" s="132">
        <f>Zones!H92</f>
        <v>834</v>
      </c>
      <c r="D98" s="132"/>
      <c r="E98" s="129">
        <f>Zones!K92</f>
        <v>4</v>
      </c>
      <c r="F98" s="133">
        <f>VLOOKUP(Zones!C92,'Water Heater'!$A$205:$B$226, 2, FALSE)</f>
        <v>0</v>
      </c>
      <c r="G98" s="113">
        <f t="shared" si="3"/>
        <v>0</v>
      </c>
      <c r="H98" s="270">
        <f t="shared" si="2"/>
        <v>0</v>
      </c>
      <c r="I98" s="620"/>
    </row>
    <row r="99" spans="1:9" ht="22.2" customHeight="1">
      <c r="A99" s="131" t="str">
        <f>Zones!B93</f>
        <v>Floor 2 Work Toilet</v>
      </c>
      <c r="B99" s="425" t="s">
        <v>448</v>
      </c>
      <c r="C99" s="132">
        <f>Zones!H93</f>
        <v>54</v>
      </c>
      <c r="D99" s="132"/>
      <c r="E99" s="129">
        <f>Zones!K93</f>
        <v>0</v>
      </c>
      <c r="F99" s="133">
        <f>VLOOKUP(Zones!C93,'Water Heater'!$A$205:$B$226, 2, FALSE)</f>
        <v>0</v>
      </c>
      <c r="G99" s="113">
        <f t="shared" si="3"/>
        <v>0</v>
      </c>
      <c r="H99" s="270">
        <f t="shared" si="2"/>
        <v>0</v>
      </c>
      <c r="I99" s="620"/>
    </row>
    <row r="100" spans="1:9" ht="22.2" customHeight="1">
      <c r="A100" s="131" t="str">
        <f>Zones!B94</f>
        <v>Floor 2 X-Ray</v>
      </c>
      <c r="B100" s="425" t="s">
        <v>448</v>
      </c>
      <c r="C100" s="132">
        <f>Zones!H94</f>
        <v>900</v>
      </c>
      <c r="D100" s="132"/>
      <c r="E100" s="129">
        <f>Zones!K94</f>
        <v>5</v>
      </c>
      <c r="F100" s="133">
        <f>VLOOKUP(Zones!C94,'Water Heater'!$A$205:$B$226, 2, FALSE)</f>
        <v>0.24</v>
      </c>
      <c r="G100" s="113">
        <f t="shared" si="3"/>
        <v>1.2</v>
      </c>
      <c r="H100" s="270">
        <f t="shared" si="2"/>
        <v>0.02</v>
      </c>
      <c r="I100" s="620"/>
    </row>
    <row r="101" spans="1:9" ht="22.2" customHeight="1">
      <c r="A101" s="131" t="str">
        <f>Zones!B95</f>
        <v>Floor 3 Dressing Room</v>
      </c>
      <c r="B101" s="425" t="s">
        <v>448</v>
      </c>
      <c r="C101" s="132">
        <f>Zones!H95</f>
        <v>42</v>
      </c>
      <c r="D101" s="132"/>
      <c r="E101" s="129">
        <f>Zones!K95</f>
        <v>0.21</v>
      </c>
      <c r="F101" s="133">
        <f>VLOOKUP(Zones!C95,'Water Heater'!$A$205:$B$226, 2, FALSE)</f>
        <v>0.18</v>
      </c>
      <c r="G101" s="113">
        <f t="shared" si="3"/>
        <v>3.78E-2</v>
      </c>
      <c r="H101" s="270">
        <f t="shared" si="2"/>
        <v>6.3000000000000003E-4</v>
      </c>
      <c r="I101" s="620"/>
    </row>
    <row r="102" spans="1:9" ht="22.2" customHeight="1">
      <c r="A102" s="131" t="str">
        <f>Zones!B96</f>
        <v>Floor 3 Elevator Hall</v>
      </c>
      <c r="B102" s="425" t="s">
        <v>448</v>
      </c>
      <c r="C102" s="132">
        <f>Zones!H96</f>
        <v>370</v>
      </c>
      <c r="D102" s="132"/>
      <c r="E102" s="129">
        <f>Zones!K96</f>
        <v>2</v>
      </c>
      <c r="F102" s="133">
        <f>VLOOKUP(Zones!C96,'Water Heater'!$A$205:$B$226, 2, FALSE)</f>
        <v>0</v>
      </c>
      <c r="G102" s="113">
        <f t="shared" si="3"/>
        <v>0</v>
      </c>
      <c r="H102" s="270">
        <f t="shared" si="2"/>
        <v>0</v>
      </c>
      <c r="I102" s="620"/>
    </row>
    <row r="103" spans="1:9" ht="22.2" customHeight="1">
      <c r="A103" s="131" t="str">
        <f>Zones!B97</f>
        <v>Floor 3 Humid</v>
      </c>
      <c r="B103" s="425" t="s">
        <v>448</v>
      </c>
      <c r="C103" s="132">
        <f>Zones!H97</f>
        <v>108</v>
      </c>
      <c r="D103" s="132"/>
      <c r="E103" s="129">
        <f>Zones!K97</f>
        <v>0.54</v>
      </c>
      <c r="F103" s="133">
        <f>VLOOKUP(Zones!C97,'Water Heater'!$A$205:$B$226, 2, FALSE)</f>
        <v>0.18</v>
      </c>
      <c r="G103" s="113">
        <f t="shared" si="3"/>
        <v>9.7200000000000009E-2</v>
      </c>
      <c r="H103" s="270">
        <f t="shared" si="2"/>
        <v>1.6200000000000001E-3</v>
      </c>
      <c r="I103" s="620"/>
    </row>
    <row r="104" spans="1:9" ht="22.2" customHeight="1">
      <c r="A104" s="131" t="str">
        <f>Zones!B98</f>
        <v>Floor 3 Janitor</v>
      </c>
      <c r="B104" s="425" t="s">
        <v>448</v>
      </c>
      <c r="C104" s="132">
        <f>Zones!H98</f>
        <v>63</v>
      </c>
      <c r="D104" s="132"/>
      <c r="E104" s="129">
        <f>Zones!K98</f>
        <v>0</v>
      </c>
      <c r="F104" s="133">
        <f>VLOOKUP(Zones!C98,'Water Heater'!$A$205:$B$226, 2, FALSE)</f>
        <v>0</v>
      </c>
      <c r="G104" s="113">
        <f t="shared" si="3"/>
        <v>0</v>
      </c>
      <c r="H104" s="270">
        <f t="shared" si="2"/>
        <v>0</v>
      </c>
      <c r="I104" s="620"/>
    </row>
    <row r="105" spans="1:9" ht="22.2" customHeight="1">
      <c r="A105" s="131" t="str">
        <f>Zones!B99</f>
        <v>Floor 3 Locker</v>
      </c>
      <c r="B105" s="425" t="s">
        <v>448</v>
      </c>
      <c r="C105" s="132">
        <f>Zones!H99</f>
        <v>120</v>
      </c>
      <c r="D105" s="132"/>
      <c r="E105" s="129">
        <f>Zones!K99</f>
        <v>1</v>
      </c>
      <c r="F105" s="133">
        <f>VLOOKUP(Zones!C99,'Water Heater'!$A$205:$B$226, 2, FALSE)</f>
        <v>0.57799999999999996</v>
      </c>
      <c r="G105" s="113">
        <f t="shared" si="3"/>
        <v>0.57799999999999996</v>
      </c>
      <c r="H105" s="270">
        <f t="shared" si="2"/>
        <v>9.6333333333333323E-3</v>
      </c>
      <c r="I105" s="620"/>
    </row>
    <row r="106" spans="1:9" ht="22.2" customHeight="1">
      <c r="A106" s="131" t="str">
        <f>Zones!B100</f>
        <v>Floor 3 Lounge</v>
      </c>
      <c r="B106" s="425" t="s">
        <v>448</v>
      </c>
      <c r="C106" s="132">
        <f>Zones!H100</f>
        <v>759</v>
      </c>
      <c r="D106" s="132"/>
      <c r="E106" s="129">
        <f>Zones!K100</f>
        <v>25</v>
      </c>
      <c r="F106" s="133">
        <f>VLOOKUP(Zones!C100,'Water Heater'!$A$205:$B$226, 2, FALSE)</f>
        <v>0.09</v>
      </c>
      <c r="G106" s="113">
        <f t="shared" si="3"/>
        <v>2.25</v>
      </c>
      <c r="H106" s="270">
        <f t="shared" si="2"/>
        <v>3.7499999999999999E-2</v>
      </c>
      <c r="I106" s="620"/>
    </row>
    <row r="107" spans="1:9" ht="22.2" customHeight="1">
      <c r="A107" s="131" t="str">
        <f>Zones!B101</f>
        <v>Floor 3 Lounge Toilet</v>
      </c>
      <c r="B107" s="425" t="s">
        <v>448</v>
      </c>
      <c r="C107" s="132">
        <f>Zones!H101</f>
        <v>192</v>
      </c>
      <c r="D107" s="132"/>
      <c r="E107" s="129">
        <f>Zones!K101</f>
        <v>1</v>
      </c>
      <c r="F107" s="133">
        <f>VLOOKUP(Zones!C101,'Water Heater'!$A$205:$B$226, 2, FALSE)</f>
        <v>0</v>
      </c>
      <c r="G107" s="113">
        <f t="shared" si="3"/>
        <v>0</v>
      </c>
      <c r="H107" s="270">
        <f t="shared" si="2"/>
        <v>0</v>
      </c>
      <c r="I107" s="620"/>
    </row>
    <row r="108" spans="1:9" ht="22.2" customHeight="1">
      <c r="A108" s="131" t="str">
        <f>Zones!B102</f>
        <v>Floor 3 Mechanical</v>
      </c>
      <c r="B108" s="425" t="s">
        <v>448</v>
      </c>
      <c r="C108" s="132">
        <f>Zones!H102</f>
        <v>350</v>
      </c>
      <c r="D108" s="132"/>
      <c r="E108" s="129">
        <f>Zones!K102</f>
        <v>1</v>
      </c>
      <c r="F108" s="133">
        <f>VLOOKUP(Zones!C102,'Water Heater'!$A$205:$B$226, 2, FALSE)</f>
        <v>0.18</v>
      </c>
      <c r="G108" s="113">
        <f t="shared" si="3"/>
        <v>0.18</v>
      </c>
      <c r="H108" s="270">
        <f t="shared" si="2"/>
        <v>3.0000000000000001E-3</v>
      </c>
      <c r="I108" s="620"/>
    </row>
    <row r="109" spans="1:9" ht="22.2" customHeight="1">
      <c r="A109" s="131" t="str">
        <f>Zones!B103</f>
        <v>Floor 3 Mechanical Hall</v>
      </c>
      <c r="B109" s="425" t="s">
        <v>448</v>
      </c>
      <c r="C109" s="132">
        <f>Zones!H103</f>
        <v>300</v>
      </c>
      <c r="D109" s="132"/>
      <c r="E109" s="129">
        <f>Zones!K103</f>
        <v>2</v>
      </c>
      <c r="F109" s="133">
        <f>VLOOKUP(Zones!C103,'Water Heater'!$A$205:$B$226, 2, FALSE)</f>
        <v>0</v>
      </c>
      <c r="G109" s="113">
        <f t="shared" si="3"/>
        <v>0</v>
      </c>
      <c r="H109" s="270">
        <f t="shared" si="2"/>
        <v>0</v>
      </c>
      <c r="I109" s="620"/>
    </row>
    <row r="110" spans="1:9" ht="22.2" customHeight="1">
      <c r="A110" s="131" t="str">
        <f>Zones!B104</f>
        <v>Floor 3 Office</v>
      </c>
      <c r="B110" s="425" t="s">
        <v>448</v>
      </c>
      <c r="C110" s="132">
        <f>Zones!H104</f>
        <v>3036</v>
      </c>
      <c r="D110" s="132"/>
      <c r="E110" s="129">
        <f>Zones!K104</f>
        <v>15.18</v>
      </c>
      <c r="F110" s="133">
        <f>VLOOKUP(Zones!C104,'Water Heater'!$A$205:$B$226, 2, FALSE)</f>
        <v>0.18</v>
      </c>
      <c r="G110" s="113">
        <f t="shared" si="3"/>
        <v>2.7323999999999997</v>
      </c>
      <c r="H110" s="270">
        <f t="shared" si="2"/>
        <v>4.5539999999999997E-2</v>
      </c>
      <c r="I110" s="620"/>
    </row>
    <row r="111" spans="1:9" ht="22.2" customHeight="1">
      <c r="A111" s="131" t="str">
        <f>Zones!B105</f>
        <v>Floor 3 Office Hall</v>
      </c>
      <c r="B111" s="425" t="s">
        <v>448</v>
      </c>
      <c r="C111" s="132">
        <f>Zones!H105</f>
        <v>834</v>
      </c>
      <c r="D111" s="132"/>
      <c r="E111" s="129">
        <f>Zones!K105</f>
        <v>4</v>
      </c>
      <c r="F111" s="133">
        <f>VLOOKUP(Zones!C105,'Water Heater'!$A$205:$B$226, 2, FALSE)</f>
        <v>0</v>
      </c>
      <c r="G111" s="113">
        <f t="shared" si="3"/>
        <v>0</v>
      </c>
      <c r="H111" s="270">
        <f t="shared" si="2"/>
        <v>0</v>
      </c>
      <c r="I111" s="620"/>
    </row>
    <row r="112" spans="1:9" ht="22.2" customHeight="1">
      <c r="A112" s="131" t="str">
        <f>Zones!B106</f>
        <v>Floor 3 Office Toilet</v>
      </c>
      <c r="B112" s="425" t="s">
        <v>448</v>
      </c>
      <c r="C112" s="132">
        <f>Zones!H106</f>
        <v>54</v>
      </c>
      <c r="D112" s="132"/>
      <c r="E112" s="129">
        <f>Zones!K106</f>
        <v>0</v>
      </c>
      <c r="F112" s="133">
        <f>VLOOKUP(Zones!C106,'Water Heater'!$A$205:$B$226, 2, FALSE)</f>
        <v>0</v>
      </c>
      <c r="G112" s="113">
        <f t="shared" si="3"/>
        <v>0</v>
      </c>
      <c r="H112" s="270">
        <f t="shared" si="2"/>
        <v>0</v>
      </c>
      <c r="I112" s="620"/>
    </row>
    <row r="113" spans="1:9" ht="22.2" customHeight="1">
      <c r="A113" s="131" t="str">
        <f>Zones!B107</f>
        <v>Floor 3 Physical Therapy 1</v>
      </c>
      <c r="B113" s="425" t="s">
        <v>448</v>
      </c>
      <c r="C113" s="132">
        <f>Zones!H107</f>
        <v>1300</v>
      </c>
      <c r="D113" s="132"/>
      <c r="E113" s="129">
        <f>Zones!K107</f>
        <v>7</v>
      </c>
      <c r="F113" s="133">
        <f>VLOOKUP(Zones!C107,'Water Heater'!$A$205:$B$226, 2, FALSE)</f>
        <v>0.24</v>
      </c>
      <c r="G113" s="113">
        <f t="shared" si="3"/>
        <v>1.68</v>
      </c>
      <c r="H113" s="270">
        <f t="shared" si="2"/>
        <v>2.8000000000000001E-2</v>
      </c>
      <c r="I113" s="620"/>
    </row>
    <row r="114" spans="1:9" ht="22.2" customHeight="1">
      <c r="A114" s="131" t="str">
        <f>Zones!B108</f>
        <v>Floor 3 Physical Therapy 2</v>
      </c>
      <c r="B114" s="425" t="s">
        <v>448</v>
      </c>
      <c r="C114" s="132">
        <f>Zones!H108</f>
        <v>592</v>
      </c>
      <c r="D114" s="132"/>
      <c r="E114" s="129">
        <f>Zones!K108</f>
        <v>3</v>
      </c>
      <c r="F114" s="133">
        <f>VLOOKUP(Zones!C108,'Water Heater'!$A$205:$B$226, 2, FALSE)</f>
        <v>0.24</v>
      </c>
      <c r="G114" s="113">
        <f t="shared" si="3"/>
        <v>0.72</v>
      </c>
      <c r="H114" s="270">
        <f t="shared" si="2"/>
        <v>1.2E-2</v>
      </c>
      <c r="I114" s="620"/>
    </row>
    <row r="115" spans="1:9" ht="22.2" customHeight="1">
      <c r="A115" s="131" t="str">
        <f>Zones!B109</f>
        <v>Floor 3 Physical Therapy Toilet</v>
      </c>
      <c r="B115" s="425" t="s">
        <v>448</v>
      </c>
      <c r="C115" s="132">
        <f>Zones!H109</f>
        <v>84</v>
      </c>
      <c r="D115" s="132"/>
      <c r="E115" s="129">
        <f>Zones!K109</f>
        <v>0</v>
      </c>
      <c r="F115" s="133">
        <f>VLOOKUP(Zones!C109,'Water Heater'!$A$205:$B$226, 2, FALSE)</f>
        <v>0</v>
      </c>
      <c r="G115" s="113">
        <f t="shared" si="3"/>
        <v>0</v>
      </c>
      <c r="H115" s="270">
        <f t="shared" si="2"/>
        <v>0</v>
      </c>
      <c r="I115" s="620"/>
    </row>
    <row r="116" spans="1:9" ht="22.2" customHeight="1">
      <c r="A116" s="131" t="str">
        <f>Zones!B110</f>
        <v>Floor 3 Storage 1</v>
      </c>
      <c r="B116" s="425" t="s">
        <v>448</v>
      </c>
      <c r="C116" s="132">
        <f>Zones!H110</f>
        <v>108</v>
      </c>
      <c r="D116" s="132"/>
      <c r="E116" s="129">
        <f>Zones!K110</f>
        <v>0</v>
      </c>
      <c r="F116" s="133">
        <f>VLOOKUP(Zones!C110,'Water Heater'!$A$205:$B$226, 2, FALSE)</f>
        <v>0</v>
      </c>
      <c r="G116" s="113">
        <f t="shared" si="3"/>
        <v>0</v>
      </c>
      <c r="H116" s="270">
        <f t="shared" si="2"/>
        <v>0</v>
      </c>
      <c r="I116" s="620"/>
    </row>
    <row r="117" spans="1:9" ht="22.2" customHeight="1">
      <c r="A117" s="131" t="str">
        <f>Zones!B111</f>
        <v>Floor 3 Storage 2</v>
      </c>
      <c r="B117" s="425" t="s">
        <v>448</v>
      </c>
      <c r="C117" s="132">
        <f>Zones!H111</f>
        <v>84</v>
      </c>
      <c r="D117" s="132"/>
      <c r="E117" s="129">
        <f>Zones!K111</f>
        <v>0</v>
      </c>
      <c r="F117" s="133">
        <f>VLOOKUP(Zones!C111,'Water Heater'!$A$205:$B$226, 2, FALSE)</f>
        <v>0</v>
      </c>
      <c r="G117" s="113">
        <f t="shared" si="3"/>
        <v>0</v>
      </c>
      <c r="H117" s="270">
        <f t="shared" si="2"/>
        <v>0</v>
      </c>
      <c r="I117" s="620"/>
    </row>
    <row r="118" spans="1:9" ht="22.2" customHeight="1">
      <c r="A118" s="131" t="str">
        <f>Zones!B112</f>
        <v>Floor 3 Treatment</v>
      </c>
      <c r="B118" s="425" t="s">
        <v>448</v>
      </c>
      <c r="C118" s="132">
        <f>Zones!H112</f>
        <v>476</v>
      </c>
      <c r="D118" s="132"/>
      <c r="E118" s="129">
        <f>Zones!K112</f>
        <v>2</v>
      </c>
      <c r="F118" s="133">
        <f>VLOOKUP(Zones!C112,'Water Heater'!$A$205:$B$226, 2, FALSE)</f>
        <v>0.24</v>
      </c>
      <c r="G118" s="113">
        <f t="shared" si="3"/>
        <v>0.48</v>
      </c>
      <c r="H118" s="270">
        <f t="shared" si="2"/>
        <v>8.0000000000000002E-3</v>
      </c>
      <c r="I118" s="620"/>
    </row>
    <row r="119" spans="1:9" ht="22.2" customHeight="1">
      <c r="A119" s="131" t="str">
        <f>Zones!B113</f>
        <v>Floor 3 Undeveloped 1</v>
      </c>
      <c r="B119" s="425" t="s">
        <v>448</v>
      </c>
      <c r="C119" s="132">
        <f>Zones!H113</f>
        <v>2268</v>
      </c>
      <c r="D119" s="132"/>
      <c r="E119" s="129">
        <f>Zones!K113</f>
        <v>5</v>
      </c>
      <c r="F119" s="133">
        <f>VLOOKUP(Zones!C113,'Water Heater'!$A$205:$B$226, 2, FALSE)</f>
        <v>0</v>
      </c>
      <c r="G119" s="113">
        <f t="shared" si="3"/>
        <v>0</v>
      </c>
      <c r="H119" s="270">
        <f t="shared" si="2"/>
        <v>0</v>
      </c>
      <c r="I119" s="620"/>
    </row>
    <row r="120" spans="1:9" ht="22.2" customHeight="1">
      <c r="A120" s="131" t="str">
        <f>Zones!B114</f>
        <v>Floor 3 Undeveloped 2</v>
      </c>
      <c r="B120" s="425" t="s">
        <v>448</v>
      </c>
      <c r="C120" s="132">
        <f>Zones!H114</f>
        <v>1152</v>
      </c>
      <c r="D120" s="132"/>
      <c r="E120" s="129">
        <f>Zones!K114</f>
        <v>2</v>
      </c>
      <c r="F120" s="133">
        <f>VLOOKUP(Zones!C114,'Water Heater'!$A$205:$B$226, 2, FALSE)</f>
        <v>0</v>
      </c>
      <c r="G120" s="113">
        <f t="shared" si="3"/>
        <v>0</v>
      </c>
      <c r="H120" s="270">
        <f t="shared" si="2"/>
        <v>0</v>
      </c>
      <c r="I120" s="620"/>
    </row>
    <row r="121" spans="1:9" ht="22.2" customHeight="1">
      <c r="A121" s="131" t="str">
        <f>Zones!B115</f>
        <v>Floor 3 Utility</v>
      </c>
      <c r="B121" s="425" t="s">
        <v>448</v>
      </c>
      <c r="C121" s="132">
        <f>Zones!H115</f>
        <v>216</v>
      </c>
      <c r="D121" s="132"/>
      <c r="E121" s="129">
        <f>Zones!K115</f>
        <v>0</v>
      </c>
      <c r="F121" s="133">
        <f>VLOOKUP(Zones!C115,'Water Heater'!$A$205:$B$226, 2, FALSE)</f>
        <v>0</v>
      </c>
      <c r="G121" s="113">
        <f t="shared" si="3"/>
        <v>0</v>
      </c>
      <c r="H121" s="270">
        <f t="shared" si="2"/>
        <v>0</v>
      </c>
      <c r="I121" s="620"/>
    </row>
    <row r="122" spans="1:9" ht="22.2" customHeight="1">
      <c r="A122" s="131" t="str">
        <f>Zones!B116</f>
        <v>Floor 3 Work</v>
      </c>
      <c r="B122" s="425" t="s">
        <v>448</v>
      </c>
      <c r="C122" s="132">
        <f>Zones!H116</f>
        <v>574</v>
      </c>
      <c r="D122" s="132"/>
      <c r="E122" s="129">
        <f>Zones!K116</f>
        <v>2.87</v>
      </c>
      <c r="F122" s="133">
        <f>VLOOKUP(Zones!C116,'Water Heater'!$A$205:$B$226, 2, FALSE)</f>
        <v>0.18</v>
      </c>
      <c r="G122" s="113">
        <f t="shared" si="3"/>
        <v>0.51659999999999995</v>
      </c>
      <c r="H122" s="270">
        <f t="shared" si="2"/>
        <v>8.6099999999999996E-3</v>
      </c>
      <c r="I122" s="620"/>
    </row>
    <row r="123" spans="1:9" ht="22.2" customHeight="1">
      <c r="A123" s="131" t="str">
        <f>Zones!B117</f>
        <v>NE Stair</v>
      </c>
      <c r="B123" s="425" t="s">
        <v>448</v>
      </c>
      <c r="C123" s="132">
        <f>Zones!H117</f>
        <v>168</v>
      </c>
      <c r="D123" s="132"/>
      <c r="E123" s="129">
        <f>Zones!K117</f>
        <v>1</v>
      </c>
      <c r="F123" s="133">
        <f>VLOOKUP(Zones!C117,'Water Heater'!$A$205:$B$226, 2, FALSE)</f>
        <v>0</v>
      </c>
      <c r="G123" s="113">
        <f t="shared" si="3"/>
        <v>0</v>
      </c>
      <c r="H123" s="270">
        <f t="shared" si="2"/>
        <v>0</v>
      </c>
      <c r="I123" s="620"/>
    </row>
    <row r="124" spans="1:9" ht="22.2" customHeight="1">
      <c r="A124" s="131" t="str">
        <f>Zones!B118</f>
        <v>NW Elevator</v>
      </c>
      <c r="B124" s="425" t="s">
        <v>448</v>
      </c>
      <c r="C124" s="132">
        <f>Zones!H118</f>
        <v>140</v>
      </c>
      <c r="D124" s="132"/>
      <c r="E124" s="129">
        <f>Zones!K118</f>
        <v>0</v>
      </c>
      <c r="F124" s="133">
        <v>0</v>
      </c>
      <c r="G124" s="113">
        <f t="shared" si="3"/>
        <v>0</v>
      </c>
      <c r="H124" s="270">
        <f t="shared" si="2"/>
        <v>0</v>
      </c>
      <c r="I124" s="620"/>
    </row>
    <row r="125" spans="1:9" ht="22.2" customHeight="1">
      <c r="A125" s="131" t="str">
        <f>Zones!B119</f>
        <v>NW Stair</v>
      </c>
      <c r="B125" s="425" t="s">
        <v>448</v>
      </c>
      <c r="C125" s="132">
        <f>Zones!H119</f>
        <v>192</v>
      </c>
      <c r="D125" s="132"/>
      <c r="E125" s="129">
        <f>Zones!K119</f>
        <v>1</v>
      </c>
      <c r="F125" s="133">
        <f>VLOOKUP(Zones!C119,'Water Heater'!$A$205:$B$226, 2, FALSE)</f>
        <v>0</v>
      </c>
      <c r="G125" s="113">
        <f t="shared" si="3"/>
        <v>0</v>
      </c>
      <c r="H125" s="270">
        <f t="shared" si="2"/>
        <v>0</v>
      </c>
      <c r="I125" s="620"/>
    </row>
    <row r="126" spans="1:9" ht="22.2" customHeight="1">
      <c r="A126" s="131" t="str">
        <f>Zones!B120</f>
        <v>SW Stair</v>
      </c>
      <c r="B126" s="425" t="s">
        <v>448</v>
      </c>
      <c r="C126" s="132">
        <f>Zones!H120</f>
        <v>96</v>
      </c>
      <c r="D126" s="132"/>
      <c r="E126" s="129">
        <f>Zones!K120</f>
        <v>0</v>
      </c>
      <c r="F126" s="158">
        <f>VLOOKUP(Zones!C120,'Water Heater'!$A$205:$B$226, 2, FALSE)</f>
        <v>0</v>
      </c>
      <c r="G126" s="113">
        <f t="shared" si="3"/>
        <v>0</v>
      </c>
      <c r="H126" s="270">
        <f t="shared" si="2"/>
        <v>0</v>
      </c>
      <c r="I126" s="621"/>
    </row>
    <row r="127" spans="1:9" s="5" customFormat="1" ht="20.25" customHeight="1">
      <c r="A127" s="464" t="s">
        <v>441</v>
      </c>
      <c r="B127" s="622" t="s">
        <v>460</v>
      </c>
      <c r="C127" s="623"/>
      <c r="D127" s="623"/>
      <c r="E127" s="623"/>
      <c r="F127" s="624"/>
      <c r="G127" s="465">
        <f>_xlfn.LET(
  _xlpm.g,SUMIF($B$9:$B$126,"Gas*",$G$9:$G$126),
  _xlpm.e,SUMIF($B$9:$B$126,"Electric*",$G$9:$G$126),
  IF(AND(_xlpm.g&gt;0,_xlpm.e&gt;0),_xlpm.g,IF(_xlpm.g&gt;0,MAX(75,_xlpm.g),0)))</f>
        <v>75</v>
      </c>
      <c r="H127" s="271"/>
      <c r="I127" s="625" t="s">
        <v>461</v>
      </c>
    </row>
    <row r="128" spans="1:9" s="5" customFormat="1" ht="19.5" customHeight="1">
      <c r="A128" s="464" t="s">
        <v>462</v>
      </c>
      <c r="B128" s="622" t="s">
        <v>463</v>
      </c>
      <c r="C128" s="623"/>
      <c r="D128" s="623"/>
      <c r="E128" s="623"/>
      <c r="F128" s="624"/>
      <c r="G128" s="465">
        <f>_xlfn.LET(
  _xlpm.g,SUMIF($B$9:$B$126,"Gas*",$G$9:$G$126),
  _xlpm.e,SUMIF($B$9:$B$126,"Electric*",$G$9:$G$126),
  IF(AND(_xlpm.g&gt;0,_xlpm.e&gt;0),_xlpm.e,IF(_xlpm.e&gt;0,MAX(75,_xlpm.e),0)))</f>
        <v>0</v>
      </c>
      <c r="H128" s="271"/>
      <c r="I128" s="626"/>
    </row>
    <row r="129" spans="1:13" s="272" customFormat="1" ht="14.4">
      <c r="A129"/>
      <c r="B129"/>
      <c r="C129"/>
      <c r="D129"/>
      <c r="E129"/>
      <c r="F129"/>
      <c r="G129"/>
      <c r="H129"/>
      <c r="I129"/>
      <c r="J129"/>
      <c r="K129"/>
    </row>
    <row r="130" spans="1:13" s="272" customFormat="1" ht="14.4">
      <c r="A130"/>
      <c r="B130"/>
      <c r="C130"/>
      <c r="D130"/>
      <c r="E130"/>
      <c r="F130"/>
      <c r="G130"/>
      <c r="H130"/>
      <c r="I130"/>
      <c r="J130"/>
      <c r="K130"/>
    </row>
    <row r="131" spans="1:13" s="272" customFormat="1" ht="14.4">
      <c r="A131"/>
      <c r="B131"/>
      <c r="C131"/>
      <c r="D131"/>
      <c r="E131"/>
      <c r="F131"/>
      <c r="G131"/>
      <c r="H131"/>
      <c r="I131"/>
      <c r="J131"/>
      <c r="K131"/>
    </row>
    <row r="132" spans="1:13" s="272" customFormat="1" ht="15" customHeight="1">
      <c r="A132" s="466" t="s">
        <v>464</v>
      </c>
      <c r="B132" s="467">
        <v>135</v>
      </c>
      <c r="C132" s="468" t="s">
        <v>465</v>
      </c>
      <c r="D132" s="468"/>
      <c r="E132" s="273"/>
      <c r="F132" s="273"/>
      <c r="G132"/>
      <c r="H132"/>
      <c r="I132"/>
      <c r="J132"/>
      <c r="K132"/>
    </row>
    <row r="133" spans="1:13" s="272" customFormat="1" ht="15" customHeight="1">
      <c r="A133" s="273" t="s">
        <v>466</v>
      </c>
      <c r="B133" s="469">
        <v>0.6</v>
      </c>
      <c r="C133" s="468" t="s">
        <v>467</v>
      </c>
      <c r="D133" s="468"/>
      <c r="E133" s="274"/>
      <c r="F133" s="274"/>
      <c r="G133"/>
      <c r="H133"/>
      <c r="I133"/>
      <c r="J133"/>
      <c r="K133"/>
    </row>
    <row r="134" spans="1:13" s="272" customFormat="1" ht="14.4">
      <c r="A134" s="470" t="s">
        <v>468</v>
      </c>
      <c r="B134" s="471">
        <v>8.2876999999999992</v>
      </c>
      <c r="C134" s="468" t="s">
        <v>467</v>
      </c>
      <c r="D134" s="468"/>
      <c r="E134" s="468"/>
      <c r="F134" s="468"/>
      <c r="G134"/>
      <c r="H134"/>
      <c r="I134"/>
      <c r="J134"/>
      <c r="K134"/>
    </row>
    <row r="135" spans="1:13" s="272" customFormat="1" ht="14.4">
      <c r="A135" s="272" t="s">
        <v>469</v>
      </c>
      <c r="B135" s="275">
        <v>0.4</v>
      </c>
      <c r="C135" s="276" t="s">
        <v>470</v>
      </c>
      <c r="D135" s="276"/>
      <c r="E135" s="276"/>
      <c r="G135" s="276"/>
      <c r="H135" s="276"/>
    </row>
    <row r="136" spans="1:13" s="272" customFormat="1" ht="26.1" customHeight="1">
      <c r="A136" s="627" t="s">
        <v>471</v>
      </c>
      <c r="B136" s="628"/>
      <c r="C136" s="628"/>
      <c r="D136" s="628"/>
      <c r="E136" s="628"/>
      <c r="F136" s="628"/>
      <c r="G136" s="628"/>
      <c r="H136" s="628"/>
      <c r="I136" s="628"/>
      <c r="J136" s="628"/>
      <c r="K136" s="628"/>
      <c r="L136" s="628"/>
    </row>
    <row r="137" spans="1:13" s="272" customFormat="1" ht="48.75" customHeight="1">
      <c r="A137" s="472" t="s">
        <v>472</v>
      </c>
      <c r="B137" s="472" t="s">
        <v>473</v>
      </c>
      <c r="C137" s="472" t="s">
        <v>474</v>
      </c>
      <c r="D137" s="472"/>
      <c r="E137" s="472" t="s">
        <v>475</v>
      </c>
      <c r="F137" s="472" t="s">
        <v>476</v>
      </c>
      <c r="G137" s="472" t="s">
        <v>477</v>
      </c>
      <c r="H137" s="629" t="s">
        <v>478</v>
      </c>
      <c r="I137" s="629"/>
      <c r="J137" s="629" t="s">
        <v>479</v>
      </c>
      <c r="K137" s="629"/>
      <c r="L137" s="473" t="s">
        <v>480</v>
      </c>
      <c r="M137"/>
    </row>
    <row r="138" spans="1:13" s="272" customFormat="1" ht="18.75" customHeight="1">
      <c r="A138" s="357" t="s">
        <v>481</v>
      </c>
      <c r="B138" s="358">
        <v>47.9</v>
      </c>
      <c r="C138" s="335">
        <f>$G$127*($B$132-B138)*$B$134</f>
        <v>54139.400249999992</v>
      </c>
      <c r="D138" s="335"/>
      <c r="E138" s="335">
        <f t="shared" ref="E138:E153" si="4">C138*$B$133</f>
        <v>32483.640149999992</v>
      </c>
      <c r="F138" s="335">
        <f>_xlfn.LET(_xlpm.x,_xlfn.XLOOKUP(E138/$C$3,$A$159:$A$189,$A$159:$A$189,"",1),IF(_xlpm.x="",ROUNDUP(E138/$C$3,0),_xlpm.x))</f>
        <v>60000</v>
      </c>
      <c r="G138" s="335">
        <f>_xlfn.LET(_xlpm.v,MAX(30,$G$127*$B$135),_xlpm.x,_xlfn.XLOOKUP(_xlpm.v,$F$159:$F$177,$F$159:$F$177,"",1),IF(_xlpm.x="",ROUNDUP(_xlpm.v,0),_xlpm.x))</f>
        <v>34</v>
      </c>
      <c r="H138" s="335">
        <f>(F138/800)+110*SQRT(G138)</f>
        <v>716.40470843298306</v>
      </c>
      <c r="I138" s="335" t="s">
        <v>482</v>
      </c>
      <c r="J138" s="336">
        <f>H138/70</f>
        <v>10.234352977614044</v>
      </c>
      <c r="K138" s="359" t="s">
        <v>483</v>
      </c>
      <c r="L138" s="630" t="s">
        <v>484</v>
      </c>
    </row>
    <row r="139" spans="1:13" s="272" customFormat="1" ht="18.75" customHeight="1">
      <c r="A139" s="357" t="s">
        <v>485</v>
      </c>
      <c r="B139" s="358">
        <v>50.8</v>
      </c>
      <c r="C139" s="335">
        <f t="shared" ref="C139:C153" si="5">$G$127*($B$132-B139)*$B$134</f>
        <v>52336.825499999992</v>
      </c>
      <c r="D139" s="335"/>
      <c r="E139" s="335">
        <f t="shared" si="4"/>
        <v>31402.095299999994</v>
      </c>
      <c r="F139" s="335">
        <f t="shared" ref="F139:F153" si="6">_xlfn.LET(_xlpm.x,_xlfn.XLOOKUP(E139/$C$3,$A$159:$A$189,$A$159:$A$189,"",1),IF(_xlpm.x="",ROUNDUP(E139/$C$3,0),_xlpm.x))</f>
        <v>60000</v>
      </c>
      <c r="G139" s="335">
        <f t="shared" ref="G139:G153" si="7">_xlfn.LET(_xlpm.v,MAX(30,$G$127*$B$135),_xlpm.x,_xlfn.XLOOKUP(_xlpm.v,$F$159:$F$177,$F$159:$F$177,"",1),IF(_xlpm.x="",ROUNDUP(_xlpm.v,0),_xlpm.x))</f>
        <v>34</v>
      </c>
      <c r="H139" s="335">
        <f t="shared" ref="H139:H153" si="8">(F139/800)+110*SQRT(G139)</f>
        <v>716.40470843298306</v>
      </c>
      <c r="I139" s="335" t="s">
        <v>482</v>
      </c>
      <c r="J139" s="336">
        <f t="shared" ref="J139:J153" si="9">H139/70</f>
        <v>10.234352977614044</v>
      </c>
      <c r="K139" s="359" t="s">
        <v>483</v>
      </c>
      <c r="L139" s="631"/>
    </row>
    <row r="140" spans="1:13" s="272" customFormat="1" ht="18.75" customHeight="1">
      <c r="A140" s="357" t="s">
        <v>486</v>
      </c>
      <c r="B140" s="358">
        <v>52.2</v>
      </c>
      <c r="C140" s="335">
        <f t="shared" si="5"/>
        <v>51466.616999999998</v>
      </c>
      <c r="D140" s="335"/>
      <c r="E140" s="335">
        <f t="shared" si="4"/>
        <v>30879.970199999996</v>
      </c>
      <c r="F140" s="335">
        <f t="shared" si="6"/>
        <v>60000</v>
      </c>
      <c r="G140" s="335">
        <f t="shared" si="7"/>
        <v>34</v>
      </c>
      <c r="H140" s="335">
        <f t="shared" si="8"/>
        <v>716.40470843298306</v>
      </c>
      <c r="I140" s="335" t="s">
        <v>482</v>
      </c>
      <c r="J140" s="336">
        <f t="shared" si="9"/>
        <v>10.234352977614044</v>
      </c>
      <c r="K140" s="359" t="s">
        <v>483</v>
      </c>
      <c r="L140" s="631"/>
    </row>
    <row r="141" spans="1:13" s="272" customFormat="1" ht="18.75" customHeight="1">
      <c r="A141" s="357" t="s">
        <v>487</v>
      </c>
      <c r="B141" s="358">
        <v>52.7</v>
      </c>
      <c r="C141" s="335">
        <f t="shared" si="5"/>
        <v>51155.828249999991</v>
      </c>
      <c r="D141" s="335"/>
      <c r="E141" s="335">
        <f t="shared" si="4"/>
        <v>30693.496949999993</v>
      </c>
      <c r="F141" s="335">
        <f t="shared" si="6"/>
        <v>60000</v>
      </c>
      <c r="G141" s="335">
        <f t="shared" si="7"/>
        <v>34</v>
      </c>
      <c r="H141" s="335">
        <f t="shared" si="8"/>
        <v>716.40470843298306</v>
      </c>
      <c r="I141" s="335" t="s">
        <v>482</v>
      </c>
      <c r="J141" s="336">
        <f t="shared" si="9"/>
        <v>10.234352977614044</v>
      </c>
      <c r="K141" s="359" t="s">
        <v>483</v>
      </c>
      <c r="L141" s="631"/>
    </row>
    <row r="142" spans="1:13" s="272" customFormat="1" ht="18.75" customHeight="1">
      <c r="A142" s="357" t="s">
        <v>488</v>
      </c>
      <c r="B142" s="358">
        <v>51.6</v>
      </c>
      <c r="C142" s="335">
        <f t="shared" si="5"/>
        <v>51839.563499999997</v>
      </c>
      <c r="D142" s="335"/>
      <c r="E142" s="335">
        <f t="shared" si="4"/>
        <v>31103.738099999995</v>
      </c>
      <c r="F142" s="335">
        <f t="shared" si="6"/>
        <v>60000</v>
      </c>
      <c r="G142" s="335">
        <f t="shared" si="7"/>
        <v>34</v>
      </c>
      <c r="H142" s="335">
        <f t="shared" si="8"/>
        <v>716.40470843298306</v>
      </c>
      <c r="I142" s="335" t="s">
        <v>482</v>
      </c>
      <c r="J142" s="336">
        <f t="shared" si="9"/>
        <v>10.234352977614044</v>
      </c>
      <c r="K142" s="359" t="s">
        <v>483</v>
      </c>
      <c r="L142" s="631"/>
    </row>
    <row r="143" spans="1:13" s="272" customFormat="1" ht="18.75" customHeight="1">
      <c r="A143" s="357" t="s">
        <v>489</v>
      </c>
      <c r="B143" s="358">
        <v>56.8</v>
      </c>
      <c r="C143" s="335">
        <f t="shared" si="5"/>
        <v>48607.360499999995</v>
      </c>
      <c r="D143" s="335"/>
      <c r="E143" s="335">
        <f t="shared" si="4"/>
        <v>29164.416299999997</v>
      </c>
      <c r="F143" s="335">
        <f t="shared" si="6"/>
        <v>60000</v>
      </c>
      <c r="G143" s="335">
        <f t="shared" si="7"/>
        <v>34</v>
      </c>
      <c r="H143" s="335">
        <f t="shared" si="8"/>
        <v>716.40470843298306</v>
      </c>
      <c r="I143" s="335" t="s">
        <v>482</v>
      </c>
      <c r="J143" s="336">
        <f t="shared" si="9"/>
        <v>10.234352977614044</v>
      </c>
      <c r="K143" s="359" t="s">
        <v>483</v>
      </c>
      <c r="L143" s="631"/>
    </row>
    <row r="144" spans="1:13" s="272" customFormat="1" ht="18.75" customHeight="1">
      <c r="A144" s="357" t="s">
        <v>490</v>
      </c>
      <c r="B144" s="358">
        <v>58.4</v>
      </c>
      <c r="C144" s="335">
        <f t="shared" si="5"/>
        <v>47612.836499999998</v>
      </c>
      <c r="D144" s="335"/>
      <c r="E144" s="335">
        <f t="shared" si="4"/>
        <v>28567.701899999996</v>
      </c>
      <c r="F144" s="335">
        <f t="shared" si="6"/>
        <v>60000</v>
      </c>
      <c r="G144" s="335">
        <f t="shared" si="7"/>
        <v>34</v>
      </c>
      <c r="H144" s="335">
        <f t="shared" si="8"/>
        <v>716.40470843298306</v>
      </c>
      <c r="I144" s="335" t="s">
        <v>482</v>
      </c>
      <c r="J144" s="336">
        <f t="shared" si="9"/>
        <v>10.234352977614044</v>
      </c>
      <c r="K144" s="359" t="s">
        <v>483</v>
      </c>
      <c r="L144" s="631"/>
    </row>
    <row r="145" spans="1:12" s="272" customFormat="1" ht="18.75" customHeight="1">
      <c r="A145" s="357" t="s">
        <v>491</v>
      </c>
      <c r="B145" s="358">
        <v>58.4</v>
      </c>
      <c r="C145" s="335">
        <f t="shared" si="5"/>
        <v>47612.836499999998</v>
      </c>
      <c r="D145" s="335"/>
      <c r="E145" s="335">
        <f t="shared" si="4"/>
        <v>28567.701899999996</v>
      </c>
      <c r="F145" s="335">
        <f t="shared" si="6"/>
        <v>60000</v>
      </c>
      <c r="G145" s="335">
        <f t="shared" si="7"/>
        <v>34</v>
      </c>
      <c r="H145" s="335">
        <f t="shared" si="8"/>
        <v>716.40470843298306</v>
      </c>
      <c r="I145" s="335" t="s">
        <v>482</v>
      </c>
      <c r="J145" s="336">
        <f t="shared" si="9"/>
        <v>10.234352977614044</v>
      </c>
      <c r="K145" s="359" t="s">
        <v>483</v>
      </c>
      <c r="L145" s="631"/>
    </row>
    <row r="146" spans="1:12" s="272" customFormat="1" ht="18.75" customHeight="1">
      <c r="A146" s="357" t="s">
        <v>492</v>
      </c>
      <c r="B146" s="358">
        <v>57.6</v>
      </c>
      <c r="C146" s="335">
        <f t="shared" si="5"/>
        <v>48110.098499999993</v>
      </c>
      <c r="D146" s="335"/>
      <c r="E146" s="335">
        <f t="shared" si="4"/>
        <v>28866.059099999995</v>
      </c>
      <c r="F146" s="335">
        <f t="shared" si="6"/>
        <v>60000</v>
      </c>
      <c r="G146" s="335">
        <f t="shared" si="7"/>
        <v>34</v>
      </c>
      <c r="H146" s="335">
        <f t="shared" si="8"/>
        <v>716.40470843298306</v>
      </c>
      <c r="I146" s="335" t="s">
        <v>482</v>
      </c>
      <c r="J146" s="336">
        <f t="shared" si="9"/>
        <v>10.234352977614044</v>
      </c>
      <c r="K146" s="359" t="s">
        <v>483</v>
      </c>
      <c r="L146" s="631"/>
    </row>
    <row r="147" spans="1:12" s="272" customFormat="1" ht="18.75" customHeight="1">
      <c r="A147" s="357" t="s">
        <v>292</v>
      </c>
      <c r="B147" s="358">
        <v>57.1</v>
      </c>
      <c r="C147" s="335">
        <f t="shared" si="5"/>
        <v>48420.887249999992</v>
      </c>
      <c r="D147" s="335"/>
      <c r="E147" s="335">
        <f t="shared" si="4"/>
        <v>29052.532349999994</v>
      </c>
      <c r="F147" s="335">
        <f t="shared" si="6"/>
        <v>60000</v>
      </c>
      <c r="G147" s="335">
        <f t="shared" si="7"/>
        <v>34</v>
      </c>
      <c r="H147" s="335">
        <f t="shared" si="8"/>
        <v>716.40470843298306</v>
      </c>
      <c r="I147" s="335" t="s">
        <v>482</v>
      </c>
      <c r="J147" s="336">
        <f t="shared" si="9"/>
        <v>10.234352977614044</v>
      </c>
      <c r="K147" s="359" t="s">
        <v>483</v>
      </c>
      <c r="L147" s="631"/>
    </row>
    <row r="148" spans="1:12" s="272" customFormat="1" ht="18.75" customHeight="1">
      <c r="A148" s="357" t="s">
        <v>293</v>
      </c>
      <c r="B148" s="358">
        <v>50.5</v>
      </c>
      <c r="C148" s="335">
        <f t="shared" si="5"/>
        <v>52523.298749999994</v>
      </c>
      <c r="D148" s="335"/>
      <c r="E148" s="335">
        <f t="shared" si="4"/>
        <v>31513.979249999997</v>
      </c>
      <c r="F148" s="335">
        <f t="shared" si="6"/>
        <v>60000</v>
      </c>
      <c r="G148" s="335">
        <f t="shared" si="7"/>
        <v>34</v>
      </c>
      <c r="H148" s="335">
        <f t="shared" si="8"/>
        <v>716.40470843298306</v>
      </c>
      <c r="I148" s="335" t="s">
        <v>482</v>
      </c>
      <c r="J148" s="336">
        <f t="shared" si="9"/>
        <v>10.234352977614044</v>
      </c>
      <c r="K148" s="359" t="s">
        <v>483</v>
      </c>
      <c r="L148" s="631"/>
    </row>
    <row r="149" spans="1:12" s="272" customFormat="1" ht="18.75" customHeight="1">
      <c r="A149" s="357" t="s">
        <v>294</v>
      </c>
      <c r="B149" s="358">
        <v>51.4</v>
      </c>
      <c r="C149" s="335">
        <f t="shared" si="5"/>
        <v>51963.878999999994</v>
      </c>
      <c r="D149" s="335"/>
      <c r="E149" s="335">
        <f t="shared" si="4"/>
        <v>31178.327399999995</v>
      </c>
      <c r="F149" s="335">
        <f t="shared" si="6"/>
        <v>60000</v>
      </c>
      <c r="G149" s="335">
        <f t="shared" si="7"/>
        <v>34</v>
      </c>
      <c r="H149" s="335">
        <f t="shared" si="8"/>
        <v>716.40470843298306</v>
      </c>
      <c r="I149" s="335" t="s">
        <v>482</v>
      </c>
      <c r="J149" s="336">
        <f t="shared" si="9"/>
        <v>10.234352977614044</v>
      </c>
      <c r="K149" s="359" t="s">
        <v>483</v>
      </c>
      <c r="L149" s="631"/>
    </row>
    <row r="150" spans="1:12" s="272" customFormat="1" ht="18.75" customHeight="1">
      <c r="A150" s="357" t="s">
        <v>295</v>
      </c>
      <c r="B150" s="358">
        <v>51.7</v>
      </c>
      <c r="C150" s="335">
        <f t="shared" si="5"/>
        <v>51777.405749999998</v>
      </c>
      <c r="D150" s="335"/>
      <c r="E150" s="335">
        <f t="shared" si="4"/>
        <v>31066.443449999999</v>
      </c>
      <c r="F150" s="335">
        <f t="shared" si="6"/>
        <v>60000</v>
      </c>
      <c r="G150" s="335">
        <f t="shared" si="7"/>
        <v>34</v>
      </c>
      <c r="H150" s="335">
        <f t="shared" si="8"/>
        <v>716.40470843298306</v>
      </c>
      <c r="I150" s="335" t="s">
        <v>482</v>
      </c>
      <c r="J150" s="336">
        <f t="shared" si="9"/>
        <v>10.234352977614044</v>
      </c>
      <c r="K150" s="359" t="s">
        <v>483</v>
      </c>
      <c r="L150" s="631"/>
    </row>
    <row r="151" spans="1:12" s="272" customFormat="1" ht="18.75" customHeight="1">
      <c r="A151" s="357" t="s">
        <v>296</v>
      </c>
      <c r="B151" s="358">
        <v>50.1</v>
      </c>
      <c r="C151" s="335">
        <f t="shared" si="5"/>
        <v>52771.929749999996</v>
      </c>
      <c r="D151" s="335"/>
      <c r="E151" s="335">
        <f t="shared" si="4"/>
        <v>31663.157849999996</v>
      </c>
      <c r="F151" s="335">
        <f t="shared" si="6"/>
        <v>60000</v>
      </c>
      <c r="G151" s="335">
        <f t="shared" si="7"/>
        <v>34</v>
      </c>
      <c r="H151" s="335">
        <f t="shared" si="8"/>
        <v>716.40470843298306</v>
      </c>
      <c r="I151" s="335" t="s">
        <v>482</v>
      </c>
      <c r="J151" s="336">
        <f t="shared" si="9"/>
        <v>10.234352977614044</v>
      </c>
      <c r="K151" s="359" t="s">
        <v>483</v>
      </c>
      <c r="L151" s="631"/>
    </row>
    <row r="152" spans="1:12" s="272" customFormat="1" ht="18.75" customHeight="1">
      <c r="A152" s="357" t="s">
        <v>297</v>
      </c>
      <c r="B152" s="358">
        <v>63.2</v>
      </c>
      <c r="C152" s="335">
        <f t="shared" si="5"/>
        <v>44629.264499999997</v>
      </c>
      <c r="D152" s="335"/>
      <c r="E152" s="335">
        <f t="shared" si="4"/>
        <v>26777.558699999998</v>
      </c>
      <c r="F152" s="335">
        <f t="shared" si="6"/>
        <v>60000</v>
      </c>
      <c r="G152" s="335">
        <f t="shared" si="7"/>
        <v>34</v>
      </c>
      <c r="H152" s="335">
        <f t="shared" si="8"/>
        <v>716.40470843298306</v>
      </c>
      <c r="I152" s="335" t="s">
        <v>482</v>
      </c>
      <c r="J152" s="336">
        <f t="shared" si="9"/>
        <v>10.234352977614044</v>
      </c>
      <c r="K152" s="359" t="s">
        <v>483</v>
      </c>
      <c r="L152" s="631"/>
    </row>
    <row r="153" spans="1:12" s="272" customFormat="1" ht="18.75" customHeight="1">
      <c r="A153" s="357" t="s">
        <v>298</v>
      </c>
      <c r="B153" s="358">
        <v>41.4</v>
      </c>
      <c r="C153" s="335">
        <f t="shared" si="5"/>
        <v>58179.653999999995</v>
      </c>
      <c r="D153" s="335"/>
      <c r="E153" s="335">
        <f t="shared" si="4"/>
        <v>34907.792399999998</v>
      </c>
      <c r="F153" s="335">
        <f t="shared" si="6"/>
        <v>60000</v>
      </c>
      <c r="G153" s="335">
        <f t="shared" si="7"/>
        <v>34</v>
      </c>
      <c r="H153" s="335">
        <f t="shared" si="8"/>
        <v>716.40470843298306</v>
      </c>
      <c r="I153" s="335" t="s">
        <v>482</v>
      </c>
      <c r="J153" s="336">
        <f t="shared" si="9"/>
        <v>10.234352977614044</v>
      </c>
      <c r="K153" s="359" t="s">
        <v>483</v>
      </c>
      <c r="L153" s="632"/>
    </row>
    <row r="154" spans="1:12" s="272" customFormat="1" ht="14.4">
      <c r="C154" s="276"/>
      <c r="D154" s="276"/>
      <c r="E154" s="276"/>
      <c r="G154" s="276"/>
      <c r="H154" s="276"/>
    </row>
    <row r="155" spans="1:12" s="272" customFormat="1" ht="14.4">
      <c r="C155" s="276"/>
      <c r="D155" s="276"/>
      <c r="E155" s="276"/>
      <c r="G155" s="276"/>
      <c r="H155" s="276"/>
    </row>
    <row r="156" spans="1:12" s="272" customFormat="1" ht="14.4">
      <c r="C156" s="276"/>
      <c r="D156" s="276"/>
      <c r="E156" s="276"/>
      <c r="G156" s="276"/>
      <c r="H156" s="276"/>
    </row>
    <row r="157" spans="1:12" s="272" customFormat="1" ht="24" customHeight="1">
      <c r="A157" s="633" t="s">
        <v>493</v>
      </c>
      <c r="B157" s="570"/>
      <c r="C157" s="570"/>
      <c r="D157" s="570"/>
      <c r="E157" s="570"/>
      <c r="F157" s="570"/>
      <c r="G157" s="570"/>
      <c r="H157" s="570"/>
      <c r="I157" s="570"/>
    </row>
    <row r="158" spans="1:12" s="278" customFormat="1" ht="27.6">
      <c r="A158" s="474" t="s">
        <v>494</v>
      </c>
      <c r="B158" s="360" t="s">
        <v>495</v>
      </c>
      <c r="C158" s="361" t="s">
        <v>496</v>
      </c>
      <c r="D158" s="362"/>
      <c r="E158" s="362" t="s">
        <v>497</v>
      </c>
      <c r="F158" s="475" t="s">
        <v>498</v>
      </c>
      <c r="G158" s="362" t="s">
        <v>499</v>
      </c>
      <c r="H158" s="363" t="s">
        <v>500</v>
      </c>
      <c r="I158" s="364" t="s">
        <v>501</v>
      </c>
      <c r="J158" s="277" t="str">
        <f>HYPERLINK("#'Note'!A1","Sources and links → Note tab")</f>
        <v>Sources and links → Note tab</v>
      </c>
    </row>
    <row r="159" spans="1:12" s="272" customFormat="1" ht="13.8">
      <c r="A159" s="355">
        <v>60000</v>
      </c>
      <c r="B159" s="476" t="s">
        <v>502</v>
      </c>
      <c r="C159" s="350">
        <v>1.5</v>
      </c>
      <c r="D159" s="351"/>
      <c r="E159" s="352">
        <v>5118</v>
      </c>
      <c r="F159" s="351">
        <v>34</v>
      </c>
      <c r="G159" s="351" t="s">
        <v>503</v>
      </c>
      <c r="H159" s="351">
        <v>6</v>
      </c>
      <c r="I159" s="416" t="s">
        <v>502</v>
      </c>
    </row>
    <row r="160" spans="1:12" s="272" customFormat="1" ht="13.8">
      <c r="A160" s="355">
        <v>75100</v>
      </c>
      <c r="B160" s="477" t="s">
        <v>502</v>
      </c>
      <c r="C160" s="353">
        <v>2</v>
      </c>
      <c r="D160" s="347"/>
      <c r="E160" s="334">
        <v>6824</v>
      </c>
      <c r="F160" s="347">
        <v>35</v>
      </c>
      <c r="G160" s="347" t="s">
        <v>502</v>
      </c>
      <c r="H160" s="347">
        <v>10</v>
      </c>
      <c r="I160" s="417" t="s">
        <v>502</v>
      </c>
    </row>
    <row r="161" spans="1:9" s="272" customFormat="1" ht="13.8">
      <c r="A161" s="355">
        <v>76000</v>
      </c>
      <c r="B161" s="477" t="s">
        <v>504</v>
      </c>
      <c r="C161" s="353">
        <v>3</v>
      </c>
      <c r="D161" s="347"/>
      <c r="E161" s="334">
        <v>10236</v>
      </c>
      <c r="F161" s="347">
        <v>48</v>
      </c>
      <c r="G161" s="347" t="s">
        <v>502</v>
      </c>
      <c r="H161" s="347">
        <v>15</v>
      </c>
      <c r="I161" s="417" t="s">
        <v>502</v>
      </c>
    </row>
    <row r="162" spans="1:9" s="272" customFormat="1" ht="13.8">
      <c r="A162" s="355">
        <v>80000</v>
      </c>
      <c r="B162" s="477" t="s">
        <v>502</v>
      </c>
      <c r="C162" s="353">
        <v>4.5</v>
      </c>
      <c r="D162" s="347"/>
      <c r="E162" s="334">
        <v>15355</v>
      </c>
      <c r="F162" s="347">
        <v>50</v>
      </c>
      <c r="G162" s="347" t="s">
        <v>504</v>
      </c>
      <c r="H162" s="347">
        <v>20</v>
      </c>
      <c r="I162" s="417" t="s">
        <v>502</v>
      </c>
    </row>
    <row r="163" spans="1:9" s="272" customFormat="1" ht="13.8">
      <c r="A163" s="355">
        <v>99900</v>
      </c>
      <c r="B163" s="477" t="s">
        <v>503</v>
      </c>
      <c r="C163" s="353">
        <v>6</v>
      </c>
      <c r="D163" s="347"/>
      <c r="E163" s="334">
        <v>20473</v>
      </c>
      <c r="F163" s="347">
        <v>55</v>
      </c>
      <c r="G163" s="347" t="s">
        <v>503</v>
      </c>
      <c r="H163" s="347">
        <v>28</v>
      </c>
      <c r="I163" s="417" t="s">
        <v>502</v>
      </c>
    </row>
    <row r="164" spans="1:9" s="272" customFormat="1" ht="13.8">
      <c r="A164" s="355">
        <v>100000</v>
      </c>
      <c r="B164" s="477" t="s">
        <v>504</v>
      </c>
      <c r="C164" s="353">
        <v>8</v>
      </c>
      <c r="D164" s="347"/>
      <c r="E164" s="334">
        <v>27297</v>
      </c>
      <c r="F164" s="347">
        <v>60</v>
      </c>
      <c r="G164" s="347" t="s">
        <v>503</v>
      </c>
      <c r="H164" s="347">
        <v>30</v>
      </c>
      <c r="I164" s="417" t="s">
        <v>502</v>
      </c>
    </row>
    <row r="165" spans="1:9" s="272" customFormat="1" ht="13.8">
      <c r="A165" s="355">
        <v>120000</v>
      </c>
      <c r="B165" s="477" t="s">
        <v>503</v>
      </c>
      <c r="C165" s="353">
        <v>9</v>
      </c>
      <c r="D165" s="347"/>
      <c r="E165" s="334">
        <v>30709</v>
      </c>
      <c r="F165" s="347">
        <v>65</v>
      </c>
      <c r="G165" s="347" t="s">
        <v>504</v>
      </c>
      <c r="H165" s="347">
        <v>36</v>
      </c>
      <c r="I165" s="417" t="s">
        <v>502</v>
      </c>
    </row>
    <row r="166" spans="1:9" s="272" customFormat="1" ht="13.8">
      <c r="A166" s="355">
        <v>125000</v>
      </c>
      <c r="B166" s="477" t="s">
        <v>504</v>
      </c>
      <c r="C166" s="353">
        <v>10</v>
      </c>
      <c r="D166" s="347"/>
      <c r="E166" s="334">
        <v>34121</v>
      </c>
      <c r="F166" s="347">
        <v>72</v>
      </c>
      <c r="G166" s="347" t="s">
        <v>502</v>
      </c>
      <c r="H166" s="347">
        <v>40</v>
      </c>
      <c r="I166" s="417" t="s">
        <v>502</v>
      </c>
    </row>
    <row r="167" spans="1:9" s="272" customFormat="1" ht="13.8">
      <c r="A167" s="355">
        <v>130000</v>
      </c>
      <c r="B167" s="477" t="s">
        <v>504</v>
      </c>
      <c r="C167" s="353">
        <v>12</v>
      </c>
      <c r="D167" s="347"/>
      <c r="E167" s="334">
        <v>40946</v>
      </c>
      <c r="F167" s="347">
        <v>75</v>
      </c>
      <c r="G167" s="347" t="s">
        <v>504</v>
      </c>
      <c r="H167" s="347">
        <v>47</v>
      </c>
      <c r="I167" s="417"/>
    </row>
    <row r="168" spans="1:9" s="272" customFormat="1" ht="13.8">
      <c r="A168" s="355">
        <v>145000</v>
      </c>
      <c r="B168" s="477" t="s">
        <v>503</v>
      </c>
      <c r="C168" s="353">
        <v>12.1</v>
      </c>
      <c r="D168" s="347"/>
      <c r="E168" s="334">
        <v>41287</v>
      </c>
      <c r="F168" s="347">
        <v>76</v>
      </c>
      <c r="G168" s="347" t="s">
        <v>502</v>
      </c>
      <c r="H168" s="347">
        <v>50</v>
      </c>
      <c r="I168" s="417"/>
    </row>
    <row r="169" spans="1:9" s="272" customFormat="1" ht="13.8">
      <c r="A169" s="355">
        <v>150000</v>
      </c>
      <c r="B169" s="477" t="s">
        <v>503</v>
      </c>
      <c r="C169" s="353">
        <v>18</v>
      </c>
      <c r="D169" s="347"/>
      <c r="E169" s="334">
        <v>61419</v>
      </c>
      <c r="F169" s="347">
        <v>80</v>
      </c>
      <c r="G169" s="347" t="s">
        <v>504</v>
      </c>
      <c r="H169" s="347">
        <v>65</v>
      </c>
      <c r="I169" s="417"/>
    </row>
    <row r="170" spans="1:9" s="272" customFormat="1">
      <c r="A170" s="355">
        <v>156000</v>
      </c>
      <c r="B170" s="332" t="s">
        <v>502</v>
      </c>
      <c r="C170" s="353">
        <v>24</v>
      </c>
      <c r="D170" s="347"/>
      <c r="E170" s="334">
        <v>81891</v>
      </c>
      <c r="F170" s="347">
        <v>82</v>
      </c>
      <c r="G170" s="347" t="s">
        <v>502</v>
      </c>
      <c r="H170" s="347">
        <v>80</v>
      </c>
      <c r="I170" s="417"/>
    </row>
    <row r="171" spans="1:9" s="272" customFormat="1">
      <c r="A171" s="355">
        <v>160000</v>
      </c>
      <c r="B171" s="332" t="s">
        <v>504</v>
      </c>
      <c r="C171" s="353">
        <v>27</v>
      </c>
      <c r="D171" s="347"/>
      <c r="E171" s="334">
        <v>92128</v>
      </c>
      <c r="F171" s="347">
        <v>85</v>
      </c>
      <c r="G171" s="347" t="s">
        <v>502</v>
      </c>
      <c r="H171" s="347">
        <v>85</v>
      </c>
      <c r="I171" s="417"/>
    </row>
    <row r="172" spans="1:9" s="272" customFormat="1">
      <c r="A172" s="355">
        <v>175000</v>
      </c>
      <c r="B172" s="332" t="s">
        <v>503</v>
      </c>
      <c r="C172" s="353">
        <v>36</v>
      </c>
      <c r="D172" s="347"/>
      <c r="E172" s="334">
        <v>122837</v>
      </c>
      <c r="F172" s="347">
        <v>90</v>
      </c>
      <c r="G172" s="347" t="s">
        <v>504</v>
      </c>
      <c r="H172" s="347">
        <v>105</v>
      </c>
      <c r="I172" s="417"/>
    </row>
    <row r="173" spans="1:9" s="272" customFormat="1">
      <c r="A173" s="355">
        <v>180000</v>
      </c>
      <c r="B173" s="332" t="s">
        <v>502</v>
      </c>
      <c r="C173" s="353">
        <v>54</v>
      </c>
      <c r="D173" s="347"/>
      <c r="E173" s="334">
        <v>184256</v>
      </c>
      <c r="F173" s="347">
        <v>91</v>
      </c>
      <c r="G173" s="347" t="s">
        <v>502</v>
      </c>
      <c r="H173" s="347">
        <v>120</v>
      </c>
      <c r="I173" s="417"/>
    </row>
    <row r="174" spans="1:9" s="272" customFormat="1">
      <c r="A174" s="355">
        <v>199000</v>
      </c>
      <c r="B174" s="332" t="s">
        <v>503</v>
      </c>
      <c r="C174" s="353"/>
      <c r="D174" s="347"/>
      <c r="E174" s="347"/>
      <c r="F174" s="347">
        <v>100</v>
      </c>
      <c r="G174" s="347" t="s">
        <v>504</v>
      </c>
      <c r="H174" s="347"/>
      <c r="I174" s="417"/>
    </row>
    <row r="175" spans="1:9" s="272" customFormat="1">
      <c r="A175" s="355">
        <v>199900</v>
      </c>
      <c r="B175" s="332" t="s">
        <v>504</v>
      </c>
      <c r="C175" s="353"/>
      <c r="D175" s="347"/>
      <c r="E175" s="347"/>
      <c r="F175" s="347">
        <v>110</v>
      </c>
      <c r="G175" s="347" t="s">
        <v>503</v>
      </c>
      <c r="H175" s="347"/>
      <c r="I175" s="417"/>
    </row>
    <row r="176" spans="1:9" s="272" customFormat="1">
      <c r="A176" s="355">
        <v>200000</v>
      </c>
      <c r="B176" s="332" t="s">
        <v>503</v>
      </c>
      <c r="C176" s="353"/>
      <c r="D176" s="347"/>
      <c r="E176" s="347"/>
      <c r="F176" s="347">
        <v>119</v>
      </c>
      <c r="G176" s="347" t="s">
        <v>504</v>
      </c>
      <c r="H176" s="347"/>
      <c r="I176" s="417"/>
    </row>
    <row r="177" spans="1:9" s="272" customFormat="1">
      <c r="A177" s="355">
        <v>250000</v>
      </c>
      <c r="B177" s="332" t="s">
        <v>504</v>
      </c>
      <c r="C177" s="418"/>
      <c r="D177" s="419"/>
      <c r="E177" s="419"/>
      <c r="F177" s="419">
        <v>125</v>
      </c>
      <c r="G177" s="419" t="s">
        <v>503</v>
      </c>
      <c r="H177" s="419"/>
      <c r="I177" s="420"/>
    </row>
    <row r="178" spans="1:9" s="272" customFormat="1" ht="14.4">
      <c r="A178" s="355">
        <v>251000</v>
      </c>
      <c r="B178" s="333" t="s">
        <v>503</v>
      </c>
      <c r="C178"/>
      <c r="D178"/>
      <c r="E178"/>
      <c r="F178" s="280"/>
      <c r="G178" s="279"/>
      <c r="H178" s="279"/>
    </row>
    <row r="179" spans="1:9" s="272" customFormat="1" ht="14.4">
      <c r="A179" s="355">
        <v>270000</v>
      </c>
      <c r="B179" s="333" t="s">
        <v>502</v>
      </c>
      <c r="C179"/>
      <c r="D179"/>
      <c r="E179"/>
      <c r="F179" s="280"/>
      <c r="G179" s="279"/>
      <c r="H179" s="279"/>
    </row>
    <row r="180" spans="1:9" s="272" customFormat="1" ht="14.4">
      <c r="A180" s="355">
        <v>285000</v>
      </c>
      <c r="B180" s="333" t="s">
        <v>503</v>
      </c>
      <c r="C180"/>
      <c r="D180"/>
      <c r="E180"/>
      <c r="F180" s="280"/>
      <c r="G180" s="279"/>
      <c r="H180" s="279"/>
    </row>
    <row r="181" spans="1:9" s="272" customFormat="1" ht="14.4">
      <c r="A181" s="355">
        <v>300000</v>
      </c>
      <c r="B181" s="333" t="s">
        <v>504</v>
      </c>
      <c r="C181"/>
      <c r="D181"/>
      <c r="E181"/>
      <c r="F181" s="280"/>
      <c r="G181" s="279"/>
      <c r="H181" s="279"/>
    </row>
    <row r="182" spans="1:9" s="272" customFormat="1" ht="14.4">
      <c r="A182" s="355">
        <v>320000</v>
      </c>
      <c r="B182" s="333" t="s">
        <v>503</v>
      </c>
      <c r="C182"/>
      <c r="D182"/>
      <c r="E182"/>
      <c r="F182" s="280"/>
      <c r="G182" s="279"/>
      <c r="H182" s="279"/>
    </row>
    <row r="183" spans="1:9" s="272" customFormat="1" ht="14.4">
      <c r="A183" s="355">
        <v>360000</v>
      </c>
      <c r="B183" s="333" t="s">
        <v>502</v>
      </c>
      <c r="C183"/>
      <c r="D183"/>
      <c r="E183"/>
      <c r="F183" s="280"/>
      <c r="G183" s="279"/>
      <c r="H183" s="279"/>
    </row>
    <row r="184" spans="1:9" s="272" customFormat="1" ht="14.4">
      <c r="A184" s="355">
        <v>398000</v>
      </c>
      <c r="B184" s="333" t="s">
        <v>503</v>
      </c>
      <c r="C184"/>
      <c r="D184"/>
      <c r="E184"/>
      <c r="F184" s="280"/>
      <c r="G184" s="279"/>
      <c r="H184" s="279"/>
    </row>
    <row r="185" spans="1:9" s="272" customFormat="1" ht="14.4">
      <c r="A185" s="355">
        <v>399000</v>
      </c>
      <c r="B185" s="333" t="s">
        <v>503</v>
      </c>
      <c r="C185"/>
      <c r="D185"/>
      <c r="E185"/>
      <c r="F185" s="280"/>
      <c r="G185" s="279"/>
      <c r="H185" s="279"/>
    </row>
    <row r="186" spans="1:9" s="272" customFormat="1" ht="14.4">
      <c r="A186" s="355">
        <v>399900</v>
      </c>
      <c r="B186" s="333" t="s">
        <v>504</v>
      </c>
      <c r="C186"/>
      <c r="D186"/>
      <c r="E186"/>
      <c r="F186" s="280"/>
      <c r="G186" s="279"/>
      <c r="H186" s="279"/>
    </row>
    <row r="187" spans="1:9" s="272" customFormat="1" ht="14.4">
      <c r="A187" s="355">
        <v>499900</v>
      </c>
      <c r="B187" s="333" t="s">
        <v>502</v>
      </c>
      <c r="C187"/>
      <c r="D187"/>
      <c r="E187"/>
      <c r="F187" s="280"/>
      <c r="G187" s="279"/>
      <c r="H187" s="279"/>
    </row>
    <row r="188" spans="1:9" s="272" customFormat="1" ht="14.4">
      <c r="A188" s="355">
        <v>550000</v>
      </c>
      <c r="B188" s="333" t="s">
        <v>502</v>
      </c>
      <c r="C188"/>
      <c r="D188"/>
      <c r="E188"/>
      <c r="F188" s="280"/>
      <c r="G188" s="279"/>
      <c r="H188" s="279"/>
    </row>
    <row r="189" spans="1:9" s="272" customFormat="1" ht="14.4">
      <c r="A189" s="356">
        <v>715000</v>
      </c>
      <c r="B189" s="354" t="s">
        <v>502</v>
      </c>
      <c r="C189" s="279"/>
      <c r="D189" s="279"/>
      <c r="E189" s="279"/>
      <c r="F189" s="280"/>
      <c r="G189" s="279"/>
      <c r="H189" s="279"/>
    </row>
    <row r="190" spans="1:9" customFormat="1" ht="14.4"/>
    <row r="191" spans="1:9" customFormat="1" ht="14.4"/>
    <row r="192" spans="1:9" customFormat="1" ht="14.4"/>
    <row r="193" spans="1:2" customFormat="1" ht="14.4"/>
    <row r="194" spans="1:2" customFormat="1" ht="14.4"/>
    <row r="195" spans="1:2" customFormat="1" ht="14.4"/>
    <row r="196" spans="1:2" customFormat="1" ht="14.4"/>
    <row r="197" spans="1:2" customFormat="1" ht="14.4"/>
    <row r="198" spans="1:2" customFormat="1" ht="14.4"/>
    <row r="199" spans="1:2" customFormat="1" ht="14.4"/>
    <row r="200" spans="1:2" customFormat="1" ht="14.4"/>
    <row r="201" spans="1:2" customFormat="1" ht="14.4"/>
    <row r="202" spans="1:2" customFormat="1" ht="14.4"/>
    <row r="203" spans="1:2" s="66" customFormat="1" ht="21" hidden="1" customHeight="1"/>
    <row r="204" spans="1:2" ht="66" hidden="1">
      <c r="A204" s="155" t="s">
        <v>412</v>
      </c>
      <c r="B204" s="155" t="s">
        <v>456</v>
      </c>
    </row>
    <row r="205" spans="1:2" hidden="1">
      <c r="A205" s="156" t="s">
        <v>123</v>
      </c>
      <c r="B205" s="157">
        <v>0.24</v>
      </c>
    </row>
    <row r="206" spans="1:2" hidden="1">
      <c r="A206" s="156" t="s">
        <v>128</v>
      </c>
      <c r="B206" s="157">
        <v>0.24</v>
      </c>
    </row>
    <row r="207" spans="1:2" hidden="1">
      <c r="A207" s="156" t="s">
        <v>158</v>
      </c>
      <c r="B207" s="157">
        <v>0.24</v>
      </c>
    </row>
    <row r="208" spans="1:2" hidden="1">
      <c r="A208" s="156" t="s">
        <v>168</v>
      </c>
      <c r="B208" s="157">
        <v>0.24</v>
      </c>
    </row>
    <row r="209" spans="1:2" hidden="1">
      <c r="A209" s="156" t="s">
        <v>173</v>
      </c>
      <c r="B209" s="157">
        <v>0.24</v>
      </c>
    </row>
    <row r="210" spans="1:2" hidden="1">
      <c r="A210" s="156" t="s">
        <v>177</v>
      </c>
      <c r="B210" s="157">
        <v>0.24</v>
      </c>
    </row>
    <row r="211" spans="1:2" hidden="1">
      <c r="A211" s="156" t="s">
        <v>255</v>
      </c>
      <c r="B211" s="157">
        <v>0.24</v>
      </c>
    </row>
    <row r="212" spans="1:2" hidden="1">
      <c r="A212" s="156" t="s">
        <v>180</v>
      </c>
      <c r="B212" s="157">
        <v>0.24</v>
      </c>
    </row>
    <row r="213" spans="1:2" hidden="1">
      <c r="A213" s="70" t="s">
        <v>131</v>
      </c>
      <c r="B213" s="157">
        <v>0.57799999999999996</v>
      </c>
    </row>
    <row r="214" spans="1:2" hidden="1">
      <c r="A214" s="60" t="s">
        <v>135</v>
      </c>
      <c r="B214" s="157">
        <v>0.18</v>
      </c>
    </row>
    <row r="215" spans="1:2" hidden="1">
      <c r="A215" s="60" t="s">
        <v>171</v>
      </c>
      <c r="B215" s="157">
        <v>0.18</v>
      </c>
    </row>
    <row r="216" spans="1:2" ht="26.4" hidden="1">
      <c r="A216" s="74" t="s">
        <v>203</v>
      </c>
      <c r="B216" s="157">
        <v>0.09</v>
      </c>
    </row>
    <row r="217" spans="1:2" hidden="1">
      <c r="A217" s="156" t="s">
        <v>147</v>
      </c>
      <c r="B217" s="157">
        <v>0.09</v>
      </c>
    </row>
    <row r="218" spans="1:2" hidden="1">
      <c r="A218" s="156" t="s">
        <v>144</v>
      </c>
      <c r="B218" s="157">
        <v>0</v>
      </c>
    </row>
    <row r="219" spans="1:2" hidden="1">
      <c r="A219" s="74" t="s">
        <v>150</v>
      </c>
      <c r="B219" s="157">
        <v>0</v>
      </c>
    </row>
    <row r="220" spans="1:2" hidden="1">
      <c r="A220" s="83" t="s">
        <v>152</v>
      </c>
      <c r="B220" s="157">
        <v>0.57799999999999996</v>
      </c>
    </row>
    <row r="221" spans="1:2" hidden="1">
      <c r="A221" s="156" t="s">
        <v>163</v>
      </c>
      <c r="B221" s="157">
        <v>0.57799999999999996</v>
      </c>
    </row>
    <row r="222" spans="1:2" hidden="1">
      <c r="A222" s="60" t="s">
        <v>166</v>
      </c>
      <c r="B222" s="157">
        <v>0</v>
      </c>
    </row>
    <row r="223" spans="1:2" hidden="1">
      <c r="A223" s="83" t="s">
        <v>155</v>
      </c>
      <c r="B223" s="157">
        <v>0.09</v>
      </c>
    </row>
    <row r="224" spans="1:2" hidden="1">
      <c r="A224" s="156" t="s">
        <v>185</v>
      </c>
      <c r="B224" s="157">
        <v>0.18</v>
      </c>
    </row>
    <row r="225" spans="1:2" hidden="1">
      <c r="A225" s="83" t="s">
        <v>266</v>
      </c>
      <c r="B225" s="157">
        <v>0</v>
      </c>
    </row>
    <row r="226" spans="1:2" hidden="1">
      <c r="A226" s="478" t="s">
        <v>139</v>
      </c>
      <c r="B226" s="157">
        <v>0.18</v>
      </c>
    </row>
  </sheetData>
  <mergeCells count="11">
    <mergeCell ref="A136:L136"/>
    <mergeCell ref="H137:I137"/>
    <mergeCell ref="J137:K137"/>
    <mergeCell ref="L138:L153"/>
    <mergeCell ref="A157:I157"/>
    <mergeCell ref="A1:G1"/>
    <mergeCell ref="A7:I7"/>
    <mergeCell ref="I9:I126"/>
    <mergeCell ref="B127:F127"/>
    <mergeCell ref="I127:I128"/>
    <mergeCell ref="B128:F12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41"/>
  <sheetViews>
    <sheetView topLeftCell="A4" zoomScale="90" zoomScaleNormal="90" workbookViewId="0">
      <selection activeCell="F25" sqref="F25"/>
    </sheetView>
  </sheetViews>
  <sheetFormatPr defaultColWidth="8.6640625" defaultRowHeight="12.75" customHeight="1"/>
  <cols>
    <col min="1" max="1" width="53.44140625" style="5" customWidth="1"/>
    <col min="2" max="2" width="15.88671875" style="5" customWidth="1"/>
    <col min="3" max="3" width="32.109375" style="5" bestFit="1" customWidth="1"/>
    <col min="4" max="4" width="18.88671875" style="5" customWidth="1"/>
    <col min="5" max="5" width="18.6640625" style="5" customWidth="1"/>
    <col min="6" max="6" width="22.6640625" style="5" customWidth="1"/>
    <col min="7" max="7" width="18" style="5" customWidth="1"/>
    <col min="8" max="8" width="48.33203125" style="5" customWidth="1"/>
    <col min="9" max="9" width="13.33203125" style="5" customWidth="1"/>
    <col min="10" max="10" width="9.6640625" style="5" customWidth="1"/>
    <col min="11" max="11" width="9.44140625" style="5" customWidth="1"/>
    <col min="12" max="12" width="10.5546875" style="5" customWidth="1"/>
    <col min="13" max="13" width="10.6640625" style="5" customWidth="1"/>
    <col min="14" max="14" width="11" style="5" customWidth="1"/>
    <col min="15" max="15" width="9.44140625" style="5" customWidth="1"/>
    <col min="16" max="21" width="8.6640625" style="5"/>
    <col min="22" max="22" width="13.6640625" style="5" bestFit="1" customWidth="1"/>
    <col min="23" max="16384" width="8.6640625" style="5"/>
  </cols>
  <sheetData>
    <row r="1" spans="1:8" ht="25.95" customHeight="1">
      <c r="A1" s="618" t="str">
        <f>"Interior Lighting - "&amp;Prototype!A2</f>
        <v>Interior Lighting - Outpatient</v>
      </c>
      <c r="B1" s="570"/>
      <c r="C1" s="570"/>
      <c r="D1" s="570"/>
      <c r="E1" s="570"/>
      <c r="F1" s="570"/>
      <c r="G1" s="570"/>
      <c r="H1" s="570"/>
    </row>
    <row r="2" spans="1:8" ht="22.95" customHeight="1">
      <c r="A2" s="639" t="s">
        <v>505</v>
      </c>
      <c r="B2" s="641" t="s">
        <v>506</v>
      </c>
      <c r="C2" s="641"/>
      <c r="D2" s="641"/>
      <c r="E2" s="641" t="s">
        <v>312</v>
      </c>
      <c r="F2" s="641"/>
      <c r="G2" s="641"/>
      <c r="H2" s="638" t="s">
        <v>62</v>
      </c>
    </row>
    <row r="3" spans="1:8" ht="37.950000000000003" customHeight="1">
      <c r="A3" s="640"/>
      <c r="B3" s="191" t="s">
        <v>507</v>
      </c>
      <c r="C3" s="329" t="s">
        <v>508</v>
      </c>
      <c r="D3" s="191" t="s">
        <v>67</v>
      </c>
      <c r="E3" s="191" t="s">
        <v>509</v>
      </c>
      <c r="F3" s="329" t="s">
        <v>508</v>
      </c>
      <c r="G3" s="191" t="s">
        <v>67</v>
      </c>
      <c r="H3" s="638"/>
    </row>
    <row r="4" spans="1:8" ht="18.600000000000001" customHeight="1">
      <c r="A4" s="128" t="str">
        <f>Ventilation!A176</f>
        <v>Healthcare Facility and Hospitals (Exam/Treatment Room)</v>
      </c>
      <c r="B4" s="515">
        <v>1.1499999999999999</v>
      </c>
      <c r="C4" s="426"/>
      <c r="D4" s="634" t="s">
        <v>510</v>
      </c>
      <c r="E4" s="286">
        <v>1.2</v>
      </c>
      <c r="F4" s="286"/>
      <c r="G4" s="630" t="s">
        <v>511</v>
      </c>
      <c r="H4" s="512"/>
    </row>
    <row r="5" spans="1:8" ht="18.600000000000001" customHeight="1">
      <c r="A5" s="128" t="str">
        <f>Ventilation!A177</f>
        <v>Healthcare Facility and Hospitals (Medical Supply Room)</v>
      </c>
      <c r="B5" s="515">
        <v>0.55000000000000004</v>
      </c>
      <c r="C5" s="426"/>
      <c r="D5" s="635"/>
      <c r="E5" s="286">
        <v>1.2</v>
      </c>
      <c r="F5" s="286"/>
      <c r="G5" s="588"/>
      <c r="H5" s="512"/>
    </row>
    <row r="6" spans="1:8" ht="18.600000000000001" customHeight="1">
      <c r="A6" s="128" t="str">
        <f>Ventilation!A178</f>
        <v>Healthcare Facility and Hospitals (Imaging Room)</v>
      </c>
      <c r="B6" s="515">
        <v>0.6</v>
      </c>
      <c r="C6" s="516">
        <v>0.2</v>
      </c>
      <c r="D6" s="635"/>
      <c r="E6" s="286">
        <v>1.2</v>
      </c>
      <c r="F6" s="286"/>
      <c r="G6" s="588"/>
      <c r="H6" s="512" t="s">
        <v>512</v>
      </c>
    </row>
    <row r="7" spans="1:8" ht="18.600000000000001" customHeight="1">
      <c r="A7" s="128" t="str">
        <f>Ventilation!A179</f>
        <v>Healthcare Facility and Hospitals (Nurse's Station)</v>
      </c>
      <c r="B7" s="515">
        <v>0.85</v>
      </c>
      <c r="C7" s="516">
        <v>0.2</v>
      </c>
      <c r="D7" s="635"/>
      <c r="E7" s="286">
        <v>1.2</v>
      </c>
      <c r="F7" s="286"/>
      <c r="G7" s="588"/>
      <c r="H7" s="512" t="s">
        <v>513</v>
      </c>
    </row>
    <row r="8" spans="1:8" ht="18.600000000000001" customHeight="1">
      <c r="A8" s="128" t="str">
        <f>Ventilation!A180</f>
        <v>Healthcare Facility and Hospitals (Operating Room)</v>
      </c>
      <c r="B8" s="515">
        <v>1.9</v>
      </c>
      <c r="C8" s="426"/>
      <c r="D8" s="635"/>
      <c r="E8" s="286">
        <v>1.2</v>
      </c>
      <c r="F8" s="286"/>
      <c r="G8" s="588"/>
      <c r="H8" s="512"/>
    </row>
    <row r="9" spans="1:8" ht="18.600000000000001" customHeight="1">
      <c r="A9" s="128" t="str">
        <f>Ventilation!A181</f>
        <v>Healthcare Facility and Hospitals (Recovery Room)</v>
      </c>
      <c r="B9" s="515">
        <v>0.9</v>
      </c>
      <c r="C9" s="516">
        <v>0.1</v>
      </c>
      <c r="D9" s="635"/>
      <c r="E9" s="286">
        <v>1.2</v>
      </c>
      <c r="F9" s="286"/>
      <c r="G9" s="588"/>
      <c r="H9" s="512" t="s">
        <v>514</v>
      </c>
    </row>
    <row r="10" spans="1:8" ht="18.600000000000001" customHeight="1">
      <c r="A10" s="128" t="str">
        <f>Ventilation!A182</f>
        <v>Healthcare Facility and Hospitals (Physical Therapy Room)</v>
      </c>
      <c r="B10" s="515">
        <v>0.75</v>
      </c>
      <c r="C10" s="516">
        <v>0.1</v>
      </c>
      <c r="D10" s="635"/>
      <c r="E10" s="286">
        <v>1.2</v>
      </c>
      <c r="F10" s="286"/>
      <c r="G10" s="588"/>
      <c r="H10" s="512" t="s">
        <v>514</v>
      </c>
    </row>
    <row r="11" spans="1:8" ht="18.600000000000001" customHeight="1">
      <c r="A11" s="128" t="str">
        <f>Ventilation!A183</f>
        <v>Healthcare Facility and Hospitals (Patient Room)</v>
      </c>
      <c r="B11" s="515">
        <v>0.7</v>
      </c>
      <c r="C11" s="516">
        <v>0.15</v>
      </c>
      <c r="D11" s="635"/>
      <c r="E11" s="286">
        <v>1.2</v>
      </c>
      <c r="F11" s="286"/>
      <c r="G11" s="588"/>
      <c r="H11" s="512" t="s">
        <v>513</v>
      </c>
    </row>
    <row r="12" spans="1:8" ht="18.600000000000001" customHeight="1">
      <c r="A12" s="128" t="str">
        <f>Ventilation!A184</f>
        <v>Dining Area (Cafeteria/Fast Food)</v>
      </c>
      <c r="B12" s="515">
        <v>0.45</v>
      </c>
      <c r="C12" s="516">
        <v>0.25</v>
      </c>
      <c r="D12" s="635"/>
      <c r="E12" s="286">
        <v>1</v>
      </c>
      <c r="F12" s="516"/>
      <c r="G12" s="588"/>
      <c r="H12" s="512" t="s">
        <v>512</v>
      </c>
    </row>
    <row r="13" spans="1:8" ht="39.6">
      <c r="A13" s="128" t="str">
        <f>Ventilation!A185</f>
        <v>Office Area (&lt;250 square feet)</v>
      </c>
      <c r="B13" s="515">
        <v>0.65</v>
      </c>
      <c r="C13" s="516">
        <f>0.2*0.5</f>
        <v>0.1</v>
      </c>
      <c r="D13" s="635"/>
      <c r="E13" s="286">
        <v>1</v>
      </c>
      <c r="F13" s="286"/>
      <c r="G13" s="588"/>
      <c r="H13" s="512" t="s">
        <v>515</v>
      </c>
    </row>
    <row r="14" spans="1:8" ht="39.6">
      <c r="A14" s="128" t="str">
        <f>Ventilation!A186</f>
        <v>Office Area (&gt;250 square feet)</v>
      </c>
      <c r="B14" s="515">
        <v>0.6</v>
      </c>
      <c r="C14" s="516">
        <f>0.2*0.5</f>
        <v>0.1</v>
      </c>
      <c r="D14" s="635"/>
      <c r="E14" s="286">
        <v>0.75</v>
      </c>
      <c r="F14" s="286"/>
      <c r="G14" s="588"/>
      <c r="H14" s="512" t="s">
        <v>515</v>
      </c>
    </row>
    <row r="15" spans="1:8" ht="18.600000000000001" customHeight="1">
      <c r="A15" s="128" t="str">
        <f>Ventilation!A187</f>
        <v>Convention, Conference, Multipurpose and Meeting Area</v>
      </c>
      <c r="B15" s="515">
        <v>0.75</v>
      </c>
      <c r="C15" s="516">
        <v>0.25</v>
      </c>
      <c r="D15" s="635"/>
      <c r="E15" s="286">
        <v>1.2</v>
      </c>
      <c r="F15" s="516">
        <v>0.5</v>
      </c>
      <c r="G15" s="588"/>
      <c r="H15" s="512" t="s">
        <v>512</v>
      </c>
    </row>
    <row r="16" spans="1:8" ht="18.600000000000001" customHeight="1">
      <c r="A16" s="128" t="str">
        <f>Ventilation!A188</f>
        <v>Lobby, Main Entry</v>
      </c>
      <c r="B16" s="515">
        <v>0.7</v>
      </c>
      <c r="C16" s="516">
        <v>0.25</v>
      </c>
      <c r="D16" s="635"/>
      <c r="E16" s="286">
        <v>0.95</v>
      </c>
      <c r="F16" s="516">
        <v>0.5</v>
      </c>
      <c r="G16" s="588"/>
      <c r="H16" s="512" t="s">
        <v>512</v>
      </c>
    </row>
    <row r="17" spans="1:8" ht="18.600000000000001" customHeight="1">
      <c r="A17" s="128" t="str">
        <f>Ventilation!A189</f>
        <v>Corridor Area</v>
      </c>
      <c r="B17" s="515">
        <v>0.4</v>
      </c>
      <c r="C17" s="516"/>
      <c r="D17" s="635"/>
      <c r="E17" s="286">
        <v>0.6</v>
      </c>
      <c r="F17" s="286"/>
      <c r="G17" s="588"/>
      <c r="H17" s="512" t="s">
        <v>512</v>
      </c>
    </row>
    <row r="18" spans="1:8" ht="18.600000000000001" customHeight="1">
      <c r="A18" s="128" t="str">
        <f>Ventilation!A190</f>
        <v>Restrooms</v>
      </c>
      <c r="B18" s="515">
        <v>0.65</v>
      </c>
      <c r="C18" s="516"/>
      <c r="D18" s="635"/>
      <c r="E18" s="286">
        <v>0.6</v>
      </c>
      <c r="F18" s="286"/>
      <c r="G18" s="588"/>
      <c r="H18" s="512" t="s">
        <v>512</v>
      </c>
    </row>
    <row r="19" spans="1:8" ht="18.600000000000001" customHeight="1">
      <c r="A19" s="128" t="str">
        <f>Ventilation!A191</f>
        <v>Locker Room</v>
      </c>
      <c r="B19" s="515">
        <v>0.45</v>
      </c>
      <c r="C19" s="426"/>
      <c r="D19" s="635"/>
      <c r="E19" s="286">
        <v>0.7</v>
      </c>
      <c r="F19" s="286"/>
      <c r="G19" s="588"/>
      <c r="H19" s="512"/>
    </row>
    <row r="20" spans="1:8" ht="18.600000000000001" customHeight="1">
      <c r="A20" s="128" t="str">
        <f>Ventilation!A192</f>
        <v>Kitchen/Food Preparation Area</v>
      </c>
      <c r="B20" s="515">
        <v>0.95</v>
      </c>
      <c r="C20" s="426"/>
      <c r="D20" s="635"/>
      <c r="E20" s="286">
        <v>1.2</v>
      </c>
      <c r="F20" s="286"/>
      <c r="G20" s="588"/>
      <c r="H20" s="366"/>
    </row>
    <row r="21" spans="1:8" ht="18.600000000000001" customHeight="1">
      <c r="A21" s="128" t="str">
        <f>Ventilation!A193</f>
        <v>Storage (General)</v>
      </c>
      <c r="B21" s="515">
        <v>0.4</v>
      </c>
      <c r="C21" s="426"/>
      <c r="D21" s="635"/>
      <c r="E21" s="286">
        <v>0.6</v>
      </c>
      <c r="F21" s="286"/>
      <c r="G21" s="588"/>
      <c r="H21" s="366"/>
    </row>
    <row r="22" spans="1:8" ht="18.600000000000001" customHeight="1">
      <c r="A22" s="128" t="str">
        <f>Ventilation!A194</f>
        <v>Lounge, Breakroom, or Waiting Area</v>
      </c>
      <c r="B22" s="515">
        <v>0.55000000000000004</v>
      </c>
      <c r="C22" s="516">
        <v>0.25</v>
      </c>
      <c r="D22" s="635"/>
      <c r="E22" s="286">
        <v>0.9</v>
      </c>
      <c r="F22" s="516">
        <v>0.5</v>
      </c>
      <c r="G22" s="588"/>
      <c r="H22" s="512" t="s">
        <v>512</v>
      </c>
    </row>
    <row r="23" spans="1:8" ht="18.600000000000001" customHeight="1">
      <c r="A23" s="128" t="str">
        <f>Ventilation!A196</f>
        <v>Stairwell</v>
      </c>
      <c r="B23" s="515">
        <v>0.6</v>
      </c>
      <c r="C23" s="516"/>
      <c r="D23" s="635"/>
      <c r="E23" s="286">
        <v>0.6</v>
      </c>
      <c r="F23" s="286"/>
      <c r="G23" s="588"/>
      <c r="H23" s="512" t="s">
        <v>512</v>
      </c>
    </row>
    <row r="24" spans="1:8" ht="18.600000000000001" customHeight="1">
      <c r="A24" s="128" t="str">
        <f>Ventilation!A197</f>
        <v>Electrical, Mechanical, Telephone Rooms</v>
      </c>
      <c r="B24" s="515">
        <v>0.4</v>
      </c>
      <c r="C24" s="516"/>
      <c r="D24" s="635"/>
      <c r="E24" s="286">
        <v>0.55000000000000004</v>
      </c>
      <c r="F24" s="286"/>
      <c r="G24" s="588"/>
      <c r="H24" s="512" t="s">
        <v>512</v>
      </c>
    </row>
    <row r="25" spans="1:8" ht="12.75" customHeight="1">
      <c r="A25" s="112" t="str">
        <f>Zones!C82</f>
        <v>Reception area</v>
      </c>
      <c r="B25" s="515">
        <f>0.7</f>
        <v>0.7</v>
      </c>
      <c r="C25" s="516">
        <v>0.25</v>
      </c>
      <c r="D25" s="635"/>
      <c r="E25" s="286">
        <v>0.95</v>
      </c>
      <c r="F25" s="521">
        <v>0.2</v>
      </c>
      <c r="G25" s="588"/>
      <c r="H25" s="390" t="s">
        <v>512</v>
      </c>
    </row>
    <row r="26" spans="1:8" ht="12.75" customHeight="1">
      <c r="A26" s="193" t="str">
        <f>Zones!C118</f>
        <v>Elevator</v>
      </c>
      <c r="B26" s="515">
        <v>0</v>
      </c>
      <c r="C26" s="107"/>
      <c r="D26" s="636"/>
      <c r="E26" s="286">
        <v>0</v>
      </c>
      <c r="F26" s="365"/>
      <c r="G26" s="637"/>
      <c r="H26" s="56"/>
    </row>
    <row r="27" spans="1:8" ht="12.75" customHeight="1">
      <c r="B27" s="8"/>
      <c r="D27" s="8"/>
      <c r="E27" s="8"/>
      <c r="G27" s="8"/>
    </row>
    <row r="28" spans="1:8" ht="16.95" customHeight="1"/>
    <row r="29" spans="1:8" ht="16.95" customHeight="1">
      <c r="A29" s="97"/>
    </row>
    <row r="30" spans="1:8" ht="16.95" customHeight="1"/>
    <row r="31" spans="1:8" ht="16.95" customHeight="1"/>
    <row r="32" spans="1:8" ht="16.95" customHeight="1"/>
    <row r="34" spans="1:4" ht="13.2" customHeight="1"/>
    <row r="35" spans="1:4" ht="13.2" customHeight="1"/>
    <row r="36" spans="1:4" ht="13.2" customHeight="1"/>
    <row r="37" spans="1:4" ht="13.2" customHeight="1"/>
    <row r="38" spans="1:4" ht="13.2" customHeight="1"/>
    <row r="39" spans="1:4" ht="13.2" customHeight="1"/>
    <row r="40" spans="1:4" ht="13.2" customHeight="1"/>
    <row r="41" spans="1:4" ht="13.2" customHeight="1">
      <c r="A41" s="58"/>
      <c r="B41" s="8"/>
      <c r="C41" s="59"/>
      <c r="D41" s="8"/>
    </row>
  </sheetData>
  <mergeCells count="7">
    <mergeCell ref="D4:D26"/>
    <mergeCell ref="G4:G26"/>
    <mergeCell ref="H2:H3"/>
    <mergeCell ref="A1:H1"/>
    <mergeCell ref="A2:A3"/>
    <mergeCell ref="B2:D2"/>
    <mergeCell ref="E2:G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2"/>
  <sheetViews>
    <sheetView zoomScale="85" zoomScaleNormal="85" workbookViewId="0">
      <selection activeCell="C13" sqref="C13"/>
    </sheetView>
  </sheetViews>
  <sheetFormatPr defaultColWidth="8.6640625" defaultRowHeight="13.2"/>
  <cols>
    <col min="1" max="1" width="30.88671875" style="5" customWidth="1"/>
    <col min="2" max="2" width="36.33203125" style="5" customWidth="1"/>
    <col min="3" max="3" width="17.6640625" style="5" customWidth="1"/>
    <col min="4" max="4" width="34.6640625" style="5" customWidth="1"/>
    <col min="5" max="5" width="25.33203125" style="5" customWidth="1"/>
    <col min="6" max="6" width="17.109375" style="5" customWidth="1"/>
    <col min="7" max="7" width="17.5546875" style="5" customWidth="1"/>
    <col min="8" max="8" width="15.5546875" style="5" customWidth="1"/>
    <col min="9" max="9" width="13.33203125" style="5" customWidth="1"/>
    <col min="10" max="16384" width="8.6640625" style="5"/>
  </cols>
  <sheetData>
    <row r="1" spans="1:7" ht="25.2" customHeight="1">
      <c r="A1" s="649" t="str">
        <f>"Exterior Lighting - "&amp;Prototype!A2</f>
        <v>Exterior Lighting - Outpatient</v>
      </c>
      <c r="B1" s="649"/>
      <c r="C1" s="649"/>
      <c r="D1" s="649"/>
    </row>
    <row r="2" spans="1:7" ht="37.200000000000003" customHeight="1">
      <c r="A2" s="525" t="s">
        <v>516</v>
      </c>
      <c r="B2" s="525" t="s">
        <v>517</v>
      </c>
      <c r="C2" s="525" t="s">
        <v>518</v>
      </c>
      <c r="D2" s="525" t="s">
        <v>67</v>
      </c>
    </row>
    <row r="3" spans="1:7" ht="37.200000000000003" customHeight="1">
      <c r="A3" s="105">
        <f>G14</f>
        <v>2390.08</v>
      </c>
      <c r="B3" s="105">
        <f>G15</f>
        <v>1552.635</v>
      </c>
      <c r="C3" s="105">
        <f>B3+A3</f>
        <v>3942.7150000000001</v>
      </c>
      <c r="D3" s="515" t="s">
        <v>519</v>
      </c>
      <c r="E3" s="60"/>
    </row>
    <row r="4" spans="1:7" ht="22.2" customHeight="1">
      <c r="A4" s="38"/>
      <c r="B4" s="38"/>
      <c r="C4" s="38"/>
    </row>
    <row r="5" spans="1:7" ht="13.8" thickBot="1"/>
    <row r="6" spans="1:7" ht="22.2" customHeight="1">
      <c r="A6" s="645" t="str">
        <f>"Exterior Lighting "</f>
        <v xml:space="preserve">Exterior Lighting </v>
      </c>
      <c r="B6" s="646"/>
      <c r="C6" s="646"/>
      <c r="D6" s="646"/>
      <c r="E6" s="646"/>
      <c r="F6" s="646"/>
      <c r="G6" s="647"/>
    </row>
    <row r="7" spans="1:7" ht="40.950000000000003" customHeight="1">
      <c r="A7" s="106" t="s">
        <v>520</v>
      </c>
      <c r="B7" s="648" t="s">
        <v>521</v>
      </c>
      <c r="C7" s="648"/>
      <c r="D7" s="525" t="s">
        <v>280</v>
      </c>
      <c r="E7" s="525" t="s">
        <v>522</v>
      </c>
      <c r="F7" s="525" t="s">
        <v>280</v>
      </c>
      <c r="G7" s="525" t="s">
        <v>523</v>
      </c>
    </row>
    <row r="8" spans="1:7" ht="16.2" customHeight="1">
      <c r="A8" s="107" t="s">
        <v>524</v>
      </c>
      <c r="B8" s="330" t="s">
        <v>525</v>
      </c>
      <c r="C8" s="331"/>
      <c r="D8" s="505"/>
      <c r="E8" s="516">
        <v>350</v>
      </c>
      <c r="F8" s="479" t="s">
        <v>526</v>
      </c>
      <c r="G8" s="108">
        <f>$E8</f>
        <v>350</v>
      </c>
    </row>
    <row r="9" spans="1:7" ht="66">
      <c r="A9" s="107" t="s">
        <v>527</v>
      </c>
      <c r="B9" s="480" t="s">
        <v>528</v>
      </c>
      <c r="C9" s="288">
        <f>B20/360*400</f>
        <v>45500</v>
      </c>
      <c r="D9" s="425" t="s">
        <v>529</v>
      </c>
      <c r="E9" s="516">
        <v>2.5000000000000001E-2</v>
      </c>
      <c r="F9" s="481" t="s">
        <v>530</v>
      </c>
      <c r="G9" s="108">
        <f>$E9*65520</f>
        <v>1638</v>
      </c>
    </row>
    <row r="10" spans="1:7" ht="16.2" customHeight="1">
      <c r="A10" s="107" t="s">
        <v>531</v>
      </c>
      <c r="B10" s="482" t="s">
        <v>532</v>
      </c>
      <c r="C10" s="289">
        <v>14</v>
      </c>
      <c r="D10" s="425" t="s">
        <v>533</v>
      </c>
      <c r="E10" s="516">
        <v>19</v>
      </c>
      <c r="F10" s="481" t="s">
        <v>534</v>
      </c>
      <c r="G10" s="108">
        <f>E10*C10</f>
        <v>266</v>
      </c>
    </row>
    <row r="11" spans="1:7" ht="42" customHeight="1">
      <c r="A11" s="107" t="s">
        <v>535</v>
      </c>
      <c r="B11" s="483" t="s">
        <v>536</v>
      </c>
      <c r="C11" s="289">
        <v>4095</v>
      </c>
      <c r="D11" s="425" t="s">
        <v>529</v>
      </c>
      <c r="E11" s="516">
        <v>1.2999999999999999E-2</v>
      </c>
      <c r="F11" s="481" t="s">
        <v>530</v>
      </c>
      <c r="G11" s="109">
        <f>E11*C11</f>
        <v>53.234999999999999</v>
      </c>
    </row>
    <row r="12" spans="1:7" ht="92.4">
      <c r="A12" s="107" t="s">
        <v>537</v>
      </c>
      <c r="B12" s="484" t="s">
        <v>538</v>
      </c>
      <c r="C12" s="290">
        <f>B21*0.5*30</f>
        <v>8820</v>
      </c>
      <c r="D12" s="425" t="s">
        <v>529</v>
      </c>
      <c r="E12" s="516">
        <v>0.17</v>
      </c>
      <c r="F12" s="481" t="s">
        <v>530</v>
      </c>
      <c r="G12" s="109">
        <f>E12*C12</f>
        <v>1499.4</v>
      </c>
    </row>
    <row r="13" spans="1:7" ht="16.2" customHeight="1">
      <c r="A13" s="107" t="s">
        <v>539</v>
      </c>
      <c r="B13" s="107"/>
      <c r="C13" s="289">
        <v>504</v>
      </c>
      <c r="D13" s="425" t="s">
        <v>529</v>
      </c>
      <c r="E13" s="516">
        <v>0.27</v>
      </c>
      <c r="F13" s="481" t="s">
        <v>530</v>
      </c>
      <c r="G13" s="109">
        <f>E13*C13</f>
        <v>136.08000000000001</v>
      </c>
    </row>
    <row r="14" spans="1:7" ht="16.2" customHeight="1">
      <c r="A14" s="642" t="s">
        <v>516</v>
      </c>
      <c r="B14" s="643"/>
      <c r="C14" s="643"/>
      <c r="D14" s="643"/>
      <c r="E14" s="643"/>
      <c r="F14" s="644"/>
      <c r="G14" s="145">
        <f>G9+G8+G13+G10</f>
        <v>2390.08</v>
      </c>
    </row>
    <row r="15" spans="1:7" ht="16.2" customHeight="1">
      <c r="A15" s="642" t="s">
        <v>540</v>
      </c>
      <c r="B15" s="643"/>
      <c r="C15" s="643"/>
      <c r="D15" s="643"/>
      <c r="E15" s="643"/>
      <c r="F15" s="644"/>
      <c r="G15" s="145">
        <f>G11+G12</f>
        <v>1552.635</v>
      </c>
    </row>
    <row r="16" spans="1:7">
      <c r="A16" s="642" t="s">
        <v>441</v>
      </c>
      <c r="B16" s="643"/>
      <c r="C16" s="643"/>
      <c r="D16" s="643"/>
      <c r="E16" s="643"/>
      <c r="F16" s="644"/>
      <c r="G16" s="145">
        <f>G14+G15</f>
        <v>3942.7150000000001</v>
      </c>
    </row>
    <row r="20" spans="1:2">
      <c r="A20" s="5" t="s">
        <v>541</v>
      </c>
      <c r="B20" s="88">
        <f>Prototype!B9</f>
        <v>40950</v>
      </c>
    </row>
    <row r="21" spans="1:2">
      <c r="A21" s="5" t="s">
        <v>542</v>
      </c>
      <c r="B21" s="503">
        <v>588</v>
      </c>
    </row>
    <row r="22" spans="1:2">
      <c r="A22" s="5" t="s">
        <v>543</v>
      </c>
      <c r="B22" s="5">
        <v>3</v>
      </c>
    </row>
  </sheetData>
  <mergeCells count="6">
    <mergeCell ref="A16:F16"/>
    <mergeCell ref="A6:G6"/>
    <mergeCell ref="B7:C7"/>
    <mergeCell ref="A1:D1"/>
    <mergeCell ref="A14:F14"/>
    <mergeCell ref="A15:F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L58"/>
  <sheetViews>
    <sheetView topLeftCell="A18" zoomScale="85" zoomScaleNormal="85" workbookViewId="0">
      <selection activeCell="C58" sqref="C58"/>
    </sheetView>
  </sheetViews>
  <sheetFormatPr defaultColWidth="8.6640625" defaultRowHeight="13.2"/>
  <cols>
    <col min="1" max="1" width="50.33203125" style="5" customWidth="1"/>
    <col min="2" max="2" width="23.44140625" style="5" customWidth="1"/>
    <col min="3" max="3" width="16.88671875" style="5" customWidth="1"/>
    <col min="4" max="4" width="16.5546875" style="5" customWidth="1"/>
    <col min="5" max="5" width="28.88671875" style="5" customWidth="1"/>
    <col min="6" max="6" width="47.88671875" style="5" customWidth="1"/>
    <col min="7" max="7" width="19.109375" style="5" customWidth="1"/>
    <col min="8" max="8" width="13.44140625" style="5" customWidth="1"/>
    <col min="9" max="9" width="16.6640625" style="5" customWidth="1"/>
    <col min="10" max="10" width="14.6640625" style="5" customWidth="1"/>
    <col min="11" max="11" width="53.5546875" style="5" customWidth="1"/>
    <col min="12" max="12" width="10.88671875" style="5" customWidth="1"/>
    <col min="13" max="16384" width="8.6640625" style="5"/>
  </cols>
  <sheetData>
    <row r="1" spans="1:7" ht="23.4" customHeight="1">
      <c r="A1" s="650" t="str">
        <f>"Equipment - "&amp;Prototype!A2</f>
        <v>Equipment - Outpatient</v>
      </c>
      <c r="B1" s="555"/>
      <c r="C1" s="555"/>
      <c r="D1" s="555"/>
      <c r="E1" s="555"/>
      <c r="F1" s="555"/>
    </row>
    <row r="2" spans="1:7" s="10" customFormat="1" ht="44.4" customHeight="1">
      <c r="A2" s="191" t="s">
        <v>357</v>
      </c>
      <c r="B2" s="192" t="s">
        <v>544</v>
      </c>
      <c r="C2" s="192" t="s">
        <v>545</v>
      </c>
      <c r="D2" s="192" t="s">
        <v>546</v>
      </c>
      <c r="E2" s="191" t="s">
        <v>67</v>
      </c>
      <c r="F2" s="191" t="s">
        <v>331</v>
      </c>
    </row>
    <row r="3" spans="1:7" ht="33" customHeight="1">
      <c r="A3" s="110" t="str">
        <f>Ventilation!A176</f>
        <v>Healthcare Facility and Hospitals (Exam/Treatment Room)</v>
      </c>
      <c r="B3" s="425">
        <v>1.5</v>
      </c>
      <c r="C3" s="425">
        <v>1.1258999999999999</v>
      </c>
      <c r="D3" s="425"/>
      <c r="E3" s="630" t="s">
        <v>547</v>
      </c>
      <c r="F3" s="159" t="s">
        <v>548</v>
      </c>
    </row>
    <row r="4" spans="1:7" ht="18" customHeight="1">
      <c r="A4" s="110" t="str">
        <f>Ventilation!A177</f>
        <v>Healthcare Facility and Hospitals (Medical Supply Room)</v>
      </c>
      <c r="B4" s="425">
        <v>1.5</v>
      </c>
      <c r="C4" s="425"/>
      <c r="D4" s="425"/>
      <c r="E4" s="588"/>
      <c r="F4" s="107"/>
      <c r="G4" s="41"/>
    </row>
    <row r="5" spans="1:7" ht="18" customHeight="1">
      <c r="A5" s="110" t="str">
        <f>Ventilation!A178</f>
        <v>Healthcare Facility and Hospitals (Imaging Room)</v>
      </c>
      <c r="B5" s="521">
        <v>10</v>
      </c>
      <c r="C5" s="425"/>
      <c r="D5" s="425"/>
      <c r="E5" s="588"/>
      <c r="F5" s="107" t="s">
        <v>549</v>
      </c>
      <c r="G5" s="41"/>
    </row>
    <row r="6" spans="1:7" ht="18" customHeight="1">
      <c r="A6" s="110" t="str">
        <f>Ventilation!A179</f>
        <v>Healthcare Facility and Hospitals (Nurse's Station)</v>
      </c>
      <c r="B6" s="425">
        <v>1.5</v>
      </c>
      <c r="C6" s="425"/>
      <c r="D6" s="425"/>
      <c r="E6" s="588"/>
      <c r="F6" s="107"/>
      <c r="G6" s="41"/>
    </row>
    <row r="7" spans="1:7" ht="29.4" customHeight="1">
      <c r="A7" s="110" t="str">
        <f>Ventilation!A180</f>
        <v>Healthcare Facility and Hospitals (Operating Room)</v>
      </c>
      <c r="B7" s="521">
        <v>4</v>
      </c>
      <c r="C7" s="425"/>
      <c r="D7" s="425"/>
      <c r="E7" s="588"/>
      <c r="F7" s="159" t="s">
        <v>550</v>
      </c>
      <c r="G7" s="41"/>
    </row>
    <row r="8" spans="1:7" ht="18" customHeight="1">
      <c r="A8" s="110" t="str">
        <f>Ventilation!A181</f>
        <v>Healthcare Facility and Hospitals (Recovery Room)</v>
      </c>
      <c r="B8" s="425">
        <v>1.5</v>
      </c>
      <c r="C8" s="425"/>
      <c r="D8" s="425"/>
      <c r="E8" s="588"/>
      <c r="F8" s="107"/>
      <c r="G8" s="41"/>
    </row>
    <row r="9" spans="1:7" ht="18" customHeight="1">
      <c r="A9" s="110" t="str">
        <f>Ventilation!A182</f>
        <v>Healthcare Facility and Hospitals (Physical Therapy Room)</v>
      </c>
      <c r="B9" s="425">
        <v>1.5</v>
      </c>
      <c r="C9" s="425"/>
      <c r="D9" s="425"/>
      <c r="E9" s="588"/>
      <c r="F9" s="107"/>
      <c r="G9" s="41"/>
    </row>
    <row r="10" spans="1:7" ht="18" customHeight="1">
      <c r="A10" s="110" t="str">
        <f>Ventilation!A183</f>
        <v>Healthcare Facility and Hospitals (Patient Room)</v>
      </c>
      <c r="B10" s="425">
        <v>1.5</v>
      </c>
      <c r="C10" s="425"/>
      <c r="D10" s="425"/>
      <c r="E10" s="588"/>
      <c r="F10" s="107"/>
      <c r="G10" s="41"/>
    </row>
    <row r="11" spans="1:7" ht="18" customHeight="1">
      <c r="A11" s="110" t="str">
        <f>Ventilation!A184</f>
        <v>Dining Area (Cafeteria/Fast Food)</v>
      </c>
      <c r="B11" s="425">
        <v>0.5</v>
      </c>
      <c r="C11" s="425"/>
      <c r="D11" s="425">
        <v>0.25</v>
      </c>
      <c r="E11" s="588"/>
      <c r="F11" s="107" t="s">
        <v>551</v>
      </c>
      <c r="G11" s="41"/>
    </row>
    <row r="12" spans="1:7" ht="18" customHeight="1">
      <c r="A12" s="110" t="str">
        <f>Ventilation!A185</f>
        <v>Office Area (&lt;250 square feet)</v>
      </c>
      <c r="B12" s="425">
        <v>0.7</v>
      </c>
      <c r="C12" s="425"/>
      <c r="D12" s="425"/>
      <c r="E12" s="588"/>
      <c r="F12" s="389" t="s">
        <v>552</v>
      </c>
      <c r="G12" s="41"/>
    </row>
    <row r="13" spans="1:7" ht="18" customHeight="1">
      <c r="A13" s="110" t="str">
        <f>Ventilation!A186</f>
        <v>Office Area (&gt;250 square feet)</v>
      </c>
      <c r="B13" s="425">
        <v>0.7</v>
      </c>
      <c r="C13" s="425"/>
      <c r="D13" s="425"/>
      <c r="E13" s="588"/>
      <c r="F13" s="389" t="s">
        <v>552</v>
      </c>
      <c r="G13" s="41"/>
    </row>
    <row r="14" spans="1:7" ht="19.2" customHeight="1">
      <c r="A14" s="110" t="str">
        <f>Ventilation!A187</f>
        <v>Convention, Conference, Multipurpose and Meeting Area</v>
      </c>
      <c r="B14" s="111">
        <v>1</v>
      </c>
      <c r="C14" s="111"/>
      <c r="D14" s="111"/>
      <c r="E14" s="588"/>
      <c r="F14" s="112"/>
      <c r="G14" s="41"/>
    </row>
    <row r="15" spans="1:7" ht="19.2" customHeight="1">
      <c r="A15" s="110" t="str">
        <f>Ventilation!A188</f>
        <v>Lobby, Main Entry</v>
      </c>
      <c r="B15" s="425">
        <v>0.5</v>
      </c>
      <c r="C15" s="425"/>
      <c r="D15" s="425"/>
      <c r="E15" s="588"/>
      <c r="F15" s="159"/>
      <c r="G15" s="41"/>
    </row>
    <row r="16" spans="1:7" ht="19.2" customHeight="1">
      <c r="A16" s="110" t="str">
        <f>Ventilation!A189</f>
        <v>Corridor Area</v>
      </c>
      <c r="B16" s="425">
        <v>0</v>
      </c>
      <c r="C16" s="425"/>
      <c r="D16" s="425"/>
      <c r="E16" s="588"/>
      <c r="F16" s="159"/>
      <c r="G16" s="41"/>
    </row>
    <row r="17" spans="1:12" ht="19.2" customHeight="1">
      <c r="A17" s="110" t="str">
        <f>Ventilation!A190</f>
        <v>Restrooms</v>
      </c>
      <c r="B17" s="425">
        <v>0</v>
      </c>
      <c r="C17" s="425"/>
      <c r="D17" s="425"/>
      <c r="E17" s="588"/>
      <c r="F17" s="159"/>
      <c r="G17" s="41"/>
    </row>
    <row r="18" spans="1:12" ht="19.2" customHeight="1">
      <c r="A18" s="110" t="str">
        <f>Ventilation!A191</f>
        <v>Locker Room</v>
      </c>
      <c r="B18" s="425">
        <v>0.5</v>
      </c>
      <c r="C18" s="425"/>
      <c r="D18" s="425"/>
      <c r="E18" s="588"/>
      <c r="F18" s="159"/>
      <c r="G18" s="41"/>
    </row>
    <row r="19" spans="1:12" ht="28.2" customHeight="1">
      <c r="A19" s="110" t="str">
        <f>Ventilation!A192</f>
        <v>Kitchen/Food Preparation Area</v>
      </c>
      <c r="B19" s="425">
        <v>1.5</v>
      </c>
      <c r="C19" s="113">
        <v>17.537680000000002</v>
      </c>
      <c r="D19" s="425">
        <v>1.1200000000000001</v>
      </c>
      <c r="E19" s="588"/>
      <c r="F19" s="159" t="s">
        <v>553</v>
      </c>
      <c r="G19" s="41"/>
    </row>
    <row r="20" spans="1:12" ht="19.2" customHeight="1">
      <c r="A20" s="110" t="str">
        <f>Ventilation!A193</f>
        <v>Storage (General)</v>
      </c>
      <c r="B20" s="425">
        <v>0.2</v>
      </c>
      <c r="C20" s="425"/>
      <c r="D20" s="425"/>
      <c r="E20" s="588"/>
      <c r="F20" s="159"/>
      <c r="G20" s="41"/>
    </row>
    <row r="21" spans="1:12" ht="21.6" customHeight="1">
      <c r="A21" s="110" t="str">
        <f>Ventilation!A194</f>
        <v>Lounge, Breakroom, or Waiting Area</v>
      </c>
      <c r="B21" s="425">
        <v>1</v>
      </c>
      <c r="C21" s="425"/>
      <c r="D21" s="425"/>
      <c r="E21" s="588"/>
      <c r="F21" s="159"/>
      <c r="G21" s="41"/>
    </row>
    <row r="22" spans="1:12" ht="19.95" customHeight="1">
      <c r="A22" s="110" t="str">
        <f>Ventilation!A196</f>
        <v>Stairwell</v>
      </c>
      <c r="B22" s="425">
        <v>0</v>
      </c>
      <c r="C22" s="425"/>
      <c r="D22" s="425"/>
      <c r="E22" s="588"/>
      <c r="F22" s="159"/>
      <c r="G22" s="41"/>
    </row>
    <row r="23" spans="1:12" ht="19.95" customHeight="1">
      <c r="A23" s="110" t="str">
        <f>Ventilation!A197</f>
        <v>Electrical, Mechanical, Telephone Rooms</v>
      </c>
      <c r="B23" s="425">
        <v>3</v>
      </c>
      <c r="C23" s="425"/>
      <c r="D23" s="425"/>
      <c r="E23" s="588"/>
      <c r="F23" s="159"/>
      <c r="G23" s="41"/>
    </row>
    <row r="24" spans="1:12" ht="18" customHeight="1">
      <c r="A24" s="112" t="str">
        <f>Zones!C41</f>
        <v>Reception area</v>
      </c>
      <c r="B24" s="425">
        <f>B15</f>
        <v>0.5</v>
      </c>
      <c r="C24" s="515"/>
      <c r="D24" s="107"/>
      <c r="E24" s="588"/>
      <c r="F24" s="112"/>
    </row>
    <row r="25" spans="1:12" ht="18" customHeight="1">
      <c r="A25" s="193" t="str">
        <f>Zones!C118</f>
        <v>Elevator</v>
      </c>
      <c r="B25" s="425">
        <v>0</v>
      </c>
      <c r="C25" s="515"/>
      <c r="D25" s="107"/>
      <c r="E25" s="651"/>
      <c r="F25" s="112"/>
    </row>
    <row r="26" spans="1:12" ht="18" customHeight="1">
      <c r="A26" s="67"/>
      <c r="B26" s="260"/>
      <c r="C26" s="8"/>
      <c r="D26" s="7"/>
      <c r="E26" s="14"/>
    </row>
    <row r="27" spans="1:12" ht="27.6" customHeight="1">
      <c r="A27" s="57"/>
      <c r="B27" s="57"/>
      <c r="C27" s="57"/>
      <c r="D27" s="57"/>
      <c r="E27" s="57"/>
      <c r="F27" s="57"/>
      <c r="G27" s="57"/>
      <c r="H27" s="57"/>
      <c r="I27" s="57"/>
    </row>
    <row r="28" spans="1:12" ht="39" customHeight="1">
      <c r="A28" s="655" t="s">
        <v>268</v>
      </c>
      <c r="B28" s="655"/>
      <c r="C28" s="655"/>
      <c r="D28" s="655"/>
      <c r="E28" s="655"/>
      <c r="F28" s="655"/>
      <c r="G28" s="655"/>
      <c r="H28" s="655"/>
      <c r="I28" s="655"/>
      <c r="J28" s="655"/>
      <c r="K28" s="655"/>
      <c r="L28"/>
    </row>
    <row r="29" spans="1:12" ht="57" customHeight="1">
      <c r="A29" s="281" t="s">
        <v>281</v>
      </c>
      <c r="B29" s="281" t="s">
        <v>554</v>
      </c>
      <c r="C29" s="281" t="s">
        <v>555</v>
      </c>
      <c r="D29" s="281" t="s">
        <v>556</v>
      </c>
      <c r="E29" s="281" t="s">
        <v>557</v>
      </c>
      <c r="F29" s="281" t="s">
        <v>558</v>
      </c>
      <c r="G29" s="281" t="s">
        <v>559</v>
      </c>
      <c r="H29" s="281" t="s">
        <v>560</v>
      </c>
      <c r="I29" s="281" t="s">
        <v>561</v>
      </c>
      <c r="J29" s="281" t="s">
        <v>562</v>
      </c>
      <c r="K29" s="281" t="s">
        <v>331</v>
      </c>
    </row>
    <row r="30" spans="1:12" ht="85.2" customHeight="1">
      <c r="A30" s="526" t="s">
        <v>312</v>
      </c>
      <c r="B30" s="526" t="s">
        <v>563</v>
      </c>
      <c r="C30" s="526">
        <v>2</v>
      </c>
      <c r="D30" s="485">
        <v>1.1399999999999999</v>
      </c>
      <c r="E30" s="485">
        <v>0.33</v>
      </c>
      <c r="F30" s="526" t="s">
        <v>564</v>
      </c>
      <c r="G30" s="485">
        <f>IF(INDEX($C:$C,MATCH("Equivalent full load hours",$B:$B,0))=0,0,ROUND(INDEX($C:$C,MATCH("Annual energy consumption of the elevator - Existing",$B:$B,0))/INDEX($C:$C,MATCH("Equivalent full load hours",$B:$B,0))*1000,2))</f>
        <v>16836.060000000001</v>
      </c>
      <c r="H30" s="485">
        <f>ROUND(C30*INDEX($C:$C,MATCH("Cab fan airflow",$B:$B,0))*E30,2)</f>
        <v>165</v>
      </c>
      <c r="I30" s="485">
        <f>ROUND(C30*INDEX($C:$C,MATCH("Cab floor area",$B:$B,0))*D30,2)</f>
        <v>68.17</v>
      </c>
      <c r="J30" s="485">
        <f>ROUND(SUM(G30:I30),2)</f>
        <v>17069.23</v>
      </c>
      <c r="K30" s="526" t="s">
        <v>565</v>
      </c>
    </row>
    <row r="31" spans="1:12" ht="78.599999999999994" customHeight="1">
      <c r="A31" s="526" t="s">
        <v>318</v>
      </c>
      <c r="B31" s="526" t="s">
        <v>566</v>
      </c>
      <c r="C31" s="526">
        <v>2</v>
      </c>
      <c r="D31" s="485">
        <v>0.6</v>
      </c>
      <c r="E31" s="485">
        <v>0.33</v>
      </c>
      <c r="F31" s="526" t="s">
        <v>567</v>
      </c>
      <c r="G31" s="485">
        <f>IF(INDEX($C:$C,MATCH("Equivalent full load hours",$B:$B,0))=0,0,ROUND(INDEX($C:$C,MATCH("Annual energy consumption of the elevator - New Construction",$B:$B,0))/INDEX($C:$C,MATCH("Equivalent full load hours",$B:$B,0))*1000,2))</f>
        <v>9178.16</v>
      </c>
      <c r="H31" s="485">
        <f>ROUND(C31*INDEX($C:$C,MATCH("Cab fan airflow",$B:$B,0))*E31,2)</f>
        <v>165</v>
      </c>
      <c r="I31" s="485">
        <f>ROUND(C31*INDEX($C:$C,MATCH("Cab floor area",$B:$B,0))*D31,2)</f>
        <v>35.880000000000003</v>
      </c>
      <c r="J31" s="485">
        <f>ROUND(SUM(G31:I31),2)</f>
        <v>9379.0400000000009</v>
      </c>
      <c r="K31" s="526" t="s">
        <v>568</v>
      </c>
    </row>
    <row r="32" spans="1:12" ht="18" customHeight="1">
      <c r="A32"/>
      <c r="B32"/>
      <c r="C32"/>
      <c r="D32"/>
      <c r="E32"/>
      <c r="F32"/>
      <c r="G32"/>
      <c r="H32"/>
      <c r="I32"/>
      <c r="J32"/>
      <c r="K32"/>
      <c r="L32"/>
    </row>
    <row r="33" spans="1:12" ht="12.6" customHeight="1">
      <c r="A33"/>
      <c r="B33"/>
      <c r="C33"/>
      <c r="D33"/>
      <c r="E33"/>
      <c r="F33"/>
      <c r="G33"/>
      <c r="H33"/>
      <c r="I33"/>
      <c r="J33"/>
      <c r="K33"/>
      <c r="L33"/>
    </row>
    <row r="34" spans="1:12" ht="12.6" customHeight="1">
      <c r="A34" s="652" t="s">
        <v>569</v>
      </c>
      <c r="B34" s="653"/>
      <c r="C34" s="653"/>
      <c r="D34" s="653"/>
      <c r="E34" s="653"/>
      <c r="F34"/>
      <c r="G34"/>
      <c r="H34"/>
      <c r="I34"/>
      <c r="J34"/>
      <c r="K34"/>
      <c r="L34"/>
    </row>
    <row r="35" spans="1:12" ht="12.6" customHeight="1">
      <c r="A35" s="281" t="s">
        <v>570</v>
      </c>
      <c r="B35" s="281" t="s">
        <v>571</v>
      </c>
      <c r="C35" s="281" t="s">
        <v>71</v>
      </c>
      <c r="D35" s="281" t="s">
        <v>572</v>
      </c>
      <c r="E35" s="281" t="s">
        <v>67</v>
      </c>
      <c r="F35"/>
      <c r="G35"/>
      <c r="H35"/>
      <c r="I35"/>
      <c r="J35"/>
      <c r="K35"/>
      <c r="L35"/>
    </row>
    <row r="36" spans="1:12" ht="12.6" customHeight="1">
      <c r="A36" s="654" t="s">
        <v>566</v>
      </c>
      <c r="B36" s="526" t="s">
        <v>573</v>
      </c>
      <c r="C36" s="526">
        <v>54785.87</v>
      </c>
      <c r="D36" s="526" t="s">
        <v>574</v>
      </c>
      <c r="E36" s="526" t="s">
        <v>575</v>
      </c>
      <c r="F36"/>
      <c r="G36"/>
      <c r="H36"/>
      <c r="I36"/>
      <c r="J36"/>
      <c r="K36"/>
      <c r="L36"/>
    </row>
    <row r="37" spans="1:12" ht="57.6">
      <c r="A37" s="654"/>
      <c r="B37" s="526" t="s">
        <v>576</v>
      </c>
      <c r="C37" s="526">
        <v>29866.48</v>
      </c>
      <c r="D37" s="526" t="s">
        <v>574</v>
      </c>
      <c r="E37" s="526" t="s">
        <v>575</v>
      </c>
      <c r="F37"/>
      <c r="G37"/>
      <c r="H37"/>
      <c r="I37"/>
      <c r="J37"/>
      <c r="K37"/>
      <c r="L37"/>
    </row>
    <row r="38" spans="1:12" ht="30" customHeight="1">
      <c r="A38" s="526" t="s">
        <v>577</v>
      </c>
      <c r="B38" s="526" t="s">
        <v>578</v>
      </c>
      <c r="C38" s="526" t="s">
        <v>579</v>
      </c>
      <c r="D38" s="526" t="s">
        <v>580</v>
      </c>
      <c r="E38" s="526" t="s">
        <v>581</v>
      </c>
      <c r="F38"/>
      <c r="G38"/>
      <c r="H38"/>
      <c r="I38"/>
      <c r="J38"/>
      <c r="K38"/>
      <c r="L38"/>
    </row>
    <row r="39" spans="1:12" ht="32.25" customHeight="1">
      <c r="A39" s="526" t="s">
        <v>582</v>
      </c>
      <c r="B39" s="526" t="s">
        <v>583</v>
      </c>
      <c r="C39" s="526" t="s">
        <v>584</v>
      </c>
      <c r="D39" s="526" t="s">
        <v>580</v>
      </c>
      <c r="E39" s="526" t="s">
        <v>581</v>
      </c>
      <c r="F39"/>
      <c r="G39"/>
      <c r="H39"/>
      <c r="I39"/>
      <c r="J39"/>
      <c r="K39"/>
      <c r="L39"/>
    </row>
    <row r="40" spans="1:12" ht="13.2" customHeight="1">
      <c r="A40" s="526" t="s">
        <v>585</v>
      </c>
      <c r="B40" s="526" t="s">
        <v>586</v>
      </c>
      <c r="C40" s="526">
        <v>1361</v>
      </c>
      <c r="D40" s="526" t="s">
        <v>587</v>
      </c>
      <c r="E40" s="526" t="s">
        <v>588</v>
      </c>
      <c r="F40"/>
      <c r="G40"/>
      <c r="H40"/>
      <c r="I40"/>
      <c r="J40"/>
      <c r="K40"/>
      <c r="L40"/>
    </row>
    <row r="41" spans="1:12" ht="13.2" customHeight="1">
      <c r="A41" s="526" t="s">
        <v>589</v>
      </c>
      <c r="B41" s="526" t="s">
        <v>590</v>
      </c>
      <c r="C41" s="526">
        <v>29.9</v>
      </c>
      <c r="D41" s="526" t="s">
        <v>591</v>
      </c>
      <c r="E41" s="526" t="s">
        <v>592</v>
      </c>
      <c r="F41"/>
      <c r="G41"/>
      <c r="H41"/>
      <c r="I41"/>
      <c r="J41"/>
      <c r="K41"/>
      <c r="L41"/>
    </row>
    <row r="42" spans="1:12" ht="13.2" customHeight="1">
      <c r="A42" s="526" t="s">
        <v>593</v>
      </c>
      <c r="B42" s="526" t="s">
        <v>594</v>
      </c>
      <c r="C42" s="526">
        <v>250</v>
      </c>
      <c r="D42" s="526" t="s">
        <v>437</v>
      </c>
      <c r="E42" s="526" t="s">
        <v>595</v>
      </c>
      <c r="F42"/>
      <c r="G42"/>
      <c r="H42"/>
      <c r="I42"/>
      <c r="J42"/>
      <c r="K42"/>
      <c r="L42"/>
    </row>
    <row r="43" spans="1:12" ht="13.2" customHeight="1">
      <c r="A43" s="526" t="s">
        <v>596</v>
      </c>
      <c r="B43" s="526" t="s">
        <v>597</v>
      </c>
      <c r="C43" s="526">
        <v>3</v>
      </c>
      <c r="D43" s="526" t="s">
        <v>598</v>
      </c>
      <c r="E43" s="526" t="s">
        <v>599</v>
      </c>
      <c r="F43"/>
      <c r="G43"/>
      <c r="H43"/>
      <c r="I43"/>
      <c r="J43"/>
      <c r="K43"/>
      <c r="L43"/>
    </row>
    <row r="44" spans="1:12" ht="13.2" customHeight="1">
      <c r="A44" s="526" t="s">
        <v>600</v>
      </c>
      <c r="B44" s="526" t="s">
        <v>601</v>
      </c>
      <c r="C44" s="526">
        <v>360</v>
      </c>
      <c r="D44" s="526" t="s">
        <v>602</v>
      </c>
      <c r="E44" s="526" t="s">
        <v>599</v>
      </c>
      <c r="F44"/>
      <c r="G44"/>
      <c r="H44"/>
      <c r="I44"/>
      <c r="J44"/>
      <c r="K44"/>
      <c r="L44"/>
    </row>
    <row r="45" spans="1:12" ht="13.2" customHeight="1">
      <c r="A45" s="526" t="s">
        <v>603</v>
      </c>
      <c r="B45" s="526" t="s">
        <v>604</v>
      </c>
      <c r="C45" s="526">
        <v>3</v>
      </c>
      <c r="D45" s="526" t="s">
        <v>605</v>
      </c>
      <c r="E45" s="526" t="s">
        <v>606</v>
      </c>
      <c r="F45"/>
      <c r="G45"/>
      <c r="H45"/>
      <c r="I45"/>
      <c r="J45"/>
      <c r="K45"/>
      <c r="L45"/>
    </row>
    <row r="46" spans="1:12" ht="13.2" customHeight="1">
      <c r="A46" s="526" t="s">
        <v>607</v>
      </c>
      <c r="B46" s="526" t="s">
        <v>608</v>
      </c>
      <c r="C46" s="526">
        <v>3.05</v>
      </c>
      <c r="D46" s="526" t="s">
        <v>609</v>
      </c>
      <c r="E46" s="526" t="s">
        <v>606</v>
      </c>
      <c r="F46"/>
      <c r="G46"/>
      <c r="H46"/>
      <c r="I46"/>
      <c r="J46"/>
      <c r="K46"/>
      <c r="L46"/>
    </row>
    <row r="47" spans="1:12" ht="13.2" customHeight="1">
      <c r="A47" s="526" t="s">
        <v>610</v>
      </c>
      <c r="B47" s="526" t="s">
        <v>611</v>
      </c>
      <c r="C47" s="526">
        <v>1.6</v>
      </c>
      <c r="D47" s="526" t="s">
        <v>612</v>
      </c>
      <c r="E47" s="526" t="s">
        <v>599</v>
      </c>
      <c r="F47"/>
      <c r="G47"/>
      <c r="H47"/>
      <c r="I47"/>
      <c r="J47"/>
      <c r="K47"/>
      <c r="L47"/>
    </row>
    <row r="48" spans="1:12" ht="14.4">
      <c r="A48" s="526" t="s">
        <v>613</v>
      </c>
      <c r="B48" s="526" t="s">
        <v>614</v>
      </c>
      <c r="C48" s="526">
        <v>300</v>
      </c>
      <c r="D48" s="526" t="s">
        <v>615</v>
      </c>
      <c r="E48" s="526" t="s">
        <v>599</v>
      </c>
      <c r="F48"/>
      <c r="G48"/>
      <c r="H48"/>
      <c r="I48"/>
      <c r="J48"/>
      <c r="K48"/>
      <c r="L48"/>
    </row>
    <row r="49" spans="1:12" ht="28.8">
      <c r="A49" s="526" t="s">
        <v>616</v>
      </c>
      <c r="B49" s="526" t="s">
        <v>617</v>
      </c>
      <c r="C49" s="526">
        <v>0.67</v>
      </c>
      <c r="D49" s="526" t="s">
        <v>618</v>
      </c>
      <c r="E49" s="526" t="s">
        <v>619</v>
      </c>
      <c r="F49"/>
      <c r="G49"/>
      <c r="H49"/>
      <c r="I49"/>
      <c r="J49"/>
      <c r="K49"/>
      <c r="L49"/>
    </row>
    <row r="50" spans="1:12" ht="14.4">
      <c r="A50" s="526" t="s">
        <v>620</v>
      </c>
      <c r="B50" s="526" t="s">
        <v>621</v>
      </c>
      <c r="C50" s="526">
        <v>1</v>
      </c>
      <c r="D50" s="526" t="s">
        <v>622</v>
      </c>
      <c r="E50" s="526" t="s">
        <v>623</v>
      </c>
      <c r="F50"/>
      <c r="G50"/>
      <c r="H50"/>
      <c r="I50"/>
      <c r="J50"/>
      <c r="K50"/>
      <c r="L50"/>
    </row>
    <row r="51" spans="1:12" ht="14.4">
      <c r="A51" s="526" t="s">
        <v>624</v>
      </c>
      <c r="B51" s="526" t="s">
        <v>625</v>
      </c>
      <c r="C51" s="526">
        <v>1.25</v>
      </c>
      <c r="D51" s="526" t="s">
        <v>626</v>
      </c>
      <c r="E51" s="526" t="s">
        <v>623</v>
      </c>
      <c r="F51"/>
      <c r="G51"/>
      <c r="H51"/>
      <c r="I51"/>
      <c r="J51"/>
      <c r="K51"/>
      <c r="L51"/>
    </row>
    <row r="52" spans="1:12" ht="14.4">
      <c r="A52" s="526" t="s">
        <v>627</v>
      </c>
      <c r="B52" s="526" t="s">
        <v>628</v>
      </c>
      <c r="C52" s="526">
        <v>8</v>
      </c>
      <c r="D52" s="526" t="s">
        <v>629</v>
      </c>
      <c r="E52" s="526" t="s">
        <v>623</v>
      </c>
      <c r="F52"/>
      <c r="G52"/>
      <c r="H52"/>
      <c r="I52"/>
      <c r="J52"/>
      <c r="K52"/>
      <c r="L52"/>
    </row>
    <row r="53" spans="1:12" ht="28.8">
      <c r="A53" s="526" t="s">
        <v>630</v>
      </c>
      <c r="B53" s="526" t="s">
        <v>631</v>
      </c>
      <c r="C53" s="526">
        <v>6.13</v>
      </c>
      <c r="D53" s="526" t="s">
        <v>632</v>
      </c>
      <c r="E53" s="526" t="s">
        <v>633</v>
      </c>
      <c r="F53"/>
      <c r="G53"/>
      <c r="H53"/>
      <c r="I53"/>
      <c r="J53"/>
      <c r="K53"/>
      <c r="L53"/>
    </row>
    <row r="54" spans="1:12" ht="28.8">
      <c r="A54" s="526" t="s">
        <v>634</v>
      </c>
      <c r="B54" s="526" t="s">
        <v>635</v>
      </c>
      <c r="C54" s="526">
        <v>14.23</v>
      </c>
      <c r="D54" s="526" t="s">
        <v>636</v>
      </c>
      <c r="E54" s="526" t="s">
        <v>637</v>
      </c>
      <c r="F54"/>
      <c r="G54"/>
      <c r="H54"/>
      <c r="I54"/>
      <c r="J54"/>
      <c r="K54"/>
      <c r="L54"/>
    </row>
    <row r="55" spans="1:12" ht="14.4">
      <c r="A55" s="526" t="s">
        <v>638</v>
      </c>
      <c r="B55" s="526" t="s">
        <v>639</v>
      </c>
      <c r="C55" s="526">
        <v>22.81</v>
      </c>
      <c r="D55" s="526" t="s">
        <v>640</v>
      </c>
      <c r="E55" s="526" t="s">
        <v>641</v>
      </c>
      <c r="F55"/>
      <c r="G55"/>
      <c r="H55"/>
      <c r="I55"/>
      <c r="J55"/>
      <c r="K55"/>
      <c r="L55"/>
    </row>
    <row r="56" spans="1:12" ht="14.4">
      <c r="A56" s="526" t="s">
        <v>642</v>
      </c>
      <c r="B56" s="526" t="s">
        <v>643</v>
      </c>
      <c r="C56" s="526">
        <v>8333.0499999999993</v>
      </c>
      <c r="D56" s="526" t="s">
        <v>644</v>
      </c>
      <c r="E56" s="526" t="s">
        <v>645</v>
      </c>
      <c r="F56"/>
      <c r="G56"/>
      <c r="H56"/>
      <c r="I56"/>
      <c r="J56"/>
      <c r="K56"/>
      <c r="L56"/>
    </row>
    <row r="57" spans="1:12" ht="14.4">
      <c r="A57" s="526" t="s">
        <v>646</v>
      </c>
      <c r="B57" s="526" t="s">
        <v>646</v>
      </c>
      <c r="C57" s="526">
        <v>40</v>
      </c>
      <c r="D57" s="526" t="s">
        <v>647</v>
      </c>
      <c r="E57" s="526" t="s">
        <v>648</v>
      </c>
      <c r="F57"/>
      <c r="G57"/>
      <c r="H57"/>
      <c r="I57"/>
      <c r="J57"/>
      <c r="K57"/>
      <c r="L57"/>
    </row>
    <row r="58" spans="1:12" ht="28.8">
      <c r="A58" s="526" t="s">
        <v>649</v>
      </c>
      <c r="B58" s="526" t="s">
        <v>650</v>
      </c>
      <c r="C58" s="486">
        <f>Schedules!AD60</f>
        <v>3254.0799999999995</v>
      </c>
      <c r="D58" s="526" t="s">
        <v>651</v>
      </c>
      <c r="E58" s="526" t="s">
        <v>652</v>
      </c>
      <c r="F58"/>
      <c r="G58"/>
      <c r="H58"/>
      <c r="I58"/>
      <c r="J58"/>
      <c r="K58"/>
      <c r="L58"/>
    </row>
  </sheetData>
  <mergeCells count="5">
    <mergeCell ref="A1:F1"/>
    <mergeCell ref="E3:E25"/>
    <mergeCell ref="A34:E34"/>
    <mergeCell ref="A36:A37"/>
    <mergeCell ref="A28:K28"/>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145"/>
  <sheetViews>
    <sheetView topLeftCell="A94" zoomScale="85" zoomScaleNormal="85" workbookViewId="0">
      <selection activeCell="A115" sqref="A115:AC145"/>
    </sheetView>
  </sheetViews>
  <sheetFormatPr defaultColWidth="9.33203125" defaultRowHeight="11.4"/>
  <cols>
    <col min="1" max="1" width="23.33203125" style="30" customWidth="1"/>
    <col min="2" max="2" width="18.33203125" style="30" customWidth="1"/>
    <col min="3" max="3" width="15.33203125" style="30" customWidth="1"/>
    <col min="4" max="4" width="25.33203125" style="30" customWidth="1"/>
    <col min="5" max="5" width="9.33203125" style="30"/>
    <col min="6" max="29" width="5.6640625" style="30" customWidth="1"/>
    <col min="30" max="16384" width="9.33203125" style="30"/>
  </cols>
  <sheetData>
    <row r="1" spans="1:39" ht="24" customHeight="1">
      <c r="A1" s="612" t="str">
        <f>"Schedules - "&amp;Prototype!A2</f>
        <v>Schedules - Outpatient</v>
      </c>
      <c r="B1" s="612"/>
      <c r="C1" s="612"/>
      <c r="D1" s="612"/>
      <c r="E1" s="612"/>
      <c r="F1" s="612"/>
      <c r="G1" s="612"/>
      <c r="H1" s="612"/>
      <c r="I1" s="612"/>
      <c r="J1" s="612"/>
      <c r="K1" s="612"/>
      <c r="L1" s="612"/>
      <c r="M1" s="612"/>
      <c r="N1" s="612"/>
      <c r="O1" s="612"/>
      <c r="P1" s="612"/>
      <c r="Q1" s="612"/>
      <c r="R1" s="612"/>
      <c r="S1" s="612"/>
      <c r="T1" s="612"/>
      <c r="U1" s="612"/>
      <c r="V1" s="612"/>
      <c r="W1" s="612"/>
      <c r="X1" s="612"/>
      <c r="Y1" s="612"/>
      <c r="Z1" s="612"/>
      <c r="AA1" s="612"/>
      <c r="AB1" s="612"/>
      <c r="AC1" s="724"/>
      <c r="AD1" s="31"/>
      <c r="AE1" s="31"/>
      <c r="AF1" s="31"/>
      <c r="AG1" s="31"/>
      <c r="AH1" s="31"/>
      <c r="AI1" s="32"/>
      <c r="AJ1" s="32"/>
      <c r="AK1" s="32"/>
    </row>
    <row r="2" spans="1:39" ht="24" customHeight="1">
      <c r="A2" s="725" t="s">
        <v>653</v>
      </c>
      <c r="B2" s="725" t="s">
        <v>114</v>
      </c>
      <c r="C2" s="725" t="s">
        <v>654</v>
      </c>
      <c r="D2" s="725" t="s">
        <v>67</v>
      </c>
      <c r="E2" s="725" t="s">
        <v>655</v>
      </c>
      <c r="F2" s="727" t="s">
        <v>656</v>
      </c>
      <c r="G2" s="727"/>
      <c r="H2" s="727"/>
      <c r="I2" s="727"/>
      <c r="J2" s="727"/>
      <c r="K2" s="727"/>
      <c r="L2" s="727"/>
      <c r="M2" s="727"/>
      <c r="N2" s="727"/>
      <c r="O2" s="727"/>
      <c r="P2" s="727"/>
      <c r="Q2" s="727"/>
      <c r="R2" s="727"/>
      <c r="S2" s="727"/>
      <c r="T2" s="727"/>
      <c r="U2" s="727"/>
      <c r="V2" s="727"/>
      <c r="W2" s="727"/>
      <c r="X2" s="727"/>
      <c r="Y2" s="727"/>
      <c r="Z2" s="727"/>
      <c r="AA2" s="727"/>
      <c r="AB2" s="727"/>
      <c r="AC2" s="727"/>
      <c r="AD2" s="31"/>
      <c r="AE2" s="31"/>
      <c r="AF2" s="31"/>
      <c r="AG2" s="31"/>
      <c r="AH2" s="31"/>
      <c r="AI2" s="32"/>
      <c r="AJ2" s="32"/>
      <c r="AK2" s="32"/>
    </row>
    <row r="3" spans="1:39" ht="25.2" customHeight="1" thickBot="1">
      <c r="A3" s="726"/>
      <c r="B3" s="726"/>
      <c r="C3" s="726"/>
      <c r="D3" s="726"/>
      <c r="E3" s="726"/>
      <c r="F3" s="532">
        <v>1</v>
      </c>
      <c r="G3" s="532">
        <v>2</v>
      </c>
      <c r="H3" s="532">
        <v>3</v>
      </c>
      <c r="I3" s="532">
        <v>4</v>
      </c>
      <c r="J3" s="532">
        <v>5</v>
      </c>
      <c r="K3" s="532">
        <v>6</v>
      </c>
      <c r="L3" s="532">
        <v>7</v>
      </c>
      <c r="M3" s="532">
        <v>8</v>
      </c>
      <c r="N3" s="532">
        <v>9</v>
      </c>
      <c r="O3" s="532">
        <v>10</v>
      </c>
      <c r="P3" s="532">
        <v>11</v>
      </c>
      <c r="Q3" s="532">
        <v>12</v>
      </c>
      <c r="R3" s="532">
        <v>13</v>
      </c>
      <c r="S3" s="532">
        <v>14</v>
      </c>
      <c r="T3" s="532">
        <v>15</v>
      </c>
      <c r="U3" s="532">
        <v>16</v>
      </c>
      <c r="V3" s="532">
        <v>17</v>
      </c>
      <c r="W3" s="532">
        <v>18</v>
      </c>
      <c r="X3" s="532">
        <v>19</v>
      </c>
      <c r="Y3" s="532">
        <v>20</v>
      </c>
      <c r="Z3" s="532">
        <v>21</v>
      </c>
      <c r="AA3" s="532">
        <v>22</v>
      </c>
      <c r="AB3" s="532">
        <v>23</v>
      </c>
      <c r="AC3" s="532">
        <v>24</v>
      </c>
      <c r="AD3" s="32"/>
      <c r="AE3" s="32"/>
      <c r="AF3" s="32"/>
      <c r="AG3" s="32"/>
      <c r="AH3" s="32"/>
      <c r="AI3" s="32"/>
      <c r="AJ3" s="32"/>
      <c r="AK3" s="32"/>
    </row>
    <row r="4" spans="1:39" ht="25.2" customHeight="1">
      <c r="A4" s="686" t="s">
        <v>657</v>
      </c>
      <c r="B4" s="686" t="s">
        <v>125</v>
      </c>
      <c r="C4" s="731" t="s">
        <v>658</v>
      </c>
      <c r="D4" s="728" t="s">
        <v>659</v>
      </c>
      <c r="E4" s="225" t="s">
        <v>660</v>
      </c>
      <c r="F4" s="537">
        <v>0</v>
      </c>
      <c r="G4" s="537">
        <v>0</v>
      </c>
      <c r="H4" s="537">
        <v>0</v>
      </c>
      <c r="I4" s="537">
        <v>0</v>
      </c>
      <c r="J4" s="537">
        <v>0</v>
      </c>
      <c r="K4" s="537">
        <v>0</v>
      </c>
      <c r="L4" s="537">
        <v>0</v>
      </c>
      <c r="M4" s="537">
        <v>0.1</v>
      </c>
      <c r="N4" s="537">
        <v>0.5</v>
      </c>
      <c r="O4" s="537">
        <v>0.8</v>
      </c>
      <c r="P4" s="537">
        <v>0.8</v>
      </c>
      <c r="Q4" s="537">
        <v>0.8</v>
      </c>
      <c r="R4" s="537">
        <v>0.8</v>
      </c>
      <c r="S4" s="537">
        <v>0.8</v>
      </c>
      <c r="T4" s="537">
        <v>0.8</v>
      </c>
      <c r="U4" s="537">
        <v>0.8</v>
      </c>
      <c r="V4" s="537">
        <v>0.8</v>
      </c>
      <c r="W4" s="537">
        <v>0.5</v>
      </c>
      <c r="X4" s="537">
        <v>0.3</v>
      </c>
      <c r="Y4" s="537">
        <v>0.3</v>
      </c>
      <c r="Z4" s="537">
        <v>0.2</v>
      </c>
      <c r="AA4" s="537">
        <v>0.2</v>
      </c>
      <c r="AB4" s="537">
        <v>0</v>
      </c>
      <c r="AC4" s="52">
        <v>0</v>
      </c>
      <c r="AD4" s="32"/>
      <c r="AE4" s="32"/>
      <c r="AF4" s="32"/>
      <c r="AG4" s="32"/>
      <c r="AH4" s="32"/>
      <c r="AI4" s="32"/>
      <c r="AJ4" s="32"/>
      <c r="AK4" s="32"/>
    </row>
    <row r="5" spans="1:39" ht="33" customHeight="1">
      <c r="A5" s="687"/>
      <c r="B5" s="687"/>
      <c r="C5" s="611"/>
      <c r="D5" s="729"/>
      <c r="E5" s="226" t="s">
        <v>661</v>
      </c>
      <c r="F5" s="505">
        <v>0</v>
      </c>
      <c r="G5" s="505">
        <v>0</v>
      </c>
      <c r="H5" s="505">
        <v>0</v>
      </c>
      <c r="I5" s="505">
        <v>0</v>
      </c>
      <c r="J5" s="505">
        <v>0</v>
      </c>
      <c r="K5" s="505">
        <v>0</v>
      </c>
      <c r="L5" s="505">
        <v>0</v>
      </c>
      <c r="M5" s="505">
        <v>0.1</v>
      </c>
      <c r="N5" s="505">
        <v>0.3</v>
      </c>
      <c r="O5" s="505">
        <v>0.4</v>
      </c>
      <c r="P5" s="505">
        <v>0.4</v>
      </c>
      <c r="Q5" s="505">
        <v>0.4</v>
      </c>
      <c r="R5" s="505">
        <v>0.4</v>
      </c>
      <c r="S5" s="505">
        <v>0.4</v>
      </c>
      <c r="T5" s="505">
        <v>0.4</v>
      </c>
      <c r="U5" s="505">
        <v>0.4</v>
      </c>
      <c r="V5" s="505">
        <v>0.4</v>
      </c>
      <c r="W5" s="505">
        <v>0.1</v>
      </c>
      <c r="X5" s="505">
        <v>0.1</v>
      </c>
      <c r="Y5" s="505">
        <v>0</v>
      </c>
      <c r="Z5" s="505">
        <v>0</v>
      </c>
      <c r="AA5" s="505">
        <v>0</v>
      </c>
      <c r="AB5" s="505">
        <v>0</v>
      </c>
      <c r="AC5" s="134">
        <v>0</v>
      </c>
      <c r="AD5" s="32"/>
      <c r="AE5" s="32"/>
      <c r="AF5" s="32"/>
      <c r="AG5" s="32"/>
      <c r="AH5" s="32"/>
      <c r="AI5" s="32"/>
      <c r="AJ5" s="32"/>
      <c r="AK5" s="32"/>
    </row>
    <row r="6" spans="1:39" ht="33" customHeight="1" thickBot="1">
      <c r="A6" s="688"/>
      <c r="B6" s="688"/>
      <c r="C6" s="732"/>
      <c r="D6" s="730"/>
      <c r="E6" s="227" t="s">
        <v>662</v>
      </c>
      <c r="F6" s="538">
        <v>0</v>
      </c>
      <c r="G6" s="538">
        <v>0</v>
      </c>
      <c r="H6" s="538">
        <v>0</v>
      </c>
      <c r="I6" s="538">
        <v>0</v>
      </c>
      <c r="J6" s="538">
        <v>0</v>
      </c>
      <c r="K6" s="538">
        <v>0</v>
      </c>
      <c r="L6" s="538">
        <v>0</v>
      </c>
      <c r="M6" s="538">
        <v>0</v>
      </c>
      <c r="N6" s="538">
        <v>0.05</v>
      </c>
      <c r="O6" s="538">
        <v>0.05</v>
      </c>
      <c r="P6" s="538">
        <v>0.05</v>
      </c>
      <c r="Q6" s="538">
        <v>0.05</v>
      </c>
      <c r="R6" s="538">
        <v>0.05</v>
      </c>
      <c r="S6" s="538">
        <v>0.05</v>
      </c>
      <c r="T6" s="538">
        <v>0.05</v>
      </c>
      <c r="U6" s="538">
        <v>0.05</v>
      </c>
      <c r="V6" s="538">
        <v>0</v>
      </c>
      <c r="W6" s="538">
        <v>0</v>
      </c>
      <c r="X6" s="538">
        <v>0</v>
      </c>
      <c r="Y6" s="538">
        <v>0</v>
      </c>
      <c r="Z6" s="538">
        <v>0</v>
      </c>
      <c r="AA6" s="538">
        <v>0</v>
      </c>
      <c r="AB6" s="538">
        <v>0</v>
      </c>
      <c r="AC6" s="53">
        <v>0</v>
      </c>
      <c r="AD6" s="32"/>
      <c r="AE6" s="32"/>
      <c r="AF6" s="32"/>
      <c r="AG6" s="32"/>
      <c r="AH6" s="32"/>
      <c r="AI6" s="32"/>
      <c r="AJ6" s="32"/>
      <c r="AK6" s="32"/>
    </row>
    <row r="7" spans="1:39" ht="38.700000000000003" customHeight="1">
      <c r="A7" s="686" t="s">
        <v>657</v>
      </c>
      <c r="B7" s="686" t="s">
        <v>125</v>
      </c>
      <c r="C7" s="683" t="s">
        <v>663</v>
      </c>
      <c r="D7" s="683" t="s">
        <v>659</v>
      </c>
      <c r="E7" s="228" t="s">
        <v>660</v>
      </c>
      <c r="F7" s="135">
        <v>0.1</v>
      </c>
      <c r="G7" s="135">
        <v>0.1</v>
      </c>
      <c r="H7" s="135">
        <v>0.1</v>
      </c>
      <c r="I7" s="135">
        <v>0.1</v>
      </c>
      <c r="J7" s="135">
        <v>0.1</v>
      </c>
      <c r="K7" s="135">
        <v>0.1</v>
      </c>
      <c r="L7" s="135">
        <v>0.1</v>
      </c>
      <c r="M7" s="135">
        <v>0.45</v>
      </c>
      <c r="N7" s="135">
        <v>0.8</v>
      </c>
      <c r="O7" s="135">
        <v>0.8</v>
      </c>
      <c r="P7" s="135">
        <v>0.8</v>
      </c>
      <c r="Q7" s="135">
        <v>0.8</v>
      </c>
      <c r="R7" s="135">
        <v>0.8</v>
      </c>
      <c r="S7" s="135">
        <v>0.8</v>
      </c>
      <c r="T7" s="135">
        <v>0.8</v>
      </c>
      <c r="U7" s="135">
        <v>0.8</v>
      </c>
      <c r="V7" s="135">
        <v>0.3</v>
      </c>
      <c r="W7" s="135">
        <v>0.3</v>
      </c>
      <c r="X7" s="135">
        <v>0.3</v>
      </c>
      <c r="Y7" s="135">
        <v>0.3</v>
      </c>
      <c r="Z7" s="135">
        <v>0.3</v>
      </c>
      <c r="AA7" s="135">
        <v>0.3</v>
      </c>
      <c r="AB7" s="135">
        <v>0.3</v>
      </c>
      <c r="AC7" s="136">
        <v>0.1</v>
      </c>
      <c r="AD7" s="32"/>
      <c r="AE7" s="32"/>
      <c r="AF7" s="32"/>
      <c r="AG7" s="32"/>
      <c r="AH7" s="32"/>
      <c r="AI7" s="32"/>
      <c r="AJ7" s="32"/>
      <c r="AK7" s="32"/>
      <c r="AM7" s="40"/>
    </row>
    <row r="8" spans="1:39" ht="38.700000000000003" customHeight="1">
      <c r="A8" s="687"/>
      <c r="B8" s="687"/>
      <c r="C8" s="684"/>
      <c r="D8" s="684"/>
      <c r="E8" s="229" t="s">
        <v>661</v>
      </c>
      <c r="F8" s="425">
        <v>0.1</v>
      </c>
      <c r="G8" s="425">
        <v>0.1</v>
      </c>
      <c r="H8" s="425">
        <v>0.1</v>
      </c>
      <c r="I8" s="425">
        <v>0.1</v>
      </c>
      <c r="J8" s="425">
        <v>0.1</v>
      </c>
      <c r="K8" s="425">
        <v>0.1</v>
      </c>
      <c r="L8" s="425">
        <v>0.1</v>
      </c>
      <c r="M8" s="425">
        <v>0.2</v>
      </c>
      <c r="N8" s="425">
        <v>0.35</v>
      </c>
      <c r="O8" s="425">
        <v>0.35</v>
      </c>
      <c r="P8" s="425">
        <v>0.35</v>
      </c>
      <c r="Q8" s="425">
        <v>0.35</v>
      </c>
      <c r="R8" s="425">
        <v>0.35</v>
      </c>
      <c r="S8" s="425">
        <v>0.35</v>
      </c>
      <c r="T8" s="425">
        <v>0.35</v>
      </c>
      <c r="U8" s="425">
        <v>0.35</v>
      </c>
      <c r="V8" s="425">
        <v>0.35</v>
      </c>
      <c r="W8" s="425">
        <v>0.35</v>
      </c>
      <c r="X8" s="425">
        <v>0.1</v>
      </c>
      <c r="Y8" s="425">
        <v>0.1</v>
      </c>
      <c r="Z8" s="425">
        <v>0.1</v>
      </c>
      <c r="AA8" s="425">
        <v>0.1</v>
      </c>
      <c r="AB8" s="425">
        <v>0.1</v>
      </c>
      <c r="AC8" s="137">
        <v>0.1</v>
      </c>
      <c r="AD8" s="32"/>
      <c r="AE8" s="32"/>
      <c r="AF8" s="32"/>
      <c r="AG8" s="32"/>
      <c r="AH8" s="32"/>
      <c r="AI8" s="32"/>
      <c r="AJ8" s="32"/>
      <c r="AK8" s="32"/>
      <c r="AM8" s="40"/>
    </row>
    <row r="9" spans="1:39" ht="38.700000000000003" customHeight="1" thickBot="1">
      <c r="A9" s="688"/>
      <c r="B9" s="688"/>
      <c r="C9" s="685"/>
      <c r="D9" s="685"/>
      <c r="E9" s="230" t="s">
        <v>662</v>
      </c>
      <c r="F9" s="138">
        <v>0.05</v>
      </c>
      <c r="G9" s="138">
        <v>0.05</v>
      </c>
      <c r="H9" s="138">
        <v>0.05</v>
      </c>
      <c r="I9" s="138">
        <v>0.05</v>
      </c>
      <c r="J9" s="138">
        <v>0.05</v>
      </c>
      <c r="K9" s="138">
        <v>0.05</v>
      </c>
      <c r="L9" s="138">
        <v>0.05</v>
      </c>
      <c r="M9" s="138">
        <v>0.05</v>
      </c>
      <c r="N9" s="138">
        <v>0.1</v>
      </c>
      <c r="O9" s="138">
        <v>0.1</v>
      </c>
      <c r="P9" s="138">
        <v>0.1</v>
      </c>
      <c r="Q9" s="138">
        <v>0.1</v>
      </c>
      <c r="R9" s="138">
        <v>0.1</v>
      </c>
      <c r="S9" s="138">
        <v>0.1</v>
      </c>
      <c r="T9" s="138">
        <v>0.1</v>
      </c>
      <c r="U9" s="138">
        <v>0.1</v>
      </c>
      <c r="V9" s="138">
        <v>0.05</v>
      </c>
      <c r="W9" s="138">
        <v>0.05</v>
      </c>
      <c r="X9" s="138">
        <v>0.05</v>
      </c>
      <c r="Y9" s="138">
        <v>0.05</v>
      </c>
      <c r="Z9" s="138">
        <v>0.05</v>
      </c>
      <c r="AA9" s="138">
        <v>0.05</v>
      </c>
      <c r="AB9" s="138">
        <v>0.05</v>
      </c>
      <c r="AC9" s="139">
        <v>0.05</v>
      </c>
      <c r="AD9" s="32"/>
      <c r="AE9" s="32"/>
      <c r="AF9" s="32"/>
      <c r="AG9" s="32"/>
      <c r="AH9" s="32"/>
      <c r="AI9" s="32"/>
      <c r="AJ9" s="32"/>
      <c r="AK9" s="32"/>
      <c r="AM9" s="40"/>
    </row>
    <row r="10" spans="1:39" ht="36" customHeight="1">
      <c r="A10" s="686" t="s">
        <v>657</v>
      </c>
      <c r="B10" s="686" t="s">
        <v>125</v>
      </c>
      <c r="C10" s="683" t="s">
        <v>664</v>
      </c>
      <c r="D10" s="683" t="s">
        <v>659</v>
      </c>
      <c r="E10" s="231" t="s">
        <v>660</v>
      </c>
      <c r="F10" s="100">
        <v>0.1</v>
      </c>
      <c r="G10" s="100">
        <v>0.1</v>
      </c>
      <c r="H10" s="100">
        <v>0.1</v>
      </c>
      <c r="I10" s="100">
        <v>0.1</v>
      </c>
      <c r="J10" s="100">
        <v>0.1</v>
      </c>
      <c r="K10" s="100">
        <v>0.1</v>
      </c>
      <c r="L10" s="100">
        <v>0.1</v>
      </c>
      <c r="M10" s="100">
        <v>0.5</v>
      </c>
      <c r="N10" s="100">
        <v>0.9</v>
      </c>
      <c r="O10" s="100">
        <v>0.9</v>
      </c>
      <c r="P10" s="100">
        <v>0.9</v>
      </c>
      <c r="Q10" s="100">
        <v>0.9</v>
      </c>
      <c r="R10" s="100">
        <v>0.9</v>
      </c>
      <c r="S10" s="100">
        <v>0.9</v>
      </c>
      <c r="T10" s="100">
        <v>0.9</v>
      </c>
      <c r="U10" s="100">
        <v>0.9</v>
      </c>
      <c r="V10" s="100">
        <v>0.3</v>
      </c>
      <c r="W10" s="100">
        <v>0.3</v>
      </c>
      <c r="X10" s="100">
        <v>0.3</v>
      </c>
      <c r="Y10" s="100">
        <v>0.3</v>
      </c>
      <c r="Z10" s="100">
        <v>0.3</v>
      </c>
      <c r="AA10" s="100">
        <v>0.3</v>
      </c>
      <c r="AB10" s="100">
        <v>0.3</v>
      </c>
      <c r="AC10" s="141">
        <v>0.1</v>
      </c>
      <c r="AD10" s="33"/>
      <c r="AE10" s="32"/>
      <c r="AF10" s="32"/>
      <c r="AG10" s="32"/>
      <c r="AH10" s="32"/>
      <c r="AI10" s="32"/>
      <c r="AJ10" s="32"/>
      <c r="AK10" s="32"/>
      <c r="AM10" s="40"/>
    </row>
    <row r="11" spans="1:39" ht="36" customHeight="1">
      <c r="A11" s="687"/>
      <c r="B11" s="687"/>
      <c r="C11" s="684"/>
      <c r="D11" s="684"/>
      <c r="E11" s="229" t="s">
        <v>661</v>
      </c>
      <c r="F11" s="63">
        <v>0.1</v>
      </c>
      <c r="G11" s="63">
        <v>0.1</v>
      </c>
      <c r="H11" s="63">
        <v>0.1</v>
      </c>
      <c r="I11" s="63">
        <v>0.1</v>
      </c>
      <c r="J11" s="63">
        <v>0.1</v>
      </c>
      <c r="K11" s="63">
        <v>0.1</v>
      </c>
      <c r="L11" s="63">
        <v>0.1</v>
      </c>
      <c r="M11" s="63">
        <v>0.2</v>
      </c>
      <c r="N11" s="63">
        <v>0.4</v>
      </c>
      <c r="O11" s="63">
        <v>0.4</v>
      </c>
      <c r="P11" s="63">
        <v>0.4</v>
      </c>
      <c r="Q11" s="63">
        <v>0.4</v>
      </c>
      <c r="R11" s="63">
        <v>0.4</v>
      </c>
      <c r="S11" s="63">
        <v>0.4</v>
      </c>
      <c r="T11" s="63">
        <v>0.4</v>
      </c>
      <c r="U11" s="63">
        <v>0.4</v>
      </c>
      <c r="V11" s="63">
        <v>0.4</v>
      </c>
      <c r="W11" s="63">
        <v>0.4</v>
      </c>
      <c r="X11" s="63">
        <v>0.1</v>
      </c>
      <c r="Y11" s="63">
        <v>0.1</v>
      </c>
      <c r="Z11" s="63">
        <v>0.1</v>
      </c>
      <c r="AA11" s="63">
        <v>0.1</v>
      </c>
      <c r="AB11" s="63">
        <v>0.1</v>
      </c>
      <c r="AC11" s="142">
        <v>0.1</v>
      </c>
      <c r="AD11" s="33"/>
      <c r="AE11" s="32"/>
      <c r="AF11" s="32"/>
      <c r="AG11" s="32"/>
      <c r="AH11" s="32"/>
      <c r="AI11" s="32"/>
      <c r="AJ11" s="32"/>
      <c r="AK11" s="32"/>
      <c r="AM11" s="40"/>
    </row>
    <row r="12" spans="1:39" ht="36" customHeight="1" thickBot="1">
      <c r="A12" s="688"/>
      <c r="B12" s="688"/>
      <c r="C12" s="685"/>
      <c r="D12" s="685"/>
      <c r="E12" s="230" t="s">
        <v>662</v>
      </c>
      <c r="F12" s="143">
        <v>0.05</v>
      </c>
      <c r="G12" s="143">
        <v>0.05</v>
      </c>
      <c r="H12" s="143">
        <v>0.05</v>
      </c>
      <c r="I12" s="143">
        <v>0.05</v>
      </c>
      <c r="J12" s="143">
        <v>0.05</v>
      </c>
      <c r="K12" s="143">
        <v>0.05</v>
      </c>
      <c r="L12" s="143">
        <v>0.05</v>
      </c>
      <c r="M12" s="143">
        <v>0.05</v>
      </c>
      <c r="N12" s="143">
        <v>0.1</v>
      </c>
      <c r="O12" s="143">
        <v>0.1</v>
      </c>
      <c r="P12" s="143">
        <v>0.1</v>
      </c>
      <c r="Q12" s="143">
        <v>0.1</v>
      </c>
      <c r="R12" s="143">
        <v>0.1</v>
      </c>
      <c r="S12" s="143">
        <v>0.1</v>
      </c>
      <c r="T12" s="143">
        <v>0.1</v>
      </c>
      <c r="U12" s="143">
        <v>0.1</v>
      </c>
      <c r="V12" s="143">
        <v>0.05</v>
      </c>
      <c r="W12" s="143">
        <v>0.05</v>
      </c>
      <c r="X12" s="143">
        <v>0.05</v>
      </c>
      <c r="Y12" s="143">
        <v>0.05</v>
      </c>
      <c r="Z12" s="143">
        <v>0.05</v>
      </c>
      <c r="AA12" s="143">
        <v>0.05</v>
      </c>
      <c r="AB12" s="143">
        <v>0.05</v>
      </c>
      <c r="AC12" s="144">
        <v>0.05</v>
      </c>
      <c r="AD12" s="33"/>
      <c r="AE12" s="32"/>
      <c r="AF12" s="32"/>
      <c r="AG12" s="32"/>
      <c r="AH12" s="32"/>
      <c r="AI12" s="32"/>
      <c r="AJ12" s="32"/>
      <c r="AK12" s="32"/>
      <c r="AM12" s="40"/>
    </row>
    <row r="13" spans="1:39" ht="36" customHeight="1">
      <c r="A13" s="686" t="s">
        <v>657</v>
      </c>
      <c r="B13" s="686" t="s">
        <v>125</v>
      </c>
      <c r="C13" s="683" t="s">
        <v>665</v>
      </c>
      <c r="D13" s="683" t="s">
        <v>659</v>
      </c>
      <c r="E13" s="225" t="s">
        <v>660</v>
      </c>
      <c r="F13" s="537">
        <v>0.01</v>
      </c>
      <c r="G13" s="537">
        <v>0.01</v>
      </c>
      <c r="H13" s="537">
        <v>0.01</v>
      </c>
      <c r="I13" s="537">
        <v>0.01</v>
      </c>
      <c r="J13" s="537">
        <v>0.01</v>
      </c>
      <c r="K13" s="537">
        <v>0.01</v>
      </c>
      <c r="L13" s="537">
        <v>0.01</v>
      </c>
      <c r="M13" s="537">
        <v>0.17</v>
      </c>
      <c r="N13" s="537">
        <v>0.57999999999999996</v>
      </c>
      <c r="O13" s="537">
        <v>0.66</v>
      </c>
      <c r="P13" s="537">
        <v>0.78</v>
      </c>
      <c r="Q13" s="537">
        <v>0.82</v>
      </c>
      <c r="R13" s="537">
        <v>0.71</v>
      </c>
      <c r="S13" s="537">
        <v>0.82</v>
      </c>
      <c r="T13" s="537">
        <v>0.78</v>
      </c>
      <c r="U13" s="537">
        <v>0.74</v>
      </c>
      <c r="V13" s="537">
        <v>0.63</v>
      </c>
      <c r="W13" s="537">
        <v>0.41</v>
      </c>
      <c r="X13" s="537">
        <v>0.18</v>
      </c>
      <c r="Y13" s="537">
        <v>0.18</v>
      </c>
      <c r="Z13" s="537">
        <v>0.18</v>
      </c>
      <c r="AA13" s="537">
        <v>0.1</v>
      </c>
      <c r="AB13" s="537">
        <v>0.01</v>
      </c>
      <c r="AC13" s="52">
        <v>0.01</v>
      </c>
      <c r="AD13" s="32"/>
      <c r="AE13" s="32"/>
      <c r="AF13" s="32"/>
      <c r="AG13" s="32"/>
      <c r="AH13" s="32"/>
      <c r="AI13" s="32"/>
      <c r="AJ13" s="32"/>
      <c r="AK13" s="32"/>
      <c r="AM13" s="40"/>
    </row>
    <row r="14" spans="1:39" ht="36" customHeight="1">
      <c r="A14" s="687"/>
      <c r="B14" s="687"/>
      <c r="C14" s="684"/>
      <c r="D14" s="684"/>
      <c r="E14" s="226" t="s">
        <v>661</v>
      </c>
      <c r="F14" s="505">
        <v>0.01</v>
      </c>
      <c r="G14" s="505">
        <v>0.01</v>
      </c>
      <c r="H14" s="505">
        <v>0.01</v>
      </c>
      <c r="I14" s="505">
        <v>0.01</v>
      </c>
      <c r="J14" s="505">
        <v>0.01</v>
      </c>
      <c r="K14" s="505">
        <v>0.01</v>
      </c>
      <c r="L14" s="505">
        <v>0.01</v>
      </c>
      <c r="M14" s="505">
        <v>0.01</v>
      </c>
      <c r="N14" s="505">
        <v>0.2</v>
      </c>
      <c r="O14" s="505">
        <v>0.28000000000000003</v>
      </c>
      <c r="P14" s="505">
        <v>0.3</v>
      </c>
      <c r="Q14" s="505">
        <v>0.3</v>
      </c>
      <c r="R14" s="505">
        <v>0.24</v>
      </c>
      <c r="S14" s="505">
        <v>0.24</v>
      </c>
      <c r="T14" s="505">
        <v>0.23</v>
      </c>
      <c r="U14" s="505">
        <v>0.23</v>
      </c>
      <c r="V14" s="505">
        <v>0.23</v>
      </c>
      <c r="W14" s="505">
        <v>0.1</v>
      </c>
      <c r="X14" s="505">
        <v>0.01</v>
      </c>
      <c r="Y14" s="505">
        <v>0.01</v>
      </c>
      <c r="Z14" s="505">
        <v>0.01</v>
      </c>
      <c r="AA14" s="505">
        <v>0.01</v>
      </c>
      <c r="AB14" s="505">
        <v>0.01</v>
      </c>
      <c r="AC14" s="134">
        <v>0.01</v>
      </c>
      <c r="AD14" s="32"/>
      <c r="AE14" s="32"/>
      <c r="AF14" s="32"/>
      <c r="AG14" s="32"/>
      <c r="AH14" s="32"/>
      <c r="AI14" s="32"/>
      <c r="AJ14" s="32"/>
      <c r="AK14" s="32"/>
      <c r="AM14" s="40"/>
    </row>
    <row r="15" spans="1:39" ht="36" customHeight="1" thickBot="1">
      <c r="A15" s="688"/>
      <c r="B15" s="688"/>
      <c r="C15" s="685"/>
      <c r="D15" s="685"/>
      <c r="E15" s="227" t="s">
        <v>662</v>
      </c>
      <c r="F15" s="538">
        <v>0.01</v>
      </c>
      <c r="G15" s="538">
        <v>0.01</v>
      </c>
      <c r="H15" s="538">
        <v>0.01</v>
      </c>
      <c r="I15" s="538">
        <v>0.01</v>
      </c>
      <c r="J15" s="538">
        <v>0.01</v>
      </c>
      <c r="K15" s="538">
        <v>0.01</v>
      </c>
      <c r="L15" s="538">
        <v>0.01</v>
      </c>
      <c r="M15" s="538">
        <v>0.01</v>
      </c>
      <c r="N15" s="538">
        <v>0.01</v>
      </c>
      <c r="O15" s="538">
        <v>0.01</v>
      </c>
      <c r="P15" s="538">
        <v>0.01</v>
      </c>
      <c r="Q15" s="538">
        <v>0.01</v>
      </c>
      <c r="R15" s="538">
        <v>0.01</v>
      </c>
      <c r="S15" s="538">
        <v>0.01</v>
      </c>
      <c r="T15" s="538">
        <v>0.01</v>
      </c>
      <c r="U15" s="538">
        <v>0.01</v>
      </c>
      <c r="V15" s="538">
        <v>0.01</v>
      </c>
      <c r="W15" s="538">
        <v>0.01</v>
      </c>
      <c r="X15" s="538">
        <v>0.01</v>
      </c>
      <c r="Y15" s="538">
        <v>0.01</v>
      </c>
      <c r="Z15" s="538">
        <v>0.01</v>
      </c>
      <c r="AA15" s="538">
        <v>0.01</v>
      </c>
      <c r="AB15" s="538">
        <v>0.01</v>
      </c>
      <c r="AC15" s="53">
        <v>0.01</v>
      </c>
      <c r="AD15" s="32"/>
      <c r="AE15" s="32"/>
      <c r="AF15" s="32"/>
      <c r="AG15" s="32"/>
      <c r="AH15" s="32"/>
      <c r="AI15" s="32"/>
      <c r="AJ15" s="32"/>
      <c r="AK15" s="32"/>
      <c r="AM15" s="40"/>
    </row>
    <row r="16" spans="1:39" ht="36" customHeight="1">
      <c r="A16" s="686" t="s">
        <v>657</v>
      </c>
      <c r="B16" s="686" t="s">
        <v>125</v>
      </c>
      <c r="C16" s="683" t="s">
        <v>666</v>
      </c>
      <c r="D16" s="683" t="s">
        <v>659</v>
      </c>
      <c r="E16" s="231" t="s">
        <v>660</v>
      </c>
      <c r="F16" s="100">
        <v>0</v>
      </c>
      <c r="G16" s="100">
        <v>0</v>
      </c>
      <c r="H16" s="100">
        <v>0</v>
      </c>
      <c r="I16" s="100">
        <v>0</v>
      </c>
      <c r="J16" s="100">
        <v>0</v>
      </c>
      <c r="K16" s="100">
        <v>0</v>
      </c>
      <c r="L16" s="100">
        <v>0</v>
      </c>
      <c r="M16" s="100">
        <v>0.75</v>
      </c>
      <c r="N16" s="100">
        <v>0.9</v>
      </c>
      <c r="O16" s="100">
        <v>0.9</v>
      </c>
      <c r="P16" s="100">
        <v>0.9</v>
      </c>
      <c r="Q16" s="100">
        <v>0.9</v>
      </c>
      <c r="R16" s="100">
        <v>0.9</v>
      </c>
      <c r="S16" s="100">
        <v>0.9</v>
      </c>
      <c r="T16" s="100">
        <v>0.9</v>
      </c>
      <c r="U16" s="100">
        <v>0.9</v>
      </c>
      <c r="V16" s="100">
        <v>0.9</v>
      </c>
      <c r="W16" s="100">
        <v>0.75</v>
      </c>
      <c r="X16" s="100">
        <v>0.2</v>
      </c>
      <c r="Y16" s="100">
        <v>0.1</v>
      </c>
      <c r="Z16" s="100">
        <v>0</v>
      </c>
      <c r="AA16" s="100">
        <v>0</v>
      </c>
      <c r="AB16" s="100">
        <v>0</v>
      </c>
      <c r="AC16" s="141">
        <v>0</v>
      </c>
      <c r="AD16" s="33"/>
      <c r="AE16" s="32"/>
      <c r="AF16" s="32"/>
      <c r="AG16" s="32"/>
      <c r="AH16" s="32"/>
      <c r="AI16" s="32"/>
      <c r="AJ16" s="32"/>
      <c r="AK16" s="32"/>
      <c r="AM16" s="40"/>
    </row>
    <row r="17" spans="1:39" ht="36" customHeight="1">
      <c r="A17" s="687"/>
      <c r="B17" s="687"/>
      <c r="C17" s="684"/>
      <c r="D17" s="684"/>
      <c r="E17" s="229" t="s">
        <v>661</v>
      </c>
      <c r="F17" s="63">
        <v>0</v>
      </c>
      <c r="G17" s="63">
        <v>0</v>
      </c>
      <c r="H17" s="63">
        <v>0</v>
      </c>
      <c r="I17" s="63">
        <v>0</v>
      </c>
      <c r="J17" s="63">
        <v>0</v>
      </c>
      <c r="K17" s="63">
        <v>0</v>
      </c>
      <c r="L17" s="63">
        <v>0</v>
      </c>
      <c r="M17" s="63">
        <v>0.3</v>
      </c>
      <c r="N17" s="63">
        <v>0.5</v>
      </c>
      <c r="O17" s="63">
        <v>0.5</v>
      </c>
      <c r="P17" s="63">
        <v>0.5</v>
      </c>
      <c r="Q17" s="63">
        <v>0.5</v>
      </c>
      <c r="R17" s="63">
        <v>0.5</v>
      </c>
      <c r="S17" s="63">
        <v>0.5</v>
      </c>
      <c r="T17" s="63">
        <v>0.5</v>
      </c>
      <c r="U17" s="63">
        <v>0.5</v>
      </c>
      <c r="V17" s="63">
        <v>0.5</v>
      </c>
      <c r="W17" s="63">
        <v>0.3</v>
      </c>
      <c r="X17" s="63">
        <v>0</v>
      </c>
      <c r="Y17" s="63">
        <v>0</v>
      </c>
      <c r="Z17" s="63">
        <v>0</v>
      </c>
      <c r="AA17" s="63">
        <v>0</v>
      </c>
      <c r="AB17" s="63">
        <v>0</v>
      </c>
      <c r="AC17" s="142">
        <v>0</v>
      </c>
      <c r="AD17" s="33"/>
      <c r="AE17" s="32"/>
      <c r="AF17" s="32"/>
      <c r="AG17" s="32"/>
      <c r="AH17" s="32"/>
      <c r="AI17" s="32"/>
      <c r="AJ17" s="32"/>
      <c r="AK17" s="32"/>
      <c r="AM17" s="40"/>
    </row>
    <row r="18" spans="1:39" ht="36" customHeight="1" thickBot="1">
      <c r="A18" s="688"/>
      <c r="B18" s="688"/>
      <c r="C18" s="685"/>
      <c r="D18" s="685"/>
      <c r="E18" s="230" t="s">
        <v>662</v>
      </c>
      <c r="F18" s="143">
        <v>0</v>
      </c>
      <c r="G18" s="143">
        <v>0</v>
      </c>
      <c r="H18" s="143">
        <v>0</v>
      </c>
      <c r="I18" s="143">
        <v>0</v>
      </c>
      <c r="J18" s="143">
        <v>0</v>
      </c>
      <c r="K18" s="143">
        <v>0</v>
      </c>
      <c r="L18" s="143">
        <v>0</v>
      </c>
      <c r="M18" s="143">
        <v>0</v>
      </c>
      <c r="N18" s="143">
        <v>0</v>
      </c>
      <c r="O18" s="143">
        <v>0</v>
      </c>
      <c r="P18" s="143">
        <v>0</v>
      </c>
      <c r="Q18" s="143">
        <v>0</v>
      </c>
      <c r="R18" s="143">
        <v>0</v>
      </c>
      <c r="S18" s="143">
        <v>0</v>
      </c>
      <c r="T18" s="143">
        <v>0</v>
      </c>
      <c r="U18" s="143">
        <v>0</v>
      </c>
      <c r="V18" s="143">
        <v>0</v>
      </c>
      <c r="W18" s="143">
        <v>0</v>
      </c>
      <c r="X18" s="143">
        <v>0</v>
      </c>
      <c r="Y18" s="143">
        <v>0</v>
      </c>
      <c r="Z18" s="143">
        <v>0</v>
      </c>
      <c r="AA18" s="143">
        <v>0</v>
      </c>
      <c r="AB18" s="143">
        <v>0</v>
      </c>
      <c r="AC18" s="144">
        <v>0</v>
      </c>
      <c r="AD18" s="33"/>
      <c r="AE18" s="32"/>
      <c r="AF18" s="32"/>
      <c r="AG18" s="32"/>
      <c r="AH18" s="32"/>
      <c r="AI18" s="32"/>
      <c r="AJ18" s="32"/>
      <c r="AK18" s="32"/>
      <c r="AM18" s="40"/>
    </row>
    <row r="19" spans="1:39" ht="36" customHeight="1">
      <c r="A19" s="686" t="s">
        <v>657</v>
      </c>
      <c r="B19" s="686" t="s">
        <v>125</v>
      </c>
      <c r="C19" s="683" t="s">
        <v>667</v>
      </c>
      <c r="D19" s="683" t="s">
        <v>659</v>
      </c>
      <c r="E19" s="231" t="s">
        <v>660</v>
      </c>
      <c r="F19" s="100">
        <v>0.9</v>
      </c>
      <c r="G19" s="100">
        <v>0.9</v>
      </c>
      <c r="H19" s="100">
        <v>0.9</v>
      </c>
      <c r="I19" s="100">
        <v>0.9</v>
      </c>
      <c r="J19" s="100">
        <v>0.9</v>
      </c>
      <c r="K19" s="100">
        <v>0.9</v>
      </c>
      <c r="L19" s="100">
        <v>0.9</v>
      </c>
      <c r="M19" s="100">
        <v>0.9</v>
      </c>
      <c r="N19" s="100">
        <v>0.9</v>
      </c>
      <c r="O19" s="100">
        <v>0.9</v>
      </c>
      <c r="P19" s="100">
        <v>0.9</v>
      </c>
      <c r="Q19" s="100">
        <v>0.9</v>
      </c>
      <c r="R19" s="100">
        <v>0.9</v>
      </c>
      <c r="S19" s="100">
        <v>0.9</v>
      </c>
      <c r="T19" s="100">
        <v>0.9</v>
      </c>
      <c r="U19" s="100">
        <v>0.9</v>
      </c>
      <c r="V19" s="100">
        <v>0.9</v>
      </c>
      <c r="W19" s="100">
        <v>0.9</v>
      </c>
      <c r="X19" s="100">
        <v>0.9</v>
      </c>
      <c r="Y19" s="100">
        <v>0.9</v>
      </c>
      <c r="Z19" s="100">
        <v>0.9</v>
      </c>
      <c r="AA19" s="100">
        <v>0.9</v>
      </c>
      <c r="AB19" s="100">
        <v>0.9</v>
      </c>
      <c r="AC19" s="141">
        <v>0.9</v>
      </c>
      <c r="AD19" s="33"/>
      <c r="AE19" s="32"/>
      <c r="AF19" s="32"/>
      <c r="AG19" s="32"/>
      <c r="AH19" s="32"/>
      <c r="AI19" s="32"/>
      <c r="AJ19" s="32"/>
      <c r="AK19" s="32"/>
      <c r="AM19" s="40"/>
    </row>
    <row r="20" spans="1:39" ht="36" customHeight="1">
      <c r="A20" s="687"/>
      <c r="B20" s="687"/>
      <c r="C20" s="684"/>
      <c r="D20" s="684"/>
      <c r="E20" s="229" t="s">
        <v>661</v>
      </c>
      <c r="F20" s="63">
        <v>0.9</v>
      </c>
      <c r="G20" s="63">
        <v>0.9</v>
      </c>
      <c r="H20" s="63">
        <v>0.9</v>
      </c>
      <c r="I20" s="63">
        <v>0.9</v>
      </c>
      <c r="J20" s="63">
        <v>0.9</v>
      </c>
      <c r="K20" s="63">
        <v>0.9</v>
      </c>
      <c r="L20" s="63">
        <v>0.9</v>
      </c>
      <c r="M20" s="63">
        <v>0.9</v>
      </c>
      <c r="N20" s="63">
        <v>0.9</v>
      </c>
      <c r="O20" s="63">
        <v>0.9</v>
      </c>
      <c r="P20" s="63">
        <v>0.9</v>
      </c>
      <c r="Q20" s="63">
        <v>0.9</v>
      </c>
      <c r="R20" s="63">
        <v>0.9</v>
      </c>
      <c r="S20" s="63">
        <v>0.9</v>
      </c>
      <c r="T20" s="63">
        <v>0.9</v>
      </c>
      <c r="U20" s="63">
        <v>0.9</v>
      </c>
      <c r="V20" s="63">
        <v>0.9</v>
      </c>
      <c r="W20" s="63">
        <v>0.9</v>
      </c>
      <c r="X20" s="63">
        <v>0.9</v>
      </c>
      <c r="Y20" s="63">
        <v>0.9</v>
      </c>
      <c r="Z20" s="63">
        <v>0.9</v>
      </c>
      <c r="AA20" s="63">
        <v>0.9</v>
      </c>
      <c r="AB20" s="63">
        <v>0.9</v>
      </c>
      <c r="AC20" s="142">
        <v>0.9</v>
      </c>
      <c r="AD20" s="33"/>
      <c r="AE20" s="32"/>
      <c r="AF20" s="32"/>
      <c r="AG20" s="32"/>
      <c r="AH20" s="32"/>
      <c r="AI20" s="32"/>
      <c r="AJ20" s="32"/>
      <c r="AK20" s="32"/>
      <c r="AM20" s="40"/>
    </row>
    <row r="21" spans="1:39" ht="36" customHeight="1" thickBot="1">
      <c r="A21" s="688"/>
      <c r="B21" s="688"/>
      <c r="C21" s="685"/>
      <c r="D21" s="685"/>
      <c r="E21" s="232" t="s">
        <v>662</v>
      </c>
      <c r="F21" s="186">
        <v>0.9</v>
      </c>
      <c r="G21" s="186">
        <v>0.9</v>
      </c>
      <c r="H21" s="186">
        <v>0.9</v>
      </c>
      <c r="I21" s="186">
        <v>0.9</v>
      </c>
      <c r="J21" s="186">
        <v>0.9</v>
      </c>
      <c r="K21" s="186">
        <v>0.9</v>
      </c>
      <c r="L21" s="186">
        <v>0.9</v>
      </c>
      <c r="M21" s="186">
        <v>0.9</v>
      </c>
      <c r="N21" s="186">
        <v>0.9</v>
      </c>
      <c r="O21" s="186">
        <v>0.9</v>
      </c>
      <c r="P21" s="186">
        <v>0.9</v>
      </c>
      <c r="Q21" s="186">
        <v>0.9</v>
      </c>
      <c r="R21" s="186">
        <v>0.9</v>
      </c>
      <c r="S21" s="186">
        <v>0.9</v>
      </c>
      <c r="T21" s="186">
        <v>0.9</v>
      </c>
      <c r="U21" s="186">
        <v>0.9</v>
      </c>
      <c r="V21" s="186">
        <v>0.9</v>
      </c>
      <c r="W21" s="186">
        <v>0.9</v>
      </c>
      <c r="X21" s="186">
        <v>0.9</v>
      </c>
      <c r="Y21" s="186">
        <v>0.9</v>
      </c>
      <c r="Z21" s="186">
        <v>0.9</v>
      </c>
      <c r="AA21" s="186">
        <v>0.9</v>
      </c>
      <c r="AB21" s="186">
        <v>0.9</v>
      </c>
      <c r="AC21" s="187">
        <v>0.9</v>
      </c>
      <c r="AD21" s="33"/>
      <c r="AE21" s="32"/>
      <c r="AF21" s="32"/>
      <c r="AG21" s="32"/>
      <c r="AH21" s="32"/>
      <c r="AI21" s="32"/>
      <c r="AJ21" s="32"/>
      <c r="AK21" s="32"/>
      <c r="AM21" s="40"/>
    </row>
    <row r="22" spans="1:39" ht="36" customHeight="1">
      <c r="A22" s="686" t="s">
        <v>657</v>
      </c>
      <c r="B22" s="686" t="s">
        <v>125</v>
      </c>
      <c r="C22" s="683" t="s">
        <v>333</v>
      </c>
      <c r="D22" s="683" t="s">
        <v>659</v>
      </c>
      <c r="E22" s="234" t="s">
        <v>660</v>
      </c>
      <c r="F22" s="235">
        <f>IF(F25=1,0.25,1)</f>
        <v>1</v>
      </c>
      <c r="G22" s="235">
        <f t="shared" ref="G22:AC24" si="0">IF(G25=1,0.25,1)</f>
        <v>1</v>
      </c>
      <c r="H22" s="235">
        <f t="shared" si="0"/>
        <v>1</v>
      </c>
      <c r="I22" s="235">
        <f t="shared" si="0"/>
        <v>1</v>
      </c>
      <c r="J22" s="235">
        <f t="shared" si="0"/>
        <v>1</v>
      </c>
      <c r="K22" s="235">
        <f t="shared" si="0"/>
        <v>1</v>
      </c>
      <c r="L22" s="235">
        <f t="shared" si="0"/>
        <v>0.25</v>
      </c>
      <c r="M22" s="235">
        <f t="shared" si="0"/>
        <v>0.25</v>
      </c>
      <c r="N22" s="235">
        <f t="shared" si="0"/>
        <v>0.25</v>
      </c>
      <c r="O22" s="235">
        <f t="shared" si="0"/>
        <v>0.25</v>
      </c>
      <c r="P22" s="235">
        <f t="shared" si="0"/>
        <v>0.25</v>
      </c>
      <c r="Q22" s="235">
        <f t="shared" si="0"/>
        <v>0.25</v>
      </c>
      <c r="R22" s="235">
        <f t="shared" si="0"/>
        <v>0.25</v>
      </c>
      <c r="S22" s="235">
        <f t="shared" si="0"/>
        <v>0.25</v>
      </c>
      <c r="T22" s="235">
        <f t="shared" si="0"/>
        <v>0.25</v>
      </c>
      <c r="U22" s="235">
        <f t="shared" si="0"/>
        <v>0.25</v>
      </c>
      <c r="V22" s="235">
        <f t="shared" si="0"/>
        <v>0.25</v>
      </c>
      <c r="W22" s="235">
        <f t="shared" si="0"/>
        <v>0.25</v>
      </c>
      <c r="X22" s="235">
        <f t="shared" si="0"/>
        <v>0.25</v>
      </c>
      <c r="Y22" s="235">
        <f t="shared" si="0"/>
        <v>0.25</v>
      </c>
      <c r="Z22" s="235">
        <f t="shared" si="0"/>
        <v>0.25</v>
      </c>
      <c r="AA22" s="235">
        <f t="shared" si="0"/>
        <v>0.25</v>
      </c>
      <c r="AB22" s="235">
        <f t="shared" si="0"/>
        <v>1</v>
      </c>
      <c r="AC22" s="236">
        <f t="shared" si="0"/>
        <v>1</v>
      </c>
      <c r="AD22" s="33"/>
      <c r="AE22" s="32"/>
      <c r="AF22" s="32"/>
      <c r="AG22" s="32"/>
      <c r="AH22" s="32"/>
      <c r="AI22" s="32"/>
      <c r="AJ22" s="32"/>
      <c r="AK22" s="32"/>
      <c r="AM22" s="40"/>
    </row>
    <row r="23" spans="1:39" ht="36" customHeight="1">
      <c r="A23" s="687"/>
      <c r="B23" s="687"/>
      <c r="C23" s="684"/>
      <c r="D23" s="684"/>
      <c r="E23" s="237" t="s">
        <v>661</v>
      </c>
      <c r="F23" s="113">
        <f t="shared" ref="F23:U24" si="1">IF(F26=1,0.25,1)</f>
        <v>1</v>
      </c>
      <c r="G23" s="113">
        <f t="shared" si="1"/>
        <v>1</v>
      </c>
      <c r="H23" s="113">
        <f t="shared" si="1"/>
        <v>1</v>
      </c>
      <c r="I23" s="113">
        <f t="shared" si="1"/>
        <v>1</v>
      </c>
      <c r="J23" s="113">
        <f t="shared" si="1"/>
        <v>1</v>
      </c>
      <c r="K23" s="113">
        <f t="shared" si="1"/>
        <v>1</v>
      </c>
      <c r="L23" s="113">
        <f t="shared" si="1"/>
        <v>0.25</v>
      </c>
      <c r="M23" s="113">
        <f t="shared" si="1"/>
        <v>0.25</v>
      </c>
      <c r="N23" s="113">
        <f t="shared" si="1"/>
        <v>0.25</v>
      </c>
      <c r="O23" s="113">
        <f t="shared" si="1"/>
        <v>0.25</v>
      </c>
      <c r="P23" s="113">
        <f t="shared" si="1"/>
        <v>0.25</v>
      </c>
      <c r="Q23" s="113">
        <f t="shared" si="1"/>
        <v>0.25</v>
      </c>
      <c r="R23" s="113">
        <f t="shared" si="1"/>
        <v>0.25</v>
      </c>
      <c r="S23" s="113">
        <f t="shared" si="1"/>
        <v>0.25</v>
      </c>
      <c r="T23" s="113">
        <f t="shared" si="1"/>
        <v>0.25</v>
      </c>
      <c r="U23" s="113">
        <f t="shared" si="1"/>
        <v>0.25</v>
      </c>
      <c r="V23" s="113">
        <f t="shared" si="0"/>
        <v>0.25</v>
      </c>
      <c r="W23" s="113">
        <f t="shared" si="0"/>
        <v>0.25</v>
      </c>
      <c r="X23" s="113">
        <f t="shared" si="0"/>
        <v>0.25</v>
      </c>
      <c r="Y23" s="113">
        <f t="shared" si="0"/>
        <v>1</v>
      </c>
      <c r="Z23" s="113">
        <f t="shared" si="0"/>
        <v>1</v>
      </c>
      <c r="AA23" s="113">
        <f t="shared" si="0"/>
        <v>1</v>
      </c>
      <c r="AB23" s="113">
        <f t="shared" si="0"/>
        <v>1</v>
      </c>
      <c r="AC23" s="238">
        <f t="shared" si="0"/>
        <v>1</v>
      </c>
      <c r="AD23" s="33"/>
      <c r="AE23" s="32"/>
      <c r="AF23" s="32"/>
      <c r="AG23" s="32"/>
      <c r="AH23" s="32"/>
      <c r="AI23" s="32"/>
      <c r="AJ23" s="32"/>
      <c r="AK23" s="32"/>
      <c r="AM23" s="40"/>
    </row>
    <row r="24" spans="1:39" ht="36" customHeight="1" thickBot="1">
      <c r="A24" s="688"/>
      <c r="B24" s="688"/>
      <c r="C24" s="685"/>
      <c r="D24" s="685"/>
      <c r="E24" s="239" t="s">
        <v>662</v>
      </c>
      <c r="F24" s="240">
        <f t="shared" si="1"/>
        <v>1</v>
      </c>
      <c r="G24" s="240">
        <f t="shared" si="0"/>
        <v>1</v>
      </c>
      <c r="H24" s="240">
        <f t="shared" si="0"/>
        <v>1</v>
      </c>
      <c r="I24" s="240">
        <f t="shared" si="0"/>
        <v>1</v>
      </c>
      <c r="J24" s="240">
        <f t="shared" si="0"/>
        <v>1</v>
      </c>
      <c r="K24" s="240">
        <f t="shared" si="0"/>
        <v>1</v>
      </c>
      <c r="L24" s="240">
        <f t="shared" si="0"/>
        <v>1</v>
      </c>
      <c r="M24" s="240">
        <f t="shared" si="0"/>
        <v>0.25</v>
      </c>
      <c r="N24" s="240">
        <f t="shared" si="0"/>
        <v>0.25</v>
      </c>
      <c r="O24" s="240">
        <f t="shared" si="0"/>
        <v>0.25</v>
      </c>
      <c r="P24" s="240">
        <f t="shared" si="0"/>
        <v>0.25</v>
      </c>
      <c r="Q24" s="240">
        <f t="shared" si="0"/>
        <v>0.25</v>
      </c>
      <c r="R24" s="240">
        <f t="shared" si="0"/>
        <v>0.25</v>
      </c>
      <c r="S24" s="240">
        <f t="shared" si="0"/>
        <v>0.25</v>
      </c>
      <c r="T24" s="240">
        <f t="shared" si="0"/>
        <v>0.25</v>
      </c>
      <c r="U24" s="240">
        <f t="shared" si="0"/>
        <v>0.25</v>
      </c>
      <c r="V24" s="240">
        <f t="shared" si="0"/>
        <v>1</v>
      </c>
      <c r="W24" s="240">
        <f t="shared" si="0"/>
        <v>1</v>
      </c>
      <c r="X24" s="240">
        <f t="shared" si="0"/>
        <v>1</v>
      </c>
      <c r="Y24" s="240">
        <f t="shared" si="0"/>
        <v>1</v>
      </c>
      <c r="Z24" s="240">
        <f t="shared" si="0"/>
        <v>1</v>
      </c>
      <c r="AA24" s="240">
        <f t="shared" si="0"/>
        <v>1</v>
      </c>
      <c r="AB24" s="240">
        <f t="shared" si="0"/>
        <v>1</v>
      </c>
      <c r="AC24" s="241">
        <f t="shared" si="0"/>
        <v>1</v>
      </c>
      <c r="AD24" s="33"/>
      <c r="AE24" s="32"/>
      <c r="AF24" s="32"/>
      <c r="AG24" s="32"/>
      <c r="AH24" s="32"/>
      <c r="AI24" s="32"/>
      <c r="AJ24" s="32"/>
      <c r="AK24" s="32"/>
      <c r="AM24" s="40"/>
    </row>
    <row r="25" spans="1:39" ht="36" customHeight="1">
      <c r="A25" s="686" t="s">
        <v>657</v>
      </c>
      <c r="B25" s="686" t="s">
        <v>125</v>
      </c>
      <c r="C25" s="683" t="s">
        <v>668</v>
      </c>
      <c r="D25" s="683" t="s">
        <v>659</v>
      </c>
      <c r="E25" s="228" t="s">
        <v>660</v>
      </c>
      <c r="F25" s="101">
        <v>0</v>
      </c>
      <c r="G25" s="101">
        <v>0</v>
      </c>
      <c r="H25" s="101">
        <v>0</v>
      </c>
      <c r="I25" s="101">
        <v>0</v>
      </c>
      <c r="J25" s="101">
        <v>0</v>
      </c>
      <c r="K25" s="101">
        <v>0</v>
      </c>
      <c r="L25" s="101">
        <v>1</v>
      </c>
      <c r="M25" s="101">
        <v>1</v>
      </c>
      <c r="N25" s="101">
        <v>1</v>
      </c>
      <c r="O25" s="101">
        <v>1</v>
      </c>
      <c r="P25" s="101">
        <v>1</v>
      </c>
      <c r="Q25" s="101">
        <v>1</v>
      </c>
      <c r="R25" s="101">
        <v>1</v>
      </c>
      <c r="S25" s="101">
        <v>1</v>
      </c>
      <c r="T25" s="101">
        <v>1</v>
      </c>
      <c r="U25" s="101">
        <v>1</v>
      </c>
      <c r="V25" s="101">
        <v>1</v>
      </c>
      <c r="W25" s="101">
        <v>1</v>
      </c>
      <c r="X25" s="101">
        <v>1</v>
      </c>
      <c r="Y25" s="101">
        <v>1</v>
      </c>
      <c r="Z25" s="101">
        <v>1</v>
      </c>
      <c r="AA25" s="101">
        <v>1</v>
      </c>
      <c r="AB25" s="101">
        <v>0</v>
      </c>
      <c r="AC25" s="233">
        <v>0</v>
      </c>
      <c r="AD25" s="33"/>
      <c r="AE25" s="32"/>
      <c r="AF25" s="32"/>
      <c r="AG25" s="32"/>
      <c r="AH25" s="32"/>
      <c r="AI25" s="32"/>
      <c r="AJ25" s="32"/>
      <c r="AK25" s="32"/>
      <c r="AM25" s="40"/>
    </row>
    <row r="26" spans="1:39" ht="36" customHeight="1">
      <c r="A26" s="687"/>
      <c r="B26" s="687"/>
      <c r="C26" s="684"/>
      <c r="D26" s="684"/>
      <c r="E26" s="229" t="s">
        <v>661</v>
      </c>
      <c r="F26" s="63">
        <v>0</v>
      </c>
      <c r="G26" s="63">
        <v>0</v>
      </c>
      <c r="H26" s="63">
        <v>0</v>
      </c>
      <c r="I26" s="63">
        <v>0</v>
      </c>
      <c r="J26" s="63">
        <v>0</v>
      </c>
      <c r="K26" s="63">
        <v>0</v>
      </c>
      <c r="L26" s="63">
        <v>1</v>
      </c>
      <c r="M26" s="63">
        <v>1</v>
      </c>
      <c r="N26" s="63">
        <v>1</v>
      </c>
      <c r="O26" s="63">
        <v>1</v>
      </c>
      <c r="P26" s="63">
        <v>1</v>
      </c>
      <c r="Q26" s="63">
        <v>1</v>
      </c>
      <c r="R26" s="63">
        <v>1</v>
      </c>
      <c r="S26" s="63">
        <v>1</v>
      </c>
      <c r="T26" s="63">
        <v>1</v>
      </c>
      <c r="U26" s="63">
        <v>1</v>
      </c>
      <c r="V26" s="63">
        <v>1</v>
      </c>
      <c r="W26" s="63">
        <v>1</v>
      </c>
      <c r="X26" s="63">
        <v>1</v>
      </c>
      <c r="Y26" s="63">
        <v>0</v>
      </c>
      <c r="Z26" s="63">
        <v>0</v>
      </c>
      <c r="AA26" s="63">
        <v>0</v>
      </c>
      <c r="AB26" s="63">
        <v>0</v>
      </c>
      <c r="AC26" s="142">
        <v>0</v>
      </c>
      <c r="AD26" s="33"/>
      <c r="AE26" s="32"/>
      <c r="AF26" s="32"/>
      <c r="AG26" s="32"/>
      <c r="AH26" s="32"/>
      <c r="AI26" s="32"/>
      <c r="AJ26" s="32"/>
      <c r="AK26" s="32"/>
      <c r="AM26" s="40"/>
    </row>
    <row r="27" spans="1:39" ht="36" customHeight="1" thickBot="1">
      <c r="A27" s="688"/>
      <c r="B27" s="688"/>
      <c r="C27" s="685"/>
      <c r="D27" s="685"/>
      <c r="E27" s="232" t="s">
        <v>662</v>
      </c>
      <c r="F27" s="186">
        <v>0</v>
      </c>
      <c r="G27" s="186">
        <v>0</v>
      </c>
      <c r="H27" s="186">
        <v>0</v>
      </c>
      <c r="I27" s="186">
        <v>0</v>
      </c>
      <c r="J27" s="186">
        <v>0</v>
      </c>
      <c r="K27" s="186">
        <v>0</v>
      </c>
      <c r="L27" s="186">
        <v>0</v>
      </c>
      <c r="M27" s="186">
        <v>1</v>
      </c>
      <c r="N27" s="186">
        <v>1</v>
      </c>
      <c r="O27" s="186">
        <v>1</v>
      </c>
      <c r="P27" s="186">
        <v>1</v>
      </c>
      <c r="Q27" s="186">
        <v>1</v>
      </c>
      <c r="R27" s="186">
        <v>1</v>
      </c>
      <c r="S27" s="186">
        <v>1</v>
      </c>
      <c r="T27" s="186">
        <v>1</v>
      </c>
      <c r="U27" s="186">
        <v>1</v>
      </c>
      <c r="V27" s="186">
        <v>0</v>
      </c>
      <c r="W27" s="186">
        <v>0</v>
      </c>
      <c r="X27" s="186">
        <v>0</v>
      </c>
      <c r="Y27" s="186">
        <v>0</v>
      </c>
      <c r="Z27" s="186">
        <v>0</v>
      </c>
      <c r="AA27" s="186">
        <v>0</v>
      </c>
      <c r="AB27" s="186">
        <v>0</v>
      </c>
      <c r="AC27" s="187">
        <v>0</v>
      </c>
      <c r="AD27" s="33"/>
      <c r="AE27" s="32"/>
      <c r="AF27" s="32"/>
      <c r="AG27" s="32"/>
      <c r="AH27" s="32"/>
      <c r="AI27" s="32"/>
      <c r="AJ27" s="32"/>
      <c r="AK27" s="32"/>
      <c r="AM27" s="40"/>
    </row>
    <row r="28" spans="1:39" ht="36" customHeight="1">
      <c r="A28" s="686" t="s">
        <v>657</v>
      </c>
      <c r="B28" s="686" t="s">
        <v>125</v>
      </c>
      <c r="C28" s="683" t="s">
        <v>669</v>
      </c>
      <c r="D28" s="683"/>
      <c r="E28" s="188" t="s">
        <v>660</v>
      </c>
      <c r="F28" s="446">
        <f>IF(F25=1,Thermostat!$B$3,Thermostat!$B$4)</f>
        <v>70</v>
      </c>
      <c r="G28" s="446">
        <f>IF(G25=1,Thermostat!$B$3,Thermostat!$B$4)</f>
        <v>70</v>
      </c>
      <c r="H28" s="446">
        <f>IF(H25=1,Thermostat!$B$3,Thermostat!$B$4)</f>
        <v>70</v>
      </c>
      <c r="I28" s="446">
        <f>IF(I25=1,Thermostat!$B$3,Thermostat!$B$4)</f>
        <v>70</v>
      </c>
      <c r="J28" s="446">
        <f>IF(J25=1,Thermostat!$B$3,Thermostat!$B$4)</f>
        <v>70</v>
      </c>
      <c r="K28" s="446">
        <f>IF(K25=1,Thermostat!$B$3,Thermostat!$B$4)</f>
        <v>70</v>
      </c>
      <c r="L28" s="446">
        <f>IF(L25=1,Thermostat!$B$3,Thermostat!$B$4)</f>
        <v>70</v>
      </c>
      <c r="M28" s="446">
        <f>IF(M25=1,Thermostat!$B$3,Thermostat!$B$4)</f>
        <v>70</v>
      </c>
      <c r="N28" s="446">
        <f>IF(N25=1,Thermostat!$B$3,Thermostat!$B$4)</f>
        <v>70</v>
      </c>
      <c r="O28" s="446">
        <f>IF(O25=1,Thermostat!$B$3,Thermostat!$B$4)</f>
        <v>70</v>
      </c>
      <c r="P28" s="446">
        <f>IF(P25=1,Thermostat!$B$3,Thermostat!$B$4)</f>
        <v>70</v>
      </c>
      <c r="Q28" s="446">
        <f>IF(Q25=1,Thermostat!$B$3,Thermostat!$B$4)</f>
        <v>70</v>
      </c>
      <c r="R28" s="446">
        <f>IF(R25=1,Thermostat!$B$3,Thermostat!$B$4)</f>
        <v>70</v>
      </c>
      <c r="S28" s="446">
        <f>IF(S25=1,Thermostat!$B$3,Thermostat!$B$4)</f>
        <v>70</v>
      </c>
      <c r="T28" s="446">
        <f>IF(T25=1,Thermostat!$B$3,Thermostat!$B$4)</f>
        <v>70</v>
      </c>
      <c r="U28" s="446">
        <f>IF(U25=1,Thermostat!$B$3,Thermostat!$B$4)</f>
        <v>70</v>
      </c>
      <c r="V28" s="446">
        <f>IF(V25=1,Thermostat!$B$3,Thermostat!$B$4)</f>
        <v>70</v>
      </c>
      <c r="W28" s="446">
        <f>IF(W25=1,Thermostat!$B$3,Thermostat!$B$4)</f>
        <v>70</v>
      </c>
      <c r="X28" s="446">
        <f>IF(X25=1,Thermostat!$B$3,Thermostat!$B$4)</f>
        <v>70</v>
      </c>
      <c r="Y28" s="446">
        <f>IF(Y25=1,Thermostat!$B$3,Thermostat!$B$4)</f>
        <v>70</v>
      </c>
      <c r="Z28" s="446">
        <f>IF(Z25=1,Thermostat!$B$3,Thermostat!$B$4)</f>
        <v>70</v>
      </c>
      <c r="AA28" s="446">
        <f>IF(AA25=1,Thermostat!$B$3,Thermostat!$B$4)</f>
        <v>70</v>
      </c>
      <c r="AB28" s="446">
        <f>IF(AB25=1,Thermostat!$B$3,Thermostat!$B$4)</f>
        <v>70</v>
      </c>
      <c r="AC28" s="183">
        <f>IF(AC25=1,Thermostat!$B$3,Thermostat!$B$4)</f>
        <v>70</v>
      </c>
      <c r="AD28" s="33"/>
      <c r="AE28" s="32"/>
      <c r="AF28" s="32"/>
      <c r="AG28" s="32"/>
      <c r="AH28" s="32"/>
      <c r="AI28" s="32"/>
      <c r="AJ28" s="32"/>
      <c r="AK28" s="32"/>
      <c r="AM28" s="40"/>
    </row>
    <row r="29" spans="1:39" ht="36" customHeight="1">
      <c r="A29" s="687"/>
      <c r="B29" s="687"/>
      <c r="C29" s="684"/>
      <c r="D29" s="684"/>
      <c r="E29" s="189" t="s">
        <v>661</v>
      </c>
      <c r="F29" s="444">
        <f>IF(F26=1,Thermostat!$B$3,Thermostat!$B$4)</f>
        <v>70</v>
      </c>
      <c r="G29" s="444">
        <f>IF(G26=1,Thermostat!$B$3,Thermostat!$B$4)</f>
        <v>70</v>
      </c>
      <c r="H29" s="444">
        <f>IF(H26=1,Thermostat!$B$3,Thermostat!$B$4)</f>
        <v>70</v>
      </c>
      <c r="I29" s="444">
        <f>IF(I26=1,Thermostat!$B$3,Thermostat!$B$4)</f>
        <v>70</v>
      </c>
      <c r="J29" s="444">
        <f>IF(J26=1,Thermostat!$B$3,Thermostat!$B$4)</f>
        <v>70</v>
      </c>
      <c r="K29" s="444">
        <f>IF(K26=1,Thermostat!$B$3,Thermostat!$B$4)</f>
        <v>70</v>
      </c>
      <c r="L29" s="444">
        <f>IF(L26=1,Thermostat!$B$3,Thermostat!$B$4)</f>
        <v>70</v>
      </c>
      <c r="M29" s="444">
        <f>IF(M26=1,Thermostat!$B$3,Thermostat!$B$4)</f>
        <v>70</v>
      </c>
      <c r="N29" s="444">
        <f>IF(N26=1,Thermostat!$B$3,Thermostat!$B$4)</f>
        <v>70</v>
      </c>
      <c r="O29" s="444">
        <f>IF(O26=1,Thermostat!$B$3,Thermostat!$B$4)</f>
        <v>70</v>
      </c>
      <c r="P29" s="444">
        <f>IF(P26=1,Thermostat!$B$3,Thermostat!$B$4)</f>
        <v>70</v>
      </c>
      <c r="Q29" s="444">
        <f>IF(Q26=1,Thermostat!$B$3,Thermostat!$B$4)</f>
        <v>70</v>
      </c>
      <c r="R29" s="444">
        <f>IF(R26=1,Thermostat!$B$3,Thermostat!$B$4)</f>
        <v>70</v>
      </c>
      <c r="S29" s="444">
        <f>IF(S26=1,Thermostat!$B$3,Thermostat!$B$4)</f>
        <v>70</v>
      </c>
      <c r="T29" s="444">
        <f>IF(T26=1,Thermostat!$B$3,Thermostat!$B$4)</f>
        <v>70</v>
      </c>
      <c r="U29" s="444">
        <f>IF(U26=1,Thermostat!$B$3,Thermostat!$B$4)</f>
        <v>70</v>
      </c>
      <c r="V29" s="444">
        <f>IF(V26=1,Thermostat!$B$3,Thermostat!$B$4)</f>
        <v>70</v>
      </c>
      <c r="W29" s="444">
        <f>IF(W26=1,Thermostat!$B$3,Thermostat!$B$4)</f>
        <v>70</v>
      </c>
      <c r="X29" s="444">
        <f>IF(X26=1,Thermostat!$B$3,Thermostat!$B$4)</f>
        <v>70</v>
      </c>
      <c r="Y29" s="444">
        <f>IF(Y26=1,Thermostat!$B$3,Thermostat!$B$4)</f>
        <v>70</v>
      </c>
      <c r="Z29" s="444">
        <f>IF(Z26=1,Thermostat!$B$3,Thermostat!$B$4)</f>
        <v>70</v>
      </c>
      <c r="AA29" s="444">
        <f>IF(AA26=1,Thermostat!$B$3,Thermostat!$B$4)</f>
        <v>70</v>
      </c>
      <c r="AB29" s="444">
        <f>IF(AB26=1,Thermostat!$B$3,Thermostat!$B$4)</f>
        <v>70</v>
      </c>
      <c r="AC29" s="184">
        <f>IF(AC26=1,Thermostat!$B$3,Thermostat!$B$4)</f>
        <v>70</v>
      </c>
      <c r="AD29" s="33"/>
      <c r="AE29" s="32"/>
      <c r="AF29" s="32"/>
      <c r="AG29" s="32"/>
      <c r="AH29" s="32"/>
      <c r="AI29" s="32"/>
      <c r="AJ29" s="32"/>
      <c r="AK29" s="32"/>
      <c r="AM29" s="40"/>
    </row>
    <row r="30" spans="1:39" ht="36" customHeight="1" thickBot="1">
      <c r="A30" s="688"/>
      <c r="B30" s="688"/>
      <c r="C30" s="685"/>
      <c r="D30" s="685"/>
      <c r="E30" s="190" t="s">
        <v>662</v>
      </c>
      <c r="F30" s="445">
        <f>IF(F27=1,Thermostat!$B$3,Thermostat!$B$4)</f>
        <v>70</v>
      </c>
      <c r="G30" s="445">
        <f>IF(G27=1,Thermostat!$B$3,Thermostat!$B$4)</f>
        <v>70</v>
      </c>
      <c r="H30" s="445">
        <f>IF(H27=1,Thermostat!$B$3,Thermostat!$B$4)</f>
        <v>70</v>
      </c>
      <c r="I30" s="445">
        <f>IF(I27=1,Thermostat!$B$3,Thermostat!$B$4)</f>
        <v>70</v>
      </c>
      <c r="J30" s="445">
        <f>IF(J27=1,Thermostat!$B$3,Thermostat!$B$4)</f>
        <v>70</v>
      </c>
      <c r="K30" s="445">
        <f>IF(K27=1,Thermostat!$B$3,Thermostat!$B$4)</f>
        <v>70</v>
      </c>
      <c r="L30" s="445">
        <f>IF(L27=1,Thermostat!$B$3,Thermostat!$B$4)</f>
        <v>70</v>
      </c>
      <c r="M30" s="445">
        <f>IF(M27=1,Thermostat!$B$3,Thermostat!$B$4)</f>
        <v>70</v>
      </c>
      <c r="N30" s="445">
        <f>IF(N27=1,Thermostat!$B$3,Thermostat!$B$4)</f>
        <v>70</v>
      </c>
      <c r="O30" s="445">
        <f>IF(O27=1,Thermostat!$B$3,Thermostat!$B$4)</f>
        <v>70</v>
      </c>
      <c r="P30" s="445">
        <f>IF(P27=1,Thermostat!$B$3,Thermostat!$B$4)</f>
        <v>70</v>
      </c>
      <c r="Q30" s="445">
        <f>IF(Q27=1,Thermostat!$B$3,Thermostat!$B$4)</f>
        <v>70</v>
      </c>
      <c r="R30" s="445">
        <f>IF(R27=1,Thermostat!$B$3,Thermostat!$B$4)</f>
        <v>70</v>
      </c>
      <c r="S30" s="445">
        <f>IF(S27=1,Thermostat!$B$3,Thermostat!$B$4)</f>
        <v>70</v>
      </c>
      <c r="T30" s="445">
        <f>IF(T27=1,Thermostat!$B$3,Thermostat!$B$4)</f>
        <v>70</v>
      </c>
      <c r="U30" s="445">
        <f>IF(U27=1,Thermostat!$B$3,Thermostat!$B$4)</f>
        <v>70</v>
      </c>
      <c r="V30" s="445">
        <f>IF(V27=1,Thermostat!$B$3,Thermostat!$B$4)</f>
        <v>70</v>
      </c>
      <c r="W30" s="445">
        <f>IF(W27=1,Thermostat!$B$3,Thermostat!$B$4)</f>
        <v>70</v>
      </c>
      <c r="X30" s="445">
        <f>IF(X27=1,Thermostat!$B$3,Thermostat!$B$4)</f>
        <v>70</v>
      </c>
      <c r="Y30" s="445">
        <f>IF(Y27=1,Thermostat!$B$3,Thermostat!$B$4)</f>
        <v>70</v>
      </c>
      <c r="Z30" s="445">
        <f>IF(Z27=1,Thermostat!$B$3,Thermostat!$B$4)</f>
        <v>70</v>
      </c>
      <c r="AA30" s="445">
        <f>IF(AA27=1,Thermostat!$B$3,Thermostat!$B$4)</f>
        <v>70</v>
      </c>
      <c r="AB30" s="445">
        <f>IF(AB27=1,Thermostat!$B$3,Thermostat!$B$4)</f>
        <v>70</v>
      </c>
      <c r="AC30" s="185">
        <f>IF(AC27=1,Thermostat!$B$3,Thermostat!$B$4)</f>
        <v>70</v>
      </c>
      <c r="AD30" s="33"/>
      <c r="AE30" s="32"/>
      <c r="AF30" s="32"/>
      <c r="AG30" s="32"/>
      <c r="AH30" s="32"/>
      <c r="AI30" s="32"/>
      <c r="AJ30" s="32"/>
      <c r="AK30" s="32"/>
      <c r="AM30" s="40"/>
    </row>
    <row r="31" spans="1:39" ht="36" customHeight="1">
      <c r="A31" s="686" t="s">
        <v>657</v>
      </c>
      <c r="B31" s="686" t="s">
        <v>125</v>
      </c>
      <c r="C31" s="683" t="s">
        <v>670</v>
      </c>
      <c r="D31" s="683"/>
      <c r="E31" s="188" t="s">
        <v>660</v>
      </c>
      <c r="F31" s="446">
        <f>IF(F25=1,Thermostat!$B$5,Thermostat!$B$6)</f>
        <v>75</v>
      </c>
      <c r="G31" s="446">
        <f>IF(G25=1,Thermostat!$B$5,Thermostat!$B$6)</f>
        <v>75</v>
      </c>
      <c r="H31" s="446">
        <f>IF(H25=1,Thermostat!$B$5,Thermostat!$B$6)</f>
        <v>75</v>
      </c>
      <c r="I31" s="446">
        <f>IF(I25=1,Thermostat!$B$5,Thermostat!$B$6)</f>
        <v>75</v>
      </c>
      <c r="J31" s="446">
        <f>IF(J25=1,Thermostat!$B$5,Thermostat!$B$6)</f>
        <v>75</v>
      </c>
      <c r="K31" s="446">
        <f>IF(K25=1,Thermostat!$B$5,Thermostat!$B$6)</f>
        <v>75</v>
      </c>
      <c r="L31" s="446">
        <f>IF(L25=1,Thermostat!$B$5,Thermostat!$B$6)</f>
        <v>75</v>
      </c>
      <c r="M31" s="446">
        <f>IF(M25=1,Thermostat!$B$5,Thermostat!$B$6)</f>
        <v>75</v>
      </c>
      <c r="N31" s="446">
        <f>IF(N25=1,Thermostat!$B$5,Thermostat!$B$6)</f>
        <v>75</v>
      </c>
      <c r="O31" s="446">
        <f>IF(O25=1,Thermostat!$B$5,Thermostat!$B$6)</f>
        <v>75</v>
      </c>
      <c r="P31" s="446">
        <f>IF(P25=1,Thermostat!$B$5,Thermostat!$B$6)</f>
        <v>75</v>
      </c>
      <c r="Q31" s="446">
        <f>IF(Q25=1,Thermostat!$B$5,Thermostat!$B$6)</f>
        <v>75</v>
      </c>
      <c r="R31" s="446">
        <f>IF(R25=1,Thermostat!$B$5,Thermostat!$B$6)</f>
        <v>75</v>
      </c>
      <c r="S31" s="446">
        <f>IF(S25=1,Thermostat!$B$5,Thermostat!$B$6)</f>
        <v>75</v>
      </c>
      <c r="T31" s="446">
        <f>IF(T25=1,Thermostat!$B$5,Thermostat!$B$6)</f>
        <v>75</v>
      </c>
      <c r="U31" s="446">
        <f>IF(U25=1,Thermostat!$B$5,Thermostat!$B$6)</f>
        <v>75</v>
      </c>
      <c r="V31" s="446">
        <f>IF(V25=1,Thermostat!$B$5,Thermostat!$B$6)</f>
        <v>75</v>
      </c>
      <c r="W31" s="446">
        <f>IF(W25=1,Thermostat!$B$5,Thermostat!$B$6)</f>
        <v>75</v>
      </c>
      <c r="X31" s="446">
        <f>IF(X25=1,Thermostat!$B$5,Thermostat!$B$6)</f>
        <v>75</v>
      </c>
      <c r="Y31" s="446">
        <f>IF(Y25=1,Thermostat!$B$5,Thermostat!$B$6)</f>
        <v>75</v>
      </c>
      <c r="Z31" s="446">
        <f>IF(Z25=1,Thermostat!$B$5,Thermostat!$B$6)</f>
        <v>75</v>
      </c>
      <c r="AA31" s="446">
        <f>IF(AA25=1,Thermostat!$B$5,Thermostat!$B$6)</f>
        <v>75</v>
      </c>
      <c r="AB31" s="446">
        <f>IF(AB25=1,Thermostat!$B$5,Thermostat!$B$6)</f>
        <v>75</v>
      </c>
      <c r="AC31" s="183">
        <f>IF(AC25=1,Thermostat!$B$5,Thermostat!$B$6)</f>
        <v>75</v>
      </c>
      <c r="AD31" s="33"/>
      <c r="AE31" s="32"/>
      <c r="AF31" s="32"/>
      <c r="AG31" s="32"/>
      <c r="AH31" s="32"/>
      <c r="AI31" s="32"/>
      <c r="AJ31" s="32"/>
      <c r="AK31" s="32"/>
      <c r="AM31" s="40"/>
    </row>
    <row r="32" spans="1:39" ht="36" customHeight="1">
      <c r="A32" s="687"/>
      <c r="B32" s="687"/>
      <c r="C32" s="684"/>
      <c r="D32" s="684"/>
      <c r="E32" s="189" t="s">
        <v>661</v>
      </c>
      <c r="F32" s="444">
        <f>IF(F26=1,Thermostat!$B$5,Thermostat!$B$6)</f>
        <v>75</v>
      </c>
      <c r="G32" s="444">
        <f>IF(G26=1,Thermostat!$B$5,Thermostat!$B$6)</f>
        <v>75</v>
      </c>
      <c r="H32" s="444">
        <f>IF(H26=1,Thermostat!$B$5,Thermostat!$B$6)</f>
        <v>75</v>
      </c>
      <c r="I32" s="444">
        <f>IF(I26=1,Thermostat!$B$5,Thermostat!$B$6)</f>
        <v>75</v>
      </c>
      <c r="J32" s="444">
        <f>IF(J26=1,Thermostat!$B$5,Thermostat!$B$6)</f>
        <v>75</v>
      </c>
      <c r="K32" s="444">
        <f>IF(K26=1,Thermostat!$B$5,Thermostat!$B$6)</f>
        <v>75</v>
      </c>
      <c r="L32" s="444">
        <f>IF(L26=1,Thermostat!$B$5,Thermostat!$B$6)</f>
        <v>75</v>
      </c>
      <c r="M32" s="444">
        <f>IF(M26=1,Thermostat!$B$5,Thermostat!$B$6)</f>
        <v>75</v>
      </c>
      <c r="N32" s="444">
        <f>IF(N26=1,Thermostat!$B$5,Thermostat!$B$6)</f>
        <v>75</v>
      </c>
      <c r="O32" s="444">
        <f>IF(O26=1,Thermostat!$B$5,Thermostat!$B$6)</f>
        <v>75</v>
      </c>
      <c r="P32" s="444">
        <f>IF(P26=1,Thermostat!$B$5,Thermostat!$B$6)</f>
        <v>75</v>
      </c>
      <c r="Q32" s="444">
        <f>IF(Q26=1,Thermostat!$B$5,Thermostat!$B$6)</f>
        <v>75</v>
      </c>
      <c r="R32" s="444">
        <f>IF(R26=1,Thermostat!$B$5,Thermostat!$B$6)</f>
        <v>75</v>
      </c>
      <c r="S32" s="444">
        <f>IF(S26=1,Thermostat!$B$5,Thermostat!$B$6)</f>
        <v>75</v>
      </c>
      <c r="T32" s="444">
        <f>IF(T26=1,Thermostat!$B$5,Thermostat!$B$6)</f>
        <v>75</v>
      </c>
      <c r="U32" s="444">
        <f>IF(U26=1,Thermostat!$B$5,Thermostat!$B$6)</f>
        <v>75</v>
      </c>
      <c r="V32" s="444">
        <f>IF(V26=1,Thermostat!$B$5,Thermostat!$B$6)</f>
        <v>75</v>
      </c>
      <c r="W32" s="444">
        <f>IF(W26=1,Thermostat!$B$5,Thermostat!$B$6)</f>
        <v>75</v>
      </c>
      <c r="X32" s="444">
        <f>IF(X26=1,Thermostat!$B$5,Thermostat!$B$6)</f>
        <v>75</v>
      </c>
      <c r="Y32" s="444">
        <f>IF(Y26=1,Thermostat!$B$5,Thermostat!$B$6)</f>
        <v>75</v>
      </c>
      <c r="Z32" s="444">
        <f>IF(Z26=1,Thermostat!$B$5,Thermostat!$B$6)</f>
        <v>75</v>
      </c>
      <c r="AA32" s="444">
        <f>IF(AA26=1,Thermostat!$B$5,Thermostat!$B$6)</f>
        <v>75</v>
      </c>
      <c r="AB32" s="444">
        <f>IF(AB26=1,Thermostat!$B$5,Thermostat!$B$6)</f>
        <v>75</v>
      </c>
      <c r="AC32" s="184">
        <f>IF(AC26=1,Thermostat!$B$5,Thermostat!$B$6)</f>
        <v>75</v>
      </c>
      <c r="AD32" s="33"/>
      <c r="AE32" s="32"/>
      <c r="AF32" s="32"/>
      <c r="AG32" s="32"/>
      <c r="AH32" s="32"/>
      <c r="AI32" s="32"/>
      <c r="AJ32" s="32"/>
      <c r="AK32" s="32"/>
      <c r="AM32" s="40"/>
    </row>
    <row r="33" spans="1:39" ht="36" customHeight="1" thickBot="1">
      <c r="A33" s="688"/>
      <c r="B33" s="688"/>
      <c r="C33" s="685"/>
      <c r="D33" s="685"/>
      <c r="E33" s="190" t="s">
        <v>662</v>
      </c>
      <c r="F33" s="445">
        <f>IF(F27=1,Thermostat!$B$5,Thermostat!$B$6)</f>
        <v>75</v>
      </c>
      <c r="G33" s="445">
        <f>IF(G27=1,Thermostat!$B$5,Thermostat!$B$6)</f>
        <v>75</v>
      </c>
      <c r="H33" s="445">
        <f>IF(H27=1,Thermostat!$B$5,Thermostat!$B$6)</f>
        <v>75</v>
      </c>
      <c r="I33" s="445">
        <f>IF(I27=1,Thermostat!$B$5,Thermostat!$B$6)</f>
        <v>75</v>
      </c>
      <c r="J33" s="445">
        <f>IF(J27=1,Thermostat!$B$5,Thermostat!$B$6)</f>
        <v>75</v>
      </c>
      <c r="K33" s="445">
        <f>IF(K27=1,Thermostat!$B$5,Thermostat!$B$6)</f>
        <v>75</v>
      </c>
      <c r="L33" s="445">
        <f>IF(L27=1,Thermostat!$B$5,Thermostat!$B$6)</f>
        <v>75</v>
      </c>
      <c r="M33" s="445">
        <f>IF(M27=1,Thermostat!$B$5,Thermostat!$B$6)</f>
        <v>75</v>
      </c>
      <c r="N33" s="445">
        <f>IF(N27=1,Thermostat!$B$5,Thermostat!$B$6)</f>
        <v>75</v>
      </c>
      <c r="O33" s="445">
        <f>IF(O27=1,Thermostat!$B$5,Thermostat!$B$6)</f>
        <v>75</v>
      </c>
      <c r="P33" s="445">
        <f>IF(P27=1,Thermostat!$B$5,Thermostat!$B$6)</f>
        <v>75</v>
      </c>
      <c r="Q33" s="445">
        <f>IF(Q27=1,Thermostat!$B$5,Thermostat!$B$6)</f>
        <v>75</v>
      </c>
      <c r="R33" s="445">
        <f>IF(R27=1,Thermostat!$B$5,Thermostat!$B$6)</f>
        <v>75</v>
      </c>
      <c r="S33" s="445">
        <f>IF(S27=1,Thermostat!$B$5,Thermostat!$B$6)</f>
        <v>75</v>
      </c>
      <c r="T33" s="445">
        <f>IF(T27=1,Thermostat!$B$5,Thermostat!$B$6)</f>
        <v>75</v>
      </c>
      <c r="U33" s="445">
        <f>IF(U27=1,Thermostat!$B$5,Thermostat!$B$6)</f>
        <v>75</v>
      </c>
      <c r="V33" s="445">
        <f>IF(V27=1,Thermostat!$B$5,Thermostat!$B$6)</f>
        <v>75</v>
      </c>
      <c r="W33" s="445">
        <f>IF(W27=1,Thermostat!$B$5,Thermostat!$B$6)</f>
        <v>75</v>
      </c>
      <c r="X33" s="445">
        <f>IF(X27=1,Thermostat!$B$5,Thermostat!$B$6)</f>
        <v>75</v>
      </c>
      <c r="Y33" s="445">
        <f>IF(Y27=1,Thermostat!$B$5,Thermostat!$B$6)</f>
        <v>75</v>
      </c>
      <c r="Z33" s="445">
        <f>IF(Z27=1,Thermostat!$B$5,Thermostat!$B$6)</f>
        <v>75</v>
      </c>
      <c r="AA33" s="445">
        <f>IF(AA27=1,Thermostat!$B$5,Thermostat!$B$6)</f>
        <v>75</v>
      </c>
      <c r="AB33" s="445">
        <f>IF(AB27=1,Thermostat!$B$5,Thermostat!$B$6)</f>
        <v>75</v>
      </c>
      <c r="AC33" s="185">
        <f>IF(AC27=1,Thermostat!$B$5,Thermostat!$B$6)</f>
        <v>75</v>
      </c>
      <c r="AD33" s="33"/>
      <c r="AE33" s="32"/>
      <c r="AF33" s="32"/>
      <c r="AG33" s="32"/>
      <c r="AH33" s="32"/>
      <c r="AI33" s="32"/>
      <c r="AJ33" s="32"/>
      <c r="AK33" s="32"/>
      <c r="AM33" s="40"/>
    </row>
    <row r="34" spans="1:39" ht="36" customHeight="1" thickBot="1">
      <c r="A34" s="251"/>
      <c r="B34" s="252"/>
      <c r="C34" s="252" t="s">
        <v>136</v>
      </c>
      <c r="D34" s="252"/>
      <c r="E34" s="252"/>
      <c r="F34" s="252"/>
      <c r="G34" s="252"/>
      <c r="H34" s="252"/>
      <c r="I34" s="252"/>
      <c r="J34" s="252"/>
      <c r="K34" s="252"/>
      <c r="L34" s="252"/>
      <c r="M34" s="252"/>
      <c r="N34" s="252"/>
      <c r="O34" s="252"/>
      <c r="P34" s="252"/>
      <c r="Q34" s="252"/>
      <c r="R34" s="252"/>
      <c r="S34" s="252"/>
      <c r="T34" s="252"/>
      <c r="U34" s="252"/>
      <c r="V34" s="252"/>
      <c r="W34" s="252"/>
      <c r="X34" s="252"/>
      <c r="Y34" s="252"/>
      <c r="Z34" s="252"/>
      <c r="AA34" s="252"/>
      <c r="AB34" s="252"/>
      <c r="AC34" s="253"/>
      <c r="AD34" s="33"/>
      <c r="AE34" s="32"/>
      <c r="AF34" s="32"/>
      <c r="AG34" s="32"/>
      <c r="AH34" s="32"/>
      <c r="AI34" s="32"/>
      <c r="AJ34" s="32"/>
      <c r="AK34" s="32"/>
      <c r="AM34" s="40"/>
    </row>
    <row r="35" spans="1:39" ht="39.6" customHeight="1">
      <c r="A35" s="686" t="s">
        <v>671</v>
      </c>
      <c r="B35" s="686" t="s">
        <v>136</v>
      </c>
      <c r="C35" s="683" t="s">
        <v>658</v>
      </c>
      <c r="D35" s="683" t="s">
        <v>672</v>
      </c>
      <c r="E35" s="169" t="s">
        <v>660</v>
      </c>
      <c r="F35" s="212">
        <v>0</v>
      </c>
      <c r="G35" s="212">
        <v>0</v>
      </c>
      <c r="H35" s="212">
        <v>0</v>
      </c>
      <c r="I35" s="212">
        <v>0</v>
      </c>
      <c r="J35" s="212">
        <v>0</v>
      </c>
      <c r="K35" s="212">
        <v>0</v>
      </c>
      <c r="L35" s="212">
        <v>0.1</v>
      </c>
      <c r="M35" s="212">
        <v>0.2</v>
      </c>
      <c r="N35" s="212">
        <v>0.95</v>
      </c>
      <c r="O35" s="212">
        <v>0.95</v>
      </c>
      <c r="P35" s="212">
        <v>0.95</v>
      </c>
      <c r="Q35" s="212">
        <v>0.95</v>
      </c>
      <c r="R35" s="212">
        <v>0.5</v>
      </c>
      <c r="S35" s="212">
        <v>0.95</v>
      </c>
      <c r="T35" s="212">
        <v>0.95</v>
      </c>
      <c r="U35" s="212">
        <v>0.95</v>
      </c>
      <c r="V35" s="212">
        <v>0.95</v>
      </c>
      <c r="W35" s="212">
        <v>0.3</v>
      </c>
      <c r="X35" s="212">
        <v>0.1</v>
      </c>
      <c r="Y35" s="212">
        <v>0.1</v>
      </c>
      <c r="Z35" s="212">
        <v>0.1</v>
      </c>
      <c r="AA35" s="212">
        <v>0.1</v>
      </c>
      <c r="AB35" s="212">
        <v>0.05</v>
      </c>
      <c r="AC35" s="213">
        <v>0.05</v>
      </c>
      <c r="AD35" s="98"/>
      <c r="AE35" s="98"/>
      <c r="AF35" s="98"/>
      <c r="AG35" s="98"/>
      <c r="AH35" s="98"/>
      <c r="AI35" s="98"/>
      <c r="AJ35" s="98"/>
      <c r="AK35" s="98"/>
    </row>
    <row r="36" spans="1:39" ht="39.6" customHeight="1">
      <c r="A36" s="687"/>
      <c r="B36" s="687"/>
      <c r="C36" s="684"/>
      <c r="D36" s="684"/>
      <c r="E36" s="163" t="s">
        <v>661</v>
      </c>
      <c r="F36" s="196">
        <v>0</v>
      </c>
      <c r="G36" s="196">
        <v>0</v>
      </c>
      <c r="H36" s="196">
        <v>0</v>
      </c>
      <c r="I36" s="196">
        <v>0</v>
      </c>
      <c r="J36" s="196">
        <v>0</v>
      </c>
      <c r="K36" s="196">
        <v>0</v>
      </c>
      <c r="L36" s="197">
        <v>0.05</v>
      </c>
      <c r="M36" s="197">
        <v>0.05</v>
      </c>
      <c r="N36" s="197">
        <v>0.05</v>
      </c>
      <c r="O36" s="197">
        <v>0.05</v>
      </c>
      <c r="P36" s="197">
        <v>0.05</v>
      </c>
      <c r="Q36" s="197">
        <v>0.05</v>
      </c>
      <c r="R36" s="197">
        <v>0.05</v>
      </c>
      <c r="S36" s="197">
        <v>0.05</v>
      </c>
      <c r="T36" s="197">
        <v>0.05</v>
      </c>
      <c r="U36" s="197">
        <v>0.05</v>
      </c>
      <c r="V36" s="197">
        <v>0.05</v>
      </c>
      <c r="W36" s="197">
        <v>0.05</v>
      </c>
      <c r="X36" s="198">
        <v>0</v>
      </c>
      <c r="Y36" s="196">
        <v>0</v>
      </c>
      <c r="Z36" s="196">
        <v>0</v>
      </c>
      <c r="AA36" s="196">
        <v>0</v>
      </c>
      <c r="AB36" s="196">
        <v>0</v>
      </c>
      <c r="AC36" s="199">
        <v>0</v>
      </c>
      <c r="AD36" s="98"/>
      <c r="AE36" s="98"/>
      <c r="AF36" s="98"/>
      <c r="AG36" s="98"/>
      <c r="AH36" s="98"/>
      <c r="AI36" s="98"/>
      <c r="AJ36" s="98"/>
      <c r="AK36" s="98"/>
    </row>
    <row r="37" spans="1:39" ht="39.6" customHeight="1" thickBot="1">
      <c r="A37" s="688"/>
      <c r="B37" s="688"/>
      <c r="C37" s="685"/>
      <c r="D37" s="685"/>
      <c r="E37" s="172" t="s">
        <v>662</v>
      </c>
      <c r="F37" s="200">
        <v>0</v>
      </c>
      <c r="G37" s="200">
        <v>0</v>
      </c>
      <c r="H37" s="200">
        <v>0</v>
      </c>
      <c r="I37" s="200">
        <v>0</v>
      </c>
      <c r="J37" s="200">
        <v>0</v>
      </c>
      <c r="K37" s="200">
        <v>0</v>
      </c>
      <c r="L37" s="200">
        <v>0.05</v>
      </c>
      <c r="M37" s="200">
        <v>0.05</v>
      </c>
      <c r="N37" s="200">
        <v>0.05</v>
      </c>
      <c r="O37" s="200">
        <v>0.05</v>
      </c>
      <c r="P37" s="200">
        <v>0.05</v>
      </c>
      <c r="Q37" s="200">
        <v>0.05</v>
      </c>
      <c r="R37" s="200">
        <v>0.05</v>
      </c>
      <c r="S37" s="200">
        <v>0.05</v>
      </c>
      <c r="T37" s="200">
        <v>0.05</v>
      </c>
      <c r="U37" s="200">
        <v>0.05</v>
      </c>
      <c r="V37" s="200">
        <v>0.05</v>
      </c>
      <c r="W37" s="200">
        <v>0.05</v>
      </c>
      <c r="X37" s="200">
        <v>0</v>
      </c>
      <c r="Y37" s="200">
        <v>0</v>
      </c>
      <c r="Z37" s="200">
        <v>0</v>
      </c>
      <c r="AA37" s="200">
        <v>0</v>
      </c>
      <c r="AB37" s="200">
        <v>0</v>
      </c>
      <c r="AC37" s="201">
        <v>0</v>
      </c>
      <c r="AD37" s="98"/>
      <c r="AE37" s="98"/>
      <c r="AF37" s="98"/>
      <c r="AG37" s="98"/>
      <c r="AH37" s="98"/>
      <c r="AI37" s="98"/>
      <c r="AJ37" s="98"/>
      <c r="AK37" s="98"/>
    </row>
    <row r="38" spans="1:39" s="91" customFormat="1" ht="39.6" customHeight="1">
      <c r="A38" s="686" t="s">
        <v>671</v>
      </c>
      <c r="B38" s="686" t="s">
        <v>136</v>
      </c>
      <c r="C38" s="683" t="s">
        <v>663</v>
      </c>
      <c r="D38" s="683" t="s">
        <v>673</v>
      </c>
      <c r="E38" s="202" t="s">
        <v>660</v>
      </c>
      <c r="F38" s="194">
        <v>0.05</v>
      </c>
      <c r="G38" s="194">
        <v>0.05</v>
      </c>
      <c r="H38" s="194">
        <v>0.05</v>
      </c>
      <c r="I38" s="194">
        <v>0.05</v>
      </c>
      <c r="J38" s="194">
        <v>0.05</v>
      </c>
      <c r="K38" s="242">
        <v>0.1</v>
      </c>
      <c r="L38" s="242">
        <v>0.1</v>
      </c>
      <c r="M38" s="242">
        <v>0.3</v>
      </c>
      <c r="N38" s="242">
        <v>0.65</v>
      </c>
      <c r="O38" s="242">
        <v>0.65</v>
      </c>
      <c r="P38" s="242">
        <v>0.65</v>
      </c>
      <c r="Q38" s="242">
        <v>0.65</v>
      </c>
      <c r="R38" s="242">
        <v>0.65</v>
      </c>
      <c r="S38" s="242">
        <v>0.65</v>
      </c>
      <c r="T38" s="242">
        <v>0.65</v>
      </c>
      <c r="U38" s="242">
        <v>0.65</v>
      </c>
      <c r="V38" s="242">
        <v>0.65</v>
      </c>
      <c r="W38" s="242">
        <v>0.35</v>
      </c>
      <c r="X38" s="242">
        <v>0.3</v>
      </c>
      <c r="Y38" s="242">
        <v>0.3</v>
      </c>
      <c r="Z38" s="194">
        <v>0.2</v>
      </c>
      <c r="AA38" s="194">
        <v>0.2</v>
      </c>
      <c r="AB38" s="194">
        <v>0.1</v>
      </c>
      <c r="AC38" s="195">
        <v>0.05</v>
      </c>
      <c r="AD38" s="99"/>
      <c r="AE38" s="99"/>
      <c r="AF38" s="99"/>
      <c r="AG38" s="99"/>
      <c r="AH38" s="99"/>
      <c r="AI38" s="99"/>
      <c r="AJ38" s="99"/>
      <c r="AK38" s="99"/>
    </row>
    <row r="39" spans="1:39" ht="39.6" customHeight="1">
      <c r="A39" s="687"/>
      <c r="B39" s="687"/>
      <c r="C39" s="684"/>
      <c r="D39" s="684"/>
      <c r="E39" s="175" t="s">
        <v>661</v>
      </c>
      <c r="F39" s="196">
        <v>0.05</v>
      </c>
      <c r="G39" s="196">
        <v>0.05</v>
      </c>
      <c r="H39" s="196">
        <v>0.05</v>
      </c>
      <c r="I39" s="196">
        <v>0.05</v>
      </c>
      <c r="J39" s="196">
        <v>0.05</v>
      </c>
      <c r="K39" s="198">
        <v>0.05</v>
      </c>
      <c r="L39" s="198">
        <v>0.05</v>
      </c>
      <c r="M39" s="198">
        <v>0.05</v>
      </c>
      <c r="N39" s="198">
        <v>0.05</v>
      </c>
      <c r="O39" s="198">
        <v>0.05</v>
      </c>
      <c r="P39" s="198">
        <v>0.05</v>
      </c>
      <c r="Q39" s="198">
        <v>0.05</v>
      </c>
      <c r="R39" s="198">
        <v>0.05</v>
      </c>
      <c r="S39" s="198">
        <v>0.05</v>
      </c>
      <c r="T39" s="198">
        <v>0.05</v>
      </c>
      <c r="U39" s="198">
        <v>0.05</v>
      </c>
      <c r="V39" s="198">
        <v>0.05</v>
      </c>
      <c r="W39" s="196">
        <v>0.05</v>
      </c>
      <c r="X39" s="196">
        <v>0.05</v>
      </c>
      <c r="Y39" s="196">
        <v>0.05</v>
      </c>
      <c r="Z39" s="196">
        <v>0.05</v>
      </c>
      <c r="AA39" s="196">
        <v>0.05</v>
      </c>
      <c r="AB39" s="196">
        <v>0.05</v>
      </c>
      <c r="AC39" s="199">
        <v>0.05</v>
      </c>
      <c r="AD39" s="98"/>
      <c r="AE39" s="98"/>
      <c r="AF39" s="98"/>
      <c r="AG39" s="98"/>
      <c r="AH39" s="98"/>
      <c r="AI39" s="98"/>
      <c r="AJ39" s="98"/>
      <c r="AK39" s="98"/>
    </row>
    <row r="40" spans="1:39" ht="39.6" customHeight="1" thickBot="1">
      <c r="A40" s="688"/>
      <c r="B40" s="688"/>
      <c r="C40" s="685"/>
      <c r="D40" s="685"/>
      <c r="E40" s="182" t="s">
        <v>662</v>
      </c>
      <c r="F40" s="203">
        <v>0.05</v>
      </c>
      <c r="G40" s="203">
        <v>0.05</v>
      </c>
      <c r="H40" s="203">
        <v>0.05</v>
      </c>
      <c r="I40" s="203">
        <v>0.05</v>
      </c>
      <c r="J40" s="203">
        <v>0.05</v>
      </c>
      <c r="K40" s="203">
        <v>0.05</v>
      </c>
      <c r="L40" s="203">
        <v>0.05</v>
      </c>
      <c r="M40" s="203">
        <v>0.05</v>
      </c>
      <c r="N40" s="203">
        <v>0.05</v>
      </c>
      <c r="O40" s="203">
        <v>0.05</v>
      </c>
      <c r="P40" s="203">
        <v>0.05</v>
      </c>
      <c r="Q40" s="203">
        <v>0.05</v>
      </c>
      <c r="R40" s="203">
        <v>0.05</v>
      </c>
      <c r="S40" s="203">
        <v>0.05</v>
      </c>
      <c r="T40" s="203">
        <v>0.05</v>
      </c>
      <c r="U40" s="203">
        <v>0.05</v>
      </c>
      <c r="V40" s="203">
        <v>0.05</v>
      </c>
      <c r="W40" s="203">
        <v>0.05</v>
      </c>
      <c r="X40" s="203">
        <v>0.05</v>
      </c>
      <c r="Y40" s="203">
        <v>0.05</v>
      </c>
      <c r="Z40" s="203">
        <v>0.05</v>
      </c>
      <c r="AA40" s="203">
        <v>0.05</v>
      </c>
      <c r="AB40" s="203">
        <v>0.05</v>
      </c>
      <c r="AC40" s="204">
        <v>0.05</v>
      </c>
      <c r="AD40" s="98"/>
      <c r="AE40" s="98"/>
      <c r="AF40" s="98"/>
      <c r="AG40" s="98"/>
      <c r="AH40" s="98"/>
      <c r="AI40" s="98"/>
      <c r="AJ40" s="98"/>
      <c r="AK40" s="98"/>
    </row>
    <row r="41" spans="1:39" ht="39.6" customHeight="1">
      <c r="A41" s="686" t="s">
        <v>671</v>
      </c>
      <c r="B41" s="686" t="s">
        <v>136</v>
      </c>
      <c r="C41" s="683" t="s">
        <v>664</v>
      </c>
      <c r="D41" s="683" t="s">
        <v>674</v>
      </c>
      <c r="E41" s="202" t="s">
        <v>660</v>
      </c>
      <c r="F41" s="205">
        <v>0.45</v>
      </c>
      <c r="G41" s="205">
        <v>0.45</v>
      </c>
      <c r="H41" s="205">
        <v>0.45</v>
      </c>
      <c r="I41" s="205">
        <v>0.45</v>
      </c>
      <c r="J41" s="205">
        <v>0.45</v>
      </c>
      <c r="K41" s="205">
        <v>0.45</v>
      </c>
      <c r="L41" s="205">
        <v>0.45</v>
      </c>
      <c r="M41" s="205">
        <v>0.74</v>
      </c>
      <c r="N41" s="205">
        <v>0.87</v>
      </c>
      <c r="O41" s="205">
        <v>0.9</v>
      </c>
      <c r="P41" s="205">
        <v>0.9</v>
      </c>
      <c r="Q41" s="205">
        <v>0.9</v>
      </c>
      <c r="R41" s="205">
        <v>0.9</v>
      </c>
      <c r="S41" s="205">
        <v>0.9</v>
      </c>
      <c r="T41" s="205">
        <v>0.9</v>
      </c>
      <c r="U41" s="205">
        <v>0.9</v>
      </c>
      <c r="V41" s="205">
        <v>0.9</v>
      </c>
      <c r="W41" s="205">
        <v>0.7</v>
      </c>
      <c r="X41" s="205">
        <v>0.5</v>
      </c>
      <c r="Y41" s="205">
        <v>0.5</v>
      </c>
      <c r="Z41" s="205">
        <v>0.5</v>
      </c>
      <c r="AA41" s="205">
        <v>0.45</v>
      </c>
      <c r="AB41" s="205">
        <v>0.45</v>
      </c>
      <c r="AC41" s="206">
        <v>0.45</v>
      </c>
      <c r="AD41" s="98"/>
      <c r="AE41" s="98"/>
      <c r="AF41" s="98"/>
      <c r="AG41" s="98"/>
      <c r="AH41" s="98"/>
      <c r="AI41" s="98"/>
      <c r="AJ41" s="98"/>
      <c r="AK41" s="98"/>
    </row>
    <row r="42" spans="1:39" ht="39.6" customHeight="1">
      <c r="A42" s="687"/>
      <c r="B42" s="687"/>
      <c r="C42" s="684"/>
      <c r="D42" s="684"/>
      <c r="E42" s="175" t="s">
        <v>661</v>
      </c>
      <c r="F42" s="207">
        <v>0.43</v>
      </c>
      <c r="G42" s="207">
        <v>0.43</v>
      </c>
      <c r="H42" s="207">
        <v>0.43</v>
      </c>
      <c r="I42" s="207">
        <v>0.43</v>
      </c>
      <c r="J42" s="207">
        <v>0.43</v>
      </c>
      <c r="K42" s="207">
        <v>0.43</v>
      </c>
      <c r="L42" s="207">
        <v>0.43</v>
      </c>
      <c r="M42" s="207">
        <v>0.43</v>
      </c>
      <c r="N42" s="207">
        <v>0.43</v>
      </c>
      <c r="O42" s="207">
        <v>0.43</v>
      </c>
      <c r="P42" s="207">
        <v>0.43</v>
      </c>
      <c r="Q42" s="207">
        <v>0.43</v>
      </c>
      <c r="R42" s="207">
        <v>0.43</v>
      </c>
      <c r="S42" s="207">
        <v>0.43</v>
      </c>
      <c r="T42" s="207">
        <v>0.43</v>
      </c>
      <c r="U42" s="207">
        <v>0.43</v>
      </c>
      <c r="V42" s="207">
        <v>0.43</v>
      </c>
      <c r="W42" s="207">
        <v>0.43</v>
      </c>
      <c r="X42" s="207">
        <v>0.43</v>
      </c>
      <c r="Y42" s="207">
        <v>0.43</v>
      </c>
      <c r="Z42" s="207">
        <v>0.43</v>
      </c>
      <c r="AA42" s="207">
        <v>0.43</v>
      </c>
      <c r="AB42" s="207">
        <v>0.43</v>
      </c>
      <c r="AC42" s="208">
        <v>0.43</v>
      </c>
      <c r="AD42" s="98"/>
      <c r="AE42" s="98"/>
      <c r="AF42" s="98"/>
      <c r="AG42" s="98"/>
      <c r="AH42" s="98"/>
      <c r="AI42" s="98"/>
      <c r="AJ42" s="98"/>
      <c r="AK42" s="98"/>
    </row>
    <row r="43" spans="1:39" ht="39.6" customHeight="1" thickBot="1">
      <c r="A43" s="688"/>
      <c r="B43" s="688"/>
      <c r="C43" s="685"/>
      <c r="D43" s="685"/>
      <c r="E43" s="209" t="s">
        <v>662</v>
      </c>
      <c r="F43" s="210">
        <v>0.43</v>
      </c>
      <c r="G43" s="210">
        <v>0.43</v>
      </c>
      <c r="H43" s="210">
        <v>0.43</v>
      </c>
      <c r="I43" s="210">
        <v>0.43</v>
      </c>
      <c r="J43" s="210">
        <v>0.43</v>
      </c>
      <c r="K43" s="210">
        <v>0.43</v>
      </c>
      <c r="L43" s="210">
        <v>0.43</v>
      </c>
      <c r="M43" s="210">
        <v>0.43</v>
      </c>
      <c r="N43" s="210">
        <v>0.43</v>
      </c>
      <c r="O43" s="210">
        <v>0.43</v>
      </c>
      <c r="P43" s="210">
        <v>0.43</v>
      </c>
      <c r="Q43" s="210">
        <v>0.43</v>
      </c>
      <c r="R43" s="210">
        <v>0.43</v>
      </c>
      <c r="S43" s="210">
        <v>0.43</v>
      </c>
      <c r="T43" s="210">
        <v>0.43</v>
      </c>
      <c r="U43" s="210">
        <v>0.43</v>
      </c>
      <c r="V43" s="210">
        <v>0.43</v>
      </c>
      <c r="W43" s="210">
        <v>0.43</v>
      </c>
      <c r="X43" s="210">
        <v>0.43</v>
      </c>
      <c r="Y43" s="210">
        <v>0.43</v>
      </c>
      <c r="Z43" s="210">
        <v>0.43</v>
      </c>
      <c r="AA43" s="210">
        <v>0.43</v>
      </c>
      <c r="AB43" s="210">
        <v>0.43</v>
      </c>
      <c r="AC43" s="211">
        <v>0.43</v>
      </c>
      <c r="AD43" s="98"/>
      <c r="AE43" s="98"/>
      <c r="AF43" s="98"/>
      <c r="AG43" s="98"/>
      <c r="AH43" s="98"/>
      <c r="AI43" s="98"/>
      <c r="AJ43" s="98"/>
      <c r="AK43" s="98"/>
    </row>
    <row r="44" spans="1:39" ht="39.6" customHeight="1">
      <c r="A44" s="686" t="s">
        <v>671</v>
      </c>
      <c r="B44" s="686" t="s">
        <v>136</v>
      </c>
      <c r="C44" s="683" t="s">
        <v>668</v>
      </c>
      <c r="D44" s="683" t="s">
        <v>675</v>
      </c>
      <c r="E44" s="181" t="s">
        <v>660</v>
      </c>
      <c r="F44" s="212">
        <v>0</v>
      </c>
      <c r="G44" s="212">
        <v>0</v>
      </c>
      <c r="H44" s="212">
        <v>0</v>
      </c>
      <c r="I44" s="212">
        <v>0</v>
      </c>
      <c r="J44" s="212">
        <v>0</v>
      </c>
      <c r="K44" s="212">
        <v>1</v>
      </c>
      <c r="L44" s="212">
        <v>1</v>
      </c>
      <c r="M44" s="212">
        <v>1</v>
      </c>
      <c r="N44" s="212">
        <v>1</v>
      </c>
      <c r="O44" s="212">
        <v>1</v>
      </c>
      <c r="P44" s="212">
        <v>1</v>
      </c>
      <c r="Q44" s="212">
        <v>1</v>
      </c>
      <c r="R44" s="212">
        <v>1</v>
      </c>
      <c r="S44" s="212">
        <v>1</v>
      </c>
      <c r="T44" s="212">
        <v>1</v>
      </c>
      <c r="U44" s="212">
        <v>1</v>
      </c>
      <c r="V44" s="212">
        <v>1</v>
      </c>
      <c r="W44" s="212">
        <v>1</v>
      </c>
      <c r="X44" s="212">
        <v>1</v>
      </c>
      <c r="Y44" s="212">
        <v>1</v>
      </c>
      <c r="Z44" s="212">
        <v>1</v>
      </c>
      <c r="AA44" s="212">
        <v>1</v>
      </c>
      <c r="AB44" s="212">
        <v>1</v>
      </c>
      <c r="AC44" s="213">
        <v>1</v>
      </c>
      <c r="AD44" s="98"/>
      <c r="AE44" s="98"/>
      <c r="AF44" s="98"/>
      <c r="AG44" s="98"/>
      <c r="AH44" s="98"/>
      <c r="AI44" s="98"/>
      <c r="AJ44" s="98"/>
      <c r="AK44" s="98"/>
    </row>
    <row r="45" spans="1:39" ht="39.6" customHeight="1">
      <c r="A45" s="687"/>
      <c r="B45" s="687"/>
      <c r="C45" s="684"/>
      <c r="D45" s="684"/>
      <c r="E45" s="175" t="s">
        <v>661</v>
      </c>
      <c r="F45" s="196">
        <v>0</v>
      </c>
      <c r="G45" s="196">
        <v>0</v>
      </c>
      <c r="H45" s="196">
        <v>0</v>
      </c>
      <c r="I45" s="196">
        <v>0</v>
      </c>
      <c r="J45" s="196">
        <v>0</v>
      </c>
      <c r="K45" s="198">
        <v>0</v>
      </c>
      <c r="L45" s="198">
        <v>0</v>
      </c>
      <c r="M45" s="198">
        <v>0</v>
      </c>
      <c r="N45" s="198">
        <v>0</v>
      </c>
      <c r="O45" s="198">
        <v>0</v>
      </c>
      <c r="P45" s="198">
        <v>0</v>
      </c>
      <c r="Q45" s="198">
        <v>0</v>
      </c>
      <c r="R45" s="198">
        <v>0</v>
      </c>
      <c r="S45" s="198">
        <v>0</v>
      </c>
      <c r="T45" s="198">
        <v>0</v>
      </c>
      <c r="U45" s="198">
        <v>0</v>
      </c>
      <c r="V45" s="198">
        <v>0</v>
      </c>
      <c r="W45" s="198">
        <v>0</v>
      </c>
      <c r="X45" s="198">
        <v>0</v>
      </c>
      <c r="Y45" s="196">
        <v>0</v>
      </c>
      <c r="Z45" s="196">
        <v>0</v>
      </c>
      <c r="AA45" s="196">
        <v>0</v>
      </c>
      <c r="AB45" s="196">
        <v>0</v>
      </c>
      <c r="AC45" s="199">
        <v>0</v>
      </c>
      <c r="AD45" s="98"/>
      <c r="AE45" s="98"/>
      <c r="AF45" s="98"/>
      <c r="AG45" s="98"/>
      <c r="AH45" s="98"/>
      <c r="AI45" s="98"/>
      <c r="AJ45" s="98"/>
      <c r="AK45" s="98"/>
    </row>
    <row r="46" spans="1:39" ht="39.6" customHeight="1" thickBot="1">
      <c r="A46" s="688"/>
      <c r="B46" s="688"/>
      <c r="C46" s="685"/>
      <c r="D46" s="685"/>
      <c r="E46" s="209" t="s">
        <v>662</v>
      </c>
      <c r="F46" s="203">
        <v>0</v>
      </c>
      <c r="G46" s="203">
        <v>0</v>
      </c>
      <c r="H46" s="203">
        <v>0</v>
      </c>
      <c r="I46" s="203">
        <v>0</v>
      </c>
      <c r="J46" s="203">
        <v>0</v>
      </c>
      <c r="K46" s="203">
        <v>0</v>
      </c>
      <c r="L46" s="203">
        <v>0</v>
      </c>
      <c r="M46" s="203">
        <v>0</v>
      </c>
      <c r="N46" s="203">
        <v>0</v>
      </c>
      <c r="O46" s="203">
        <v>0</v>
      </c>
      <c r="P46" s="203">
        <v>0</v>
      </c>
      <c r="Q46" s="203">
        <v>0</v>
      </c>
      <c r="R46" s="203">
        <v>0</v>
      </c>
      <c r="S46" s="203">
        <v>0</v>
      </c>
      <c r="T46" s="203">
        <v>0</v>
      </c>
      <c r="U46" s="203">
        <v>0</v>
      </c>
      <c r="V46" s="203">
        <v>0</v>
      </c>
      <c r="W46" s="203">
        <v>0</v>
      </c>
      <c r="X46" s="203">
        <v>0</v>
      </c>
      <c r="Y46" s="203">
        <v>0</v>
      </c>
      <c r="Z46" s="203">
        <v>0</v>
      </c>
      <c r="AA46" s="203">
        <v>0</v>
      </c>
      <c r="AB46" s="203">
        <v>0</v>
      </c>
      <c r="AC46" s="204">
        <v>0</v>
      </c>
      <c r="AD46" s="98"/>
      <c r="AE46" s="98"/>
      <c r="AF46" s="98"/>
      <c r="AG46" s="98"/>
      <c r="AH46" s="98"/>
      <c r="AI46" s="98"/>
      <c r="AJ46" s="98"/>
      <c r="AK46" s="98"/>
    </row>
    <row r="47" spans="1:39" ht="39.6" customHeight="1">
      <c r="A47" s="686" t="s">
        <v>671</v>
      </c>
      <c r="B47" s="686" t="s">
        <v>136</v>
      </c>
      <c r="C47" s="683" t="s">
        <v>665</v>
      </c>
      <c r="D47" s="683" t="s">
        <v>673</v>
      </c>
      <c r="E47" s="181" t="s">
        <v>660</v>
      </c>
      <c r="F47" s="214">
        <v>0.05</v>
      </c>
      <c r="G47" s="214">
        <v>0.05</v>
      </c>
      <c r="H47" s="214">
        <v>0.05</v>
      </c>
      <c r="I47" s="214">
        <v>0.05</v>
      </c>
      <c r="J47" s="214">
        <v>0.05</v>
      </c>
      <c r="K47" s="214">
        <v>0.08</v>
      </c>
      <c r="L47" s="214">
        <v>7.0000000000000007E-2</v>
      </c>
      <c r="M47" s="214">
        <v>0.19</v>
      </c>
      <c r="N47" s="214">
        <v>0.35</v>
      </c>
      <c r="O47" s="214">
        <v>0.38</v>
      </c>
      <c r="P47" s="214">
        <v>0.39</v>
      </c>
      <c r="Q47" s="214">
        <v>0.47</v>
      </c>
      <c r="R47" s="214">
        <v>0.56999999999999995</v>
      </c>
      <c r="S47" s="214">
        <v>0.54</v>
      </c>
      <c r="T47" s="214">
        <v>0.34</v>
      </c>
      <c r="U47" s="214">
        <v>0.33</v>
      </c>
      <c r="V47" s="214">
        <v>0.44</v>
      </c>
      <c r="W47" s="214">
        <v>0.26</v>
      </c>
      <c r="X47" s="214">
        <v>0.21</v>
      </c>
      <c r="Y47" s="214">
        <v>0.15</v>
      </c>
      <c r="Z47" s="214">
        <v>0.17</v>
      </c>
      <c r="AA47" s="214">
        <v>0.08</v>
      </c>
      <c r="AB47" s="214">
        <v>0.05</v>
      </c>
      <c r="AC47" s="215">
        <v>0.05</v>
      </c>
      <c r="AD47" s="98"/>
      <c r="AE47" s="98"/>
      <c r="AF47" s="98"/>
      <c r="AG47" s="98"/>
      <c r="AH47" s="98"/>
      <c r="AI47" s="98"/>
      <c r="AJ47" s="98"/>
      <c r="AK47" s="98"/>
    </row>
    <row r="48" spans="1:39" ht="39.6" customHeight="1">
      <c r="A48" s="687"/>
      <c r="B48" s="687"/>
      <c r="C48" s="684"/>
      <c r="D48" s="684"/>
      <c r="E48" s="175" t="s">
        <v>661</v>
      </c>
      <c r="F48" s="216">
        <v>0.05</v>
      </c>
      <c r="G48" s="216">
        <v>0.05</v>
      </c>
      <c r="H48" s="216">
        <v>0.05</v>
      </c>
      <c r="I48" s="216">
        <v>0.05</v>
      </c>
      <c r="J48" s="216">
        <v>0.05</v>
      </c>
      <c r="K48" s="216">
        <v>0.08</v>
      </c>
      <c r="L48" s="216">
        <v>7.0000000000000007E-2</v>
      </c>
      <c r="M48" s="216">
        <v>0.11</v>
      </c>
      <c r="N48" s="216">
        <v>0.15</v>
      </c>
      <c r="O48" s="216">
        <v>0.21</v>
      </c>
      <c r="P48" s="216">
        <v>0.19</v>
      </c>
      <c r="Q48" s="216">
        <v>0.23</v>
      </c>
      <c r="R48" s="216">
        <v>0.2</v>
      </c>
      <c r="S48" s="216">
        <v>0.19</v>
      </c>
      <c r="T48" s="216">
        <v>0.15</v>
      </c>
      <c r="U48" s="216">
        <v>0.12</v>
      </c>
      <c r="V48" s="216">
        <v>0.14000000000000001</v>
      </c>
      <c r="W48" s="216">
        <v>7.0000000000000007E-2</v>
      </c>
      <c r="X48" s="216">
        <v>7.0000000000000007E-2</v>
      </c>
      <c r="Y48" s="216">
        <v>7.0000000000000007E-2</v>
      </c>
      <c r="Z48" s="216">
        <v>7.0000000000000007E-2</v>
      </c>
      <c r="AA48" s="216">
        <v>0.09</v>
      </c>
      <c r="AB48" s="216">
        <v>0.05</v>
      </c>
      <c r="AC48" s="217">
        <v>0.05</v>
      </c>
      <c r="AD48" s="98"/>
      <c r="AE48" s="98"/>
      <c r="AF48" s="98"/>
      <c r="AG48" s="98"/>
      <c r="AH48" s="98"/>
      <c r="AI48" s="98"/>
      <c r="AJ48" s="98"/>
      <c r="AK48" s="98"/>
    </row>
    <row r="49" spans="1:39" ht="39.6" customHeight="1" thickBot="1">
      <c r="A49" s="688"/>
      <c r="B49" s="688"/>
      <c r="C49" s="685"/>
      <c r="D49" s="685"/>
      <c r="E49" s="209" t="s">
        <v>662</v>
      </c>
      <c r="F49" s="218">
        <v>0.04</v>
      </c>
      <c r="G49" s="218">
        <v>0.04</v>
      </c>
      <c r="H49" s="218">
        <v>0.04</v>
      </c>
      <c r="I49" s="218">
        <v>0.04</v>
      </c>
      <c r="J49" s="218">
        <v>0.04</v>
      </c>
      <c r="K49" s="218">
        <v>7.0000000000000007E-2</v>
      </c>
      <c r="L49" s="218">
        <v>0.04</v>
      </c>
      <c r="M49" s="218">
        <v>0.04</v>
      </c>
      <c r="N49" s="218">
        <v>0.04</v>
      </c>
      <c r="O49" s="218">
        <v>0.04</v>
      </c>
      <c r="P49" s="218">
        <v>0.04</v>
      </c>
      <c r="Q49" s="218">
        <v>0.06</v>
      </c>
      <c r="R49" s="218">
        <v>0.06</v>
      </c>
      <c r="S49" s="218">
        <v>0.09</v>
      </c>
      <c r="T49" s="218">
        <v>0.06</v>
      </c>
      <c r="U49" s="218">
        <v>0.04</v>
      </c>
      <c r="V49" s="218">
        <v>0.04</v>
      </c>
      <c r="W49" s="218">
        <v>0.04</v>
      </c>
      <c r="X49" s="218">
        <v>0.04</v>
      </c>
      <c r="Y49" s="218">
        <v>0.04</v>
      </c>
      <c r="Z49" s="218">
        <v>0.04</v>
      </c>
      <c r="AA49" s="218">
        <v>7.0000000000000007E-2</v>
      </c>
      <c r="AB49" s="218">
        <v>0.04</v>
      </c>
      <c r="AC49" s="219">
        <v>0.04</v>
      </c>
      <c r="AD49" s="98"/>
      <c r="AE49" s="98"/>
      <c r="AF49" s="98"/>
      <c r="AG49" s="98"/>
      <c r="AH49" s="98"/>
      <c r="AI49" s="98"/>
      <c r="AJ49" s="98"/>
      <c r="AK49" s="98"/>
    </row>
    <row r="50" spans="1:39" ht="36" customHeight="1">
      <c r="A50" s="686" t="s">
        <v>671</v>
      </c>
      <c r="B50" s="686" t="s">
        <v>136</v>
      </c>
      <c r="C50" s="683" t="s">
        <v>333</v>
      </c>
      <c r="D50" s="683" t="s">
        <v>675</v>
      </c>
      <c r="E50" s="202" t="s">
        <v>660</v>
      </c>
      <c r="F50" s="212">
        <v>1</v>
      </c>
      <c r="G50" s="212">
        <v>1</v>
      </c>
      <c r="H50" s="212">
        <v>1</v>
      </c>
      <c r="I50" s="212">
        <v>1</v>
      </c>
      <c r="J50" s="212">
        <v>1</v>
      </c>
      <c r="K50" s="212">
        <v>0.25</v>
      </c>
      <c r="L50" s="212">
        <v>0.25</v>
      </c>
      <c r="M50" s="212">
        <v>0.25</v>
      </c>
      <c r="N50" s="212">
        <v>0.25</v>
      </c>
      <c r="O50" s="212">
        <v>0.25</v>
      </c>
      <c r="P50" s="212">
        <v>0.25</v>
      </c>
      <c r="Q50" s="212">
        <v>0.25</v>
      </c>
      <c r="R50" s="212">
        <v>0.25</v>
      </c>
      <c r="S50" s="212">
        <v>0.25</v>
      </c>
      <c r="T50" s="212">
        <v>0.25</v>
      </c>
      <c r="U50" s="212">
        <v>0.25</v>
      </c>
      <c r="V50" s="212">
        <v>0.25</v>
      </c>
      <c r="W50" s="212">
        <v>0.25</v>
      </c>
      <c r="X50" s="212">
        <v>0.25</v>
      </c>
      <c r="Y50" s="212">
        <v>0.25</v>
      </c>
      <c r="Z50" s="212">
        <v>0.25</v>
      </c>
      <c r="AA50" s="212">
        <v>0.25</v>
      </c>
      <c r="AB50" s="212">
        <v>0.25</v>
      </c>
      <c r="AC50" s="213">
        <v>0.25</v>
      </c>
      <c r="AD50" s="33"/>
      <c r="AE50" s="32"/>
      <c r="AF50" s="32"/>
      <c r="AG50" s="32"/>
      <c r="AH50" s="32"/>
      <c r="AI50" s="32"/>
      <c r="AJ50" s="32"/>
      <c r="AK50" s="32"/>
      <c r="AM50" s="40"/>
    </row>
    <row r="51" spans="1:39" ht="36" customHeight="1">
      <c r="A51" s="687"/>
      <c r="B51" s="687"/>
      <c r="C51" s="684"/>
      <c r="D51" s="684"/>
      <c r="E51" s="175" t="s">
        <v>661</v>
      </c>
      <c r="F51" s="196">
        <v>1</v>
      </c>
      <c r="G51" s="196">
        <v>1</v>
      </c>
      <c r="H51" s="196">
        <v>1</v>
      </c>
      <c r="I51" s="196">
        <v>1</v>
      </c>
      <c r="J51" s="196">
        <v>1</v>
      </c>
      <c r="K51" s="198">
        <v>1</v>
      </c>
      <c r="L51" s="198">
        <v>1</v>
      </c>
      <c r="M51" s="198">
        <v>1</v>
      </c>
      <c r="N51" s="198">
        <v>1</v>
      </c>
      <c r="O51" s="198">
        <v>1</v>
      </c>
      <c r="P51" s="198">
        <v>1</v>
      </c>
      <c r="Q51" s="198">
        <v>1</v>
      </c>
      <c r="R51" s="198">
        <v>1</v>
      </c>
      <c r="S51" s="198">
        <v>1</v>
      </c>
      <c r="T51" s="198">
        <v>1</v>
      </c>
      <c r="U51" s="198">
        <v>1</v>
      </c>
      <c r="V51" s="198">
        <v>1</v>
      </c>
      <c r="W51" s="198">
        <v>1</v>
      </c>
      <c r="X51" s="198">
        <v>1</v>
      </c>
      <c r="Y51" s="196">
        <v>1</v>
      </c>
      <c r="Z51" s="196">
        <v>1</v>
      </c>
      <c r="AA51" s="196">
        <v>1</v>
      </c>
      <c r="AB51" s="196">
        <v>1</v>
      </c>
      <c r="AC51" s="199">
        <v>1</v>
      </c>
      <c r="AD51" s="33"/>
      <c r="AE51" s="32"/>
      <c r="AF51" s="32"/>
      <c r="AG51" s="32"/>
      <c r="AH51" s="32"/>
      <c r="AI51" s="32"/>
      <c r="AJ51" s="32"/>
      <c r="AK51" s="32"/>
      <c r="AM51" s="40"/>
    </row>
    <row r="52" spans="1:39" ht="36" customHeight="1" thickBot="1">
      <c r="A52" s="688"/>
      <c r="B52" s="688"/>
      <c r="C52" s="685"/>
      <c r="D52" s="685"/>
      <c r="E52" s="182" t="s">
        <v>662</v>
      </c>
      <c r="F52" s="200">
        <v>1</v>
      </c>
      <c r="G52" s="200">
        <v>1</v>
      </c>
      <c r="H52" s="200">
        <v>1</v>
      </c>
      <c r="I52" s="200">
        <v>1</v>
      </c>
      <c r="J52" s="200">
        <v>1</v>
      </c>
      <c r="K52" s="200">
        <v>1</v>
      </c>
      <c r="L52" s="200">
        <v>1</v>
      </c>
      <c r="M52" s="200">
        <v>1</v>
      </c>
      <c r="N52" s="200">
        <v>1</v>
      </c>
      <c r="O52" s="200">
        <v>1</v>
      </c>
      <c r="P52" s="200">
        <v>1</v>
      </c>
      <c r="Q52" s="200">
        <v>1</v>
      </c>
      <c r="R52" s="200">
        <v>1</v>
      </c>
      <c r="S52" s="200">
        <v>1</v>
      </c>
      <c r="T52" s="200">
        <v>1</v>
      </c>
      <c r="U52" s="200">
        <v>1</v>
      </c>
      <c r="V52" s="200">
        <v>1</v>
      </c>
      <c r="W52" s="200">
        <v>1</v>
      </c>
      <c r="X52" s="200">
        <v>1</v>
      </c>
      <c r="Y52" s="200">
        <v>1</v>
      </c>
      <c r="Z52" s="200">
        <v>1</v>
      </c>
      <c r="AA52" s="200">
        <v>1</v>
      </c>
      <c r="AB52" s="200">
        <v>1</v>
      </c>
      <c r="AC52" s="201">
        <v>1</v>
      </c>
      <c r="AD52" s="33"/>
      <c r="AE52" s="32"/>
      <c r="AF52" s="32"/>
      <c r="AG52" s="32"/>
      <c r="AH52" s="32"/>
      <c r="AI52" s="32"/>
      <c r="AJ52" s="32"/>
      <c r="AK52" s="32"/>
      <c r="AM52" s="40"/>
    </row>
    <row r="53" spans="1:39" ht="36" customHeight="1">
      <c r="A53" s="686" t="s">
        <v>671</v>
      </c>
      <c r="B53" s="686" t="s">
        <v>136</v>
      </c>
      <c r="C53" s="683" t="s">
        <v>669</v>
      </c>
      <c r="D53" s="683" t="s">
        <v>676</v>
      </c>
      <c r="E53" s="188" t="s">
        <v>660</v>
      </c>
      <c r="F53" s="161">
        <f>IF((F44=1),Thermostat!$B$3,Thermostat!$B$4)</f>
        <v>70</v>
      </c>
      <c r="G53" s="161">
        <f>IF((G44=1),Thermostat!$B$3,Thermostat!$B$4)</f>
        <v>70</v>
      </c>
      <c r="H53" s="161">
        <f>IF((H44=1),Thermostat!$B$3,Thermostat!$B$4)</f>
        <v>70</v>
      </c>
      <c r="I53" s="161">
        <f>IF((I44=1),Thermostat!$B$3,Thermostat!$B$4)</f>
        <v>70</v>
      </c>
      <c r="J53" s="161">
        <f>IF((J44=1),Thermostat!$B$3,Thermostat!$B$4)</f>
        <v>70</v>
      </c>
      <c r="K53" s="161">
        <f>IF((K44=1),Thermostat!$B$3,Thermostat!$B$4)</f>
        <v>70</v>
      </c>
      <c r="L53" s="161">
        <f>IF((L44=1),Thermostat!$B$3,Thermostat!$B$4)</f>
        <v>70</v>
      </c>
      <c r="M53" s="161">
        <f>IF((M44=1),Thermostat!$B$3,Thermostat!$B$4)</f>
        <v>70</v>
      </c>
      <c r="N53" s="161">
        <f>IF((N44=1),Thermostat!$B$3,Thermostat!$B$4)</f>
        <v>70</v>
      </c>
      <c r="O53" s="161">
        <f>IF((O44=1),Thermostat!$B$3,Thermostat!$B$4)</f>
        <v>70</v>
      </c>
      <c r="P53" s="161">
        <f>IF((P44=1),Thermostat!$B$3,Thermostat!$B$4)</f>
        <v>70</v>
      </c>
      <c r="Q53" s="161">
        <f>IF((Q44=1),Thermostat!$B$3,Thermostat!$B$4)</f>
        <v>70</v>
      </c>
      <c r="R53" s="161">
        <f>IF((R44=1),Thermostat!$B$3,Thermostat!$B$4)</f>
        <v>70</v>
      </c>
      <c r="S53" s="161">
        <f>IF((S44=1),Thermostat!$B$3,Thermostat!$B$4)</f>
        <v>70</v>
      </c>
      <c r="T53" s="161">
        <f>IF((T44=1),Thermostat!$B$3,Thermostat!$B$4)</f>
        <v>70</v>
      </c>
      <c r="U53" s="161">
        <f>IF((U44=1),Thermostat!$B$3,Thermostat!$B$4)</f>
        <v>70</v>
      </c>
      <c r="V53" s="161">
        <f>IF((V44=1),Thermostat!$B$3,Thermostat!$B$4)</f>
        <v>70</v>
      </c>
      <c r="W53" s="161">
        <f>IF((W44=1),Thermostat!$B$3,Thermostat!$B$4)</f>
        <v>70</v>
      </c>
      <c r="X53" s="161">
        <f>IF((X44=1),Thermostat!$B$3,Thermostat!$B$4)</f>
        <v>70</v>
      </c>
      <c r="Y53" s="161">
        <f>IF((Y44=1),Thermostat!$B$3,Thermostat!$B$4)</f>
        <v>70</v>
      </c>
      <c r="Z53" s="161">
        <f>IF((Z44=1),Thermostat!$B$3,Thermostat!$B$4)</f>
        <v>70</v>
      </c>
      <c r="AA53" s="161">
        <f>IF((AA44=1),Thermostat!$B$3,Thermostat!$B$4)</f>
        <v>70</v>
      </c>
      <c r="AB53" s="161">
        <f>IF((AB44=1),Thermostat!$B$3,Thermostat!$B$4)</f>
        <v>70</v>
      </c>
      <c r="AC53" s="162">
        <f>IF((AC44=1),Thermostat!$B$3,Thermostat!$B$4)</f>
        <v>70</v>
      </c>
      <c r="AD53" s="33"/>
      <c r="AE53" s="32"/>
      <c r="AF53" s="32"/>
      <c r="AG53" s="32"/>
      <c r="AH53" s="32"/>
      <c r="AI53" s="32"/>
      <c r="AJ53" s="32"/>
      <c r="AK53" s="32"/>
      <c r="AM53" s="40"/>
    </row>
    <row r="54" spans="1:39" ht="36" customHeight="1">
      <c r="A54" s="687"/>
      <c r="B54" s="687"/>
      <c r="C54" s="684"/>
      <c r="D54" s="684"/>
      <c r="E54" s="189" t="s">
        <v>661</v>
      </c>
      <c r="F54" s="164">
        <f>IF((F45=1),Thermostat!$B$3,Thermostat!$B$4)</f>
        <v>70</v>
      </c>
      <c r="G54" s="164">
        <f>IF((G45=1),Thermostat!$B$3,Thermostat!$B$4)</f>
        <v>70</v>
      </c>
      <c r="H54" s="164">
        <f>IF((H45=1),Thermostat!$B$3,Thermostat!$B$4)</f>
        <v>70</v>
      </c>
      <c r="I54" s="164">
        <f>IF((I45=1),Thermostat!$B$3,Thermostat!$B$4)</f>
        <v>70</v>
      </c>
      <c r="J54" s="164">
        <f>IF((J45=1),Thermostat!$B$3,Thermostat!$B$4)</f>
        <v>70</v>
      </c>
      <c r="K54" s="164">
        <f>IF((K45=1),Thermostat!$B$3,Thermostat!$B$4)</f>
        <v>70</v>
      </c>
      <c r="L54" s="164">
        <f>IF((L45=1),Thermostat!$B$3,Thermostat!$B$4)</f>
        <v>70</v>
      </c>
      <c r="M54" s="164">
        <f>IF((M45=1),Thermostat!$B$3,Thermostat!$B$4)</f>
        <v>70</v>
      </c>
      <c r="N54" s="164">
        <f>IF((N45=1),Thermostat!$B$3,Thermostat!$B$4)</f>
        <v>70</v>
      </c>
      <c r="O54" s="164">
        <f>IF((O45=1),Thermostat!$B$3,Thermostat!$B$4)</f>
        <v>70</v>
      </c>
      <c r="P54" s="164">
        <f>IF((P45=1),Thermostat!$B$3,Thermostat!$B$4)</f>
        <v>70</v>
      </c>
      <c r="Q54" s="164">
        <f>IF((Q45=1),Thermostat!$B$3,Thermostat!$B$4)</f>
        <v>70</v>
      </c>
      <c r="R54" s="164">
        <f>IF((R45=1),Thermostat!$B$3,Thermostat!$B$4)</f>
        <v>70</v>
      </c>
      <c r="S54" s="164">
        <f>IF((S45=1),Thermostat!$B$3,Thermostat!$B$4)</f>
        <v>70</v>
      </c>
      <c r="T54" s="164">
        <f>IF((T45=1),Thermostat!$B$3,Thermostat!$B$4)</f>
        <v>70</v>
      </c>
      <c r="U54" s="164">
        <f>IF((U45=1),Thermostat!$B$3,Thermostat!$B$4)</f>
        <v>70</v>
      </c>
      <c r="V54" s="164">
        <f>IF((V45=1),Thermostat!$B$3,Thermostat!$B$4)</f>
        <v>70</v>
      </c>
      <c r="W54" s="164">
        <f>IF((W45=1),Thermostat!$B$3,Thermostat!$B$4)</f>
        <v>70</v>
      </c>
      <c r="X54" s="164">
        <f>IF((X45=1),Thermostat!$B$3,Thermostat!$B$4)</f>
        <v>70</v>
      </c>
      <c r="Y54" s="164">
        <f>IF((Y45=1),Thermostat!$B$3,Thermostat!$B$4)</f>
        <v>70</v>
      </c>
      <c r="Z54" s="164">
        <f>IF((Z45=1),Thermostat!$B$3,Thermostat!$B$4)</f>
        <v>70</v>
      </c>
      <c r="AA54" s="164">
        <f>IF((AA45=1),Thermostat!$B$3,Thermostat!$B$4)</f>
        <v>70</v>
      </c>
      <c r="AB54" s="164">
        <f>IF((AB45=1),Thermostat!$B$3,Thermostat!$B$4)</f>
        <v>70</v>
      </c>
      <c r="AC54" s="165">
        <f>IF((AC45=1),Thermostat!$B$3,Thermostat!$B$4)</f>
        <v>70</v>
      </c>
      <c r="AD54" s="33"/>
      <c r="AE54" s="32"/>
      <c r="AF54" s="32"/>
      <c r="AG54" s="32"/>
      <c r="AH54" s="32"/>
      <c r="AI54" s="32"/>
      <c r="AJ54" s="32"/>
      <c r="AK54" s="32"/>
      <c r="AM54" s="40"/>
    </row>
    <row r="55" spans="1:39" ht="36" customHeight="1" thickBot="1">
      <c r="A55" s="688"/>
      <c r="B55" s="688"/>
      <c r="C55" s="685"/>
      <c r="D55" s="685"/>
      <c r="E55" s="190" t="s">
        <v>662</v>
      </c>
      <c r="F55" s="167">
        <f>IF((F46=1),Thermostat!$B$3,Thermostat!$B$4)</f>
        <v>70</v>
      </c>
      <c r="G55" s="167">
        <f>IF((G46=1),Thermostat!$B$3,Thermostat!$B$4)</f>
        <v>70</v>
      </c>
      <c r="H55" s="167">
        <f>IF((H46=1),Thermostat!$B$3,Thermostat!$B$4)</f>
        <v>70</v>
      </c>
      <c r="I55" s="167">
        <f>IF((I46=1),Thermostat!$B$3,Thermostat!$B$4)</f>
        <v>70</v>
      </c>
      <c r="J55" s="167">
        <f>IF((J46=1),Thermostat!$B$3,Thermostat!$B$4)</f>
        <v>70</v>
      </c>
      <c r="K55" s="167">
        <f>IF((K46=1),Thermostat!$B$3,Thermostat!$B$4)</f>
        <v>70</v>
      </c>
      <c r="L55" s="167">
        <f>IF((L46=1),Thermostat!$B$3,Thermostat!$B$4)</f>
        <v>70</v>
      </c>
      <c r="M55" s="167">
        <f>IF((M46=1),Thermostat!$B$3,Thermostat!$B$4)</f>
        <v>70</v>
      </c>
      <c r="N55" s="167">
        <f>IF((N46=1),Thermostat!$B$3,Thermostat!$B$4)</f>
        <v>70</v>
      </c>
      <c r="O55" s="167">
        <f>IF((O46=1),Thermostat!$B$3,Thermostat!$B$4)</f>
        <v>70</v>
      </c>
      <c r="P55" s="167">
        <f>IF((P46=1),Thermostat!$B$3,Thermostat!$B$4)</f>
        <v>70</v>
      </c>
      <c r="Q55" s="167">
        <f>IF((Q46=1),Thermostat!$B$3,Thermostat!$B$4)</f>
        <v>70</v>
      </c>
      <c r="R55" s="167">
        <f>IF((R46=1),Thermostat!$B$3,Thermostat!$B$4)</f>
        <v>70</v>
      </c>
      <c r="S55" s="167">
        <f>IF((S46=1),Thermostat!$B$3,Thermostat!$B$4)</f>
        <v>70</v>
      </c>
      <c r="T55" s="167">
        <f>IF((T46=1),Thermostat!$B$3,Thermostat!$B$4)</f>
        <v>70</v>
      </c>
      <c r="U55" s="167">
        <f>IF((U46=1),Thermostat!$B$3,Thermostat!$B$4)</f>
        <v>70</v>
      </c>
      <c r="V55" s="167">
        <f>IF((V46=1),Thermostat!$B$3,Thermostat!$B$4)</f>
        <v>70</v>
      </c>
      <c r="W55" s="167">
        <f>IF((W46=1),Thermostat!$B$3,Thermostat!$B$4)</f>
        <v>70</v>
      </c>
      <c r="X55" s="167">
        <f>IF((X46=1),Thermostat!$B$3,Thermostat!$B$4)</f>
        <v>70</v>
      </c>
      <c r="Y55" s="167">
        <f>IF((Y46=1),Thermostat!$B$3,Thermostat!$B$4)</f>
        <v>70</v>
      </c>
      <c r="Z55" s="167">
        <f>IF((Z46=1),Thermostat!$B$3,Thermostat!$B$4)</f>
        <v>70</v>
      </c>
      <c r="AA55" s="167">
        <f>IF((AA46=1),Thermostat!$B$3,Thermostat!$B$4)</f>
        <v>70</v>
      </c>
      <c r="AB55" s="167">
        <f>IF((AB46=1),Thermostat!$B$3,Thermostat!$B$4)</f>
        <v>70</v>
      </c>
      <c r="AC55" s="168">
        <f>IF((AC46=1),Thermostat!$B$3,Thermostat!$B$4)</f>
        <v>70</v>
      </c>
      <c r="AD55" s="33"/>
      <c r="AE55" s="32"/>
      <c r="AF55" s="32"/>
      <c r="AG55" s="32"/>
      <c r="AH55" s="32"/>
      <c r="AI55" s="32"/>
      <c r="AJ55" s="32"/>
      <c r="AK55" s="32"/>
      <c r="AM55" s="40"/>
    </row>
    <row r="56" spans="1:39" ht="36" customHeight="1">
      <c r="A56" s="686" t="s">
        <v>671</v>
      </c>
      <c r="B56" s="686" t="s">
        <v>136</v>
      </c>
      <c r="C56" s="683" t="s">
        <v>670</v>
      </c>
      <c r="D56" s="683" t="s">
        <v>676</v>
      </c>
      <c r="E56" s="220" t="s">
        <v>660</v>
      </c>
      <c r="F56" s="170">
        <f>IF((F44=1),Thermostat!$B$5,Thermostat!$B$6)</f>
        <v>75</v>
      </c>
      <c r="G56" s="170">
        <f>IF((G44=1),Thermostat!$B$5,Thermostat!$B$6)</f>
        <v>75</v>
      </c>
      <c r="H56" s="170">
        <f>IF((H44=1),Thermostat!$B$5,Thermostat!$B$6)</f>
        <v>75</v>
      </c>
      <c r="I56" s="170">
        <f>IF((I44=1),Thermostat!$B$5,Thermostat!$B$6)</f>
        <v>75</v>
      </c>
      <c r="J56" s="170">
        <f>IF((J44=1),Thermostat!$B$5,Thermostat!$B$6)</f>
        <v>75</v>
      </c>
      <c r="K56" s="170">
        <f>IF((K44=1),Thermostat!$B$5,Thermostat!$B$6)</f>
        <v>75</v>
      </c>
      <c r="L56" s="170">
        <f>IF((L44=1),Thermostat!$B$5,Thermostat!$B$6)</f>
        <v>75</v>
      </c>
      <c r="M56" s="170">
        <f>IF((M44=1),Thermostat!$B$5,Thermostat!$B$6)</f>
        <v>75</v>
      </c>
      <c r="N56" s="170">
        <f>IF((N44=1),Thermostat!$B$5,Thermostat!$B$6)</f>
        <v>75</v>
      </c>
      <c r="O56" s="170">
        <f>IF((O44=1),Thermostat!$B$5,Thermostat!$B$6)</f>
        <v>75</v>
      </c>
      <c r="P56" s="170">
        <f>IF((P44=1),Thermostat!$B$5,Thermostat!$B$6)</f>
        <v>75</v>
      </c>
      <c r="Q56" s="170">
        <f>IF((Q44=1),Thermostat!$B$5,Thermostat!$B$6)</f>
        <v>75</v>
      </c>
      <c r="R56" s="170">
        <f>IF((R44=1),Thermostat!$B$5,Thermostat!$B$6)</f>
        <v>75</v>
      </c>
      <c r="S56" s="170">
        <f>IF((S44=1),Thermostat!$B$5,Thermostat!$B$6)</f>
        <v>75</v>
      </c>
      <c r="T56" s="170">
        <f>IF((T44=1),Thermostat!$B$5,Thermostat!$B$6)</f>
        <v>75</v>
      </c>
      <c r="U56" s="170">
        <f>IF((U44=1),Thermostat!$B$5,Thermostat!$B$6)</f>
        <v>75</v>
      </c>
      <c r="V56" s="170">
        <f>IF((V44=1),Thermostat!$B$5,Thermostat!$B$6)</f>
        <v>75</v>
      </c>
      <c r="W56" s="170">
        <f>IF((W44=1),Thermostat!$B$5,Thermostat!$B$6)</f>
        <v>75</v>
      </c>
      <c r="X56" s="170">
        <f>IF((X44=1),Thermostat!$B$5,Thermostat!$B$6)</f>
        <v>75</v>
      </c>
      <c r="Y56" s="170">
        <f>IF((Y44=1),Thermostat!$B$5,Thermostat!$B$6)</f>
        <v>75</v>
      </c>
      <c r="Z56" s="170">
        <f>IF((Z44=1),Thermostat!$B$5,Thermostat!$B$6)</f>
        <v>75</v>
      </c>
      <c r="AA56" s="170">
        <f>IF((AA44=1),Thermostat!$B$5,Thermostat!$B$6)</f>
        <v>75</v>
      </c>
      <c r="AB56" s="170">
        <f>IF((AB44=1),Thermostat!$B$5,Thermostat!$B$6)</f>
        <v>75</v>
      </c>
      <c r="AC56" s="171">
        <f>IF((AC44=1),Thermostat!$B$5,Thermostat!$B$6)</f>
        <v>75</v>
      </c>
      <c r="AD56" s="33"/>
      <c r="AE56" s="32"/>
      <c r="AF56" s="32"/>
      <c r="AG56" s="32"/>
      <c r="AH56" s="32"/>
      <c r="AI56" s="32"/>
      <c r="AJ56" s="32"/>
      <c r="AK56" s="32"/>
      <c r="AM56" s="40"/>
    </row>
    <row r="57" spans="1:39" ht="36" customHeight="1">
      <c r="A57" s="687"/>
      <c r="B57" s="687"/>
      <c r="C57" s="684"/>
      <c r="D57" s="684"/>
      <c r="E57" s="189" t="s">
        <v>661</v>
      </c>
      <c r="F57" s="164">
        <f>IF((F45=1),Thermostat!$B$5,Thermostat!$B$6)</f>
        <v>75</v>
      </c>
      <c r="G57" s="164">
        <f>IF((G45=1),Thermostat!$B$5,Thermostat!$B$6)</f>
        <v>75</v>
      </c>
      <c r="H57" s="164">
        <f>IF((H45=1),Thermostat!$B$5,Thermostat!$B$6)</f>
        <v>75</v>
      </c>
      <c r="I57" s="164">
        <f>IF((I45=1),Thermostat!$B$5,Thermostat!$B$6)</f>
        <v>75</v>
      </c>
      <c r="J57" s="164">
        <f>IF((J45=1),Thermostat!$B$5,Thermostat!$B$6)</f>
        <v>75</v>
      </c>
      <c r="K57" s="164">
        <f>IF((K45=1),Thermostat!$B$5,Thermostat!$B$6)</f>
        <v>75</v>
      </c>
      <c r="L57" s="164">
        <f>IF((L45=1),Thermostat!$B$5,Thermostat!$B$6)</f>
        <v>75</v>
      </c>
      <c r="M57" s="164">
        <f>IF((M45=1),Thermostat!$B$5,Thermostat!$B$6)</f>
        <v>75</v>
      </c>
      <c r="N57" s="164">
        <f>IF((N45=1),Thermostat!$B$5,Thermostat!$B$6)</f>
        <v>75</v>
      </c>
      <c r="O57" s="164">
        <f>IF((O45=1),Thermostat!$B$5,Thermostat!$B$6)</f>
        <v>75</v>
      </c>
      <c r="P57" s="164">
        <f>IF((P45=1),Thermostat!$B$5,Thermostat!$B$6)</f>
        <v>75</v>
      </c>
      <c r="Q57" s="164">
        <f>IF((Q45=1),Thermostat!$B$5,Thermostat!$B$6)</f>
        <v>75</v>
      </c>
      <c r="R57" s="164">
        <f>IF((R45=1),Thermostat!$B$5,Thermostat!$B$6)</f>
        <v>75</v>
      </c>
      <c r="S57" s="164">
        <f>IF((S45=1),Thermostat!$B$5,Thermostat!$B$6)</f>
        <v>75</v>
      </c>
      <c r="T57" s="164">
        <f>IF((T45=1),Thermostat!$B$5,Thermostat!$B$6)</f>
        <v>75</v>
      </c>
      <c r="U57" s="164">
        <f>IF((U45=1),Thermostat!$B$5,Thermostat!$B$6)</f>
        <v>75</v>
      </c>
      <c r="V57" s="164">
        <f>IF((V45=1),Thermostat!$B$5,Thermostat!$B$6)</f>
        <v>75</v>
      </c>
      <c r="W57" s="164">
        <f>IF((W45=1),Thermostat!$B$5,Thermostat!$B$6)</f>
        <v>75</v>
      </c>
      <c r="X57" s="164">
        <f>IF((X45=1),Thermostat!$B$5,Thermostat!$B$6)</f>
        <v>75</v>
      </c>
      <c r="Y57" s="164">
        <f>IF((Y45=1),Thermostat!$B$5,Thermostat!$B$6)</f>
        <v>75</v>
      </c>
      <c r="Z57" s="164">
        <f>IF((Z45=1),Thermostat!$B$5,Thermostat!$B$6)</f>
        <v>75</v>
      </c>
      <c r="AA57" s="164">
        <f>IF((AA45=1),Thermostat!$B$5,Thermostat!$B$6)</f>
        <v>75</v>
      </c>
      <c r="AB57" s="164">
        <f>IF((AB45=1),Thermostat!$B$5,Thermostat!$B$6)</f>
        <v>75</v>
      </c>
      <c r="AC57" s="165">
        <f>IF((AC45=1),Thermostat!$B$5,Thermostat!$B$6)</f>
        <v>75</v>
      </c>
      <c r="AD57" s="33"/>
      <c r="AE57" s="32"/>
      <c r="AF57" s="32"/>
      <c r="AG57" s="32"/>
      <c r="AH57" s="32"/>
      <c r="AI57" s="32"/>
      <c r="AJ57" s="32"/>
      <c r="AK57" s="32"/>
      <c r="AM57" s="40"/>
    </row>
    <row r="58" spans="1:39" ht="36" customHeight="1" thickBot="1">
      <c r="A58" s="688"/>
      <c r="B58" s="688"/>
      <c r="C58" s="685"/>
      <c r="D58" s="685"/>
      <c r="E58" s="190" t="s">
        <v>662</v>
      </c>
      <c r="F58" s="167">
        <f>IF((F46=1),Thermostat!$B$5,Thermostat!$B$6)</f>
        <v>75</v>
      </c>
      <c r="G58" s="167">
        <f>IF((G46=1),Thermostat!$B$5,Thermostat!$B$6)</f>
        <v>75</v>
      </c>
      <c r="H58" s="167">
        <f>IF((H46=1),Thermostat!$B$5,Thermostat!$B$6)</f>
        <v>75</v>
      </c>
      <c r="I58" s="167">
        <f>IF((I46=1),Thermostat!$B$5,Thermostat!$B$6)</f>
        <v>75</v>
      </c>
      <c r="J58" s="167">
        <f>IF((J46=1),Thermostat!$B$5,Thermostat!$B$6)</f>
        <v>75</v>
      </c>
      <c r="K58" s="167">
        <f>IF((K46=1),Thermostat!$B$5,Thermostat!$B$6)</f>
        <v>75</v>
      </c>
      <c r="L58" s="167">
        <f>IF((L46=1),Thermostat!$B$5,Thermostat!$B$6)</f>
        <v>75</v>
      </c>
      <c r="M58" s="167">
        <f>IF((M46=1),Thermostat!$B$5,Thermostat!$B$6)</f>
        <v>75</v>
      </c>
      <c r="N58" s="167">
        <f>IF((N46=1),Thermostat!$B$5,Thermostat!$B$6)</f>
        <v>75</v>
      </c>
      <c r="O58" s="167">
        <f>IF((O46=1),Thermostat!$B$5,Thermostat!$B$6)</f>
        <v>75</v>
      </c>
      <c r="P58" s="167">
        <f>IF((P46=1),Thermostat!$B$5,Thermostat!$B$6)</f>
        <v>75</v>
      </c>
      <c r="Q58" s="167">
        <f>IF((Q46=1),Thermostat!$B$5,Thermostat!$B$6)</f>
        <v>75</v>
      </c>
      <c r="R58" s="167">
        <f>IF((R46=1),Thermostat!$B$5,Thermostat!$B$6)</f>
        <v>75</v>
      </c>
      <c r="S58" s="167">
        <f>IF((S46=1),Thermostat!$B$5,Thermostat!$B$6)</f>
        <v>75</v>
      </c>
      <c r="T58" s="167">
        <f>IF((T46=1),Thermostat!$B$5,Thermostat!$B$6)</f>
        <v>75</v>
      </c>
      <c r="U58" s="167">
        <f>IF((U46=1),Thermostat!$B$5,Thermostat!$B$6)</f>
        <v>75</v>
      </c>
      <c r="V58" s="167">
        <f>IF((V46=1),Thermostat!$B$5,Thermostat!$B$6)</f>
        <v>75</v>
      </c>
      <c r="W58" s="167">
        <f>IF((W46=1),Thermostat!$B$5,Thermostat!$B$6)</f>
        <v>75</v>
      </c>
      <c r="X58" s="167">
        <f>IF((X46=1),Thermostat!$B$5,Thermostat!$B$6)</f>
        <v>75</v>
      </c>
      <c r="Y58" s="167">
        <f>IF((Y46=1),Thermostat!$B$5,Thermostat!$B$6)</f>
        <v>75</v>
      </c>
      <c r="Z58" s="167">
        <f>IF((Z46=1),Thermostat!$B$5,Thermostat!$B$6)</f>
        <v>75</v>
      </c>
      <c r="AA58" s="167">
        <f>IF((AA46=1),Thermostat!$B$5,Thermostat!$B$6)</f>
        <v>75</v>
      </c>
      <c r="AB58" s="167">
        <f>IF((AB46=1),Thermostat!$B$5,Thermostat!$B$6)</f>
        <v>75</v>
      </c>
      <c r="AC58" s="168">
        <f>IF((AC46=1),Thermostat!$B$5,Thermostat!$B$6)</f>
        <v>75</v>
      </c>
      <c r="AD58" s="33"/>
      <c r="AE58" s="32"/>
      <c r="AF58" s="32"/>
      <c r="AG58" s="32"/>
      <c r="AH58" s="32"/>
      <c r="AI58" s="32"/>
      <c r="AJ58" s="32"/>
      <c r="AK58" s="32"/>
      <c r="AM58" s="40"/>
    </row>
    <row r="59" spans="1:39" ht="22.2" customHeight="1" thickBot="1">
      <c r="A59" s="530"/>
      <c r="B59" s="530"/>
      <c r="C59" s="530" t="s">
        <v>28</v>
      </c>
      <c r="D59" s="530"/>
      <c r="E59" s="530"/>
      <c r="F59" s="530"/>
      <c r="G59" s="530"/>
      <c r="H59" s="530"/>
      <c r="I59" s="530"/>
      <c r="J59" s="530"/>
      <c r="K59" s="530"/>
      <c r="L59" s="530"/>
      <c r="M59" s="530"/>
      <c r="N59" s="530"/>
      <c r="O59" s="530"/>
      <c r="P59" s="530"/>
      <c r="Q59" s="530"/>
      <c r="R59" s="530"/>
      <c r="S59" s="530"/>
      <c r="T59" s="530"/>
      <c r="U59" s="530"/>
      <c r="V59" s="530"/>
      <c r="W59" s="530"/>
      <c r="X59" s="530"/>
      <c r="Y59" s="530"/>
      <c r="Z59" s="530"/>
      <c r="AA59" s="530"/>
      <c r="AB59" s="530"/>
      <c r="AC59" s="530"/>
      <c r="AD59" s="254" t="s">
        <v>649</v>
      </c>
    </row>
    <row r="60" spans="1:39" ht="36" customHeight="1">
      <c r="A60" s="696"/>
      <c r="B60" s="686" t="s">
        <v>110</v>
      </c>
      <c r="C60" s="683" t="s">
        <v>268</v>
      </c>
      <c r="D60" s="534" t="s">
        <v>659</v>
      </c>
      <c r="E60" s="234" t="s">
        <v>660</v>
      </c>
      <c r="F60" s="382">
        <v>0</v>
      </c>
      <c r="G60" s="382">
        <v>0</v>
      </c>
      <c r="H60" s="382">
        <v>0</v>
      </c>
      <c r="I60" s="382">
        <v>0</v>
      </c>
      <c r="J60" s="382">
        <v>0</v>
      </c>
      <c r="K60" s="382">
        <v>0</v>
      </c>
      <c r="L60" s="382">
        <v>0</v>
      </c>
      <c r="M60" s="382">
        <v>0.02</v>
      </c>
      <c r="N60" s="382">
        <v>0.75</v>
      </c>
      <c r="O60" s="382">
        <v>1</v>
      </c>
      <c r="P60" s="382">
        <v>1</v>
      </c>
      <c r="Q60" s="382">
        <v>1</v>
      </c>
      <c r="R60" s="382">
        <v>0.75</v>
      </c>
      <c r="S60" s="382">
        <v>1</v>
      </c>
      <c r="T60" s="382">
        <v>1</v>
      </c>
      <c r="U60" s="382">
        <v>1</v>
      </c>
      <c r="V60" s="382">
        <v>1</v>
      </c>
      <c r="W60" s="382">
        <v>1</v>
      </c>
      <c r="X60" s="382">
        <v>0.52</v>
      </c>
      <c r="Y60" s="382">
        <v>0.52</v>
      </c>
      <c r="Z60" s="382">
        <v>0.52</v>
      </c>
      <c r="AA60" s="382">
        <v>0.28000000000000003</v>
      </c>
      <c r="AB60" s="382">
        <v>0</v>
      </c>
      <c r="AC60" s="383">
        <v>0</v>
      </c>
      <c r="AD60" s="255">
        <f>SUM(F60:AC60)*261+ SUM(F61:AC61)*52+ SUM(F62:AC62)*52</f>
        <v>3254.0799999999995</v>
      </c>
      <c r="AF60" s="32"/>
      <c r="AG60" s="32"/>
      <c r="AH60" s="32"/>
      <c r="AI60" s="32"/>
      <c r="AJ60" s="32"/>
      <c r="AK60" s="32"/>
      <c r="AM60" s="40"/>
    </row>
    <row r="61" spans="1:39" ht="36" customHeight="1">
      <c r="A61" s="697"/>
      <c r="B61" s="687"/>
      <c r="C61" s="684"/>
      <c r="D61" s="535"/>
      <c r="E61" s="237" t="s">
        <v>661</v>
      </c>
      <c r="F61" s="425">
        <v>0</v>
      </c>
      <c r="G61" s="425">
        <v>0</v>
      </c>
      <c r="H61" s="425">
        <v>0</v>
      </c>
      <c r="I61" s="425">
        <v>0</v>
      </c>
      <c r="J61" s="425">
        <v>0</v>
      </c>
      <c r="K61" s="425">
        <v>0</v>
      </c>
      <c r="L61" s="425">
        <v>0</v>
      </c>
      <c r="M61" s="425">
        <v>0.02</v>
      </c>
      <c r="N61" s="425">
        <v>0.46</v>
      </c>
      <c r="O61" s="425">
        <v>0.7</v>
      </c>
      <c r="P61" s="425">
        <v>0.7</v>
      </c>
      <c r="Q61" s="425">
        <v>0.7</v>
      </c>
      <c r="R61" s="425">
        <v>0.51</v>
      </c>
      <c r="S61" s="425">
        <v>0.51</v>
      </c>
      <c r="T61" s="425">
        <v>0.51</v>
      </c>
      <c r="U61" s="425">
        <v>0.51</v>
      </c>
      <c r="V61" s="425">
        <v>0.51</v>
      </c>
      <c r="W61" s="425">
        <v>0.25</v>
      </c>
      <c r="X61" s="425">
        <v>0.02</v>
      </c>
      <c r="Y61" s="425">
        <v>0</v>
      </c>
      <c r="Z61" s="425">
        <v>0</v>
      </c>
      <c r="AA61" s="425">
        <v>0</v>
      </c>
      <c r="AB61" s="425">
        <v>0</v>
      </c>
      <c r="AC61" s="384">
        <v>0</v>
      </c>
      <c r="AF61" s="32"/>
      <c r="AG61" s="32"/>
      <c r="AH61" s="32"/>
      <c r="AI61" s="32"/>
      <c r="AJ61" s="32"/>
      <c r="AK61" s="32"/>
      <c r="AM61" s="40"/>
    </row>
    <row r="62" spans="1:39" ht="36" customHeight="1" thickBot="1">
      <c r="A62" s="698"/>
      <c r="B62" s="688"/>
      <c r="C62" s="685"/>
      <c r="D62" s="536"/>
      <c r="E62" s="239" t="s">
        <v>662</v>
      </c>
      <c r="F62" s="385">
        <v>0</v>
      </c>
      <c r="G62" s="385">
        <v>0</v>
      </c>
      <c r="H62" s="385">
        <v>0</v>
      </c>
      <c r="I62" s="385">
        <v>0</v>
      </c>
      <c r="J62" s="385">
        <v>0</v>
      </c>
      <c r="K62" s="385">
        <v>0</v>
      </c>
      <c r="L62" s="385">
        <v>0</v>
      </c>
      <c r="M62" s="385">
        <v>0</v>
      </c>
      <c r="N62" s="385">
        <v>0.02</v>
      </c>
      <c r="O62" s="385">
        <v>0.02</v>
      </c>
      <c r="P62" s="385">
        <v>0.02</v>
      </c>
      <c r="Q62" s="385">
        <v>0.02</v>
      </c>
      <c r="R62" s="385">
        <v>0.02</v>
      </c>
      <c r="S62" s="385">
        <v>0.02</v>
      </c>
      <c r="T62" s="385">
        <v>0.02</v>
      </c>
      <c r="U62" s="385">
        <v>0.02</v>
      </c>
      <c r="V62" s="385">
        <v>0</v>
      </c>
      <c r="W62" s="385">
        <v>0</v>
      </c>
      <c r="X62" s="385">
        <v>0</v>
      </c>
      <c r="Y62" s="385">
        <v>0</v>
      </c>
      <c r="Z62" s="385">
        <v>0</v>
      </c>
      <c r="AA62" s="385">
        <v>0</v>
      </c>
      <c r="AB62" s="385">
        <v>0</v>
      </c>
      <c r="AC62" s="386">
        <v>0</v>
      </c>
      <c r="AF62" s="32"/>
      <c r="AG62" s="32"/>
      <c r="AH62" s="32"/>
      <c r="AI62" s="32"/>
      <c r="AJ62" s="32"/>
      <c r="AK62" s="32"/>
      <c r="AM62" s="40"/>
    </row>
    <row r="63" spans="1:39" ht="29.4" customHeight="1">
      <c r="A63" s="696"/>
      <c r="B63" s="715" t="s">
        <v>110</v>
      </c>
      <c r="C63" s="717" t="s">
        <v>677</v>
      </c>
      <c r="D63" s="719" t="s">
        <v>678</v>
      </c>
      <c r="E63" s="181" t="s">
        <v>660</v>
      </c>
      <c r="F63" s="387">
        <v>1</v>
      </c>
      <c r="G63" s="387">
        <v>1</v>
      </c>
      <c r="H63" s="387">
        <v>1</v>
      </c>
      <c r="I63" s="387">
        <v>1</v>
      </c>
      <c r="J63" s="387">
        <v>1</v>
      </c>
      <c r="K63" s="387">
        <v>1</v>
      </c>
      <c r="L63" s="387">
        <v>1</v>
      </c>
      <c r="M63" s="387">
        <v>1</v>
      </c>
      <c r="N63" s="387">
        <v>1</v>
      </c>
      <c r="O63" s="387">
        <v>1</v>
      </c>
      <c r="P63" s="387">
        <v>1</v>
      </c>
      <c r="Q63" s="387">
        <v>1</v>
      </c>
      <c r="R63" s="387">
        <v>1</v>
      </c>
      <c r="S63" s="387">
        <v>1</v>
      </c>
      <c r="T63" s="387">
        <v>1</v>
      </c>
      <c r="U63" s="387">
        <v>1</v>
      </c>
      <c r="V63" s="387">
        <v>1</v>
      </c>
      <c r="W63" s="387">
        <v>1</v>
      </c>
      <c r="X63" s="387">
        <v>1</v>
      </c>
      <c r="Y63" s="387">
        <v>1</v>
      </c>
      <c r="Z63" s="387">
        <v>1</v>
      </c>
      <c r="AA63" s="387">
        <v>1</v>
      </c>
      <c r="AB63" s="387">
        <v>1</v>
      </c>
      <c r="AC63" s="388">
        <v>1</v>
      </c>
    </row>
    <row r="64" spans="1:39" ht="29.4" customHeight="1">
      <c r="A64" s="697"/>
      <c r="B64" s="706"/>
      <c r="C64" s="708"/>
      <c r="D64" s="703"/>
      <c r="E64" s="175" t="s">
        <v>661</v>
      </c>
      <c r="F64" s="176">
        <v>1</v>
      </c>
      <c r="G64" s="176">
        <v>1</v>
      </c>
      <c r="H64" s="176">
        <v>1</v>
      </c>
      <c r="I64" s="176">
        <v>1</v>
      </c>
      <c r="J64" s="176">
        <v>1</v>
      </c>
      <c r="K64" s="176">
        <v>1</v>
      </c>
      <c r="L64" s="176">
        <v>1</v>
      </c>
      <c r="M64" s="176">
        <v>1</v>
      </c>
      <c r="N64" s="176">
        <v>1</v>
      </c>
      <c r="O64" s="176">
        <v>1</v>
      </c>
      <c r="P64" s="176">
        <v>1</v>
      </c>
      <c r="Q64" s="176">
        <v>1</v>
      </c>
      <c r="R64" s="176">
        <v>1</v>
      </c>
      <c r="S64" s="176">
        <v>1</v>
      </c>
      <c r="T64" s="176">
        <v>1</v>
      </c>
      <c r="U64" s="176">
        <v>1</v>
      </c>
      <c r="V64" s="176">
        <v>1</v>
      </c>
      <c r="W64" s="176">
        <v>1</v>
      </c>
      <c r="X64" s="176">
        <v>1</v>
      </c>
      <c r="Y64" s="176">
        <v>1</v>
      </c>
      <c r="Z64" s="176">
        <v>1</v>
      </c>
      <c r="AA64" s="176">
        <v>1</v>
      </c>
      <c r="AB64" s="176">
        <v>1</v>
      </c>
      <c r="AC64" s="177">
        <v>1</v>
      </c>
    </row>
    <row r="65" spans="1:29" ht="29.4" customHeight="1" thickBot="1">
      <c r="A65" s="698"/>
      <c r="B65" s="716"/>
      <c r="C65" s="718"/>
      <c r="D65" s="720"/>
      <c r="E65" s="178" t="s">
        <v>662</v>
      </c>
      <c r="F65" s="179">
        <v>1</v>
      </c>
      <c r="G65" s="179">
        <v>1</v>
      </c>
      <c r="H65" s="179">
        <v>1</v>
      </c>
      <c r="I65" s="179">
        <v>1</v>
      </c>
      <c r="J65" s="179">
        <v>1</v>
      </c>
      <c r="K65" s="179">
        <v>1</v>
      </c>
      <c r="L65" s="179">
        <v>1</v>
      </c>
      <c r="M65" s="179">
        <v>1</v>
      </c>
      <c r="N65" s="179">
        <v>1</v>
      </c>
      <c r="O65" s="179">
        <v>1</v>
      </c>
      <c r="P65" s="179">
        <v>1</v>
      </c>
      <c r="Q65" s="179">
        <v>1</v>
      </c>
      <c r="R65" s="179">
        <v>1</v>
      </c>
      <c r="S65" s="179">
        <v>1</v>
      </c>
      <c r="T65" s="179">
        <v>1</v>
      </c>
      <c r="U65" s="179">
        <v>1</v>
      </c>
      <c r="V65" s="179">
        <v>1</v>
      </c>
      <c r="W65" s="179">
        <v>1</v>
      </c>
      <c r="X65" s="179">
        <v>1</v>
      </c>
      <c r="Y65" s="179">
        <v>1</v>
      </c>
      <c r="Z65" s="179">
        <v>1</v>
      </c>
      <c r="AA65" s="179">
        <v>1</v>
      </c>
      <c r="AB65" s="179">
        <v>1</v>
      </c>
      <c r="AC65" s="180">
        <v>1</v>
      </c>
    </row>
    <row r="66" spans="1:29" ht="29.4" customHeight="1">
      <c r="A66" s="704"/>
      <c r="B66" s="705" t="s">
        <v>110</v>
      </c>
      <c r="C66" s="707" t="s">
        <v>679</v>
      </c>
      <c r="D66" s="703" t="s">
        <v>680</v>
      </c>
      <c r="E66" s="181" t="s">
        <v>660</v>
      </c>
      <c r="F66" s="487">
        <v>0</v>
      </c>
      <c r="G66" s="487">
        <v>0</v>
      </c>
      <c r="H66" s="487">
        <v>0</v>
      </c>
      <c r="I66" s="487">
        <v>0</v>
      </c>
      <c r="J66" s="487">
        <v>0</v>
      </c>
      <c r="K66" s="487">
        <v>1</v>
      </c>
      <c r="L66" s="487">
        <v>1</v>
      </c>
      <c r="M66" s="487">
        <v>1</v>
      </c>
      <c r="N66" s="487">
        <v>1</v>
      </c>
      <c r="O66" s="487">
        <v>1</v>
      </c>
      <c r="P66" s="487">
        <v>1</v>
      </c>
      <c r="Q66" s="487">
        <v>1</v>
      </c>
      <c r="R66" s="487">
        <v>1</v>
      </c>
      <c r="S66" s="487">
        <v>1</v>
      </c>
      <c r="T66" s="487">
        <v>1</v>
      </c>
      <c r="U66" s="487">
        <v>1</v>
      </c>
      <c r="V66" s="487">
        <v>1</v>
      </c>
      <c r="W66" s="487">
        <v>1</v>
      </c>
      <c r="X66" s="487">
        <v>1</v>
      </c>
      <c r="Y66" s="487">
        <v>1</v>
      </c>
      <c r="Z66" s="487">
        <v>1</v>
      </c>
      <c r="AA66" s="487">
        <v>1</v>
      </c>
      <c r="AB66" s="487">
        <v>0</v>
      </c>
      <c r="AC66" s="488">
        <v>0</v>
      </c>
    </row>
    <row r="67" spans="1:29" ht="29.4" customHeight="1">
      <c r="A67" s="697"/>
      <c r="B67" s="706"/>
      <c r="C67" s="708"/>
      <c r="D67" s="703"/>
      <c r="E67" s="175" t="s">
        <v>661</v>
      </c>
      <c r="F67" s="489">
        <v>0</v>
      </c>
      <c r="G67" s="489">
        <v>0</v>
      </c>
      <c r="H67" s="489">
        <v>0</v>
      </c>
      <c r="I67" s="489">
        <v>0</v>
      </c>
      <c r="J67" s="489">
        <v>0</v>
      </c>
      <c r="K67" s="489">
        <v>1</v>
      </c>
      <c r="L67" s="489">
        <v>1</v>
      </c>
      <c r="M67" s="489">
        <v>1</v>
      </c>
      <c r="N67" s="489">
        <v>1</v>
      </c>
      <c r="O67" s="489">
        <v>1</v>
      </c>
      <c r="P67" s="489">
        <v>1</v>
      </c>
      <c r="Q67" s="489">
        <v>1</v>
      </c>
      <c r="R67" s="489">
        <v>1</v>
      </c>
      <c r="S67" s="489">
        <v>1</v>
      </c>
      <c r="T67" s="489">
        <v>1</v>
      </c>
      <c r="U67" s="489">
        <v>1</v>
      </c>
      <c r="V67" s="489">
        <v>1</v>
      </c>
      <c r="W67" s="489">
        <v>1</v>
      </c>
      <c r="X67" s="489">
        <v>1</v>
      </c>
      <c r="Y67" s="489">
        <v>1</v>
      </c>
      <c r="Z67" s="489">
        <v>1</v>
      </c>
      <c r="AA67" s="489">
        <v>1</v>
      </c>
      <c r="AB67" s="489">
        <v>1</v>
      </c>
      <c r="AC67" s="490">
        <v>1</v>
      </c>
    </row>
    <row r="68" spans="1:29" ht="29.4" customHeight="1" thickBot="1">
      <c r="A68" s="697"/>
      <c r="B68" s="706"/>
      <c r="C68" s="708"/>
      <c r="D68" s="703"/>
      <c r="E68" s="182" t="s">
        <v>662</v>
      </c>
      <c r="F68" s="491">
        <v>0</v>
      </c>
      <c r="G68" s="491">
        <v>0</v>
      </c>
      <c r="H68" s="491">
        <v>0</v>
      </c>
      <c r="I68" s="491">
        <v>0</v>
      </c>
      <c r="J68" s="491">
        <v>0</v>
      </c>
      <c r="K68" s="491">
        <v>1</v>
      </c>
      <c r="L68" s="491">
        <v>1</v>
      </c>
      <c r="M68" s="491">
        <v>1</v>
      </c>
      <c r="N68" s="491">
        <v>1</v>
      </c>
      <c r="O68" s="491">
        <v>1</v>
      </c>
      <c r="P68" s="491">
        <v>1</v>
      </c>
      <c r="Q68" s="491">
        <v>1</v>
      </c>
      <c r="R68" s="491">
        <v>1</v>
      </c>
      <c r="S68" s="491">
        <v>1</v>
      </c>
      <c r="T68" s="491">
        <v>1</v>
      </c>
      <c r="U68" s="491">
        <v>1</v>
      </c>
      <c r="V68" s="491">
        <v>1</v>
      </c>
      <c r="W68" s="491">
        <v>1</v>
      </c>
      <c r="X68" s="491">
        <v>1</v>
      </c>
      <c r="Y68" s="491">
        <v>1</v>
      </c>
      <c r="Z68" s="491">
        <v>1</v>
      </c>
      <c r="AA68" s="491">
        <v>1</v>
      </c>
      <c r="AB68" s="491">
        <v>1</v>
      </c>
      <c r="AC68" s="492">
        <v>1</v>
      </c>
    </row>
    <row r="69" spans="1:29" ht="27" customHeight="1">
      <c r="A69" s="692" t="s">
        <v>681</v>
      </c>
      <c r="B69" s="695" t="s">
        <v>110</v>
      </c>
      <c r="C69" s="695" t="s">
        <v>682</v>
      </c>
      <c r="D69" s="713" t="s">
        <v>683</v>
      </c>
      <c r="E69" s="160" t="s">
        <v>660</v>
      </c>
      <c r="F69" s="161">
        <v>131.9</v>
      </c>
      <c r="G69" s="161">
        <v>131.9</v>
      </c>
      <c r="H69" s="161">
        <v>131.9</v>
      </c>
      <c r="I69" s="161">
        <v>131.9</v>
      </c>
      <c r="J69" s="161">
        <v>131.9</v>
      </c>
      <c r="K69" s="161">
        <v>131.9</v>
      </c>
      <c r="L69" s="161">
        <v>131.9</v>
      </c>
      <c r="M69" s="161">
        <v>131.9</v>
      </c>
      <c r="N69" s="161">
        <v>131.9</v>
      </c>
      <c r="O69" s="161">
        <v>131.9</v>
      </c>
      <c r="P69" s="161">
        <v>131.9</v>
      </c>
      <c r="Q69" s="161">
        <v>131.9</v>
      </c>
      <c r="R69" s="161">
        <v>131.9</v>
      </c>
      <c r="S69" s="161">
        <v>131.9</v>
      </c>
      <c r="T69" s="161">
        <v>131.9</v>
      </c>
      <c r="U69" s="161">
        <v>131.9</v>
      </c>
      <c r="V69" s="161">
        <v>131.9</v>
      </c>
      <c r="W69" s="161">
        <v>131.9</v>
      </c>
      <c r="X69" s="161">
        <v>131.9</v>
      </c>
      <c r="Y69" s="161">
        <v>131.9</v>
      </c>
      <c r="Z69" s="161">
        <v>131.9</v>
      </c>
      <c r="AA69" s="161">
        <v>131.9</v>
      </c>
      <c r="AB69" s="161">
        <v>131.9</v>
      </c>
      <c r="AC69" s="162">
        <v>131.9</v>
      </c>
    </row>
    <row r="70" spans="1:29" ht="27" customHeight="1">
      <c r="A70" s="693"/>
      <c r="B70" s="690"/>
      <c r="C70" s="690"/>
      <c r="D70" s="701"/>
      <c r="E70" s="163" t="s">
        <v>661</v>
      </c>
      <c r="F70" s="164">
        <v>131.9</v>
      </c>
      <c r="G70" s="164">
        <v>131.9</v>
      </c>
      <c r="H70" s="164">
        <v>131.9</v>
      </c>
      <c r="I70" s="164">
        <v>131.9</v>
      </c>
      <c r="J70" s="164">
        <v>131.9</v>
      </c>
      <c r="K70" s="164">
        <v>131.9</v>
      </c>
      <c r="L70" s="164">
        <v>131.9</v>
      </c>
      <c r="M70" s="164">
        <v>131.9</v>
      </c>
      <c r="N70" s="164">
        <v>131.9</v>
      </c>
      <c r="O70" s="164">
        <v>131.9</v>
      </c>
      <c r="P70" s="164">
        <v>131.9</v>
      </c>
      <c r="Q70" s="164">
        <v>131.9</v>
      </c>
      <c r="R70" s="164">
        <v>131.9</v>
      </c>
      <c r="S70" s="164">
        <v>131.9</v>
      </c>
      <c r="T70" s="164">
        <v>131.9</v>
      </c>
      <c r="U70" s="164">
        <v>131.9</v>
      </c>
      <c r="V70" s="164">
        <v>131.9</v>
      </c>
      <c r="W70" s="164">
        <v>131.9</v>
      </c>
      <c r="X70" s="164">
        <v>131.9</v>
      </c>
      <c r="Y70" s="164">
        <v>131.9</v>
      </c>
      <c r="Z70" s="164">
        <v>131.9</v>
      </c>
      <c r="AA70" s="164">
        <v>131.9</v>
      </c>
      <c r="AB70" s="164">
        <v>131.9</v>
      </c>
      <c r="AC70" s="165">
        <v>131.9</v>
      </c>
    </row>
    <row r="71" spans="1:29" s="91" customFormat="1" ht="27" customHeight="1" thickBot="1">
      <c r="A71" s="694"/>
      <c r="B71" s="691"/>
      <c r="C71" s="691"/>
      <c r="D71" s="714"/>
      <c r="E71" s="166" t="s">
        <v>662</v>
      </c>
      <c r="F71" s="167">
        <v>131.9</v>
      </c>
      <c r="G71" s="167">
        <v>131.9</v>
      </c>
      <c r="H71" s="167">
        <v>131.9</v>
      </c>
      <c r="I71" s="167">
        <v>131.9</v>
      </c>
      <c r="J71" s="167">
        <v>131.9</v>
      </c>
      <c r="K71" s="167">
        <v>131.9</v>
      </c>
      <c r="L71" s="167">
        <v>131.9</v>
      </c>
      <c r="M71" s="167">
        <v>131.9</v>
      </c>
      <c r="N71" s="167">
        <v>131.9</v>
      </c>
      <c r="O71" s="167">
        <v>131.9</v>
      </c>
      <c r="P71" s="167">
        <v>131.9</v>
      </c>
      <c r="Q71" s="167">
        <v>131.9</v>
      </c>
      <c r="R71" s="167">
        <v>131.9</v>
      </c>
      <c r="S71" s="167">
        <v>131.9</v>
      </c>
      <c r="T71" s="167">
        <v>131.9</v>
      </c>
      <c r="U71" s="167">
        <v>131.9</v>
      </c>
      <c r="V71" s="167">
        <v>131.9</v>
      </c>
      <c r="W71" s="167">
        <v>131.9</v>
      </c>
      <c r="X71" s="167">
        <v>131.9</v>
      </c>
      <c r="Y71" s="167">
        <v>131.9</v>
      </c>
      <c r="Z71" s="167">
        <v>131.9</v>
      </c>
      <c r="AA71" s="167">
        <v>131.9</v>
      </c>
      <c r="AB71" s="167">
        <v>131.9</v>
      </c>
      <c r="AC71" s="168">
        <v>131.9</v>
      </c>
    </row>
    <row r="72" spans="1:29" ht="20.399999999999999" customHeight="1">
      <c r="A72" s="721" t="s">
        <v>684</v>
      </c>
      <c r="B72" s="689" t="s">
        <v>110</v>
      </c>
      <c r="C72" s="689" t="s">
        <v>685</v>
      </c>
      <c r="D72" s="700" t="s">
        <v>683</v>
      </c>
      <c r="E72" s="169" t="s">
        <v>660</v>
      </c>
      <c r="F72" s="170">
        <v>146.5</v>
      </c>
      <c r="G72" s="170">
        <v>146.5</v>
      </c>
      <c r="H72" s="170">
        <v>146.5</v>
      </c>
      <c r="I72" s="170">
        <v>146.5</v>
      </c>
      <c r="J72" s="170">
        <v>146.5</v>
      </c>
      <c r="K72" s="170">
        <v>146.5</v>
      </c>
      <c r="L72" s="170">
        <v>146.5</v>
      </c>
      <c r="M72" s="170">
        <v>146.5</v>
      </c>
      <c r="N72" s="170">
        <v>146.5</v>
      </c>
      <c r="O72" s="170">
        <v>146.5</v>
      </c>
      <c r="P72" s="170">
        <v>146.5</v>
      </c>
      <c r="Q72" s="170">
        <v>146.5</v>
      </c>
      <c r="R72" s="170">
        <v>146.5</v>
      </c>
      <c r="S72" s="170">
        <v>146.5</v>
      </c>
      <c r="T72" s="170">
        <v>146.5</v>
      </c>
      <c r="U72" s="170">
        <v>146.5</v>
      </c>
      <c r="V72" s="170">
        <v>146.5</v>
      </c>
      <c r="W72" s="170">
        <v>146.5</v>
      </c>
      <c r="X72" s="170">
        <v>146.5</v>
      </c>
      <c r="Y72" s="170">
        <v>146.5</v>
      </c>
      <c r="Z72" s="170">
        <v>146.5</v>
      </c>
      <c r="AA72" s="170">
        <v>146.5</v>
      </c>
      <c r="AB72" s="170">
        <v>146.5</v>
      </c>
      <c r="AC72" s="171">
        <v>146.5</v>
      </c>
    </row>
    <row r="73" spans="1:29" ht="20.399999999999999" customHeight="1">
      <c r="A73" s="693"/>
      <c r="B73" s="690"/>
      <c r="C73" s="690"/>
      <c r="D73" s="701"/>
      <c r="E73" s="163" t="s">
        <v>661</v>
      </c>
      <c r="F73" s="164">
        <v>146.5</v>
      </c>
      <c r="G73" s="164">
        <v>146.5</v>
      </c>
      <c r="H73" s="164">
        <v>146.5</v>
      </c>
      <c r="I73" s="164">
        <v>146.5</v>
      </c>
      <c r="J73" s="164">
        <v>146.5</v>
      </c>
      <c r="K73" s="164">
        <v>146.5</v>
      </c>
      <c r="L73" s="164">
        <v>146.5</v>
      </c>
      <c r="M73" s="164">
        <v>146.5</v>
      </c>
      <c r="N73" s="164">
        <v>146.5</v>
      </c>
      <c r="O73" s="164">
        <v>146.5</v>
      </c>
      <c r="P73" s="164">
        <v>146.5</v>
      </c>
      <c r="Q73" s="164">
        <v>146.5</v>
      </c>
      <c r="R73" s="164">
        <v>146.5</v>
      </c>
      <c r="S73" s="164">
        <v>146.5</v>
      </c>
      <c r="T73" s="164">
        <v>146.5</v>
      </c>
      <c r="U73" s="164">
        <v>146.5</v>
      </c>
      <c r="V73" s="164">
        <v>146.5</v>
      </c>
      <c r="W73" s="164">
        <v>146.5</v>
      </c>
      <c r="X73" s="164">
        <v>146.5</v>
      </c>
      <c r="Y73" s="164">
        <v>146.5</v>
      </c>
      <c r="Z73" s="164">
        <v>146.5</v>
      </c>
      <c r="AA73" s="164">
        <v>146.5</v>
      </c>
      <c r="AB73" s="164">
        <v>146.5</v>
      </c>
      <c r="AC73" s="165">
        <v>146.5</v>
      </c>
    </row>
    <row r="74" spans="1:29" ht="20.399999999999999" customHeight="1" thickBot="1">
      <c r="A74" s="723"/>
      <c r="B74" s="699"/>
      <c r="C74" s="699"/>
      <c r="D74" s="702"/>
      <c r="E74" s="172" t="s">
        <v>662</v>
      </c>
      <c r="F74" s="173">
        <v>146.5</v>
      </c>
      <c r="G74" s="173">
        <v>146.5</v>
      </c>
      <c r="H74" s="173">
        <v>146.5</v>
      </c>
      <c r="I74" s="173">
        <v>146.5</v>
      </c>
      <c r="J74" s="173">
        <v>146.5</v>
      </c>
      <c r="K74" s="173">
        <v>146.5</v>
      </c>
      <c r="L74" s="173">
        <v>146.5</v>
      </c>
      <c r="M74" s="173">
        <v>146.5</v>
      </c>
      <c r="N74" s="173">
        <v>146.5</v>
      </c>
      <c r="O74" s="173">
        <v>146.5</v>
      </c>
      <c r="P74" s="173">
        <v>146.5</v>
      </c>
      <c r="Q74" s="173">
        <v>146.5</v>
      </c>
      <c r="R74" s="173">
        <v>146.5</v>
      </c>
      <c r="S74" s="173">
        <v>146.5</v>
      </c>
      <c r="T74" s="173">
        <v>146.5</v>
      </c>
      <c r="U74" s="173">
        <v>146.5</v>
      </c>
      <c r="V74" s="173">
        <v>146.5</v>
      </c>
      <c r="W74" s="173">
        <v>146.5</v>
      </c>
      <c r="X74" s="173">
        <v>146.5</v>
      </c>
      <c r="Y74" s="173">
        <v>146.5</v>
      </c>
      <c r="Z74" s="173">
        <v>146.5</v>
      </c>
      <c r="AA74" s="173">
        <v>146.5</v>
      </c>
      <c r="AB74" s="173">
        <v>146.5</v>
      </c>
      <c r="AC74" s="174">
        <v>146.5</v>
      </c>
    </row>
    <row r="75" spans="1:29" ht="20.399999999999999" customHeight="1">
      <c r="A75" s="692" t="s">
        <v>686</v>
      </c>
      <c r="B75" s="695" t="s">
        <v>110</v>
      </c>
      <c r="C75" s="695" t="s">
        <v>687</v>
      </c>
      <c r="D75" s="713" t="s">
        <v>683</v>
      </c>
      <c r="E75" s="160" t="s">
        <v>660</v>
      </c>
      <c r="F75" s="161">
        <v>161.19999999999999</v>
      </c>
      <c r="G75" s="161">
        <v>161.19999999999999</v>
      </c>
      <c r="H75" s="161">
        <v>161.19999999999999</v>
      </c>
      <c r="I75" s="161">
        <v>161.19999999999999</v>
      </c>
      <c r="J75" s="161">
        <v>161.19999999999999</v>
      </c>
      <c r="K75" s="161">
        <v>161.19999999999999</v>
      </c>
      <c r="L75" s="161">
        <v>161.19999999999999</v>
      </c>
      <c r="M75" s="161">
        <v>161.19999999999999</v>
      </c>
      <c r="N75" s="161">
        <v>161.19999999999999</v>
      </c>
      <c r="O75" s="161">
        <v>161.19999999999999</v>
      </c>
      <c r="P75" s="161">
        <v>161.19999999999999</v>
      </c>
      <c r="Q75" s="161">
        <v>161.19999999999999</v>
      </c>
      <c r="R75" s="161">
        <v>161.19999999999999</v>
      </c>
      <c r="S75" s="161">
        <v>161.19999999999999</v>
      </c>
      <c r="T75" s="161">
        <v>161.19999999999999</v>
      </c>
      <c r="U75" s="161">
        <v>161.19999999999999</v>
      </c>
      <c r="V75" s="161">
        <v>161.19999999999999</v>
      </c>
      <c r="W75" s="161">
        <v>161.19999999999999</v>
      </c>
      <c r="X75" s="161">
        <v>161.19999999999999</v>
      </c>
      <c r="Y75" s="161">
        <v>161.19999999999999</v>
      </c>
      <c r="Z75" s="161">
        <v>161.19999999999999</v>
      </c>
      <c r="AA75" s="161">
        <v>161.19999999999999</v>
      </c>
      <c r="AB75" s="161">
        <v>161.19999999999999</v>
      </c>
      <c r="AC75" s="162">
        <v>161.19999999999999</v>
      </c>
    </row>
    <row r="76" spans="1:29" ht="20.399999999999999" customHeight="1">
      <c r="A76" s="693"/>
      <c r="B76" s="690"/>
      <c r="C76" s="690"/>
      <c r="D76" s="701"/>
      <c r="E76" s="163" t="s">
        <v>661</v>
      </c>
      <c r="F76" s="164">
        <v>161.19999999999999</v>
      </c>
      <c r="G76" s="164">
        <v>161.19999999999999</v>
      </c>
      <c r="H76" s="164">
        <v>161.19999999999999</v>
      </c>
      <c r="I76" s="164">
        <v>161.19999999999999</v>
      </c>
      <c r="J76" s="164">
        <v>161.19999999999999</v>
      </c>
      <c r="K76" s="164">
        <v>161.19999999999999</v>
      </c>
      <c r="L76" s="164">
        <v>161.19999999999999</v>
      </c>
      <c r="M76" s="164">
        <v>161.19999999999999</v>
      </c>
      <c r="N76" s="164">
        <v>161.19999999999999</v>
      </c>
      <c r="O76" s="164">
        <v>161.19999999999999</v>
      </c>
      <c r="P76" s="164">
        <v>161.19999999999999</v>
      </c>
      <c r="Q76" s="164">
        <v>161.19999999999999</v>
      </c>
      <c r="R76" s="164">
        <v>161.19999999999999</v>
      </c>
      <c r="S76" s="164">
        <v>161.19999999999999</v>
      </c>
      <c r="T76" s="164">
        <v>161.19999999999999</v>
      </c>
      <c r="U76" s="164">
        <v>161.19999999999999</v>
      </c>
      <c r="V76" s="164">
        <v>161.19999999999999</v>
      </c>
      <c r="W76" s="164">
        <v>161.19999999999999</v>
      </c>
      <c r="X76" s="164">
        <v>161.19999999999999</v>
      </c>
      <c r="Y76" s="164">
        <v>161.19999999999999</v>
      </c>
      <c r="Z76" s="164">
        <v>161.19999999999999</v>
      </c>
      <c r="AA76" s="164">
        <v>161.19999999999999</v>
      </c>
      <c r="AB76" s="164">
        <v>161.19999999999999</v>
      </c>
      <c r="AC76" s="165">
        <v>161.19999999999999</v>
      </c>
    </row>
    <row r="77" spans="1:29" ht="20.399999999999999" customHeight="1" thickBot="1">
      <c r="A77" s="694"/>
      <c r="B77" s="691"/>
      <c r="C77" s="691"/>
      <c r="D77" s="714"/>
      <c r="E77" s="166" t="s">
        <v>662</v>
      </c>
      <c r="F77" s="167">
        <v>161.19999999999999</v>
      </c>
      <c r="G77" s="167">
        <v>161.19999999999999</v>
      </c>
      <c r="H77" s="167">
        <v>161.19999999999999</v>
      </c>
      <c r="I77" s="167">
        <v>161.19999999999999</v>
      </c>
      <c r="J77" s="167">
        <v>161.19999999999999</v>
      </c>
      <c r="K77" s="167">
        <v>161.19999999999999</v>
      </c>
      <c r="L77" s="167">
        <v>161.19999999999999</v>
      </c>
      <c r="M77" s="167">
        <v>161.19999999999999</v>
      </c>
      <c r="N77" s="167">
        <v>161.19999999999999</v>
      </c>
      <c r="O77" s="167">
        <v>161.19999999999999</v>
      </c>
      <c r="P77" s="167">
        <v>161.19999999999999</v>
      </c>
      <c r="Q77" s="167">
        <v>161.19999999999999</v>
      </c>
      <c r="R77" s="167">
        <v>161.19999999999999</v>
      </c>
      <c r="S77" s="167">
        <v>161.19999999999999</v>
      </c>
      <c r="T77" s="167">
        <v>161.19999999999999</v>
      </c>
      <c r="U77" s="167">
        <v>161.19999999999999</v>
      </c>
      <c r="V77" s="167">
        <v>161.19999999999999</v>
      </c>
      <c r="W77" s="167">
        <v>161.19999999999999</v>
      </c>
      <c r="X77" s="167">
        <v>161.19999999999999</v>
      </c>
      <c r="Y77" s="167">
        <v>161.19999999999999</v>
      </c>
      <c r="Z77" s="167">
        <v>161.19999999999999</v>
      </c>
      <c r="AA77" s="167">
        <v>161.19999999999999</v>
      </c>
      <c r="AB77" s="167">
        <v>161.19999999999999</v>
      </c>
      <c r="AC77" s="168">
        <v>161.19999999999999</v>
      </c>
    </row>
    <row r="78" spans="1:29" ht="20.399999999999999" customHeight="1">
      <c r="A78" s="721" t="s">
        <v>688</v>
      </c>
      <c r="B78" s="689" t="s">
        <v>110</v>
      </c>
      <c r="C78" s="689" t="s">
        <v>689</v>
      </c>
      <c r="D78" s="700" t="s">
        <v>683</v>
      </c>
      <c r="E78" s="169" t="s">
        <v>660</v>
      </c>
      <c r="F78" s="170">
        <v>219.8</v>
      </c>
      <c r="G78" s="170">
        <v>219.8</v>
      </c>
      <c r="H78" s="170">
        <v>219.8</v>
      </c>
      <c r="I78" s="170">
        <v>219.8</v>
      </c>
      <c r="J78" s="170">
        <v>219.8</v>
      </c>
      <c r="K78" s="170">
        <v>219.8</v>
      </c>
      <c r="L78" s="170">
        <v>219.8</v>
      </c>
      <c r="M78" s="170">
        <v>219.8</v>
      </c>
      <c r="N78" s="170">
        <v>219.8</v>
      </c>
      <c r="O78" s="170">
        <v>219.8</v>
      </c>
      <c r="P78" s="170">
        <v>219.8</v>
      </c>
      <c r="Q78" s="170">
        <v>219.8</v>
      </c>
      <c r="R78" s="170">
        <v>219.8</v>
      </c>
      <c r="S78" s="170">
        <v>219.8</v>
      </c>
      <c r="T78" s="170">
        <v>219.8</v>
      </c>
      <c r="U78" s="170">
        <v>219.8</v>
      </c>
      <c r="V78" s="170">
        <v>219.8</v>
      </c>
      <c r="W78" s="170">
        <v>219.8</v>
      </c>
      <c r="X78" s="170">
        <v>219.8</v>
      </c>
      <c r="Y78" s="170">
        <v>219.8</v>
      </c>
      <c r="Z78" s="170">
        <v>219.8</v>
      </c>
      <c r="AA78" s="170">
        <v>219.8</v>
      </c>
      <c r="AB78" s="170">
        <v>219.8</v>
      </c>
      <c r="AC78" s="171">
        <v>219.8</v>
      </c>
    </row>
    <row r="79" spans="1:29" ht="20.399999999999999" customHeight="1">
      <c r="A79" s="693"/>
      <c r="B79" s="690"/>
      <c r="C79" s="690"/>
      <c r="D79" s="701"/>
      <c r="E79" s="163" t="s">
        <v>661</v>
      </c>
      <c r="F79" s="164">
        <v>219.8</v>
      </c>
      <c r="G79" s="164">
        <v>219.8</v>
      </c>
      <c r="H79" s="164">
        <v>219.8</v>
      </c>
      <c r="I79" s="164">
        <v>219.8</v>
      </c>
      <c r="J79" s="164">
        <v>219.8</v>
      </c>
      <c r="K79" s="164">
        <v>219.8</v>
      </c>
      <c r="L79" s="164">
        <v>219.8</v>
      </c>
      <c r="M79" s="164">
        <v>219.8</v>
      </c>
      <c r="N79" s="164">
        <v>219.8</v>
      </c>
      <c r="O79" s="164">
        <v>219.8</v>
      </c>
      <c r="P79" s="164">
        <v>219.8</v>
      </c>
      <c r="Q79" s="164">
        <v>219.8</v>
      </c>
      <c r="R79" s="164">
        <v>219.8</v>
      </c>
      <c r="S79" s="164">
        <v>219.8</v>
      </c>
      <c r="T79" s="164">
        <v>219.8</v>
      </c>
      <c r="U79" s="164">
        <v>219.8</v>
      </c>
      <c r="V79" s="164">
        <v>219.8</v>
      </c>
      <c r="W79" s="164">
        <v>219.8</v>
      </c>
      <c r="X79" s="164">
        <v>219.8</v>
      </c>
      <c r="Y79" s="164">
        <v>219.8</v>
      </c>
      <c r="Z79" s="164">
        <v>219.8</v>
      </c>
      <c r="AA79" s="164">
        <v>219.8</v>
      </c>
      <c r="AB79" s="164">
        <v>219.8</v>
      </c>
      <c r="AC79" s="165">
        <v>219.8</v>
      </c>
    </row>
    <row r="80" spans="1:29" ht="20.399999999999999" customHeight="1" thickBot="1">
      <c r="A80" s="694"/>
      <c r="B80" s="691"/>
      <c r="C80" s="691"/>
      <c r="D80" s="714"/>
      <c r="E80" s="166" t="s">
        <v>662</v>
      </c>
      <c r="F80" s="167">
        <v>219.8</v>
      </c>
      <c r="G80" s="167">
        <v>219.8</v>
      </c>
      <c r="H80" s="167">
        <v>219.8</v>
      </c>
      <c r="I80" s="167">
        <v>219.8</v>
      </c>
      <c r="J80" s="167">
        <v>219.8</v>
      </c>
      <c r="K80" s="167">
        <v>219.8</v>
      </c>
      <c r="L80" s="167">
        <v>219.8</v>
      </c>
      <c r="M80" s="167">
        <v>219.8</v>
      </c>
      <c r="N80" s="167">
        <v>219.8</v>
      </c>
      <c r="O80" s="167">
        <v>219.8</v>
      </c>
      <c r="P80" s="167">
        <v>219.8</v>
      </c>
      <c r="Q80" s="167">
        <v>219.8</v>
      </c>
      <c r="R80" s="167">
        <v>219.8</v>
      </c>
      <c r="S80" s="167">
        <v>219.8</v>
      </c>
      <c r="T80" s="167">
        <v>219.8</v>
      </c>
      <c r="U80" s="167">
        <v>219.8</v>
      </c>
      <c r="V80" s="167">
        <v>219.8</v>
      </c>
      <c r="W80" s="167">
        <v>219.8</v>
      </c>
      <c r="X80" s="167">
        <v>219.8</v>
      </c>
      <c r="Y80" s="167">
        <v>219.8</v>
      </c>
      <c r="Z80" s="167">
        <v>219.8</v>
      </c>
      <c r="AA80" s="167">
        <v>219.8</v>
      </c>
      <c r="AB80" s="167">
        <v>219.8</v>
      </c>
      <c r="AC80" s="168">
        <v>219.8</v>
      </c>
    </row>
    <row r="81" spans="1:29" ht="20.399999999999999" customHeight="1">
      <c r="A81" s="692" t="s">
        <v>690</v>
      </c>
      <c r="B81" s="695" t="s">
        <v>110</v>
      </c>
      <c r="C81" s="695" t="s">
        <v>691</v>
      </c>
      <c r="D81" s="713" t="s">
        <v>683</v>
      </c>
      <c r="E81" s="160" t="s">
        <v>660</v>
      </c>
      <c r="F81" s="161">
        <v>213.9</v>
      </c>
      <c r="G81" s="161">
        <v>213.9</v>
      </c>
      <c r="H81" s="161">
        <v>213.9</v>
      </c>
      <c r="I81" s="161">
        <v>213.9</v>
      </c>
      <c r="J81" s="161">
        <v>213.9</v>
      </c>
      <c r="K81" s="161">
        <v>213.9</v>
      </c>
      <c r="L81" s="161">
        <v>213.9</v>
      </c>
      <c r="M81" s="161">
        <v>213.9</v>
      </c>
      <c r="N81" s="161">
        <v>213.9</v>
      </c>
      <c r="O81" s="161">
        <v>213.9</v>
      </c>
      <c r="P81" s="161">
        <v>213.9</v>
      </c>
      <c r="Q81" s="161">
        <v>213.9</v>
      </c>
      <c r="R81" s="161">
        <v>213.9</v>
      </c>
      <c r="S81" s="161">
        <v>213.9</v>
      </c>
      <c r="T81" s="161">
        <v>213.9</v>
      </c>
      <c r="U81" s="161">
        <v>213.9</v>
      </c>
      <c r="V81" s="161">
        <v>213.9</v>
      </c>
      <c r="W81" s="161">
        <v>213.9</v>
      </c>
      <c r="X81" s="161">
        <v>213.9</v>
      </c>
      <c r="Y81" s="161">
        <v>213.9</v>
      </c>
      <c r="Z81" s="161">
        <v>213.9</v>
      </c>
      <c r="AA81" s="161">
        <v>213.9</v>
      </c>
      <c r="AB81" s="161">
        <v>213.9</v>
      </c>
      <c r="AC81" s="162">
        <v>213.9</v>
      </c>
    </row>
    <row r="82" spans="1:29" ht="20.399999999999999" customHeight="1">
      <c r="A82" s="693"/>
      <c r="B82" s="690"/>
      <c r="C82" s="690"/>
      <c r="D82" s="701"/>
      <c r="E82" s="163" t="s">
        <v>661</v>
      </c>
      <c r="F82" s="164">
        <v>213.9</v>
      </c>
      <c r="G82" s="164">
        <v>213.9</v>
      </c>
      <c r="H82" s="164">
        <v>213.9</v>
      </c>
      <c r="I82" s="164">
        <v>213.9</v>
      </c>
      <c r="J82" s="164">
        <v>213.9</v>
      </c>
      <c r="K82" s="164">
        <v>213.9</v>
      </c>
      <c r="L82" s="164">
        <v>213.9</v>
      </c>
      <c r="M82" s="164">
        <v>213.9</v>
      </c>
      <c r="N82" s="164">
        <v>213.9</v>
      </c>
      <c r="O82" s="164">
        <v>213.9</v>
      </c>
      <c r="P82" s="164">
        <v>213.9</v>
      </c>
      <c r="Q82" s="164">
        <v>213.9</v>
      </c>
      <c r="R82" s="164">
        <v>213.9</v>
      </c>
      <c r="S82" s="164">
        <v>213.9</v>
      </c>
      <c r="T82" s="164">
        <v>213.9</v>
      </c>
      <c r="U82" s="164">
        <v>213.9</v>
      </c>
      <c r="V82" s="164">
        <v>213.9</v>
      </c>
      <c r="W82" s="164">
        <v>213.9</v>
      </c>
      <c r="X82" s="164">
        <v>213.9</v>
      </c>
      <c r="Y82" s="164">
        <v>213.9</v>
      </c>
      <c r="Z82" s="164">
        <v>213.9</v>
      </c>
      <c r="AA82" s="164">
        <v>213.9</v>
      </c>
      <c r="AB82" s="164">
        <v>213.9</v>
      </c>
      <c r="AC82" s="165">
        <v>213.9</v>
      </c>
    </row>
    <row r="83" spans="1:29" ht="20.399999999999999" customHeight="1" thickBot="1">
      <c r="A83" s="694"/>
      <c r="B83" s="691"/>
      <c r="C83" s="691"/>
      <c r="D83" s="714"/>
      <c r="E83" s="166" t="s">
        <v>662</v>
      </c>
      <c r="F83" s="167">
        <v>213.9</v>
      </c>
      <c r="G83" s="167">
        <v>213.9</v>
      </c>
      <c r="H83" s="167">
        <v>213.9</v>
      </c>
      <c r="I83" s="167">
        <v>213.9</v>
      </c>
      <c r="J83" s="167">
        <v>213.9</v>
      </c>
      <c r="K83" s="167">
        <v>213.9</v>
      </c>
      <c r="L83" s="167">
        <v>213.9</v>
      </c>
      <c r="M83" s="167">
        <v>213.9</v>
      </c>
      <c r="N83" s="167">
        <v>213.9</v>
      </c>
      <c r="O83" s="167">
        <v>213.9</v>
      </c>
      <c r="P83" s="167">
        <v>213.9</v>
      </c>
      <c r="Q83" s="167">
        <v>213.9</v>
      </c>
      <c r="R83" s="167">
        <v>213.9</v>
      </c>
      <c r="S83" s="167">
        <v>213.9</v>
      </c>
      <c r="T83" s="167">
        <v>213.9</v>
      </c>
      <c r="U83" s="167">
        <v>213.9</v>
      </c>
      <c r="V83" s="167">
        <v>213.9</v>
      </c>
      <c r="W83" s="167">
        <v>213.9</v>
      </c>
      <c r="X83" s="167">
        <v>213.9</v>
      </c>
      <c r="Y83" s="167">
        <v>213.9</v>
      </c>
      <c r="Z83" s="167">
        <v>213.9</v>
      </c>
      <c r="AA83" s="167">
        <v>213.9</v>
      </c>
      <c r="AB83" s="167">
        <v>213.9</v>
      </c>
      <c r="AC83" s="168">
        <v>213.9</v>
      </c>
    </row>
    <row r="84" spans="1:29" ht="20.399999999999999" customHeight="1" thickBot="1">
      <c r="A84" s="709" t="s">
        <v>692</v>
      </c>
      <c r="B84" s="709"/>
      <c r="C84" s="709" t="s">
        <v>28</v>
      </c>
      <c r="D84" s="709"/>
      <c r="E84" s="709"/>
      <c r="F84" s="709"/>
      <c r="G84" s="709"/>
      <c r="H84" s="709"/>
      <c r="I84" s="709"/>
      <c r="J84" s="709"/>
      <c r="K84" s="709"/>
      <c r="L84" s="709"/>
      <c r="M84" s="709"/>
      <c r="N84" s="709"/>
      <c r="O84" s="709"/>
      <c r="P84" s="709"/>
      <c r="Q84" s="709"/>
      <c r="R84" s="709"/>
      <c r="S84" s="709"/>
      <c r="T84" s="709"/>
      <c r="U84" s="709"/>
      <c r="V84" s="709"/>
      <c r="W84" s="709"/>
      <c r="X84" s="709"/>
      <c r="Y84" s="709"/>
      <c r="Z84" s="709"/>
      <c r="AA84" s="709"/>
      <c r="AB84" s="709"/>
      <c r="AC84" s="710"/>
    </row>
    <row r="85" spans="1:29" ht="20.399999999999999" customHeight="1">
      <c r="A85" s="656" t="s">
        <v>693</v>
      </c>
      <c r="B85" s="659" t="s">
        <v>785</v>
      </c>
      <c r="C85" s="659" t="s">
        <v>658</v>
      </c>
      <c r="D85" s="711" t="s">
        <v>659</v>
      </c>
      <c r="E85" s="527" t="s">
        <v>660</v>
      </c>
      <c r="F85" s="527">
        <v>0</v>
      </c>
      <c r="G85" s="527">
        <v>0</v>
      </c>
      <c r="H85" s="527">
        <v>0</v>
      </c>
      <c r="I85" s="527">
        <v>0</v>
      </c>
      <c r="J85" s="527">
        <v>0</v>
      </c>
      <c r="K85" s="527">
        <v>0</v>
      </c>
      <c r="L85" s="527">
        <v>0</v>
      </c>
      <c r="M85" s="527">
        <v>0.1</v>
      </c>
      <c r="N85" s="527">
        <v>0.5</v>
      </c>
      <c r="O85" s="527">
        <v>0.8</v>
      </c>
      <c r="P85" s="527">
        <v>0.8</v>
      </c>
      <c r="Q85" s="527">
        <v>0.8</v>
      </c>
      <c r="R85" s="527">
        <v>0.8</v>
      </c>
      <c r="S85" s="527">
        <v>0.8</v>
      </c>
      <c r="T85" s="527">
        <v>0.8</v>
      </c>
      <c r="U85" s="527">
        <v>0.8</v>
      </c>
      <c r="V85" s="527">
        <v>0.8</v>
      </c>
      <c r="W85" s="527">
        <v>0.5</v>
      </c>
      <c r="X85" s="527">
        <v>0.3</v>
      </c>
      <c r="Y85" s="527">
        <v>0.3</v>
      </c>
      <c r="Z85" s="527">
        <v>0.2</v>
      </c>
      <c r="AA85" s="527">
        <v>0.2</v>
      </c>
      <c r="AB85" s="527">
        <v>0</v>
      </c>
      <c r="AC85" s="291">
        <v>0</v>
      </c>
    </row>
    <row r="86" spans="1:29" ht="20.399999999999999" customHeight="1">
      <c r="A86" s="657"/>
      <c r="B86" s="596"/>
      <c r="C86" s="596"/>
      <c r="D86" s="679"/>
      <c r="E86" s="516" t="s">
        <v>661</v>
      </c>
      <c r="F86" s="516">
        <v>0</v>
      </c>
      <c r="G86" s="516">
        <v>0</v>
      </c>
      <c r="H86" s="516">
        <v>0</v>
      </c>
      <c r="I86" s="516">
        <v>0</v>
      </c>
      <c r="J86" s="516">
        <v>0</v>
      </c>
      <c r="K86" s="516">
        <v>0</v>
      </c>
      <c r="L86" s="516">
        <v>0</v>
      </c>
      <c r="M86" s="516">
        <v>0.1</v>
      </c>
      <c r="N86" s="516">
        <v>0.3</v>
      </c>
      <c r="O86" s="516">
        <v>0.4</v>
      </c>
      <c r="P86" s="516">
        <v>0.4</v>
      </c>
      <c r="Q86" s="516">
        <v>0.4</v>
      </c>
      <c r="R86" s="516">
        <v>0.4</v>
      </c>
      <c r="S86" s="516">
        <v>0.4</v>
      </c>
      <c r="T86" s="516">
        <v>0.4</v>
      </c>
      <c r="U86" s="516">
        <v>0.4</v>
      </c>
      <c r="V86" s="516">
        <v>0.4</v>
      </c>
      <c r="W86" s="516">
        <v>0.1</v>
      </c>
      <c r="X86" s="516">
        <v>0.1</v>
      </c>
      <c r="Y86" s="516">
        <v>0</v>
      </c>
      <c r="Z86" s="516">
        <v>0</v>
      </c>
      <c r="AA86" s="516">
        <v>0</v>
      </c>
      <c r="AB86" s="516">
        <v>0</v>
      </c>
      <c r="AC86" s="292">
        <v>0</v>
      </c>
    </row>
    <row r="87" spans="1:29" ht="20.399999999999999" customHeight="1" thickBot="1">
      <c r="A87" s="658"/>
      <c r="B87" s="660"/>
      <c r="C87" s="660"/>
      <c r="D87" s="712"/>
      <c r="E87" s="528" t="s">
        <v>662</v>
      </c>
      <c r="F87" s="528">
        <v>0</v>
      </c>
      <c r="G87" s="528">
        <v>0</v>
      </c>
      <c r="H87" s="528">
        <v>0</v>
      </c>
      <c r="I87" s="528">
        <v>0</v>
      </c>
      <c r="J87" s="528">
        <v>0</v>
      </c>
      <c r="K87" s="528">
        <v>0</v>
      </c>
      <c r="L87" s="528">
        <v>0</v>
      </c>
      <c r="M87" s="528">
        <v>0</v>
      </c>
      <c r="N87" s="528">
        <v>0.05</v>
      </c>
      <c r="O87" s="528">
        <v>0.05</v>
      </c>
      <c r="P87" s="528">
        <v>0.05</v>
      </c>
      <c r="Q87" s="528">
        <v>0.05</v>
      </c>
      <c r="R87" s="528">
        <v>0.05</v>
      </c>
      <c r="S87" s="528">
        <v>0.05</v>
      </c>
      <c r="T87" s="528">
        <v>0.05</v>
      </c>
      <c r="U87" s="528">
        <v>0.05</v>
      </c>
      <c r="V87" s="528">
        <v>0</v>
      </c>
      <c r="W87" s="528">
        <v>0</v>
      </c>
      <c r="X87" s="528">
        <v>0</v>
      </c>
      <c r="Y87" s="528">
        <v>0</v>
      </c>
      <c r="Z87" s="528">
        <v>0</v>
      </c>
      <c r="AA87" s="528">
        <v>0</v>
      </c>
      <c r="AB87" s="528">
        <v>0</v>
      </c>
      <c r="AC87" s="293">
        <v>0</v>
      </c>
    </row>
    <row r="88" spans="1:29" ht="20.399999999999999" customHeight="1">
      <c r="A88" s="602" t="s">
        <v>693</v>
      </c>
      <c r="B88" s="659" t="s">
        <v>785</v>
      </c>
      <c r="C88" s="675" t="s">
        <v>663</v>
      </c>
      <c r="D88" s="678" t="s">
        <v>659</v>
      </c>
      <c r="E88" s="294" t="s">
        <v>660</v>
      </c>
      <c r="F88" s="294">
        <v>0.1</v>
      </c>
      <c r="G88" s="294">
        <v>0.1</v>
      </c>
      <c r="H88" s="294">
        <v>0.1</v>
      </c>
      <c r="I88" s="294">
        <v>0.1</v>
      </c>
      <c r="J88" s="294">
        <v>0.1</v>
      </c>
      <c r="K88" s="294">
        <v>0.1</v>
      </c>
      <c r="L88" s="294">
        <v>0.1</v>
      </c>
      <c r="M88" s="294">
        <v>0.45</v>
      </c>
      <c r="N88" s="294">
        <v>0.8</v>
      </c>
      <c r="O88" s="294">
        <v>0.8</v>
      </c>
      <c r="P88" s="294">
        <v>0.8</v>
      </c>
      <c r="Q88" s="294">
        <v>0.8</v>
      </c>
      <c r="R88" s="294">
        <v>0.8</v>
      </c>
      <c r="S88" s="294">
        <v>0.8</v>
      </c>
      <c r="T88" s="294">
        <v>0.8</v>
      </c>
      <c r="U88" s="294">
        <v>0.8</v>
      </c>
      <c r="V88" s="294">
        <v>0.3</v>
      </c>
      <c r="W88" s="294">
        <v>0.3</v>
      </c>
      <c r="X88" s="294">
        <v>0.3</v>
      </c>
      <c r="Y88" s="294">
        <v>0.3</v>
      </c>
      <c r="Z88" s="294">
        <v>0.3</v>
      </c>
      <c r="AA88" s="294">
        <v>0.3</v>
      </c>
      <c r="AB88" s="294">
        <v>0.3</v>
      </c>
      <c r="AC88" s="295">
        <v>0.1</v>
      </c>
    </row>
    <row r="89" spans="1:29" ht="20.399999999999999" customHeight="1">
      <c r="A89" s="603"/>
      <c r="B89" s="596"/>
      <c r="C89" s="676"/>
      <c r="D89" s="679"/>
      <c r="E89" s="521" t="s">
        <v>661</v>
      </c>
      <c r="F89" s="521">
        <v>0.1</v>
      </c>
      <c r="G89" s="521">
        <v>0.1</v>
      </c>
      <c r="H89" s="521">
        <v>0.1</v>
      </c>
      <c r="I89" s="521">
        <v>0.1</v>
      </c>
      <c r="J89" s="521">
        <v>0.1</v>
      </c>
      <c r="K89" s="521">
        <v>0.1</v>
      </c>
      <c r="L89" s="521">
        <v>0.1</v>
      </c>
      <c r="M89" s="521">
        <v>0.2</v>
      </c>
      <c r="N89" s="521">
        <v>0.35</v>
      </c>
      <c r="O89" s="521">
        <v>0.35</v>
      </c>
      <c r="P89" s="521">
        <v>0.35</v>
      </c>
      <c r="Q89" s="521">
        <v>0.35</v>
      </c>
      <c r="R89" s="521">
        <v>0.35</v>
      </c>
      <c r="S89" s="521">
        <v>0.35</v>
      </c>
      <c r="T89" s="521">
        <v>0.35</v>
      </c>
      <c r="U89" s="521">
        <v>0.35</v>
      </c>
      <c r="V89" s="521">
        <v>0.35</v>
      </c>
      <c r="W89" s="521">
        <v>0.35</v>
      </c>
      <c r="X89" s="521">
        <v>0.1</v>
      </c>
      <c r="Y89" s="521">
        <v>0.1</v>
      </c>
      <c r="Z89" s="521">
        <v>0.1</v>
      </c>
      <c r="AA89" s="521">
        <v>0.1</v>
      </c>
      <c r="AB89" s="521">
        <v>0.1</v>
      </c>
      <c r="AC89" s="296">
        <v>0.1</v>
      </c>
    </row>
    <row r="90" spans="1:29" ht="20.399999999999999" customHeight="1" thickBot="1">
      <c r="A90" s="672"/>
      <c r="B90" s="660"/>
      <c r="C90" s="681"/>
      <c r="D90" s="680"/>
      <c r="E90" s="297" t="s">
        <v>662</v>
      </c>
      <c r="F90" s="297">
        <v>0.05</v>
      </c>
      <c r="G90" s="297">
        <v>0.05</v>
      </c>
      <c r="H90" s="297">
        <v>0.05</v>
      </c>
      <c r="I90" s="297">
        <v>0.05</v>
      </c>
      <c r="J90" s="297">
        <v>0.05</v>
      </c>
      <c r="K90" s="297">
        <v>0.05</v>
      </c>
      <c r="L90" s="297">
        <v>0.05</v>
      </c>
      <c r="M90" s="297">
        <v>0.05</v>
      </c>
      <c r="N90" s="297">
        <v>0.1</v>
      </c>
      <c r="O90" s="297">
        <v>0.1</v>
      </c>
      <c r="P90" s="297">
        <v>0.1</v>
      </c>
      <c r="Q90" s="297">
        <v>0.1</v>
      </c>
      <c r="R90" s="297">
        <v>0.1</v>
      </c>
      <c r="S90" s="297">
        <v>0.1</v>
      </c>
      <c r="T90" s="297">
        <v>0.1</v>
      </c>
      <c r="U90" s="297">
        <v>0.1</v>
      </c>
      <c r="V90" s="297">
        <v>0.05</v>
      </c>
      <c r="W90" s="297">
        <v>0.05</v>
      </c>
      <c r="X90" s="297">
        <v>0.05</v>
      </c>
      <c r="Y90" s="297">
        <v>0.05</v>
      </c>
      <c r="Z90" s="297">
        <v>0.05</v>
      </c>
      <c r="AA90" s="297">
        <v>0.05</v>
      </c>
      <c r="AB90" s="297">
        <v>0.05</v>
      </c>
      <c r="AC90" s="298">
        <v>0.05</v>
      </c>
    </row>
    <row r="91" spans="1:29" ht="20.399999999999999" customHeight="1">
      <c r="A91" s="671" t="s">
        <v>693</v>
      </c>
      <c r="B91" s="659" t="s">
        <v>785</v>
      </c>
      <c r="C91" s="722" t="s">
        <v>664</v>
      </c>
      <c r="D91" s="678" t="s">
        <v>659</v>
      </c>
      <c r="E91" s="299" t="s">
        <v>660</v>
      </c>
      <c r="F91" s="300">
        <v>0.1</v>
      </c>
      <c r="G91" s="300">
        <v>0.1</v>
      </c>
      <c r="H91" s="300">
        <v>0.1</v>
      </c>
      <c r="I91" s="300">
        <v>0.1</v>
      </c>
      <c r="J91" s="300">
        <v>0.1</v>
      </c>
      <c r="K91" s="300">
        <v>0.1</v>
      </c>
      <c r="L91" s="300">
        <v>0.1</v>
      </c>
      <c r="M91" s="300">
        <v>0.5</v>
      </c>
      <c r="N91" s="300">
        <v>0.9</v>
      </c>
      <c r="O91" s="300">
        <v>0.9</v>
      </c>
      <c r="P91" s="300">
        <v>0.9</v>
      </c>
      <c r="Q91" s="300">
        <v>0.9</v>
      </c>
      <c r="R91" s="300">
        <v>0.9</v>
      </c>
      <c r="S91" s="300">
        <v>0.9</v>
      </c>
      <c r="T91" s="300">
        <v>0.9</v>
      </c>
      <c r="U91" s="300">
        <v>0.9</v>
      </c>
      <c r="V91" s="300">
        <v>0.3</v>
      </c>
      <c r="W91" s="300">
        <v>0.3</v>
      </c>
      <c r="X91" s="300">
        <v>0.3</v>
      </c>
      <c r="Y91" s="300">
        <v>0.3</v>
      </c>
      <c r="Z91" s="300">
        <v>0.3</v>
      </c>
      <c r="AA91" s="300">
        <v>0.3</v>
      </c>
      <c r="AB91" s="300">
        <v>0.3</v>
      </c>
      <c r="AC91" s="301">
        <v>0.1</v>
      </c>
    </row>
    <row r="92" spans="1:29" ht="20.399999999999999" customHeight="1">
      <c r="A92" s="603"/>
      <c r="B92" s="596"/>
      <c r="C92" s="676"/>
      <c r="D92" s="679"/>
      <c r="E92" s="521" t="s">
        <v>661</v>
      </c>
      <c r="F92" s="302">
        <v>0.1</v>
      </c>
      <c r="G92" s="302">
        <v>0.1</v>
      </c>
      <c r="H92" s="302">
        <v>0.1</v>
      </c>
      <c r="I92" s="302">
        <v>0.1</v>
      </c>
      <c r="J92" s="302">
        <v>0.1</v>
      </c>
      <c r="K92" s="302">
        <v>0.1</v>
      </c>
      <c r="L92" s="302">
        <v>0.1</v>
      </c>
      <c r="M92" s="302">
        <v>0.2</v>
      </c>
      <c r="N92" s="302">
        <v>0.4</v>
      </c>
      <c r="O92" s="302">
        <v>0.4</v>
      </c>
      <c r="P92" s="302">
        <v>0.4</v>
      </c>
      <c r="Q92" s="302">
        <v>0.4</v>
      </c>
      <c r="R92" s="302">
        <v>0.4</v>
      </c>
      <c r="S92" s="302">
        <v>0.4</v>
      </c>
      <c r="T92" s="302">
        <v>0.4</v>
      </c>
      <c r="U92" s="302">
        <v>0.4</v>
      </c>
      <c r="V92" s="302">
        <v>0.4</v>
      </c>
      <c r="W92" s="302">
        <v>0.4</v>
      </c>
      <c r="X92" s="302">
        <v>0.1</v>
      </c>
      <c r="Y92" s="302">
        <v>0.1</v>
      </c>
      <c r="Z92" s="302">
        <v>0.1</v>
      </c>
      <c r="AA92" s="302">
        <v>0.1</v>
      </c>
      <c r="AB92" s="302">
        <v>0.1</v>
      </c>
      <c r="AC92" s="303">
        <v>0.1</v>
      </c>
    </row>
    <row r="93" spans="1:29" ht="20.399999999999999" customHeight="1" thickBot="1">
      <c r="A93" s="672"/>
      <c r="B93" s="660"/>
      <c r="C93" s="677"/>
      <c r="D93" s="680"/>
      <c r="E93" s="297" t="s">
        <v>662</v>
      </c>
      <c r="F93" s="304">
        <v>0.05</v>
      </c>
      <c r="G93" s="304">
        <v>0.05</v>
      </c>
      <c r="H93" s="304">
        <v>0.05</v>
      </c>
      <c r="I93" s="304">
        <v>0.05</v>
      </c>
      <c r="J93" s="304">
        <v>0.05</v>
      </c>
      <c r="K93" s="304">
        <v>0.05</v>
      </c>
      <c r="L93" s="304">
        <v>0.05</v>
      </c>
      <c r="M93" s="304">
        <v>0.05</v>
      </c>
      <c r="N93" s="304">
        <v>0.1</v>
      </c>
      <c r="O93" s="304">
        <v>0.1</v>
      </c>
      <c r="P93" s="304">
        <v>0.1</v>
      </c>
      <c r="Q93" s="304">
        <v>0.1</v>
      </c>
      <c r="R93" s="304">
        <v>0.1</v>
      </c>
      <c r="S93" s="304">
        <v>0.1</v>
      </c>
      <c r="T93" s="304">
        <v>0.1</v>
      </c>
      <c r="U93" s="304">
        <v>0.1</v>
      </c>
      <c r="V93" s="304">
        <v>0.05</v>
      </c>
      <c r="W93" s="304">
        <v>0.05</v>
      </c>
      <c r="X93" s="304">
        <v>0.05</v>
      </c>
      <c r="Y93" s="304">
        <v>0.05</v>
      </c>
      <c r="Z93" s="304">
        <v>0.05</v>
      </c>
      <c r="AA93" s="304">
        <v>0.05</v>
      </c>
      <c r="AB93" s="304">
        <v>0.05</v>
      </c>
      <c r="AC93" s="305">
        <v>0.05</v>
      </c>
    </row>
    <row r="94" spans="1:29" ht="20.399999999999999" customHeight="1">
      <c r="A94" s="671" t="s">
        <v>693</v>
      </c>
      <c r="B94" s="659" t="s">
        <v>785</v>
      </c>
      <c r="C94" s="675" t="s">
        <v>665</v>
      </c>
      <c r="D94" s="678" t="s">
        <v>659</v>
      </c>
      <c r="E94" s="527" t="s">
        <v>660</v>
      </c>
      <c r="F94" s="527">
        <v>0.01</v>
      </c>
      <c r="G94" s="527">
        <v>0.01</v>
      </c>
      <c r="H94" s="527">
        <v>0.01</v>
      </c>
      <c r="I94" s="527">
        <v>0.01</v>
      </c>
      <c r="J94" s="527">
        <v>0.01</v>
      </c>
      <c r="K94" s="527">
        <v>0.01</v>
      </c>
      <c r="L94" s="527">
        <v>0.01</v>
      </c>
      <c r="M94" s="527">
        <v>0.17</v>
      </c>
      <c r="N94" s="527">
        <v>0.57999999999999996</v>
      </c>
      <c r="O94" s="527">
        <v>0.66</v>
      </c>
      <c r="P94" s="527">
        <v>0.78</v>
      </c>
      <c r="Q94" s="527">
        <v>0.82</v>
      </c>
      <c r="R94" s="527">
        <v>0.71</v>
      </c>
      <c r="S94" s="527">
        <v>0.82</v>
      </c>
      <c r="T94" s="527">
        <v>0.78</v>
      </c>
      <c r="U94" s="527">
        <v>0.74</v>
      </c>
      <c r="V94" s="527">
        <v>0.63</v>
      </c>
      <c r="W94" s="527">
        <v>0.41</v>
      </c>
      <c r="X94" s="527">
        <v>0.18</v>
      </c>
      <c r="Y94" s="527">
        <v>0.18</v>
      </c>
      <c r="Z94" s="527">
        <v>0.18</v>
      </c>
      <c r="AA94" s="527">
        <v>0.1</v>
      </c>
      <c r="AB94" s="527">
        <v>0.01</v>
      </c>
      <c r="AC94" s="291">
        <v>0.01</v>
      </c>
    </row>
    <row r="95" spans="1:29" ht="20.399999999999999" customHeight="1">
      <c r="A95" s="603"/>
      <c r="B95" s="596"/>
      <c r="C95" s="676"/>
      <c r="D95" s="679"/>
      <c r="E95" s="516" t="s">
        <v>661</v>
      </c>
      <c r="F95" s="516">
        <v>0.01</v>
      </c>
      <c r="G95" s="516">
        <v>0.01</v>
      </c>
      <c r="H95" s="516">
        <v>0.01</v>
      </c>
      <c r="I95" s="516">
        <v>0.01</v>
      </c>
      <c r="J95" s="516">
        <v>0.01</v>
      </c>
      <c r="K95" s="516">
        <v>0.01</v>
      </c>
      <c r="L95" s="516">
        <v>0.01</v>
      </c>
      <c r="M95" s="516">
        <v>0.01</v>
      </c>
      <c r="N95" s="516">
        <v>0.2</v>
      </c>
      <c r="O95" s="516">
        <v>0.28000000000000003</v>
      </c>
      <c r="P95" s="516">
        <v>0.3</v>
      </c>
      <c r="Q95" s="516">
        <v>0.3</v>
      </c>
      <c r="R95" s="516">
        <v>0.24</v>
      </c>
      <c r="S95" s="516">
        <v>0.24</v>
      </c>
      <c r="T95" s="516">
        <v>0.23</v>
      </c>
      <c r="U95" s="516">
        <v>0.23</v>
      </c>
      <c r="V95" s="516">
        <v>0.23</v>
      </c>
      <c r="W95" s="516">
        <v>0.1</v>
      </c>
      <c r="X95" s="516">
        <v>0.01</v>
      </c>
      <c r="Y95" s="516">
        <v>0.01</v>
      </c>
      <c r="Z95" s="516">
        <v>0.01</v>
      </c>
      <c r="AA95" s="516">
        <v>0.01</v>
      </c>
      <c r="AB95" s="516">
        <v>0.01</v>
      </c>
      <c r="AC95" s="292">
        <v>0.01</v>
      </c>
    </row>
    <row r="96" spans="1:29" ht="20.399999999999999" customHeight="1" thickBot="1">
      <c r="A96" s="672"/>
      <c r="B96" s="660"/>
      <c r="C96" s="677"/>
      <c r="D96" s="680"/>
      <c r="E96" s="528" t="s">
        <v>662</v>
      </c>
      <c r="F96" s="528">
        <v>0.01</v>
      </c>
      <c r="G96" s="528">
        <v>0.01</v>
      </c>
      <c r="H96" s="528">
        <v>0.01</v>
      </c>
      <c r="I96" s="528">
        <v>0.01</v>
      </c>
      <c r="J96" s="528">
        <v>0.01</v>
      </c>
      <c r="K96" s="528">
        <v>0.01</v>
      </c>
      <c r="L96" s="528">
        <v>0.01</v>
      </c>
      <c r="M96" s="528">
        <v>0.01</v>
      </c>
      <c r="N96" s="528">
        <v>0.01</v>
      </c>
      <c r="O96" s="528">
        <v>0.01</v>
      </c>
      <c r="P96" s="528">
        <v>0.01</v>
      </c>
      <c r="Q96" s="528">
        <v>0.01</v>
      </c>
      <c r="R96" s="528">
        <v>0.01</v>
      </c>
      <c r="S96" s="528">
        <v>0.01</v>
      </c>
      <c r="T96" s="528">
        <v>0.01</v>
      </c>
      <c r="U96" s="528">
        <v>0.01</v>
      </c>
      <c r="V96" s="528">
        <v>0.01</v>
      </c>
      <c r="W96" s="528">
        <v>0.01</v>
      </c>
      <c r="X96" s="528">
        <v>0.01</v>
      </c>
      <c r="Y96" s="528">
        <v>0.01</v>
      </c>
      <c r="Z96" s="528">
        <v>0.01</v>
      </c>
      <c r="AA96" s="528">
        <v>0.01</v>
      </c>
      <c r="AB96" s="528">
        <v>0.01</v>
      </c>
      <c r="AC96" s="293">
        <v>0.01</v>
      </c>
    </row>
    <row r="97" spans="1:29" ht="20.399999999999999" customHeight="1">
      <c r="A97" s="671" t="s">
        <v>693</v>
      </c>
      <c r="B97" s="659" t="s">
        <v>785</v>
      </c>
      <c r="C97" s="675" t="s">
        <v>666</v>
      </c>
      <c r="D97" s="678" t="s">
        <v>659</v>
      </c>
      <c r="E97" s="299" t="s">
        <v>660</v>
      </c>
      <c r="F97" s="300">
        <v>0</v>
      </c>
      <c r="G97" s="300">
        <v>0</v>
      </c>
      <c r="H97" s="300">
        <v>0</v>
      </c>
      <c r="I97" s="300">
        <v>0</v>
      </c>
      <c r="J97" s="300">
        <v>0</v>
      </c>
      <c r="K97" s="300">
        <v>0</v>
      </c>
      <c r="L97" s="300">
        <v>0</v>
      </c>
      <c r="M97" s="300">
        <v>0.75</v>
      </c>
      <c r="N97" s="300">
        <v>0.9</v>
      </c>
      <c r="O97" s="300">
        <v>0.9</v>
      </c>
      <c r="P97" s="300">
        <v>0.9</v>
      </c>
      <c r="Q97" s="300">
        <v>0.9</v>
      </c>
      <c r="R97" s="300">
        <v>0.9</v>
      </c>
      <c r="S97" s="300">
        <v>0.9</v>
      </c>
      <c r="T97" s="300">
        <v>0.9</v>
      </c>
      <c r="U97" s="300">
        <v>0.9</v>
      </c>
      <c r="V97" s="300">
        <v>0.9</v>
      </c>
      <c r="W97" s="300">
        <v>0.75</v>
      </c>
      <c r="X97" s="300">
        <v>0.2</v>
      </c>
      <c r="Y97" s="300">
        <v>0.1</v>
      </c>
      <c r="Z97" s="300">
        <v>0</v>
      </c>
      <c r="AA97" s="300">
        <v>0</v>
      </c>
      <c r="AB97" s="300">
        <v>0</v>
      </c>
      <c r="AC97" s="301">
        <v>0</v>
      </c>
    </row>
    <row r="98" spans="1:29" ht="20.399999999999999" customHeight="1">
      <c r="A98" s="603"/>
      <c r="B98" s="596"/>
      <c r="C98" s="676"/>
      <c r="D98" s="679"/>
      <c r="E98" s="521" t="s">
        <v>661</v>
      </c>
      <c r="F98" s="302">
        <v>0</v>
      </c>
      <c r="G98" s="302">
        <v>0</v>
      </c>
      <c r="H98" s="302">
        <v>0</v>
      </c>
      <c r="I98" s="302">
        <v>0</v>
      </c>
      <c r="J98" s="302">
        <v>0</v>
      </c>
      <c r="K98" s="302">
        <v>0</v>
      </c>
      <c r="L98" s="302">
        <v>0</v>
      </c>
      <c r="M98" s="302">
        <v>0.3</v>
      </c>
      <c r="N98" s="302">
        <v>0.5</v>
      </c>
      <c r="O98" s="302">
        <v>0.5</v>
      </c>
      <c r="P98" s="302">
        <v>0.5</v>
      </c>
      <c r="Q98" s="302">
        <v>0.5</v>
      </c>
      <c r="R98" s="302">
        <v>0.5</v>
      </c>
      <c r="S98" s="302">
        <v>0.5</v>
      </c>
      <c r="T98" s="302">
        <v>0.5</v>
      </c>
      <c r="U98" s="302">
        <v>0.5</v>
      </c>
      <c r="V98" s="302">
        <v>0.5</v>
      </c>
      <c r="W98" s="302">
        <v>0.3</v>
      </c>
      <c r="X98" s="302">
        <v>0</v>
      </c>
      <c r="Y98" s="302">
        <v>0</v>
      </c>
      <c r="Z98" s="302">
        <v>0</v>
      </c>
      <c r="AA98" s="302">
        <v>0</v>
      </c>
      <c r="AB98" s="302">
        <v>0</v>
      </c>
      <c r="AC98" s="303">
        <v>0</v>
      </c>
    </row>
    <row r="99" spans="1:29" ht="20.399999999999999" customHeight="1" thickBot="1">
      <c r="A99" s="667"/>
      <c r="B99" s="660"/>
      <c r="C99" s="681"/>
      <c r="D99" s="682"/>
      <c r="E99" s="297" t="s">
        <v>662</v>
      </c>
      <c r="F99" s="304">
        <v>0</v>
      </c>
      <c r="G99" s="304">
        <v>0</v>
      </c>
      <c r="H99" s="304">
        <v>0</v>
      </c>
      <c r="I99" s="304">
        <v>0</v>
      </c>
      <c r="J99" s="304">
        <v>0</v>
      </c>
      <c r="K99" s="304">
        <v>0</v>
      </c>
      <c r="L99" s="304">
        <v>0</v>
      </c>
      <c r="M99" s="304">
        <v>0</v>
      </c>
      <c r="N99" s="304">
        <v>0</v>
      </c>
      <c r="O99" s="304">
        <v>0</v>
      </c>
      <c r="P99" s="304">
        <v>0</v>
      </c>
      <c r="Q99" s="304">
        <v>0</v>
      </c>
      <c r="R99" s="304">
        <v>0</v>
      </c>
      <c r="S99" s="304">
        <v>0</v>
      </c>
      <c r="T99" s="304">
        <v>0</v>
      </c>
      <c r="U99" s="304">
        <v>0</v>
      </c>
      <c r="V99" s="304">
        <v>0</v>
      </c>
      <c r="W99" s="304">
        <v>0</v>
      </c>
      <c r="X99" s="304">
        <v>0</v>
      </c>
      <c r="Y99" s="304">
        <v>0</v>
      </c>
      <c r="Z99" s="304">
        <v>0</v>
      </c>
      <c r="AA99" s="304">
        <v>0</v>
      </c>
      <c r="AB99" s="304">
        <v>0</v>
      </c>
      <c r="AC99" s="305">
        <v>0</v>
      </c>
    </row>
    <row r="100" spans="1:29" ht="20.399999999999999" customHeight="1">
      <c r="A100" s="656" t="s">
        <v>693</v>
      </c>
      <c r="B100" s="659" t="s">
        <v>785</v>
      </c>
      <c r="C100" s="671" t="s">
        <v>667</v>
      </c>
      <c r="D100" s="673" t="s">
        <v>659</v>
      </c>
      <c r="E100" s="299" t="s">
        <v>660</v>
      </c>
      <c r="F100" s="300">
        <v>0.9</v>
      </c>
      <c r="G100" s="300">
        <v>0.9</v>
      </c>
      <c r="H100" s="300">
        <v>0.9</v>
      </c>
      <c r="I100" s="300">
        <v>0.9</v>
      </c>
      <c r="J100" s="300">
        <v>0.9</v>
      </c>
      <c r="K100" s="300">
        <v>0.9</v>
      </c>
      <c r="L100" s="300">
        <v>0.9</v>
      </c>
      <c r="M100" s="300">
        <v>0.9</v>
      </c>
      <c r="N100" s="300">
        <v>0.9</v>
      </c>
      <c r="O100" s="300">
        <v>0.9</v>
      </c>
      <c r="P100" s="300">
        <v>0.9</v>
      </c>
      <c r="Q100" s="300">
        <v>0.9</v>
      </c>
      <c r="R100" s="300">
        <v>0.9</v>
      </c>
      <c r="S100" s="300">
        <v>0.9</v>
      </c>
      <c r="T100" s="300">
        <v>0.9</v>
      </c>
      <c r="U100" s="300">
        <v>0.9</v>
      </c>
      <c r="V100" s="300">
        <v>0.9</v>
      </c>
      <c r="W100" s="300">
        <v>0.9</v>
      </c>
      <c r="X100" s="300">
        <v>0.9</v>
      </c>
      <c r="Y100" s="300">
        <v>0.9</v>
      </c>
      <c r="Z100" s="300">
        <v>0.9</v>
      </c>
      <c r="AA100" s="300">
        <v>0.9</v>
      </c>
      <c r="AB100" s="300">
        <v>0.9</v>
      </c>
      <c r="AC100" s="301">
        <v>0.9</v>
      </c>
    </row>
    <row r="101" spans="1:29" ht="20.399999999999999" customHeight="1">
      <c r="A101" s="657"/>
      <c r="B101" s="596"/>
      <c r="C101" s="603"/>
      <c r="D101" s="669"/>
      <c r="E101" s="521" t="s">
        <v>661</v>
      </c>
      <c r="F101" s="302">
        <v>0.9</v>
      </c>
      <c r="G101" s="302">
        <v>0.9</v>
      </c>
      <c r="H101" s="302">
        <v>0.9</v>
      </c>
      <c r="I101" s="302">
        <v>0.9</v>
      </c>
      <c r="J101" s="302">
        <v>0.9</v>
      </c>
      <c r="K101" s="302">
        <v>0.9</v>
      </c>
      <c r="L101" s="302">
        <v>0.9</v>
      </c>
      <c r="M101" s="302">
        <v>0.9</v>
      </c>
      <c r="N101" s="302">
        <v>0.9</v>
      </c>
      <c r="O101" s="302">
        <v>0.9</v>
      </c>
      <c r="P101" s="302">
        <v>0.9</v>
      </c>
      <c r="Q101" s="302">
        <v>0.9</v>
      </c>
      <c r="R101" s="302">
        <v>0.9</v>
      </c>
      <c r="S101" s="302">
        <v>0.9</v>
      </c>
      <c r="T101" s="302">
        <v>0.9</v>
      </c>
      <c r="U101" s="302">
        <v>0.9</v>
      </c>
      <c r="V101" s="302">
        <v>0.9</v>
      </c>
      <c r="W101" s="302">
        <v>0.9</v>
      </c>
      <c r="X101" s="302">
        <v>0.9</v>
      </c>
      <c r="Y101" s="302">
        <v>0.9</v>
      </c>
      <c r="Z101" s="302">
        <v>0.9</v>
      </c>
      <c r="AA101" s="302">
        <v>0.9</v>
      </c>
      <c r="AB101" s="302">
        <v>0.9</v>
      </c>
      <c r="AC101" s="303">
        <v>0.9</v>
      </c>
    </row>
    <row r="102" spans="1:29" ht="20.399999999999999" customHeight="1" thickBot="1">
      <c r="A102" s="658"/>
      <c r="B102" s="660"/>
      <c r="C102" s="672"/>
      <c r="D102" s="674"/>
      <c r="E102" s="306" t="s">
        <v>662</v>
      </c>
      <c r="F102" s="307">
        <v>0.9</v>
      </c>
      <c r="G102" s="307">
        <v>0.9</v>
      </c>
      <c r="H102" s="307">
        <v>0.9</v>
      </c>
      <c r="I102" s="307">
        <v>0.9</v>
      </c>
      <c r="J102" s="307">
        <v>0.9</v>
      </c>
      <c r="K102" s="307">
        <v>0.9</v>
      </c>
      <c r="L102" s="307">
        <v>0.9</v>
      </c>
      <c r="M102" s="307">
        <v>0.9</v>
      </c>
      <c r="N102" s="307">
        <v>0.9</v>
      </c>
      <c r="O102" s="307">
        <v>0.9</v>
      </c>
      <c r="P102" s="307">
        <v>0.9</v>
      </c>
      <c r="Q102" s="307">
        <v>0.9</v>
      </c>
      <c r="R102" s="307">
        <v>0.9</v>
      </c>
      <c r="S102" s="307">
        <v>0.9</v>
      </c>
      <c r="T102" s="307">
        <v>0.9</v>
      </c>
      <c r="U102" s="307">
        <v>0.9</v>
      </c>
      <c r="V102" s="307">
        <v>0.9</v>
      </c>
      <c r="W102" s="307">
        <v>0.9</v>
      </c>
      <c r="X102" s="307">
        <v>0.9</v>
      </c>
      <c r="Y102" s="307">
        <v>0.9</v>
      </c>
      <c r="Z102" s="307">
        <v>0.9</v>
      </c>
      <c r="AA102" s="307">
        <v>0.9</v>
      </c>
      <c r="AB102" s="307">
        <v>0.9</v>
      </c>
      <c r="AC102" s="308">
        <v>0.9</v>
      </c>
    </row>
    <row r="103" spans="1:29" ht="20.399999999999999" customHeight="1">
      <c r="A103" s="602" t="s">
        <v>694</v>
      </c>
      <c r="B103" s="659" t="s">
        <v>785</v>
      </c>
      <c r="C103" s="602" t="s">
        <v>333</v>
      </c>
      <c r="D103" s="668" t="s">
        <v>659</v>
      </c>
      <c r="E103" s="299" t="s">
        <v>660</v>
      </c>
      <c r="F103" s="300">
        <f>IF(F85=0,1,0.25)</f>
        <v>1</v>
      </c>
      <c r="G103" s="300">
        <f t="shared" ref="G103:AC103" si="2">IF(G85=0,1,0.25)</f>
        <v>1</v>
      </c>
      <c r="H103" s="300">
        <f t="shared" si="2"/>
        <v>1</v>
      </c>
      <c r="I103" s="300">
        <f t="shared" si="2"/>
        <v>1</v>
      </c>
      <c r="J103" s="300">
        <f t="shared" si="2"/>
        <v>1</v>
      </c>
      <c r="K103" s="300">
        <f t="shared" si="2"/>
        <v>1</v>
      </c>
      <c r="L103" s="300">
        <f t="shared" si="2"/>
        <v>1</v>
      </c>
      <c r="M103" s="300">
        <f t="shared" si="2"/>
        <v>0.25</v>
      </c>
      <c r="N103" s="300">
        <f t="shared" si="2"/>
        <v>0.25</v>
      </c>
      <c r="O103" s="300">
        <f t="shared" si="2"/>
        <v>0.25</v>
      </c>
      <c r="P103" s="300">
        <f t="shared" si="2"/>
        <v>0.25</v>
      </c>
      <c r="Q103" s="300">
        <f t="shared" si="2"/>
        <v>0.25</v>
      </c>
      <c r="R103" s="300">
        <f t="shared" si="2"/>
        <v>0.25</v>
      </c>
      <c r="S103" s="300">
        <f t="shared" si="2"/>
        <v>0.25</v>
      </c>
      <c r="T103" s="300">
        <f t="shared" si="2"/>
        <v>0.25</v>
      </c>
      <c r="U103" s="300">
        <f t="shared" si="2"/>
        <v>0.25</v>
      </c>
      <c r="V103" s="300">
        <f t="shared" si="2"/>
        <v>0.25</v>
      </c>
      <c r="W103" s="300">
        <f t="shared" si="2"/>
        <v>0.25</v>
      </c>
      <c r="X103" s="300">
        <f t="shared" si="2"/>
        <v>0.25</v>
      </c>
      <c r="Y103" s="300">
        <f t="shared" si="2"/>
        <v>0.25</v>
      </c>
      <c r="Z103" s="300">
        <f t="shared" si="2"/>
        <v>0.25</v>
      </c>
      <c r="AA103" s="300">
        <f t="shared" si="2"/>
        <v>0.25</v>
      </c>
      <c r="AB103" s="300">
        <f t="shared" si="2"/>
        <v>1</v>
      </c>
      <c r="AC103" s="301">
        <f t="shared" si="2"/>
        <v>1</v>
      </c>
    </row>
    <row r="104" spans="1:29" ht="20.399999999999999" customHeight="1">
      <c r="A104" s="603"/>
      <c r="B104" s="596"/>
      <c r="C104" s="603"/>
      <c r="D104" s="669"/>
      <c r="E104" s="521" t="s">
        <v>661</v>
      </c>
      <c r="F104" s="302">
        <f t="shared" ref="F104:AC105" si="3">IF(F86=0,1,0.25)</f>
        <v>1</v>
      </c>
      <c r="G104" s="302">
        <f t="shared" si="3"/>
        <v>1</v>
      </c>
      <c r="H104" s="302">
        <f t="shared" si="3"/>
        <v>1</v>
      </c>
      <c r="I104" s="302">
        <f t="shared" si="3"/>
        <v>1</v>
      </c>
      <c r="J104" s="302">
        <f t="shared" si="3"/>
        <v>1</v>
      </c>
      <c r="K104" s="302">
        <f t="shared" si="3"/>
        <v>1</v>
      </c>
      <c r="L104" s="302">
        <f t="shared" si="3"/>
        <v>1</v>
      </c>
      <c r="M104" s="302">
        <f t="shared" si="3"/>
        <v>0.25</v>
      </c>
      <c r="N104" s="302">
        <f t="shared" si="3"/>
        <v>0.25</v>
      </c>
      <c r="O104" s="302">
        <f t="shared" si="3"/>
        <v>0.25</v>
      </c>
      <c r="P104" s="302">
        <f t="shared" si="3"/>
        <v>0.25</v>
      </c>
      <c r="Q104" s="302">
        <f t="shared" si="3"/>
        <v>0.25</v>
      </c>
      <c r="R104" s="302">
        <f t="shared" si="3"/>
        <v>0.25</v>
      </c>
      <c r="S104" s="302">
        <f t="shared" si="3"/>
        <v>0.25</v>
      </c>
      <c r="T104" s="302">
        <f t="shared" si="3"/>
        <v>0.25</v>
      </c>
      <c r="U104" s="302">
        <f t="shared" si="3"/>
        <v>0.25</v>
      </c>
      <c r="V104" s="302">
        <f t="shared" si="3"/>
        <v>0.25</v>
      </c>
      <c r="W104" s="302">
        <f t="shared" si="3"/>
        <v>0.25</v>
      </c>
      <c r="X104" s="302">
        <f t="shared" si="3"/>
        <v>0.25</v>
      </c>
      <c r="Y104" s="302">
        <f t="shared" si="3"/>
        <v>1</v>
      </c>
      <c r="Z104" s="302">
        <f t="shared" si="3"/>
        <v>1</v>
      </c>
      <c r="AA104" s="302">
        <f t="shared" si="3"/>
        <v>1</v>
      </c>
      <c r="AB104" s="302">
        <f t="shared" si="3"/>
        <v>1</v>
      </c>
      <c r="AC104" s="303">
        <f t="shared" si="3"/>
        <v>1</v>
      </c>
    </row>
    <row r="105" spans="1:29" ht="20.399999999999999" customHeight="1" thickBot="1">
      <c r="A105" s="667"/>
      <c r="B105" s="660"/>
      <c r="C105" s="667"/>
      <c r="D105" s="670"/>
      <c r="E105" s="306" t="s">
        <v>662</v>
      </c>
      <c r="F105" s="307">
        <f t="shared" si="3"/>
        <v>1</v>
      </c>
      <c r="G105" s="307">
        <f t="shared" si="3"/>
        <v>1</v>
      </c>
      <c r="H105" s="307">
        <f t="shared" si="3"/>
        <v>1</v>
      </c>
      <c r="I105" s="307">
        <f t="shared" si="3"/>
        <v>1</v>
      </c>
      <c r="J105" s="307">
        <f t="shared" si="3"/>
        <v>1</v>
      </c>
      <c r="K105" s="307">
        <f t="shared" si="3"/>
        <v>1</v>
      </c>
      <c r="L105" s="307">
        <f t="shared" si="3"/>
        <v>1</v>
      </c>
      <c r="M105" s="307">
        <f t="shared" si="3"/>
        <v>1</v>
      </c>
      <c r="N105" s="307">
        <f t="shared" si="3"/>
        <v>0.25</v>
      </c>
      <c r="O105" s="307">
        <f t="shared" si="3"/>
        <v>0.25</v>
      </c>
      <c r="P105" s="307">
        <f t="shared" si="3"/>
        <v>0.25</v>
      </c>
      <c r="Q105" s="307">
        <f t="shared" si="3"/>
        <v>0.25</v>
      </c>
      <c r="R105" s="307">
        <f t="shared" si="3"/>
        <v>0.25</v>
      </c>
      <c r="S105" s="307">
        <f t="shared" si="3"/>
        <v>0.25</v>
      </c>
      <c r="T105" s="307">
        <f t="shared" si="3"/>
        <v>0.25</v>
      </c>
      <c r="U105" s="307">
        <f t="shared" si="3"/>
        <v>0.25</v>
      </c>
      <c r="V105" s="307">
        <f t="shared" si="3"/>
        <v>1</v>
      </c>
      <c r="W105" s="307">
        <f t="shared" si="3"/>
        <v>1</v>
      </c>
      <c r="X105" s="307">
        <f t="shared" si="3"/>
        <v>1</v>
      </c>
      <c r="Y105" s="307">
        <f t="shared" si="3"/>
        <v>1</v>
      </c>
      <c r="Z105" s="307">
        <f t="shared" si="3"/>
        <v>1</v>
      </c>
      <c r="AA105" s="307">
        <f t="shared" si="3"/>
        <v>1</v>
      </c>
      <c r="AB105" s="307">
        <f t="shared" si="3"/>
        <v>1</v>
      </c>
      <c r="AC105" s="308">
        <f t="shared" si="3"/>
        <v>1</v>
      </c>
    </row>
    <row r="106" spans="1:29" ht="20.399999999999999" customHeight="1">
      <c r="A106" s="656" t="s">
        <v>693</v>
      </c>
      <c r="B106" s="659" t="s">
        <v>785</v>
      </c>
      <c r="C106" s="671" t="s">
        <v>668</v>
      </c>
      <c r="D106" s="673" t="s">
        <v>659</v>
      </c>
      <c r="E106" s="309" t="s">
        <v>660</v>
      </c>
      <c r="F106" s="310">
        <v>0</v>
      </c>
      <c r="G106" s="310">
        <v>0</v>
      </c>
      <c r="H106" s="310">
        <v>0</v>
      </c>
      <c r="I106" s="310">
        <v>0</v>
      </c>
      <c r="J106" s="310">
        <v>0</v>
      </c>
      <c r="K106" s="310">
        <v>0</v>
      </c>
      <c r="L106" s="310">
        <v>1</v>
      </c>
      <c r="M106" s="310">
        <v>1</v>
      </c>
      <c r="N106" s="310">
        <v>1</v>
      </c>
      <c r="O106" s="310">
        <v>1</v>
      </c>
      <c r="P106" s="310">
        <v>1</v>
      </c>
      <c r="Q106" s="310">
        <v>1</v>
      </c>
      <c r="R106" s="310">
        <v>1</v>
      </c>
      <c r="S106" s="310">
        <v>1</v>
      </c>
      <c r="T106" s="310">
        <v>1</v>
      </c>
      <c r="U106" s="310">
        <v>1</v>
      </c>
      <c r="V106" s="310">
        <v>1</v>
      </c>
      <c r="W106" s="310">
        <v>1</v>
      </c>
      <c r="X106" s="310">
        <v>1</v>
      </c>
      <c r="Y106" s="310">
        <v>1</v>
      </c>
      <c r="Z106" s="310">
        <v>1</v>
      </c>
      <c r="AA106" s="310">
        <v>1</v>
      </c>
      <c r="AB106" s="310">
        <v>0</v>
      </c>
      <c r="AC106" s="311">
        <v>0</v>
      </c>
    </row>
    <row r="107" spans="1:29" ht="20.399999999999999" customHeight="1">
      <c r="A107" s="657"/>
      <c r="B107" s="596"/>
      <c r="C107" s="603"/>
      <c r="D107" s="669"/>
      <c r="E107" s="312" t="s">
        <v>661</v>
      </c>
      <c r="F107" s="313">
        <v>0</v>
      </c>
      <c r="G107" s="313">
        <v>0</v>
      </c>
      <c r="H107" s="313">
        <v>0</v>
      </c>
      <c r="I107" s="313">
        <v>0</v>
      </c>
      <c r="J107" s="313">
        <v>0</v>
      </c>
      <c r="K107" s="313">
        <v>0</v>
      </c>
      <c r="L107" s="313">
        <v>1</v>
      </c>
      <c r="M107" s="313">
        <v>1</v>
      </c>
      <c r="N107" s="313">
        <v>1</v>
      </c>
      <c r="O107" s="313">
        <v>1</v>
      </c>
      <c r="P107" s="313">
        <v>1</v>
      </c>
      <c r="Q107" s="313">
        <v>1</v>
      </c>
      <c r="R107" s="313">
        <v>1</v>
      </c>
      <c r="S107" s="313">
        <v>1</v>
      </c>
      <c r="T107" s="313">
        <v>1</v>
      </c>
      <c r="U107" s="313">
        <v>1</v>
      </c>
      <c r="V107" s="313">
        <v>1</v>
      </c>
      <c r="W107" s="313">
        <v>1</v>
      </c>
      <c r="X107" s="313">
        <v>1</v>
      </c>
      <c r="Y107" s="313">
        <v>0</v>
      </c>
      <c r="Z107" s="313">
        <v>0</v>
      </c>
      <c r="AA107" s="313">
        <v>0</v>
      </c>
      <c r="AB107" s="313">
        <v>0</v>
      </c>
      <c r="AC107" s="314">
        <v>0</v>
      </c>
    </row>
    <row r="108" spans="1:29" ht="20.399999999999999" customHeight="1" thickBot="1">
      <c r="A108" s="658"/>
      <c r="B108" s="660"/>
      <c r="C108" s="672"/>
      <c r="D108" s="674"/>
      <c r="E108" s="315" t="s">
        <v>662</v>
      </c>
      <c r="F108" s="316">
        <v>0</v>
      </c>
      <c r="G108" s="316">
        <v>0</v>
      </c>
      <c r="H108" s="316">
        <v>0</v>
      </c>
      <c r="I108" s="316">
        <v>0</v>
      </c>
      <c r="J108" s="316">
        <v>0</v>
      </c>
      <c r="K108" s="316">
        <v>0</v>
      </c>
      <c r="L108" s="316">
        <v>0</v>
      </c>
      <c r="M108" s="316">
        <v>1</v>
      </c>
      <c r="N108" s="316">
        <v>1</v>
      </c>
      <c r="O108" s="316">
        <v>1</v>
      </c>
      <c r="P108" s="316">
        <v>1</v>
      </c>
      <c r="Q108" s="316">
        <v>1</v>
      </c>
      <c r="R108" s="316">
        <v>1</v>
      </c>
      <c r="S108" s="316">
        <v>1</v>
      </c>
      <c r="T108" s="316">
        <v>1</v>
      </c>
      <c r="U108" s="316">
        <v>1</v>
      </c>
      <c r="V108" s="316">
        <v>0</v>
      </c>
      <c r="W108" s="316">
        <v>0</v>
      </c>
      <c r="X108" s="316">
        <v>0</v>
      </c>
      <c r="Y108" s="316">
        <v>0</v>
      </c>
      <c r="Z108" s="316">
        <v>0</v>
      </c>
      <c r="AA108" s="316">
        <v>0</v>
      </c>
      <c r="AB108" s="316">
        <v>0</v>
      </c>
      <c r="AC108" s="317">
        <v>0</v>
      </c>
    </row>
    <row r="109" spans="1:29" ht="20.399999999999999" customHeight="1">
      <c r="A109" s="656" t="s">
        <v>693</v>
      </c>
      <c r="B109" s="659" t="s">
        <v>785</v>
      </c>
      <c r="C109" s="661" t="s">
        <v>669</v>
      </c>
      <c r="D109" s="664"/>
      <c r="E109" s="318" t="s">
        <v>660</v>
      </c>
      <c r="F109" s="319">
        <v>68</v>
      </c>
      <c r="G109" s="310">
        <v>68</v>
      </c>
      <c r="H109" s="310">
        <v>68</v>
      </c>
      <c r="I109" s="310">
        <v>68</v>
      </c>
      <c r="J109" s="310">
        <v>68</v>
      </c>
      <c r="K109" s="310">
        <v>68</v>
      </c>
      <c r="L109" s="310">
        <v>68</v>
      </c>
      <c r="M109" s="310">
        <v>68</v>
      </c>
      <c r="N109" s="310">
        <v>68</v>
      </c>
      <c r="O109" s="310">
        <v>68</v>
      </c>
      <c r="P109" s="310">
        <v>68</v>
      </c>
      <c r="Q109" s="310">
        <v>68</v>
      </c>
      <c r="R109" s="310">
        <v>68</v>
      </c>
      <c r="S109" s="310">
        <v>68</v>
      </c>
      <c r="T109" s="310">
        <v>68</v>
      </c>
      <c r="U109" s="310">
        <v>68</v>
      </c>
      <c r="V109" s="310">
        <v>68</v>
      </c>
      <c r="W109" s="310">
        <v>68</v>
      </c>
      <c r="X109" s="310">
        <v>68</v>
      </c>
      <c r="Y109" s="310">
        <v>68</v>
      </c>
      <c r="Z109" s="310">
        <v>68</v>
      </c>
      <c r="AA109" s="310">
        <v>68</v>
      </c>
      <c r="AB109" s="310">
        <v>68</v>
      </c>
      <c r="AC109" s="311">
        <v>68</v>
      </c>
    </row>
    <row r="110" spans="1:29" ht="20.399999999999999" customHeight="1">
      <c r="A110" s="657"/>
      <c r="B110" s="596"/>
      <c r="C110" s="662"/>
      <c r="D110" s="665"/>
      <c r="E110" s="320" t="s">
        <v>661</v>
      </c>
      <c r="F110" s="321">
        <v>68</v>
      </c>
      <c r="G110" s="313">
        <v>68</v>
      </c>
      <c r="H110" s="313">
        <v>68</v>
      </c>
      <c r="I110" s="313">
        <v>68</v>
      </c>
      <c r="J110" s="313">
        <v>68</v>
      </c>
      <c r="K110" s="313">
        <v>68</v>
      </c>
      <c r="L110" s="313">
        <v>68</v>
      </c>
      <c r="M110" s="313">
        <v>68</v>
      </c>
      <c r="N110" s="313">
        <v>68</v>
      </c>
      <c r="O110" s="313">
        <v>68</v>
      </c>
      <c r="P110" s="313">
        <v>68</v>
      </c>
      <c r="Q110" s="313">
        <v>68</v>
      </c>
      <c r="R110" s="313">
        <v>68</v>
      </c>
      <c r="S110" s="313">
        <v>68</v>
      </c>
      <c r="T110" s="313">
        <v>68</v>
      </c>
      <c r="U110" s="313">
        <v>68</v>
      </c>
      <c r="V110" s="313">
        <v>68</v>
      </c>
      <c r="W110" s="313">
        <v>68</v>
      </c>
      <c r="X110" s="313">
        <v>68</v>
      </c>
      <c r="Y110" s="313">
        <v>68</v>
      </c>
      <c r="Z110" s="313">
        <v>68</v>
      </c>
      <c r="AA110" s="313">
        <v>68</v>
      </c>
      <c r="AB110" s="313">
        <v>68</v>
      </c>
      <c r="AC110" s="314">
        <v>68</v>
      </c>
    </row>
    <row r="111" spans="1:29" ht="13.8" thickBot="1">
      <c r="A111" s="658"/>
      <c r="B111" s="660"/>
      <c r="C111" s="663"/>
      <c r="D111" s="666"/>
      <c r="E111" s="322" t="s">
        <v>662</v>
      </c>
      <c r="F111" s="323">
        <v>68</v>
      </c>
      <c r="G111" s="324">
        <v>68</v>
      </c>
      <c r="H111" s="324">
        <v>68</v>
      </c>
      <c r="I111" s="324">
        <v>68</v>
      </c>
      <c r="J111" s="324">
        <v>68</v>
      </c>
      <c r="K111" s="324">
        <v>68</v>
      </c>
      <c r="L111" s="324">
        <v>68</v>
      </c>
      <c r="M111" s="324">
        <v>68</v>
      </c>
      <c r="N111" s="324">
        <v>68</v>
      </c>
      <c r="O111" s="324">
        <v>68</v>
      </c>
      <c r="P111" s="324">
        <v>68</v>
      </c>
      <c r="Q111" s="324">
        <v>68</v>
      </c>
      <c r="R111" s="324">
        <v>68</v>
      </c>
      <c r="S111" s="324">
        <v>68</v>
      </c>
      <c r="T111" s="324">
        <v>68</v>
      </c>
      <c r="U111" s="324">
        <v>68</v>
      </c>
      <c r="V111" s="324">
        <v>68</v>
      </c>
      <c r="W111" s="324">
        <v>68</v>
      </c>
      <c r="X111" s="324">
        <v>68</v>
      </c>
      <c r="Y111" s="324">
        <v>68</v>
      </c>
      <c r="Z111" s="324">
        <v>68</v>
      </c>
      <c r="AA111" s="324">
        <v>68</v>
      </c>
      <c r="AB111" s="324">
        <v>68</v>
      </c>
      <c r="AC111" s="325">
        <v>68</v>
      </c>
    </row>
    <row r="112" spans="1:29" ht="13.2">
      <c r="A112" s="656" t="s">
        <v>693</v>
      </c>
      <c r="B112" s="659" t="s">
        <v>785</v>
      </c>
      <c r="C112" s="661" t="s">
        <v>670</v>
      </c>
      <c r="D112" s="664"/>
      <c r="E112" s="493" t="s">
        <v>660</v>
      </c>
      <c r="F112" s="326">
        <v>68</v>
      </c>
      <c r="G112" s="327">
        <v>68</v>
      </c>
      <c r="H112" s="327">
        <v>68</v>
      </c>
      <c r="I112" s="327">
        <v>68</v>
      </c>
      <c r="J112" s="327">
        <v>68</v>
      </c>
      <c r="K112" s="327">
        <v>68</v>
      </c>
      <c r="L112" s="327">
        <v>68</v>
      </c>
      <c r="M112" s="327">
        <v>68</v>
      </c>
      <c r="N112" s="327">
        <v>68</v>
      </c>
      <c r="O112" s="327">
        <v>68</v>
      </c>
      <c r="P112" s="327">
        <v>68</v>
      </c>
      <c r="Q112" s="327">
        <v>68</v>
      </c>
      <c r="R112" s="327">
        <v>68</v>
      </c>
      <c r="S112" s="327">
        <v>68</v>
      </c>
      <c r="T112" s="327">
        <v>68</v>
      </c>
      <c r="U112" s="327">
        <v>68</v>
      </c>
      <c r="V112" s="327">
        <v>68</v>
      </c>
      <c r="W112" s="327">
        <v>68</v>
      </c>
      <c r="X112" s="327">
        <v>68</v>
      </c>
      <c r="Y112" s="327">
        <v>68</v>
      </c>
      <c r="Z112" s="327">
        <v>68</v>
      </c>
      <c r="AA112" s="327">
        <v>68</v>
      </c>
      <c r="AB112" s="327">
        <v>68</v>
      </c>
      <c r="AC112" s="328">
        <v>68</v>
      </c>
    </row>
    <row r="113" spans="1:29" ht="13.2">
      <c r="A113" s="657"/>
      <c r="B113" s="596"/>
      <c r="C113" s="662"/>
      <c r="D113" s="665"/>
      <c r="E113" s="494" t="s">
        <v>661</v>
      </c>
      <c r="F113" s="321">
        <v>68</v>
      </c>
      <c r="G113" s="313">
        <v>68</v>
      </c>
      <c r="H113" s="313">
        <v>68</v>
      </c>
      <c r="I113" s="313">
        <v>68</v>
      </c>
      <c r="J113" s="313">
        <v>68</v>
      </c>
      <c r="K113" s="313">
        <v>68</v>
      </c>
      <c r="L113" s="313">
        <v>68</v>
      </c>
      <c r="M113" s="313">
        <v>68</v>
      </c>
      <c r="N113" s="313">
        <v>68</v>
      </c>
      <c r="O113" s="313">
        <v>68</v>
      </c>
      <c r="P113" s="313">
        <v>68</v>
      </c>
      <c r="Q113" s="313">
        <v>68</v>
      </c>
      <c r="R113" s="313">
        <v>68</v>
      </c>
      <c r="S113" s="313">
        <v>68</v>
      </c>
      <c r="T113" s="313">
        <v>68</v>
      </c>
      <c r="U113" s="313">
        <v>68</v>
      </c>
      <c r="V113" s="313">
        <v>68</v>
      </c>
      <c r="W113" s="313">
        <v>68</v>
      </c>
      <c r="X113" s="313">
        <v>68</v>
      </c>
      <c r="Y113" s="313">
        <v>68</v>
      </c>
      <c r="Z113" s="313">
        <v>68</v>
      </c>
      <c r="AA113" s="313">
        <v>68</v>
      </c>
      <c r="AB113" s="313">
        <v>68</v>
      </c>
      <c r="AC113" s="314">
        <v>68</v>
      </c>
    </row>
    <row r="114" spans="1:29" ht="13.8" thickBot="1">
      <c r="A114" s="658"/>
      <c r="B114" s="660"/>
      <c r="C114" s="663"/>
      <c r="D114" s="666"/>
      <c r="E114" s="495" t="s">
        <v>662</v>
      </c>
      <c r="F114" s="323">
        <v>68</v>
      </c>
      <c r="G114" s="324">
        <v>68</v>
      </c>
      <c r="H114" s="324">
        <v>68</v>
      </c>
      <c r="I114" s="324">
        <v>68</v>
      </c>
      <c r="J114" s="324">
        <v>68</v>
      </c>
      <c r="K114" s="324">
        <v>68</v>
      </c>
      <c r="L114" s="324">
        <v>68</v>
      </c>
      <c r="M114" s="324">
        <v>68</v>
      </c>
      <c r="N114" s="324">
        <v>68</v>
      </c>
      <c r="O114" s="324">
        <v>68</v>
      </c>
      <c r="P114" s="324">
        <v>68</v>
      </c>
      <c r="Q114" s="324">
        <v>68</v>
      </c>
      <c r="R114" s="324">
        <v>68</v>
      </c>
      <c r="S114" s="324">
        <v>68</v>
      </c>
      <c r="T114" s="324">
        <v>68</v>
      </c>
      <c r="U114" s="324">
        <v>68</v>
      </c>
      <c r="V114" s="324">
        <v>68</v>
      </c>
      <c r="W114" s="324">
        <v>68</v>
      </c>
      <c r="X114" s="324">
        <v>68</v>
      </c>
      <c r="Y114" s="324">
        <v>68</v>
      </c>
      <c r="Z114" s="324">
        <v>68</v>
      </c>
      <c r="AA114" s="324">
        <v>68</v>
      </c>
      <c r="AB114" s="324">
        <v>68</v>
      </c>
      <c r="AC114" s="325">
        <v>68</v>
      </c>
    </row>
    <row r="115" spans="1:29" ht="13.8" thickBot="1">
      <c r="A115" s="749" t="s">
        <v>140</v>
      </c>
      <c r="B115" s="749"/>
      <c r="C115" s="749"/>
      <c r="D115" s="749"/>
      <c r="E115" s="749"/>
      <c r="F115" s="749"/>
      <c r="G115" s="749"/>
      <c r="H115" s="749"/>
      <c r="I115" s="749"/>
      <c r="J115" s="749"/>
      <c r="K115" s="749"/>
      <c r="L115" s="749"/>
      <c r="M115" s="749"/>
      <c r="N115" s="749"/>
      <c r="O115" s="749"/>
      <c r="P115" s="749"/>
      <c r="Q115" s="749"/>
      <c r="R115" s="749"/>
      <c r="S115" s="749"/>
      <c r="T115" s="749"/>
      <c r="U115" s="749"/>
      <c r="V115" s="749"/>
      <c r="W115" s="749"/>
      <c r="X115" s="749"/>
      <c r="Y115" s="749"/>
      <c r="Z115" s="749"/>
      <c r="AA115" s="749"/>
      <c r="AB115" s="749"/>
      <c r="AC115" s="750"/>
    </row>
    <row r="116" spans="1:29" ht="24" customHeight="1">
      <c r="A116" s="683" t="s">
        <v>657</v>
      </c>
      <c r="B116" s="683" t="s">
        <v>140</v>
      </c>
      <c r="C116" s="746" t="s">
        <v>658</v>
      </c>
      <c r="D116" s="737" t="s">
        <v>659</v>
      </c>
      <c r="E116" s="225" t="s">
        <v>660</v>
      </c>
      <c r="F116" s="537">
        <v>0</v>
      </c>
      <c r="G116" s="537">
        <v>0</v>
      </c>
      <c r="H116" s="537">
        <v>0</v>
      </c>
      <c r="I116" s="537">
        <v>0</v>
      </c>
      <c r="J116" s="537">
        <v>0</v>
      </c>
      <c r="K116" s="537">
        <v>0</v>
      </c>
      <c r="L116" s="537">
        <v>0</v>
      </c>
      <c r="M116" s="537">
        <v>0.1</v>
      </c>
      <c r="N116" s="537">
        <v>0.5</v>
      </c>
      <c r="O116" s="537">
        <v>0.8</v>
      </c>
      <c r="P116" s="537">
        <v>0.8</v>
      </c>
      <c r="Q116" s="537">
        <v>0.8</v>
      </c>
      <c r="R116" s="537">
        <v>0.8</v>
      </c>
      <c r="S116" s="537">
        <v>0.8</v>
      </c>
      <c r="T116" s="537">
        <v>0.8</v>
      </c>
      <c r="U116" s="537">
        <v>0.8</v>
      </c>
      <c r="V116" s="537">
        <v>0.8</v>
      </c>
      <c r="W116" s="537">
        <v>0.5</v>
      </c>
      <c r="X116" s="537">
        <v>0.3</v>
      </c>
      <c r="Y116" s="537">
        <v>0.3</v>
      </c>
      <c r="Z116" s="537">
        <v>0.2</v>
      </c>
      <c r="AA116" s="537">
        <v>0.2</v>
      </c>
      <c r="AB116" s="537">
        <v>0</v>
      </c>
      <c r="AC116" s="52">
        <v>0</v>
      </c>
    </row>
    <row r="117" spans="1:29" ht="24" customHeight="1">
      <c r="A117" s="684"/>
      <c r="B117" s="684"/>
      <c r="C117" s="747"/>
      <c r="D117" s="738"/>
      <c r="E117" s="226" t="s">
        <v>661</v>
      </c>
      <c r="F117" s="505">
        <v>0</v>
      </c>
      <c r="G117" s="505">
        <v>0</v>
      </c>
      <c r="H117" s="505">
        <v>0</v>
      </c>
      <c r="I117" s="505">
        <v>0</v>
      </c>
      <c r="J117" s="505">
        <v>0</v>
      </c>
      <c r="K117" s="505">
        <v>0</v>
      </c>
      <c r="L117" s="505">
        <v>0</v>
      </c>
      <c r="M117" s="505">
        <v>0.1</v>
      </c>
      <c r="N117" s="505">
        <v>0.3</v>
      </c>
      <c r="O117" s="505">
        <v>0.4</v>
      </c>
      <c r="P117" s="505">
        <v>0.4</v>
      </c>
      <c r="Q117" s="505">
        <v>0.4</v>
      </c>
      <c r="R117" s="505">
        <v>0.4</v>
      </c>
      <c r="S117" s="505">
        <v>0.4</v>
      </c>
      <c r="T117" s="505">
        <v>0.4</v>
      </c>
      <c r="U117" s="505">
        <v>0.4</v>
      </c>
      <c r="V117" s="505">
        <v>0.4</v>
      </c>
      <c r="W117" s="505">
        <v>0.1</v>
      </c>
      <c r="X117" s="505">
        <v>0.1</v>
      </c>
      <c r="Y117" s="505">
        <v>0</v>
      </c>
      <c r="Z117" s="505">
        <v>0</v>
      </c>
      <c r="AA117" s="505">
        <v>0</v>
      </c>
      <c r="AB117" s="505">
        <v>0</v>
      </c>
      <c r="AC117" s="134">
        <v>0</v>
      </c>
    </row>
    <row r="118" spans="1:29" ht="24" customHeight="1" thickBot="1">
      <c r="A118" s="685"/>
      <c r="B118" s="685"/>
      <c r="C118" s="748"/>
      <c r="D118" s="739"/>
      <c r="E118" s="227" t="s">
        <v>662</v>
      </c>
      <c r="F118" s="538">
        <v>0</v>
      </c>
      <c r="G118" s="538">
        <v>0</v>
      </c>
      <c r="H118" s="538">
        <v>0</v>
      </c>
      <c r="I118" s="538">
        <v>0</v>
      </c>
      <c r="J118" s="538">
        <v>0</v>
      </c>
      <c r="K118" s="538">
        <v>0</v>
      </c>
      <c r="L118" s="538">
        <v>0</v>
      </c>
      <c r="M118" s="538">
        <v>0</v>
      </c>
      <c r="N118" s="538">
        <v>0.05</v>
      </c>
      <c r="O118" s="538">
        <v>0.05</v>
      </c>
      <c r="P118" s="538">
        <v>0.05</v>
      </c>
      <c r="Q118" s="538">
        <v>0.05</v>
      </c>
      <c r="R118" s="538">
        <v>0.05</v>
      </c>
      <c r="S118" s="538">
        <v>0.05</v>
      </c>
      <c r="T118" s="538">
        <v>0.05</v>
      </c>
      <c r="U118" s="538">
        <v>0.05</v>
      </c>
      <c r="V118" s="538">
        <v>0</v>
      </c>
      <c r="W118" s="538">
        <v>0</v>
      </c>
      <c r="X118" s="538">
        <v>0</v>
      </c>
      <c r="Y118" s="538">
        <v>0</v>
      </c>
      <c r="Z118" s="538">
        <v>0</v>
      </c>
      <c r="AA118" s="538">
        <v>0</v>
      </c>
      <c r="AB118" s="538">
        <v>0</v>
      </c>
      <c r="AC118" s="53">
        <v>0</v>
      </c>
    </row>
    <row r="119" spans="1:29" ht="24" customHeight="1">
      <c r="A119" s="683" t="s">
        <v>657</v>
      </c>
      <c r="B119" s="683" t="s">
        <v>140</v>
      </c>
      <c r="C119" s="683" t="s">
        <v>663</v>
      </c>
      <c r="D119" s="737" t="s">
        <v>659</v>
      </c>
      <c r="E119" s="228" t="s">
        <v>660</v>
      </c>
      <c r="F119" s="135">
        <v>0.1</v>
      </c>
      <c r="G119" s="135">
        <v>0.1</v>
      </c>
      <c r="H119" s="135">
        <v>0.1</v>
      </c>
      <c r="I119" s="135">
        <v>0.1</v>
      </c>
      <c r="J119" s="135">
        <v>0.1</v>
      </c>
      <c r="K119" s="135">
        <v>0.1</v>
      </c>
      <c r="L119" s="135">
        <v>0.1</v>
      </c>
      <c r="M119" s="135">
        <v>0.45</v>
      </c>
      <c r="N119" s="135">
        <v>0.8</v>
      </c>
      <c r="O119" s="135">
        <v>0.8</v>
      </c>
      <c r="P119" s="135">
        <v>0.8</v>
      </c>
      <c r="Q119" s="135">
        <v>0.8</v>
      </c>
      <c r="R119" s="135">
        <v>0.8</v>
      </c>
      <c r="S119" s="135">
        <v>0.8</v>
      </c>
      <c r="T119" s="135">
        <v>0.8</v>
      </c>
      <c r="U119" s="135">
        <v>0.8</v>
      </c>
      <c r="V119" s="135">
        <v>0.3</v>
      </c>
      <c r="W119" s="135">
        <v>0.3</v>
      </c>
      <c r="X119" s="135">
        <v>0.3</v>
      </c>
      <c r="Y119" s="135">
        <v>0.3</v>
      </c>
      <c r="Z119" s="135">
        <v>0.3</v>
      </c>
      <c r="AA119" s="135">
        <v>0.3</v>
      </c>
      <c r="AB119" s="135">
        <v>0.3</v>
      </c>
      <c r="AC119" s="136">
        <v>0.1</v>
      </c>
    </row>
    <row r="120" spans="1:29" ht="24" customHeight="1">
      <c r="A120" s="684"/>
      <c r="B120" s="684"/>
      <c r="C120" s="684"/>
      <c r="D120" s="738"/>
      <c r="E120" s="229" t="s">
        <v>661</v>
      </c>
      <c r="F120" s="425">
        <v>0.1</v>
      </c>
      <c r="G120" s="425">
        <v>0.1</v>
      </c>
      <c r="H120" s="425">
        <v>0.1</v>
      </c>
      <c r="I120" s="425">
        <v>0.1</v>
      </c>
      <c r="J120" s="425">
        <v>0.1</v>
      </c>
      <c r="K120" s="425">
        <v>0.1</v>
      </c>
      <c r="L120" s="425">
        <v>0.1</v>
      </c>
      <c r="M120" s="425">
        <v>0.2</v>
      </c>
      <c r="N120" s="425">
        <v>0.35</v>
      </c>
      <c r="O120" s="425">
        <v>0.35</v>
      </c>
      <c r="P120" s="425">
        <v>0.35</v>
      </c>
      <c r="Q120" s="425">
        <v>0.35</v>
      </c>
      <c r="R120" s="425">
        <v>0.35</v>
      </c>
      <c r="S120" s="425">
        <v>0.35</v>
      </c>
      <c r="T120" s="425">
        <v>0.35</v>
      </c>
      <c r="U120" s="425">
        <v>0.35</v>
      </c>
      <c r="V120" s="425">
        <v>0.35</v>
      </c>
      <c r="W120" s="425">
        <v>0.35</v>
      </c>
      <c r="X120" s="425">
        <v>0.1</v>
      </c>
      <c r="Y120" s="425">
        <v>0.1</v>
      </c>
      <c r="Z120" s="425">
        <v>0.1</v>
      </c>
      <c r="AA120" s="425">
        <v>0.1</v>
      </c>
      <c r="AB120" s="425">
        <v>0.1</v>
      </c>
      <c r="AC120" s="137">
        <v>0.1</v>
      </c>
    </row>
    <row r="121" spans="1:29" ht="24" customHeight="1" thickBot="1">
      <c r="A121" s="685"/>
      <c r="B121" s="685"/>
      <c r="C121" s="685"/>
      <c r="D121" s="739"/>
      <c r="E121" s="230" t="s">
        <v>662</v>
      </c>
      <c r="F121" s="138">
        <v>0.05</v>
      </c>
      <c r="G121" s="138">
        <v>0.05</v>
      </c>
      <c r="H121" s="138">
        <v>0.05</v>
      </c>
      <c r="I121" s="138">
        <v>0.05</v>
      </c>
      <c r="J121" s="138">
        <v>0.05</v>
      </c>
      <c r="K121" s="138">
        <v>0.05</v>
      </c>
      <c r="L121" s="138">
        <v>0.05</v>
      </c>
      <c r="M121" s="138">
        <v>0.05</v>
      </c>
      <c r="N121" s="138">
        <v>0.1</v>
      </c>
      <c r="O121" s="138">
        <v>0.1</v>
      </c>
      <c r="P121" s="138">
        <v>0.1</v>
      </c>
      <c r="Q121" s="138">
        <v>0.1</v>
      </c>
      <c r="R121" s="138">
        <v>0.1</v>
      </c>
      <c r="S121" s="138">
        <v>0.1</v>
      </c>
      <c r="T121" s="138">
        <v>0.1</v>
      </c>
      <c r="U121" s="138">
        <v>0.1</v>
      </c>
      <c r="V121" s="138">
        <v>0.05</v>
      </c>
      <c r="W121" s="138">
        <v>0.05</v>
      </c>
      <c r="X121" s="138">
        <v>0.05</v>
      </c>
      <c r="Y121" s="138">
        <v>0.05</v>
      </c>
      <c r="Z121" s="138">
        <v>0.05</v>
      </c>
      <c r="AA121" s="138">
        <v>0.05</v>
      </c>
      <c r="AB121" s="138">
        <v>0.05</v>
      </c>
      <c r="AC121" s="139">
        <v>0.05</v>
      </c>
    </row>
    <row r="122" spans="1:29" ht="24" customHeight="1">
      <c r="A122" s="683" t="s">
        <v>657</v>
      </c>
      <c r="B122" s="683" t="s">
        <v>140</v>
      </c>
      <c r="C122" s="683" t="s">
        <v>664</v>
      </c>
      <c r="D122" s="737" t="s">
        <v>659</v>
      </c>
      <c r="E122" s="231" t="s">
        <v>660</v>
      </c>
      <c r="F122" s="100">
        <v>0.1</v>
      </c>
      <c r="G122" s="100">
        <v>0.1</v>
      </c>
      <c r="H122" s="100">
        <v>0.1</v>
      </c>
      <c r="I122" s="100">
        <v>0.1</v>
      </c>
      <c r="J122" s="100">
        <v>0.1</v>
      </c>
      <c r="K122" s="100">
        <v>0.1</v>
      </c>
      <c r="L122" s="100">
        <v>0.1</v>
      </c>
      <c r="M122" s="100">
        <v>0.5</v>
      </c>
      <c r="N122" s="100">
        <v>0.9</v>
      </c>
      <c r="O122" s="100">
        <v>0.9</v>
      </c>
      <c r="P122" s="100">
        <v>0.9</v>
      </c>
      <c r="Q122" s="100">
        <v>0.9</v>
      </c>
      <c r="R122" s="100">
        <v>0.9</v>
      </c>
      <c r="S122" s="100">
        <v>0.9</v>
      </c>
      <c r="T122" s="100">
        <v>0.9</v>
      </c>
      <c r="U122" s="100">
        <v>0.9</v>
      </c>
      <c r="V122" s="100">
        <v>0.3</v>
      </c>
      <c r="W122" s="100">
        <v>0.3</v>
      </c>
      <c r="X122" s="100">
        <v>0.3</v>
      </c>
      <c r="Y122" s="100">
        <v>0.3</v>
      </c>
      <c r="Z122" s="100">
        <v>0.3</v>
      </c>
      <c r="AA122" s="100">
        <v>0.3</v>
      </c>
      <c r="AB122" s="100">
        <v>0.3</v>
      </c>
      <c r="AC122" s="141">
        <v>0.1</v>
      </c>
    </row>
    <row r="123" spans="1:29" ht="24" customHeight="1">
      <c r="A123" s="684"/>
      <c r="B123" s="684"/>
      <c r="C123" s="684"/>
      <c r="D123" s="738"/>
      <c r="E123" s="229" t="s">
        <v>661</v>
      </c>
      <c r="F123" s="63">
        <v>0.1</v>
      </c>
      <c r="G123" s="63">
        <v>0.1</v>
      </c>
      <c r="H123" s="63">
        <v>0.1</v>
      </c>
      <c r="I123" s="63">
        <v>0.1</v>
      </c>
      <c r="J123" s="63">
        <v>0.1</v>
      </c>
      <c r="K123" s="63">
        <v>0.1</v>
      </c>
      <c r="L123" s="63">
        <v>0.1</v>
      </c>
      <c r="M123" s="63">
        <v>0.2</v>
      </c>
      <c r="N123" s="63">
        <v>0.4</v>
      </c>
      <c r="O123" s="63">
        <v>0.4</v>
      </c>
      <c r="P123" s="63">
        <v>0.4</v>
      </c>
      <c r="Q123" s="63">
        <v>0.4</v>
      </c>
      <c r="R123" s="63">
        <v>0.4</v>
      </c>
      <c r="S123" s="63">
        <v>0.4</v>
      </c>
      <c r="T123" s="63">
        <v>0.4</v>
      </c>
      <c r="U123" s="63">
        <v>0.4</v>
      </c>
      <c r="V123" s="63">
        <v>0.4</v>
      </c>
      <c r="W123" s="63">
        <v>0.4</v>
      </c>
      <c r="X123" s="63">
        <v>0.1</v>
      </c>
      <c r="Y123" s="63">
        <v>0.1</v>
      </c>
      <c r="Z123" s="63">
        <v>0.1</v>
      </c>
      <c r="AA123" s="63">
        <v>0.1</v>
      </c>
      <c r="AB123" s="63">
        <v>0.1</v>
      </c>
      <c r="AC123" s="142">
        <v>0.1</v>
      </c>
    </row>
    <row r="124" spans="1:29" ht="24" customHeight="1" thickBot="1">
      <c r="A124" s="685"/>
      <c r="B124" s="685"/>
      <c r="C124" s="685"/>
      <c r="D124" s="739"/>
      <c r="E124" s="230" t="s">
        <v>662</v>
      </c>
      <c r="F124" s="143">
        <v>0.05</v>
      </c>
      <c r="G124" s="143">
        <v>0.05</v>
      </c>
      <c r="H124" s="143">
        <v>0.05</v>
      </c>
      <c r="I124" s="143">
        <v>0.05</v>
      </c>
      <c r="J124" s="143">
        <v>0.05</v>
      </c>
      <c r="K124" s="143">
        <v>0.05</v>
      </c>
      <c r="L124" s="143">
        <v>0.05</v>
      </c>
      <c r="M124" s="143">
        <v>0.05</v>
      </c>
      <c r="N124" s="143">
        <v>0.1</v>
      </c>
      <c r="O124" s="143">
        <v>0.1</v>
      </c>
      <c r="P124" s="143">
        <v>0.1</v>
      </c>
      <c r="Q124" s="143">
        <v>0.1</v>
      </c>
      <c r="R124" s="143">
        <v>0.1</v>
      </c>
      <c r="S124" s="143">
        <v>0.1</v>
      </c>
      <c r="T124" s="143">
        <v>0.1</v>
      </c>
      <c r="U124" s="143">
        <v>0.1</v>
      </c>
      <c r="V124" s="143">
        <v>0.05</v>
      </c>
      <c r="W124" s="143">
        <v>0.05</v>
      </c>
      <c r="X124" s="143">
        <v>0.05</v>
      </c>
      <c r="Y124" s="143">
        <v>0.05</v>
      </c>
      <c r="Z124" s="143">
        <v>0.05</v>
      </c>
      <c r="AA124" s="143">
        <v>0.05</v>
      </c>
      <c r="AB124" s="143">
        <v>0.05</v>
      </c>
      <c r="AC124" s="144">
        <v>0.05</v>
      </c>
    </row>
    <row r="125" spans="1:29" ht="24" customHeight="1">
      <c r="A125" s="683" t="s">
        <v>657</v>
      </c>
      <c r="B125" s="683" t="s">
        <v>140</v>
      </c>
      <c r="C125" s="683" t="s">
        <v>665</v>
      </c>
      <c r="D125" s="737" t="s">
        <v>659</v>
      </c>
      <c r="E125" s="225" t="s">
        <v>660</v>
      </c>
      <c r="F125" s="537">
        <v>0.01</v>
      </c>
      <c r="G125" s="537">
        <v>0.01</v>
      </c>
      <c r="H125" s="537">
        <v>0.01</v>
      </c>
      <c r="I125" s="537">
        <v>0.01</v>
      </c>
      <c r="J125" s="537">
        <v>0.01</v>
      </c>
      <c r="K125" s="537">
        <v>0.01</v>
      </c>
      <c r="L125" s="537">
        <v>0.01</v>
      </c>
      <c r="M125" s="537">
        <v>0.17</v>
      </c>
      <c r="N125" s="537">
        <v>0.57999999999999996</v>
      </c>
      <c r="O125" s="537">
        <v>0.66</v>
      </c>
      <c r="P125" s="537">
        <v>0.78</v>
      </c>
      <c r="Q125" s="537">
        <v>0.82</v>
      </c>
      <c r="R125" s="537">
        <v>0.71</v>
      </c>
      <c r="S125" s="537">
        <v>0.82</v>
      </c>
      <c r="T125" s="537">
        <v>0.78</v>
      </c>
      <c r="U125" s="537">
        <v>0.74</v>
      </c>
      <c r="V125" s="537">
        <v>0.63</v>
      </c>
      <c r="W125" s="537">
        <v>0.41</v>
      </c>
      <c r="X125" s="537">
        <v>0.18</v>
      </c>
      <c r="Y125" s="537">
        <v>0.18</v>
      </c>
      <c r="Z125" s="537">
        <v>0.18</v>
      </c>
      <c r="AA125" s="537">
        <v>0.1</v>
      </c>
      <c r="AB125" s="537">
        <v>0.01</v>
      </c>
      <c r="AC125" s="52">
        <v>0.01</v>
      </c>
    </row>
    <row r="126" spans="1:29" ht="24" customHeight="1">
      <c r="A126" s="684"/>
      <c r="B126" s="684"/>
      <c r="C126" s="684"/>
      <c r="D126" s="738"/>
      <c r="E126" s="226" t="s">
        <v>661</v>
      </c>
      <c r="F126" s="505">
        <v>0.01</v>
      </c>
      <c r="G126" s="505">
        <v>0.01</v>
      </c>
      <c r="H126" s="505">
        <v>0.01</v>
      </c>
      <c r="I126" s="505">
        <v>0.01</v>
      </c>
      <c r="J126" s="505">
        <v>0.01</v>
      </c>
      <c r="K126" s="505">
        <v>0.01</v>
      </c>
      <c r="L126" s="505">
        <v>0.01</v>
      </c>
      <c r="M126" s="505">
        <v>0.01</v>
      </c>
      <c r="N126" s="505">
        <v>0.2</v>
      </c>
      <c r="O126" s="505">
        <v>0.28000000000000003</v>
      </c>
      <c r="P126" s="505">
        <v>0.3</v>
      </c>
      <c r="Q126" s="505">
        <v>0.3</v>
      </c>
      <c r="R126" s="505">
        <v>0.24</v>
      </c>
      <c r="S126" s="505">
        <v>0.24</v>
      </c>
      <c r="T126" s="505">
        <v>0.23</v>
      </c>
      <c r="U126" s="505">
        <v>0.23</v>
      </c>
      <c r="V126" s="505">
        <v>0.23</v>
      </c>
      <c r="W126" s="505">
        <v>0.1</v>
      </c>
      <c r="X126" s="505">
        <v>0.01</v>
      </c>
      <c r="Y126" s="505">
        <v>0.01</v>
      </c>
      <c r="Z126" s="505">
        <v>0.01</v>
      </c>
      <c r="AA126" s="505">
        <v>0.01</v>
      </c>
      <c r="AB126" s="505">
        <v>0.01</v>
      </c>
      <c r="AC126" s="134">
        <v>0.01</v>
      </c>
    </row>
    <row r="127" spans="1:29" ht="24" customHeight="1" thickBot="1">
      <c r="A127" s="685"/>
      <c r="B127" s="685"/>
      <c r="C127" s="685"/>
      <c r="D127" s="739"/>
      <c r="E127" s="227" t="s">
        <v>662</v>
      </c>
      <c r="F127" s="538">
        <v>0.01</v>
      </c>
      <c r="G127" s="538">
        <v>0.01</v>
      </c>
      <c r="H127" s="538">
        <v>0.01</v>
      </c>
      <c r="I127" s="538">
        <v>0.01</v>
      </c>
      <c r="J127" s="538">
        <v>0.01</v>
      </c>
      <c r="K127" s="538">
        <v>0.01</v>
      </c>
      <c r="L127" s="538">
        <v>0.01</v>
      </c>
      <c r="M127" s="538">
        <v>0.01</v>
      </c>
      <c r="N127" s="538">
        <v>0.01</v>
      </c>
      <c r="O127" s="538">
        <v>0.01</v>
      </c>
      <c r="P127" s="538">
        <v>0.01</v>
      </c>
      <c r="Q127" s="538">
        <v>0.01</v>
      </c>
      <c r="R127" s="538">
        <v>0.01</v>
      </c>
      <c r="S127" s="538">
        <v>0.01</v>
      </c>
      <c r="T127" s="538">
        <v>0.01</v>
      </c>
      <c r="U127" s="538">
        <v>0.01</v>
      </c>
      <c r="V127" s="538">
        <v>0.01</v>
      </c>
      <c r="W127" s="538">
        <v>0.01</v>
      </c>
      <c r="X127" s="538">
        <v>0.01</v>
      </c>
      <c r="Y127" s="538">
        <v>0.01</v>
      </c>
      <c r="Z127" s="538">
        <v>0.01</v>
      </c>
      <c r="AA127" s="538">
        <v>0.01</v>
      </c>
      <c r="AB127" s="538">
        <v>0.01</v>
      </c>
      <c r="AC127" s="53">
        <v>0.01</v>
      </c>
    </row>
    <row r="128" spans="1:29" ht="24" customHeight="1">
      <c r="A128" s="683" t="s">
        <v>657</v>
      </c>
      <c r="B128" s="683" t="s">
        <v>140</v>
      </c>
      <c r="C128" s="683" t="s">
        <v>666</v>
      </c>
      <c r="D128" s="737" t="s">
        <v>659</v>
      </c>
      <c r="E128" s="231" t="s">
        <v>660</v>
      </c>
      <c r="F128" s="100">
        <v>0</v>
      </c>
      <c r="G128" s="100">
        <v>0</v>
      </c>
      <c r="H128" s="100">
        <v>0</v>
      </c>
      <c r="I128" s="100">
        <v>0</v>
      </c>
      <c r="J128" s="100">
        <v>0</v>
      </c>
      <c r="K128" s="100">
        <v>0</v>
      </c>
      <c r="L128" s="100">
        <v>0</v>
      </c>
      <c r="M128" s="100">
        <v>0.75</v>
      </c>
      <c r="N128" s="100">
        <v>0.9</v>
      </c>
      <c r="O128" s="100">
        <v>0.9</v>
      </c>
      <c r="P128" s="100">
        <v>0.9</v>
      </c>
      <c r="Q128" s="100">
        <v>0.9</v>
      </c>
      <c r="R128" s="100">
        <v>0.9</v>
      </c>
      <c r="S128" s="100">
        <v>0.9</v>
      </c>
      <c r="T128" s="100">
        <v>0.9</v>
      </c>
      <c r="U128" s="100">
        <v>0.9</v>
      </c>
      <c r="V128" s="100">
        <v>0.9</v>
      </c>
      <c r="W128" s="100">
        <v>0.75</v>
      </c>
      <c r="X128" s="100">
        <v>0.2</v>
      </c>
      <c r="Y128" s="100">
        <v>0.1</v>
      </c>
      <c r="Z128" s="100">
        <v>0</v>
      </c>
      <c r="AA128" s="100">
        <v>0</v>
      </c>
      <c r="AB128" s="100">
        <v>0</v>
      </c>
      <c r="AC128" s="141">
        <v>0</v>
      </c>
    </row>
    <row r="129" spans="1:29" ht="24" customHeight="1">
      <c r="A129" s="684"/>
      <c r="B129" s="684"/>
      <c r="C129" s="684"/>
      <c r="D129" s="738"/>
      <c r="E129" s="229" t="s">
        <v>661</v>
      </c>
      <c r="F129" s="63">
        <v>0</v>
      </c>
      <c r="G129" s="63">
        <v>0</v>
      </c>
      <c r="H129" s="63">
        <v>0</v>
      </c>
      <c r="I129" s="63">
        <v>0</v>
      </c>
      <c r="J129" s="63">
        <v>0</v>
      </c>
      <c r="K129" s="63">
        <v>0</v>
      </c>
      <c r="L129" s="63">
        <v>0</v>
      </c>
      <c r="M129" s="63">
        <v>0.3</v>
      </c>
      <c r="N129" s="63">
        <v>0.5</v>
      </c>
      <c r="O129" s="63">
        <v>0.5</v>
      </c>
      <c r="P129" s="63">
        <v>0.5</v>
      </c>
      <c r="Q129" s="63">
        <v>0.5</v>
      </c>
      <c r="R129" s="63">
        <v>0.5</v>
      </c>
      <c r="S129" s="63">
        <v>0.5</v>
      </c>
      <c r="T129" s="63">
        <v>0.5</v>
      </c>
      <c r="U129" s="63">
        <v>0.5</v>
      </c>
      <c r="V129" s="63">
        <v>0.5</v>
      </c>
      <c r="W129" s="63">
        <v>0.3</v>
      </c>
      <c r="X129" s="63">
        <v>0</v>
      </c>
      <c r="Y129" s="63">
        <v>0</v>
      </c>
      <c r="Z129" s="63">
        <v>0</v>
      </c>
      <c r="AA129" s="63">
        <v>0</v>
      </c>
      <c r="AB129" s="63">
        <v>0</v>
      </c>
      <c r="AC129" s="142">
        <v>0</v>
      </c>
    </row>
    <row r="130" spans="1:29" ht="24" customHeight="1" thickBot="1">
      <c r="A130" s="685"/>
      <c r="B130" s="685"/>
      <c r="C130" s="685"/>
      <c r="D130" s="739"/>
      <c r="E130" s="230" t="s">
        <v>662</v>
      </c>
      <c r="F130" s="143">
        <v>0</v>
      </c>
      <c r="G130" s="143">
        <v>0</v>
      </c>
      <c r="H130" s="143">
        <v>0</v>
      </c>
      <c r="I130" s="143">
        <v>0</v>
      </c>
      <c r="J130" s="143">
        <v>0</v>
      </c>
      <c r="K130" s="143">
        <v>0</v>
      </c>
      <c r="L130" s="143">
        <v>0</v>
      </c>
      <c r="M130" s="143">
        <v>0</v>
      </c>
      <c r="N130" s="143">
        <v>0</v>
      </c>
      <c r="O130" s="143">
        <v>0</v>
      </c>
      <c r="P130" s="143">
        <v>0</v>
      </c>
      <c r="Q130" s="143">
        <v>0</v>
      </c>
      <c r="R130" s="143">
        <v>0</v>
      </c>
      <c r="S130" s="143">
        <v>0</v>
      </c>
      <c r="T130" s="143">
        <v>0</v>
      </c>
      <c r="U130" s="143">
        <v>0</v>
      </c>
      <c r="V130" s="143">
        <v>0</v>
      </c>
      <c r="W130" s="143">
        <v>0</v>
      </c>
      <c r="X130" s="143">
        <v>0</v>
      </c>
      <c r="Y130" s="143">
        <v>0</v>
      </c>
      <c r="Z130" s="143">
        <v>0</v>
      </c>
      <c r="AA130" s="143">
        <v>0</v>
      </c>
      <c r="AB130" s="143">
        <v>0</v>
      </c>
      <c r="AC130" s="144">
        <v>0</v>
      </c>
    </row>
    <row r="131" spans="1:29" ht="24" customHeight="1">
      <c r="A131" s="683" t="s">
        <v>657</v>
      </c>
      <c r="B131" s="683" t="s">
        <v>140</v>
      </c>
      <c r="C131" s="683" t="s">
        <v>667</v>
      </c>
      <c r="D131" s="737" t="s">
        <v>659</v>
      </c>
      <c r="E131" s="231" t="s">
        <v>660</v>
      </c>
      <c r="F131" s="100">
        <v>0.9</v>
      </c>
      <c r="G131" s="100">
        <v>0.9</v>
      </c>
      <c r="H131" s="100">
        <v>0.9</v>
      </c>
      <c r="I131" s="100">
        <v>0.9</v>
      </c>
      <c r="J131" s="100">
        <v>0.9</v>
      </c>
      <c r="K131" s="100">
        <v>0.9</v>
      </c>
      <c r="L131" s="100">
        <v>0.9</v>
      </c>
      <c r="M131" s="100">
        <v>0.9</v>
      </c>
      <c r="N131" s="100">
        <v>0.9</v>
      </c>
      <c r="O131" s="100">
        <v>0.9</v>
      </c>
      <c r="P131" s="100">
        <v>0.9</v>
      </c>
      <c r="Q131" s="100">
        <v>0.9</v>
      </c>
      <c r="R131" s="100">
        <v>0.9</v>
      </c>
      <c r="S131" s="100">
        <v>0.9</v>
      </c>
      <c r="T131" s="100">
        <v>0.9</v>
      </c>
      <c r="U131" s="100">
        <v>0.9</v>
      </c>
      <c r="V131" s="100">
        <v>0.9</v>
      </c>
      <c r="W131" s="100">
        <v>0.9</v>
      </c>
      <c r="X131" s="100">
        <v>0.9</v>
      </c>
      <c r="Y131" s="100">
        <v>0.9</v>
      </c>
      <c r="Z131" s="100">
        <v>0.9</v>
      </c>
      <c r="AA131" s="100">
        <v>0.9</v>
      </c>
      <c r="AB131" s="100">
        <v>0.9</v>
      </c>
      <c r="AC131" s="141">
        <v>0.9</v>
      </c>
    </row>
    <row r="132" spans="1:29" ht="24" customHeight="1">
      <c r="A132" s="684"/>
      <c r="B132" s="684"/>
      <c r="C132" s="684"/>
      <c r="D132" s="738"/>
      <c r="E132" s="229" t="s">
        <v>661</v>
      </c>
      <c r="F132" s="63">
        <v>0.9</v>
      </c>
      <c r="G132" s="63">
        <v>0.9</v>
      </c>
      <c r="H132" s="63">
        <v>0.9</v>
      </c>
      <c r="I132" s="63">
        <v>0.9</v>
      </c>
      <c r="J132" s="63">
        <v>0.9</v>
      </c>
      <c r="K132" s="63">
        <v>0.9</v>
      </c>
      <c r="L132" s="63">
        <v>0.9</v>
      </c>
      <c r="M132" s="63">
        <v>0.9</v>
      </c>
      <c r="N132" s="63">
        <v>0.9</v>
      </c>
      <c r="O132" s="63">
        <v>0.9</v>
      </c>
      <c r="P132" s="63">
        <v>0.9</v>
      </c>
      <c r="Q132" s="63">
        <v>0.9</v>
      </c>
      <c r="R132" s="63">
        <v>0.9</v>
      </c>
      <c r="S132" s="63">
        <v>0.9</v>
      </c>
      <c r="T132" s="63">
        <v>0.9</v>
      </c>
      <c r="U132" s="63">
        <v>0.9</v>
      </c>
      <c r="V132" s="63">
        <v>0.9</v>
      </c>
      <c r="W132" s="63">
        <v>0.9</v>
      </c>
      <c r="X132" s="63">
        <v>0.9</v>
      </c>
      <c r="Y132" s="63">
        <v>0.9</v>
      </c>
      <c r="Z132" s="63">
        <v>0.9</v>
      </c>
      <c r="AA132" s="63">
        <v>0.9</v>
      </c>
      <c r="AB132" s="63">
        <v>0.9</v>
      </c>
      <c r="AC132" s="142">
        <v>0.9</v>
      </c>
    </row>
    <row r="133" spans="1:29" ht="24" customHeight="1" thickBot="1">
      <c r="A133" s="685"/>
      <c r="B133" s="685"/>
      <c r="C133" s="685"/>
      <c r="D133" s="739"/>
      <c r="E133" s="232" t="s">
        <v>662</v>
      </c>
      <c r="F133" s="186">
        <v>0.9</v>
      </c>
      <c r="G133" s="186">
        <v>0.9</v>
      </c>
      <c r="H133" s="186">
        <v>0.9</v>
      </c>
      <c r="I133" s="186">
        <v>0.9</v>
      </c>
      <c r="J133" s="186">
        <v>0.9</v>
      </c>
      <c r="K133" s="186">
        <v>0.9</v>
      </c>
      <c r="L133" s="186">
        <v>0.9</v>
      </c>
      <c r="M133" s="186">
        <v>0.9</v>
      </c>
      <c r="N133" s="186">
        <v>0.9</v>
      </c>
      <c r="O133" s="186">
        <v>0.9</v>
      </c>
      <c r="P133" s="186">
        <v>0.9</v>
      </c>
      <c r="Q133" s="186">
        <v>0.9</v>
      </c>
      <c r="R133" s="186">
        <v>0.9</v>
      </c>
      <c r="S133" s="186">
        <v>0.9</v>
      </c>
      <c r="T133" s="186">
        <v>0.9</v>
      </c>
      <c r="U133" s="186">
        <v>0.9</v>
      </c>
      <c r="V133" s="186">
        <v>0.9</v>
      </c>
      <c r="W133" s="186">
        <v>0.9</v>
      </c>
      <c r="X133" s="186">
        <v>0.9</v>
      </c>
      <c r="Y133" s="186">
        <v>0.9</v>
      </c>
      <c r="Z133" s="186">
        <v>0.9</v>
      </c>
      <c r="AA133" s="186">
        <v>0.9</v>
      </c>
      <c r="AB133" s="186">
        <v>0.9</v>
      </c>
      <c r="AC133" s="187">
        <v>0.9</v>
      </c>
    </row>
    <row r="134" spans="1:29" ht="24" customHeight="1">
      <c r="A134" s="683" t="s">
        <v>657</v>
      </c>
      <c r="B134" s="683" t="s">
        <v>140</v>
      </c>
      <c r="C134" s="683" t="s">
        <v>333</v>
      </c>
      <c r="D134" s="743" t="s">
        <v>659</v>
      </c>
      <c r="E134" s="234" t="s">
        <v>660</v>
      </c>
      <c r="F134" s="235">
        <f>IF(F137=1,0.25,1)</f>
        <v>1</v>
      </c>
      <c r="G134" s="235">
        <f t="shared" ref="G134:AC134" si="4">IF(G137=1,0.25,1)</f>
        <v>1</v>
      </c>
      <c r="H134" s="235">
        <f t="shared" si="4"/>
        <v>1</v>
      </c>
      <c r="I134" s="235">
        <f t="shared" si="4"/>
        <v>1</v>
      </c>
      <c r="J134" s="235">
        <f t="shared" si="4"/>
        <v>1</v>
      </c>
      <c r="K134" s="235">
        <f t="shared" si="4"/>
        <v>1</v>
      </c>
      <c r="L134" s="235">
        <f t="shared" si="4"/>
        <v>0.25</v>
      </c>
      <c r="M134" s="235">
        <f t="shared" si="4"/>
        <v>0.25</v>
      </c>
      <c r="N134" s="235">
        <f t="shared" si="4"/>
        <v>0.25</v>
      </c>
      <c r="O134" s="235">
        <f t="shared" si="4"/>
        <v>0.25</v>
      </c>
      <c r="P134" s="235">
        <f t="shared" si="4"/>
        <v>0.25</v>
      </c>
      <c r="Q134" s="235">
        <f t="shared" si="4"/>
        <v>0.25</v>
      </c>
      <c r="R134" s="235">
        <f t="shared" si="4"/>
        <v>0.25</v>
      </c>
      <c r="S134" s="235">
        <f t="shared" si="4"/>
        <v>0.25</v>
      </c>
      <c r="T134" s="235">
        <f t="shared" si="4"/>
        <v>0.25</v>
      </c>
      <c r="U134" s="235">
        <f t="shared" si="4"/>
        <v>0.25</v>
      </c>
      <c r="V134" s="235">
        <f t="shared" si="4"/>
        <v>0.25</v>
      </c>
      <c r="W134" s="235">
        <f t="shared" si="4"/>
        <v>0.25</v>
      </c>
      <c r="X134" s="235">
        <f t="shared" si="4"/>
        <v>0.25</v>
      </c>
      <c r="Y134" s="235">
        <f t="shared" si="4"/>
        <v>0.25</v>
      </c>
      <c r="Z134" s="235">
        <f t="shared" si="4"/>
        <v>0.25</v>
      </c>
      <c r="AA134" s="235">
        <f t="shared" si="4"/>
        <v>0.25</v>
      </c>
      <c r="AB134" s="235">
        <f t="shared" si="4"/>
        <v>1</v>
      </c>
      <c r="AC134" s="236">
        <f t="shared" si="4"/>
        <v>1</v>
      </c>
    </row>
    <row r="135" spans="1:29" ht="24" customHeight="1">
      <c r="A135" s="684"/>
      <c r="B135" s="684"/>
      <c r="C135" s="684"/>
      <c r="D135" s="744"/>
      <c r="E135" s="237" t="s">
        <v>661</v>
      </c>
      <c r="F135" s="113">
        <f t="shared" ref="F135:AC135" si="5">IF(F138=1,0.25,1)</f>
        <v>1</v>
      </c>
      <c r="G135" s="113">
        <f t="shared" si="5"/>
        <v>1</v>
      </c>
      <c r="H135" s="113">
        <f t="shared" si="5"/>
        <v>1</v>
      </c>
      <c r="I135" s="113">
        <f t="shared" si="5"/>
        <v>1</v>
      </c>
      <c r="J135" s="113">
        <f t="shared" si="5"/>
        <v>1</v>
      </c>
      <c r="K135" s="113">
        <f t="shared" si="5"/>
        <v>1</v>
      </c>
      <c r="L135" s="113">
        <f t="shared" si="5"/>
        <v>0.25</v>
      </c>
      <c r="M135" s="113">
        <f t="shared" si="5"/>
        <v>0.25</v>
      </c>
      <c r="N135" s="113">
        <f t="shared" si="5"/>
        <v>0.25</v>
      </c>
      <c r="O135" s="113">
        <f t="shared" si="5"/>
        <v>0.25</v>
      </c>
      <c r="P135" s="113">
        <f t="shared" si="5"/>
        <v>0.25</v>
      </c>
      <c r="Q135" s="113">
        <f t="shared" si="5"/>
        <v>0.25</v>
      </c>
      <c r="R135" s="113">
        <f t="shared" si="5"/>
        <v>0.25</v>
      </c>
      <c r="S135" s="113">
        <f t="shared" si="5"/>
        <v>0.25</v>
      </c>
      <c r="T135" s="113">
        <f t="shared" si="5"/>
        <v>0.25</v>
      </c>
      <c r="U135" s="113">
        <f t="shared" si="5"/>
        <v>0.25</v>
      </c>
      <c r="V135" s="113">
        <f t="shared" si="5"/>
        <v>0.25</v>
      </c>
      <c r="W135" s="113">
        <f t="shared" si="5"/>
        <v>0.25</v>
      </c>
      <c r="X135" s="113">
        <f t="shared" si="5"/>
        <v>0.25</v>
      </c>
      <c r="Y135" s="113">
        <f t="shared" si="5"/>
        <v>1</v>
      </c>
      <c r="Z135" s="113">
        <f t="shared" si="5"/>
        <v>1</v>
      </c>
      <c r="AA135" s="113">
        <f t="shared" si="5"/>
        <v>1</v>
      </c>
      <c r="AB135" s="113">
        <f t="shared" si="5"/>
        <v>1</v>
      </c>
      <c r="AC135" s="238">
        <f t="shared" si="5"/>
        <v>1</v>
      </c>
    </row>
    <row r="136" spans="1:29" ht="24" customHeight="1" thickBot="1">
      <c r="A136" s="685"/>
      <c r="B136" s="685"/>
      <c r="C136" s="685"/>
      <c r="D136" s="745"/>
      <c r="E136" s="239" t="s">
        <v>662</v>
      </c>
      <c r="F136" s="240">
        <f t="shared" ref="F136:AC136" si="6">IF(F139=1,0.25,1)</f>
        <v>1</v>
      </c>
      <c r="G136" s="240">
        <f t="shared" si="6"/>
        <v>1</v>
      </c>
      <c r="H136" s="240">
        <f t="shared" si="6"/>
        <v>1</v>
      </c>
      <c r="I136" s="240">
        <f t="shared" si="6"/>
        <v>1</v>
      </c>
      <c r="J136" s="240">
        <f t="shared" si="6"/>
        <v>1</v>
      </c>
      <c r="K136" s="240">
        <f t="shared" si="6"/>
        <v>1</v>
      </c>
      <c r="L136" s="240">
        <f t="shared" si="6"/>
        <v>1</v>
      </c>
      <c r="M136" s="240">
        <f t="shared" si="6"/>
        <v>0.25</v>
      </c>
      <c r="N136" s="240">
        <f t="shared" si="6"/>
        <v>0.25</v>
      </c>
      <c r="O136" s="240">
        <f t="shared" si="6"/>
        <v>0.25</v>
      </c>
      <c r="P136" s="240">
        <f t="shared" si="6"/>
        <v>0.25</v>
      </c>
      <c r="Q136" s="240">
        <f t="shared" si="6"/>
        <v>0.25</v>
      </c>
      <c r="R136" s="240">
        <f t="shared" si="6"/>
        <v>0.25</v>
      </c>
      <c r="S136" s="240">
        <f t="shared" si="6"/>
        <v>0.25</v>
      </c>
      <c r="T136" s="240">
        <f t="shared" si="6"/>
        <v>0.25</v>
      </c>
      <c r="U136" s="240">
        <f t="shared" si="6"/>
        <v>0.25</v>
      </c>
      <c r="V136" s="240">
        <f t="shared" si="6"/>
        <v>1</v>
      </c>
      <c r="W136" s="240">
        <f t="shared" si="6"/>
        <v>1</v>
      </c>
      <c r="X136" s="240">
        <f t="shared" si="6"/>
        <v>1</v>
      </c>
      <c r="Y136" s="240">
        <f t="shared" si="6"/>
        <v>1</v>
      </c>
      <c r="Z136" s="240">
        <f t="shared" si="6"/>
        <v>1</v>
      </c>
      <c r="AA136" s="240">
        <f t="shared" si="6"/>
        <v>1</v>
      </c>
      <c r="AB136" s="240">
        <f t="shared" si="6"/>
        <v>1</v>
      </c>
      <c r="AC136" s="241">
        <f t="shared" si="6"/>
        <v>1</v>
      </c>
    </row>
    <row r="137" spans="1:29" ht="24" customHeight="1">
      <c r="A137" s="683" t="s">
        <v>657</v>
      </c>
      <c r="B137" s="683" t="s">
        <v>140</v>
      </c>
      <c r="C137" s="683" t="s">
        <v>668</v>
      </c>
      <c r="D137" s="737" t="s">
        <v>659</v>
      </c>
      <c r="E137" s="228" t="s">
        <v>660</v>
      </c>
      <c r="F137" s="101">
        <v>0</v>
      </c>
      <c r="G137" s="101">
        <v>0</v>
      </c>
      <c r="H137" s="101">
        <v>0</v>
      </c>
      <c r="I137" s="101">
        <v>0</v>
      </c>
      <c r="J137" s="101">
        <v>0</v>
      </c>
      <c r="K137" s="101">
        <v>0</v>
      </c>
      <c r="L137" s="101">
        <v>1</v>
      </c>
      <c r="M137" s="101">
        <v>1</v>
      </c>
      <c r="N137" s="101">
        <v>1</v>
      </c>
      <c r="O137" s="101">
        <v>1</v>
      </c>
      <c r="P137" s="101">
        <v>1</v>
      </c>
      <c r="Q137" s="101">
        <v>1</v>
      </c>
      <c r="R137" s="101">
        <v>1</v>
      </c>
      <c r="S137" s="101">
        <v>1</v>
      </c>
      <c r="T137" s="101">
        <v>1</v>
      </c>
      <c r="U137" s="101">
        <v>1</v>
      </c>
      <c r="V137" s="101">
        <v>1</v>
      </c>
      <c r="W137" s="101">
        <v>1</v>
      </c>
      <c r="X137" s="101">
        <v>1</v>
      </c>
      <c r="Y137" s="101">
        <v>1</v>
      </c>
      <c r="Z137" s="101">
        <v>1</v>
      </c>
      <c r="AA137" s="101">
        <v>1</v>
      </c>
      <c r="AB137" s="101">
        <v>0</v>
      </c>
      <c r="AC137" s="233">
        <v>0</v>
      </c>
    </row>
    <row r="138" spans="1:29" ht="24" customHeight="1">
      <c r="A138" s="684"/>
      <c r="B138" s="684"/>
      <c r="C138" s="684"/>
      <c r="D138" s="738"/>
      <c r="E138" s="229" t="s">
        <v>661</v>
      </c>
      <c r="F138" s="63">
        <v>0</v>
      </c>
      <c r="G138" s="63">
        <v>0</v>
      </c>
      <c r="H138" s="63">
        <v>0</v>
      </c>
      <c r="I138" s="63">
        <v>0</v>
      </c>
      <c r="J138" s="63">
        <v>0</v>
      </c>
      <c r="K138" s="63">
        <v>0</v>
      </c>
      <c r="L138" s="63">
        <v>1</v>
      </c>
      <c r="M138" s="63">
        <v>1</v>
      </c>
      <c r="N138" s="63">
        <v>1</v>
      </c>
      <c r="O138" s="63">
        <v>1</v>
      </c>
      <c r="P138" s="63">
        <v>1</v>
      </c>
      <c r="Q138" s="63">
        <v>1</v>
      </c>
      <c r="R138" s="63">
        <v>1</v>
      </c>
      <c r="S138" s="63">
        <v>1</v>
      </c>
      <c r="T138" s="63">
        <v>1</v>
      </c>
      <c r="U138" s="63">
        <v>1</v>
      </c>
      <c r="V138" s="63">
        <v>1</v>
      </c>
      <c r="W138" s="63">
        <v>1</v>
      </c>
      <c r="X138" s="63">
        <v>1</v>
      </c>
      <c r="Y138" s="63">
        <v>0</v>
      </c>
      <c r="Z138" s="63">
        <v>0</v>
      </c>
      <c r="AA138" s="63">
        <v>0</v>
      </c>
      <c r="AB138" s="63">
        <v>0</v>
      </c>
      <c r="AC138" s="142">
        <v>0</v>
      </c>
    </row>
    <row r="139" spans="1:29" ht="24" customHeight="1" thickBot="1">
      <c r="A139" s="685"/>
      <c r="B139" s="685"/>
      <c r="C139" s="685"/>
      <c r="D139" s="739"/>
      <c r="E139" s="232" t="s">
        <v>662</v>
      </c>
      <c r="F139" s="186">
        <v>0</v>
      </c>
      <c r="G139" s="186">
        <v>0</v>
      </c>
      <c r="H139" s="186">
        <v>0</v>
      </c>
      <c r="I139" s="186">
        <v>0</v>
      </c>
      <c r="J139" s="186">
        <v>0</v>
      </c>
      <c r="K139" s="186">
        <v>0</v>
      </c>
      <c r="L139" s="186">
        <v>0</v>
      </c>
      <c r="M139" s="186">
        <v>1</v>
      </c>
      <c r="N139" s="186">
        <v>1</v>
      </c>
      <c r="O139" s="186">
        <v>1</v>
      </c>
      <c r="P139" s="186">
        <v>1</v>
      </c>
      <c r="Q139" s="186">
        <v>1</v>
      </c>
      <c r="R139" s="186">
        <v>1</v>
      </c>
      <c r="S139" s="186">
        <v>1</v>
      </c>
      <c r="T139" s="186">
        <v>1</v>
      </c>
      <c r="U139" s="186">
        <v>1</v>
      </c>
      <c r="V139" s="186">
        <v>0</v>
      </c>
      <c r="W139" s="186">
        <v>0</v>
      </c>
      <c r="X139" s="186">
        <v>0</v>
      </c>
      <c r="Y139" s="186">
        <v>0</v>
      </c>
      <c r="Z139" s="186">
        <v>0</v>
      </c>
      <c r="AA139" s="186">
        <v>0</v>
      </c>
      <c r="AB139" s="186">
        <v>0</v>
      </c>
      <c r="AC139" s="187">
        <v>0</v>
      </c>
    </row>
    <row r="140" spans="1:29" ht="24" customHeight="1">
      <c r="A140" s="686" t="s">
        <v>657</v>
      </c>
      <c r="B140" s="686" t="s">
        <v>140</v>
      </c>
      <c r="C140" s="683" t="s">
        <v>669</v>
      </c>
      <c r="D140" s="740" t="s">
        <v>786</v>
      </c>
      <c r="E140" s="225" t="s">
        <v>660</v>
      </c>
      <c r="F140" s="537">
        <v>60</v>
      </c>
      <c r="G140" s="537">
        <v>60</v>
      </c>
      <c r="H140" s="537">
        <v>60</v>
      </c>
      <c r="I140" s="537">
        <v>60</v>
      </c>
      <c r="J140" s="537">
        <v>60</v>
      </c>
      <c r="K140" s="537">
        <v>60</v>
      </c>
      <c r="L140" s="537">
        <v>60</v>
      </c>
      <c r="M140" s="537">
        <v>60</v>
      </c>
      <c r="N140" s="537">
        <v>60</v>
      </c>
      <c r="O140" s="537">
        <v>60</v>
      </c>
      <c r="P140" s="537">
        <v>60</v>
      </c>
      <c r="Q140" s="537">
        <v>60</v>
      </c>
      <c r="R140" s="537">
        <v>60</v>
      </c>
      <c r="S140" s="537">
        <v>60</v>
      </c>
      <c r="T140" s="537">
        <v>60</v>
      </c>
      <c r="U140" s="537">
        <v>60</v>
      </c>
      <c r="V140" s="537">
        <v>60</v>
      </c>
      <c r="W140" s="537">
        <v>60</v>
      </c>
      <c r="X140" s="537">
        <v>60</v>
      </c>
      <c r="Y140" s="537">
        <v>60</v>
      </c>
      <c r="Z140" s="537">
        <v>60</v>
      </c>
      <c r="AA140" s="537">
        <v>60</v>
      </c>
      <c r="AB140" s="537">
        <v>60</v>
      </c>
      <c r="AC140" s="52">
        <v>60</v>
      </c>
    </row>
    <row r="141" spans="1:29" ht="24" customHeight="1">
      <c r="A141" s="687"/>
      <c r="B141" s="687"/>
      <c r="C141" s="684"/>
      <c r="D141" s="741"/>
      <c r="E141" s="226" t="s">
        <v>661</v>
      </c>
      <c r="F141" s="505">
        <v>60</v>
      </c>
      <c r="G141" s="505">
        <v>60</v>
      </c>
      <c r="H141" s="505">
        <v>60</v>
      </c>
      <c r="I141" s="505">
        <v>60</v>
      </c>
      <c r="J141" s="505">
        <v>60</v>
      </c>
      <c r="K141" s="505">
        <v>60</v>
      </c>
      <c r="L141" s="505">
        <v>60</v>
      </c>
      <c r="M141" s="505">
        <v>60</v>
      </c>
      <c r="N141" s="505">
        <v>60</v>
      </c>
      <c r="O141" s="505">
        <v>60</v>
      </c>
      <c r="P141" s="505">
        <v>60</v>
      </c>
      <c r="Q141" s="505">
        <v>60</v>
      </c>
      <c r="R141" s="505">
        <v>60</v>
      </c>
      <c r="S141" s="505">
        <v>60</v>
      </c>
      <c r="T141" s="505">
        <v>60</v>
      </c>
      <c r="U141" s="505">
        <v>60</v>
      </c>
      <c r="V141" s="505">
        <v>60</v>
      </c>
      <c r="W141" s="505">
        <v>60</v>
      </c>
      <c r="X141" s="505">
        <v>60</v>
      </c>
      <c r="Y141" s="505">
        <v>60</v>
      </c>
      <c r="Z141" s="505">
        <v>60</v>
      </c>
      <c r="AA141" s="505">
        <v>60</v>
      </c>
      <c r="AB141" s="505">
        <v>60</v>
      </c>
      <c r="AC141" s="134">
        <v>60</v>
      </c>
    </row>
    <row r="142" spans="1:29" ht="24" customHeight="1" thickBot="1">
      <c r="A142" s="688"/>
      <c r="B142" s="688"/>
      <c r="C142" s="685"/>
      <c r="D142" s="742"/>
      <c r="E142" s="227" t="s">
        <v>662</v>
      </c>
      <c r="F142" s="538">
        <v>60</v>
      </c>
      <c r="G142" s="538">
        <v>60</v>
      </c>
      <c r="H142" s="538">
        <v>60</v>
      </c>
      <c r="I142" s="538">
        <v>60</v>
      </c>
      <c r="J142" s="538">
        <v>60</v>
      </c>
      <c r="K142" s="538">
        <v>60</v>
      </c>
      <c r="L142" s="538">
        <v>60</v>
      </c>
      <c r="M142" s="538">
        <v>60</v>
      </c>
      <c r="N142" s="538">
        <v>60</v>
      </c>
      <c r="O142" s="538">
        <v>60</v>
      </c>
      <c r="P142" s="538">
        <v>60</v>
      </c>
      <c r="Q142" s="538">
        <v>60</v>
      </c>
      <c r="R142" s="538">
        <v>60</v>
      </c>
      <c r="S142" s="538">
        <v>60</v>
      </c>
      <c r="T142" s="538">
        <v>60</v>
      </c>
      <c r="U142" s="538">
        <v>60</v>
      </c>
      <c r="V142" s="538">
        <v>60</v>
      </c>
      <c r="W142" s="538">
        <v>60</v>
      </c>
      <c r="X142" s="538">
        <v>60</v>
      </c>
      <c r="Y142" s="538">
        <v>60</v>
      </c>
      <c r="Z142" s="538">
        <v>60</v>
      </c>
      <c r="AA142" s="538">
        <v>60</v>
      </c>
      <c r="AB142" s="538">
        <v>60</v>
      </c>
      <c r="AC142" s="53">
        <v>60</v>
      </c>
    </row>
    <row r="143" spans="1:29" ht="24" customHeight="1">
      <c r="A143" s="686" t="s">
        <v>657</v>
      </c>
      <c r="B143" s="686" t="s">
        <v>140</v>
      </c>
      <c r="C143" s="683" t="s">
        <v>670</v>
      </c>
      <c r="D143" s="740" t="s">
        <v>786</v>
      </c>
      <c r="E143" s="225" t="s">
        <v>660</v>
      </c>
      <c r="F143" s="537">
        <v>85</v>
      </c>
      <c r="G143" s="537">
        <v>85</v>
      </c>
      <c r="H143" s="537">
        <v>85</v>
      </c>
      <c r="I143" s="537">
        <v>85</v>
      </c>
      <c r="J143" s="537">
        <v>85</v>
      </c>
      <c r="K143" s="537">
        <v>85</v>
      </c>
      <c r="L143" s="537">
        <v>85</v>
      </c>
      <c r="M143" s="537">
        <v>85</v>
      </c>
      <c r="N143" s="537">
        <v>85</v>
      </c>
      <c r="O143" s="537">
        <v>85</v>
      </c>
      <c r="P143" s="537">
        <v>85</v>
      </c>
      <c r="Q143" s="537">
        <v>85</v>
      </c>
      <c r="R143" s="537">
        <v>85</v>
      </c>
      <c r="S143" s="537">
        <v>85</v>
      </c>
      <c r="T143" s="537">
        <v>85</v>
      </c>
      <c r="U143" s="537">
        <v>85</v>
      </c>
      <c r="V143" s="537">
        <v>85</v>
      </c>
      <c r="W143" s="537">
        <v>85</v>
      </c>
      <c r="X143" s="537">
        <v>85</v>
      </c>
      <c r="Y143" s="537">
        <v>85</v>
      </c>
      <c r="Z143" s="537">
        <v>85</v>
      </c>
      <c r="AA143" s="537">
        <v>85</v>
      </c>
      <c r="AB143" s="537">
        <v>85</v>
      </c>
      <c r="AC143" s="52">
        <v>85</v>
      </c>
    </row>
    <row r="144" spans="1:29" ht="24" customHeight="1">
      <c r="A144" s="687"/>
      <c r="B144" s="687"/>
      <c r="C144" s="684"/>
      <c r="D144" s="741"/>
      <c r="E144" s="226" t="s">
        <v>661</v>
      </c>
      <c r="F144" s="505">
        <v>85</v>
      </c>
      <c r="G144" s="505">
        <v>85</v>
      </c>
      <c r="H144" s="505">
        <v>85</v>
      </c>
      <c r="I144" s="505">
        <v>85</v>
      </c>
      <c r="J144" s="505">
        <v>85</v>
      </c>
      <c r="K144" s="505">
        <v>85</v>
      </c>
      <c r="L144" s="505">
        <v>85</v>
      </c>
      <c r="M144" s="505">
        <v>85</v>
      </c>
      <c r="N144" s="505">
        <v>85</v>
      </c>
      <c r="O144" s="505">
        <v>85</v>
      </c>
      <c r="P144" s="505">
        <v>85</v>
      </c>
      <c r="Q144" s="505">
        <v>85</v>
      </c>
      <c r="R144" s="505">
        <v>85</v>
      </c>
      <c r="S144" s="505">
        <v>85</v>
      </c>
      <c r="T144" s="505">
        <v>85</v>
      </c>
      <c r="U144" s="505">
        <v>85</v>
      </c>
      <c r="V144" s="505">
        <v>85</v>
      </c>
      <c r="W144" s="505">
        <v>85</v>
      </c>
      <c r="X144" s="505">
        <v>85</v>
      </c>
      <c r="Y144" s="505">
        <v>85</v>
      </c>
      <c r="Z144" s="505">
        <v>85</v>
      </c>
      <c r="AA144" s="505">
        <v>85</v>
      </c>
      <c r="AB144" s="505">
        <v>85</v>
      </c>
      <c r="AC144" s="134">
        <v>85</v>
      </c>
    </row>
    <row r="145" spans="1:29" ht="24" customHeight="1" thickBot="1">
      <c r="A145" s="688"/>
      <c r="B145" s="688"/>
      <c r="C145" s="685"/>
      <c r="D145" s="742"/>
      <c r="E145" s="227" t="s">
        <v>662</v>
      </c>
      <c r="F145" s="538">
        <v>85</v>
      </c>
      <c r="G145" s="538">
        <v>85</v>
      </c>
      <c r="H145" s="538">
        <v>85</v>
      </c>
      <c r="I145" s="538">
        <v>85</v>
      </c>
      <c r="J145" s="538">
        <v>85</v>
      </c>
      <c r="K145" s="538">
        <v>85</v>
      </c>
      <c r="L145" s="538">
        <v>85</v>
      </c>
      <c r="M145" s="538">
        <v>85</v>
      </c>
      <c r="N145" s="538">
        <v>85</v>
      </c>
      <c r="O145" s="538">
        <v>85</v>
      </c>
      <c r="P145" s="538">
        <v>85</v>
      </c>
      <c r="Q145" s="538">
        <v>85</v>
      </c>
      <c r="R145" s="538">
        <v>85</v>
      </c>
      <c r="S145" s="538">
        <v>85</v>
      </c>
      <c r="T145" s="538">
        <v>85</v>
      </c>
      <c r="U145" s="538">
        <v>85</v>
      </c>
      <c r="V145" s="538">
        <v>85</v>
      </c>
      <c r="W145" s="538">
        <v>85</v>
      </c>
      <c r="X145" s="538">
        <v>85</v>
      </c>
      <c r="Y145" s="538">
        <v>85</v>
      </c>
      <c r="Z145" s="538">
        <v>85</v>
      </c>
      <c r="AA145" s="538">
        <v>85</v>
      </c>
      <c r="AB145" s="538">
        <v>85</v>
      </c>
      <c r="AC145" s="53">
        <v>85</v>
      </c>
    </row>
  </sheetData>
  <mergeCells count="192">
    <mergeCell ref="A143:A145"/>
    <mergeCell ref="B143:B145"/>
    <mergeCell ref="C143:C145"/>
    <mergeCell ref="D143:D145"/>
    <mergeCell ref="A115:AC115"/>
    <mergeCell ref="A134:A136"/>
    <mergeCell ref="B134:B136"/>
    <mergeCell ref="C134:C136"/>
    <mergeCell ref="D134:D136"/>
    <mergeCell ref="A137:A139"/>
    <mergeCell ref="B137:B139"/>
    <mergeCell ref="C137:C139"/>
    <mergeCell ref="D137:D139"/>
    <mergeCell ref="A140:A142"/>
    <mergeCell ref="B140:B142"/>
    <mergeCell ref="C140:C142"/>
    <mergeCell ref="D140:D142"/>
    <mergeCell ref="A125:A127"/>
    <mergeCell ref="B125:B127"/>
    <mergeCell ref="C125:C127"/>
    <mergeCell ref="D125:D127"/>
    <mergeCell ref="A128:A130"/>
    <mergeCell ref="B128:B130"/>
    <mergeCell ref="C128:C130"/>
    <mergeCell ref="D128:D130"/>
    <mergeCell ref="A131:A133"/>
    <mergeCell ref="B131:B133"/>
    <mergeCell ref="C131:C133"/>
    <mergeCell ref="D131:D133"/>
    <mergeCell ref="A116:A118"/>
    <mergeCell ref="B116:B118"/>
    <mergeCell ref="C116:C118"/>
    <mergeCell ref="D116:D118"/>
    <mergeCell ref="A119:A121"/>
    <mergeCell ref="B119:B121"/>
    <mergeCell ref="C119:C121"/>
    <mergeCell ref="D119:D121"/>
    <mergeCell ref="A122:A124"/>
    <mergeCell ref="B122:B124"/>
    <mergeCell ref="C122:C124"/>
    <mergeCell ref="D122:D124"/>
    <mergeCell ref="A38:A40"/>
    <mergeCell ref="A41:A43"/>
    <mergeCell ref="A44:A46"/>
    <mergeCell ref="A47:A49"/>
    <mergeCell ref="A1:AC1"/>
    <mergeCell ref="A2:A3"/>
    <mergeCell ref="A4:A6"/>
    <mergeCell ref="A7:A9"/>
    <mergeCell ref="A10:A12"/>
    <mergeCell ref="A13:A15"/>
    <mergeCell ref="B4:B6"/>
    <mergeCell ref="B2:B3"/>
    <mergeCell ref="F2:AC2"/>
    <mergeCell ref="E2:E3"/>
    <mergeCell ref="D2:D3"/>
    <mergeCell ref="C2:C3"/>
    <mergeCell ref="D4:D6"/>
    <mergeCell ref="C4:C6"/>
    <mergeCell ref="B7:B9"/>
    <mergeCell ref="B10:B12"/>
    <mergeCell ref="C7:C9"/>
    <mergeCell ref="D7:D9"/>
    <mergeCell ref="A91:A93"/>
    <mergeCell ref="B91:B93"/>
    <mergeCell ref="C91:C93"/>
    <mergeCell ref="D91:D93"/>
    <mergeCell ref="B50:B52"/>
    <mergeCell ref="B16:B18"/>
    <mergeCell ref="B19:B21"/>
    <mergeCell ref="B22:B24"/>
    <mergeCell ref="B25:B27"/>
    <mergeCell ref="B28:B30"/>
    <mergeCell ref="B31:B33"/>
    <mergeCell ref="A85:A87"/>
    <mergeCell ref="B85:B87"/>
    <mergeCell ref="B72:B74"/>
    <mergeCell ref="A50:A52"/>
    <mergeCell ref="A53:A55"/>
    <mergeCell ref="A35:A37"/>
    <mergeCell ref="B35:B37"/>
    <mergeCell ref="B38:B40"/>
    <mergeCell ref="B41:B43"/>
    <mergeCell ref="B44:B46"/>
    <mergeCell ref="B47:B49"/>
    <mergeCell ref="A81:A83"/>
    <mergeCell ref="B81:B83"/>
    <mergeCell ref="A84:AC84"/>
    <mergeCell ref="B56:B58"/>
    <mergeCell ref="B60:B62"/>
    <mergeCell ref="C60:C62"/>
    <mergeCell ref="C56:C58"/>
    <mergeCell ref="C85:C87"/>
    <mergeCell ref="D85:D87"/>
    <mergeCell ref="A88:A90"/>
    <mergeCell ref="B88:B90"/>
    <mergeCell ref="C88:C90"/>
    <mergeCell ref="D88:D90"/>
    <mergeCell ref="C81:C83"/>
    <mergeCell ref="D81:D83"/>
    <mergeCell ref="A63:A65"/>
    <mergeCell ref="B63:B65"/>
    <mergeCell ref="C63:C65"/>
    <mergeCell ref="D63:D65"/>
    <mergeCell ref="A75:A77"/>
    <mergeCell ref="B75:B77"/>
    <mergeCell ref="C75:C77"/>
    <mergeCell ref="D75:D77"/>
    <mergeCell ref="A78:A80"/>
    <mergeCell ref="B78:B80"/>
    <mergeCell ref="C78:C80"/>
    <mergeCell ref="B53:B55"/>
    <mergeCell ref="A69:A71"/>
    <mergeCell ref="B69:B71"/>
    <mergeCell ref="A60:A62"/>
    <mergeCell ref="A56:A58"/>
    <mergeCell ref="D41:D43"/>
    <mergeCell ref="C41:C43"/>
    <mergeCell ref="C72:C74"/>
    <mergeCell ref="D72:D74"/>
    <mergeCell ref="C69:C71"/>
    <mergeCell ref="D66:D68"/>
    <mergeCell ref="A66:A68"/>
    <mergeCell ref="B66:B68"/>
    <mergeCell ref="C66:C68"/>
    <mergeCell ref="D78:D80"/>
    <mergeCell ref="D69:D71"/>
    <mergeCell ref="A72:A74"/>
    <mergeCell ref="D38:D40"/>
    <mergeCell ref="C38:C40"/>
    <mergeCell ref="C35:C37"/>
    <mergeCell ref="D56:D58"/>
    <mergeCell ref="D53:D55"/>
    <mergeCell ref="D50:D52"/>
    <mergeCell ref="D47:D49"/>
    <mergeCell ref="D35:D37"/>
    <mergeCell ref="C47:C49"/>
    <mergeCell ref="C44:C46"/>
    <mergeCell ref="D44:D46"/>
    <mergeCell ref="C53:C55"/>
    <mergeCell ref="C50:C52"/>
    <mergeCell ref="C16:C18"/>
    <mergeCell ref="A25:A27"/>
    <mergeCell ref="A28:A30"/>
    <mergeCell ref="A31:A33"/>
    <mergeCell ref="D16:D18"/>
    <mergeCell ref="C13:C15"/>
    <mergeCell ref="D13:D15"/>
    <mergeCell ref="C10:C12"/>
    <mergeCell ref="D10:D12"/>
    <mergeCell ref="A16:A18"/>
    <mergeCell ref="A19:A21"/>
    <mergeCell ref="C22:C24"/>
    <mergeCell ref="D22:D24"/>
    <mergeCell ref="C19:C21"/>
    <mergeCell ref="D19:D21"/>
    <mergeCell ref="D31:D33"/>
    <mergeCell ref="C31:C33"/>
    <mergeCell ref="C28:C30"/>
    <mergeCell ref="D28:D30"/>
    <mergeCell ref="C25:C27"/>
    <mergeCell ref="D25:D27"/>
    <mergeCell ref="A22:A24"/>
    <mergeCell ref="B13:B15"/>
    <mergeCell ref="B94:B96"/>
    <mergeCell ref="C94:C96"/>
    <mergeCell ref="D94:D96"/>
    <mergeCell ref="A97:A99"/>
    <mergeCell ref="B97:B99"/>
    <mergeCell ref="C97:C99"/>
    <mergeCell ref="D97:D99"/>
    <mergeCell ref="A100:A102"/>
    <mergeCell ref="B100:B102"/>
    <mergeCell ref="C100:C102"/>
    <mergeCell ref="D100:D102"/>
    <mergeCell ref="A94:A96"/>
    <mergeCell ref="A112:A114"/>
    <mergeCell ref="B112:B114"/>
    <mergeCell ref="C112:C114"/>
    <mergeCell ref="D112:D114"/>
    <mergeCell ref="A103:A105"/>
    <mergeCell ref="B103:B105"/>
    <mergeCell ref="C103:C105"/>
    <mergeCell ref="D103:D105"/>
    <mergeCell ref="A106:A108"/>
    <mergeCell ref="B106:B108"/>
    <mergeCell ref="C106:C108"/>
    <mergeCell ref="D106:D108"/>
    <mergeCell ref="A109:A111"/>
    <mergeCell ref="B109:B111"/>
    <mergeCell ref="C109:C111"/>
    <mergeCell ref="D109:D111"/>
  </mergeCells>
  <phoneticPr fontId="5"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W25"/>
  <sheetViews>
    <sheetView zoomScale="80" zoomScaleNormal="80" workbookViewId="0">
      <selection activeCell="J22" sqref="J22"/>
    </sheetView>
  </sheetViews>
  <sheetFormatPr defaultColWidth="8.6640625" defaultRowHeight="13.2"/>
  <cols>
    <col min="1" max="1" width="10.33203125" style="5" customWidth="1"/>
    <col min="2" max="2" width="8.6640625" style="5"/>
    <col min="3" max="3" width="17.33203125" style="5" bestFit="1" customWidth="1"/>
    <col min="4" max="4" width="12.6640625" style="5" bestFit="1" customWidth="1"/>
    <col min="5" max="5" width="12.88671875" style="5" bestFit="1" customWidth="1"/>
    <col min="6" max="6" width="22.33203125" style="5" bestFit="1" customWidth="1"/>
    <col min="7" max="7" width="16.88671875" style="5" bestFit="1" customWidth="1"/>
    <col min="8" max="8" width="17.88671875" style="5" bestFit="1" customWidth="1"/>
    <col min="9" max="9" width="10.6640625" style="5" customWidth="1"/>
    <col min="10" max="11" width="17.33203125" style="5" bestFit="1" customWidth="1"/>
    <col min="12" max="12" width="19.33203125" style="5" customWidth="1"/>
    <col min="13" max="14" width="8.6640625" style="5"/>
    <col min="15" max="15" width="14.44140625" style="5" customWidth="1"/>
    <col min="16" max="16" width="15.44140625" style="5" customWidth="1"/>
    <col min="17" max="17" width="19.33203125" style="5" customWidth="1"/>
    <col min="18" max="19" width="18.33203125" style="5" customWidth="1"/>
    <col min="20" max="22" width="13.6640625" style="5" customWidth="1"/>
    <col min="23" max="23" width="10.6640625" style="5" customWidth="1"/>
    <col min="24" max="25" width="8.6640625" style="5"/>
    <col min="26" max="26" width="13.6640625" style="5" customWidth="1"/>
    <col min="27" max="29" width="8.6640625" style="5"/>
    <col min="30" max="30" width="12.44140625" style="5" customWidth="1"/>
    <col min="31" max="16384" width="8.6640625" style="5"/>
  </cols>
  <sheetData>
    <row r="1" spans="1:23" ht="27" customHeight="1">
      <c r="A1" s="597" t="s">
        <v>695</v>
      </c>
      <c r="B1" s="597"/>
      <c r="C1" s="597"/>
      <c r="D1" s="597"/>
      <c r="E1" s="597"/>
      <c r="F1" s="597"/>
      <c r="G1" s="597"/>
      <c r="H1" s="597"/>
      <c r="I1" s="597"/>
      <c r="J1" s="597"/>
      <c r="K1" s="597"/>
      <c r="L1" s="597"/>
      <c r="O1" s="733" t="str">
        <f>"Energy Consumption - "&amp;Prototype!A2</f>
        <v>Energy Consumption - Outpatient</v>
      </c>
      <c r="P1" s="734"/>
      <c r="Q1" s="734"/>
      <c r="R1" s="734"/>
      <c r="S1" s="734"/>
      <c r="T1" s="734"/>
      <c r="U1" s="734"/>
      <c r="V1" s="734"/>
      <c r="W1" s="734"/>
    </row>
    <row r="2" spans="1:23" ht="39.6" customHeight="1">
      <c r="A2" s="533" t="s">
        <v>10</v>
      </c>
      <c r="B2" s="533" t="s">
        <v>696</v>
      </c>
      <c r="C2" s="533" t="s">
        <v>697</v>
      </c>
      <c r="D2" s="533" t="s">
        <v>698</v>
      </c>
      <c r="E2" s="533" t="s">
        <v>699</v>
      </c>
      <c r="F2" s="533" t="s">
        <v>700</v>
      </c>
      <c r="G2" s="533" t="s">
        <v>701</v>
      </c>
      <c r="H2" s="533" t="s">
        <v>702</v>
      </c>
      <c r="I2" s="243" t="s">
        <v>703</v>
      </c>
      <c r="J2" s="243" t="s">
        <v>704</v>
      </c>
      <c r="K2" s="243" t="s">
        <v>705</v>
      </c>
      <c r="L2" s="243" t="s">
        <v>706</v>
      </c>
      <c r="O2" s="506" t="s">
        <v>10</v>
      </c>
      <c r="P2" s="533" t="s">
        <v>696</v>
      </c>
      <c r="Q2" s="533" t="s">
        <v>707</v>
      </c>
      <c r="R2" s="533" t="s">
        <v>708</v>
      </c>
      <c r="S2" s="533" t="s">
        <v>709</v>
      </c>
      <c r="T2" s="95" t="s">
        <v>710</v>
      </c>
      <c r="U2" s="95" t="s">
        <v>704</v>
      </c>
      <c r="V2" s="95" t="s">
        <v>705</v>
      </c>
      <c r="W2" s="95" t="s">
        <v>711</v>
      </c>
    </row>
    <row r="3" spans="1:23" ht="19.2" customHeight="1">
      <c r="A3" s="611" t="s">
        <v>63</v>
      </c>
      <c r="B3" s="516">
        <v>1</v>
      </c>
      <c r="C3" s="496"/>
      <c r="D3" s="496"/>
      <c r="E3" s="496"/>
      <c r="F3" s="496"/>
      <c r="G3" s="496"/>
      <c r="H3" s="496"/>
      <c r="I3" s="2">
        <v>108</v>
      </c>
      <c r="J3" s="244">
        <f>I3*1.25</f>
        <v>135</v>
      </c>
      <c r="K3" s="244">
        <f>I3*0.75</f>
        <v>81</v>
      </c>
      <c r="L3" s="244">
        <f>J3-K3</f>
        <v>54</v>
      </c>
      <c r="O3" s="611" t="str">
        <f>A3</f>
        <v>Outpatient</v>
      </c>
      <c r="P3" s="87">
        <v>1</v>
      </c>
      <c r="Q3" s="245">
        <v>7059</v>
      </c>
      <c r="R3" s="246">
        <v>70.980212195308724</v>
      </c>
      <c r="S3" s="246">
        <v>51.157709366392332</v>
      </c>
      <c r="T3" s="247">
        <f>R3+S3</f>
        <v>122.13792156170106</v>
      </c>
      <c r="U3" s="497">
        <f>T3*1.25</f>
        <v>152.67240195212634</v>
      </c>
      <c r="V3" s="497">
        <f>T3*0.75</f>
        <v>91.60344117127579</v>
      </c>
      <c r="W3" s="247">
        <f>U3-V3</f>
        <v>61.068960780850546</v>
      </c>
    </row>
    <row r="4" spans="1:23" ht="19.2" customHeight="1">
      <c r="A4" s="611"/>
      <c r="B4" s="516">
        <v>2</v>
      </c>
      <c r="C4" s="496"/>
      <c r="D4" s="496"/>
      <c r="E4" s="496"/>
      <c r="F4" s="496"/>
      <c r="G4" s="496"/>
      <c r="H4" s="496"/>
      <c r="I4" s="2">
        <v>106.4</v>
      </c>
      <c r="J4" s="244">
        <f t="shared" ref="J4:J18" si="0">I4*1.25</f>
        <v>133</v>
      </c>
      <c r="K4" s="244">
        <f t="shared" ref="K4:K18" si="1">I4*0.75</f>
        <v>79.800000000000011</v>
      </c>
      <c r="L4" s="244">
        <f t="shared" ref="L4:L18" si="2">J4-K4</f>
        <v>53.199999999999989</v>
      </c>
      <c r="O4" s="611"/>
      <c r="P4" s="87">
        <v>2</v>
      </c>
      <c r="Q4" s="245">
        <v>14514</v>
      </c>
      <c r="R4" s="246">
        <v>45.631221123127403</v>
      </c>
      <c r="S4" s="246">
        <v>53.475471118975605</v>
      </c>
      <c r="T4" s="247">
        <f t="shared" ref="T4:T18" si="3">R4+S4</f>
        <v>99.106692242103009</v>
      </c>
      <c r="U4" s="497">
        <f t="shared" ref="U4:U18" si="4">T4*1.25</f>
        <v>123.88336530262876</v>
      </c>
      <c r="V4" s="497">
        <f t="shared" ref="V4:V18" si="5">T4*0.75</f>
        <v>74.330019181577256</v>
      </c>
      <c r="W4" s="247">
        <f t="shared" ref="W4:W18" si="6">U4-V4</f>
        <v>49.553346121051504</v>
      </c>
    </row>
    <row r="5" spans="1:23" ht="19.2" customHeight="1">
      <c r="A5" s="611"/>
      <c r="B5" s="516">
        <v>3</v>
      </c>
      <c r="C5" s="496"/>
      <c r="D5" s="496"/>
      <c r="E5" s="496"/>
      <c r="F5" s="496"/>
      <c r="G5" s="496"/>
      <c r="H5" s="496"/>
      <c r="I5" s="2">
        <v>104.6</v>
      </c>
      <c r="J5" s="244">
        <f t="shared" si="0"/>
        <v>130.75</v>
      </c>
      <c r="K5" s="244">
        <f t="shared" si="1"/>
        <v>78.449999999999989</v>
      </c>
      <c r="L5" s="244">
        <f t="shared" si="2"/>
        <v>52.300000000000011</v>
      </c>
      <c r="O5" s="611"/>
      <c r="P5" s="87">
        <v>3</v>
      </c>
      <c r="Q5" s="245">
        <v>56689</v>
      </c>
      <c r="R5" s="246">
        <v>53.487682660570549</v>
      </c>
      <c r="S5" s="246">
        <v>48.160547948909439</v>
      </c>
      <c r="T5" s="247">
        <f t="shared" si="3"/>
        <v>101.64823060947998</v>
      </c>
      <c r="U5" s="497">
        <f t="shared" si="4"/>
        <v>127.06028826184998</v>
      </c>
      <c r="V5" s="497">
        <f t="shared" si="5"/>
        <v>76.236172957109986</v>
      </c>
      <c r="W5" s="247">
        <f t="shared" si="6"/>
        <v>50.824115304739991</v>
      </c>
    </row>
    <row r="6" spans="1:23" ht="19.2" customHeight="1">
      <c r="A6" s="611"/>
      <c r="B6" s="516">
        <v>4</v>
      </c>
      <c r="C6" s="496"/>
      <c r="D6" s="496"/>
      <c r="E6" s="496"/>
      <c r="F6" s="496"/>
      <c r="G6" s="496"/>
      <c r="H6" s="496"/>
      <c r="I6" s="2">
        <v>111.8</v>
      </c>
      <c r="J6" s="244">
        <f t="shared" si="0"/>
        <v>139.75</v>
      </c>
      <c r="K6" s="244">
        <f t="shared" si="1"/>
        <v>83.85</v>
      </c>
      <c r="L6" s="244">
        <f t="shared" si="2"/>
        <v>55.900000000000006</v>
      </c>
      <c r="O6" s="611"/>
      <c r="P6" s="87">
        <v>4</v>
      </c>
      <c r="Q6" s="245">
        <v>29372</v>
      </c>
      <c r="R6" s="246">
        <v>54.755926049206174</v>
      </c>
      <c r="S6" s="246">
        <v>50.159318999849447</v>
      </c>
      <c r="T6" s="247">
        <f t="shared" si="3"/>
        <v>104.91524504905561</v>
      </c>
      <c r="U6" s="497">
        <f t="shared" si="4"/>
        <v>131.1440563113195</v>
      </c>
      <c r="V6" s="497">
        <f t="shared" si="5"/>
        <v>78.68643378679171</v>
      </c>
      <c r="W6" s="247">
        <f t="shared" si="6"/>
        <v>52.457622524527793</v>
      </c>
    </row>
    <row r="7" spans="1:23" ht="19.2" customHeight="1">
      <c r="A7" s="611"/>
      <c r="B7" s="516">
        <v>5</v>
      </c>
      <c r="C7" s="496"/>
      <c r="D7" s="496"/>
      <c r="E7" s="496"/>
      <c r="F7" s="496"/>
      <c r="G7" s="496"/>
      <c r="H7" s="496"/>
      <c r="I7" s="2">
        <v>103.8</v>
      </c>
      <c r="J7" s="244">
        <f t="shared" si="0"/>
        <v>129.75</v>
      </c>
      <c r="K7" s="244">
        <f t="shared" si="1"/>
        <v>77.849999999999994</v>
      </c>
      <c r="L7" s="244">
        <f t="shared" si="2"/>
        <v>51.900000000000006</v>
      </c>
      <c r="O7" s="611"/>
      <c r="P7" s="87">
        <v>5</v>
      </c>
      <c r="Q7" s="245">
        <v>5067</v>
      </c>
      <c r="R7" s="246">
        <v>39.828202554020528</v>
      </c>
      <c r="S7" s="246">
        <v>24.816475850209393</v>
      </c>
      <c r="T7" s="247">
        <f t="shared" si="3"/>
        <v>64.644678404229921</v>
      </c>
      <c r="U7" s="497">
        <f t="shared" si="4"/>
        <v>80.805848005287402</v>
      </c>
      <c r="V7" s="497">
        <f t="shared" si="5"/>
        <v>48.483508803172441</v>
      </c>
      <c r="W7" s="247">
        <f t="shared" si="6"/>
        <v>32.322339202114961</v>
      </c>
    </row>
    <row r="8" spans="1:23" ht="19.2" customHeight="1">
      <c r="A8" s="611"/>
      <c r="B8" s="516">
        <v>6</v>
      </c>
      <c r="C8" s="496"/>
      <c r="D8" s="496"/>
      <c r="E8" s="496"/>
      <c r="F8" s="496"/>
      <c r="G8" s="496"/>
      <c r="H8" s="496"/>
      <c r="I8" s="2">
        <v>107.3</v>
      </c>
      <c r="J8" s="244">
        <f t="shared" si="0"/>
        <v>134.125</v>
      </c>
      <c r="K8" s="244">
        <f t="shared" si="1"/>
        <v>80.474999999999994</v>
      </c>
      <c r="L8" s="244">
        <f t="shared" si="2"/>
        <v>53.650000000000006</v>
      </c>
      <c r="O8" s="611"/>
      <c r="P8" s="87">
        <v>6</v>
      </c>
      <c r="Q8" s="245">
        <v>32891</v>
      </c>
      <c r="R8" s="246">
        <v>54.93212515884494</v>
      </c>
      <c r="S8" s="246">
        <v>75.476365686410062</v>
      </c>
      <c r="T8" s="247">
        <f t="shared" si="3"/>
        <v>130.40849084525502</v>
      </c>
      <c r="U8" s="497">
        <f t="shared" si="4"/>
        <v>163.01061355656879</v>
      </c>
      <c r="V8" s="497">
        <f t="shared" si="5"/>
        <v>97.806368133941262</v>
      </c>
      <c r="W8" s="247">
        <f t="shared" si="6"/>
        <v>65.204245422627523</v>
      </c>
    </row>
    <row r="9" spans="1:23" ht="19.2" customHeight="1">
      <c r="A9" s="611"/>
      <c r="B9" s="516">
        <v>7</v>
      </c>
      <c r="C9" s="496"/>
      <c r="D9" s="496"/>
      <c r="E9" s="496"/>
      <c r="F9" s="496"/>
      <c r="G9" s="496"/>
      <c r="H9" s="496"/>
      <c r="I9" s="2">
        <v>108.5</v>
      </c>
      <c r="J9" s="244">
        <f t="shared" si="0"/>
        <v>135.625</v>
      </c>
      <c r="K9" s="244">
        <f t="shared" si="1"/>
        <v>81.375</v>
      </c>
      <c r="L9" s="244">
        <f t="shared" si="2"/>
        <v>54.25</v>
      </c>
      <c r="O9" s="611"/>
      <c r="P9" s="87">
        <v>7</v>
      </c>
      <c r="Q9" s="245">
        <v>31754</v>
      </c>
      <c r="R9" s="246">
        <v>74.843716197552865</v>
      </c>
      <c r="S9" s="246">
        <v>45.486109268373966</v>
      </c>
      <c r="T9" s="247">
        <f t="shared" si="3"/>
        <v>120.32982546592683</v>
      </c>
      <c r="U9" s="497">
        <f t="shared" si="4"/>
        <v>150.41228183240855</v>
      </c>
      <c r="V9" s="497">
        <f t="shared" si="5"/>
        <v>90.247369099445123</v>
      </c>
      <c r="W9" s="247">
        <f t="shared" si="6"/>
        <v>60.16491273296343</v>
      </c>
    </row>
    <row r="10" spans="1:23" ht="19.2" customHeight="1">
      <c r="A10" s="611"/>
      <c r="B10" s="516">
        <v>8</v>
      </c>
      <c r="C10" s="496"/>
      <c r="D10" s="496"/>
      <c r="E10" s="496"/>
      <c r="F10" s="496"/>
      <c r="G10" s="496"/>
      <c r="H10" s="496"/>
      <c r="I10" s="2">
        <v>113.6</v>
      </c>
      <c r="J10" s="244">
        <f t="shared" si="0"/>
        <v>142</v>
      </c>
      <c r="K10" s="244">
        <f t="shared" si="1"/>
        <v>85.199999999999989</v>
      </c>
      <c r="L10" s="244">
        <f t="shared" si="2"/>
        <v>56.800000000000011</v>
      </c>
      <c r="O10" s="611"/>
      <c r="P10" s="87">
        <v>8</v>
      </c>
      <c r="Q10" s="245">
        <v>50355</v>
      </c>
      <c r="R10" s="246">
        <v>56.543942198765762</v>
      </c>
      <c r="S10" s="246">
        <v>86.911469679451784</v>
      </c>
      <c r="T10" s="247">
        <f t="shared" si="3"/>
        <v>143.45541187821755</v>
      </c>
      <c r="U10" s="497">
        <f t="shared" si="4"/>
        <v>179.31926484777193</v>
      </c>
      <c r="V10" s="497">
        <f t="shared" si="5"/>
        <v>107.59155890866316</v>
      </c>
      <c r="W10" s="247">
        <f t="shared" si="6"/>
        <v>71.727705939108773</v>
      </c>
    </row>
    <row r="11" spans="1:23" ht="19.2" customHeight="1">
      <c r="A11" s="611"/>
      <c r="B11" s="516">
        <v>9</v>
      </c>
      <c r="C11" s="496"/>
      <c r="D11" s="496"/>
      <c r="E11" s="496"/>
      <c r="F11" s="496"/>
      <c r="G11" s="496"/>
      <c r="H11" s="496"/>
      <c r="I11" s="2">
        <v>113.1</v>
      </c>
      <c r="J11" s="244">
        <f t="shared" si="0"/>
        <v>141.375</v>
      </c>
      <c r="K11" s="244">
        <f t="shared" si="1"/>
        <v>84.824999999999989</v>
      </c>
      <c r="L11" s="244">
        <f t="shared" si="2"/>
        <v>56.550000000000011</v>
      </c>
      <c r="O11" s="611"/>
      <c r="P11" s="87">
        <v>9</v>
      </c>
      <c r="Q11" s="245">
        <v>72118</v>
      </c>
      <c r="R11" s="246">
        <v>45.225686473214381</v>
      </c>
      <c r="S11" s="246">
        <v>63.3726521601304</v>
      </c>
      <c r="T11" s="247">
        <f t="shared" si="3"/>
        <v>108.59833863334478</v>
      </c>
      <c r="U11" s="497">
        <f t="shared" si="4"/>
        <v>135.74792329168099</v>
      </c>
      <c r="V11" s="497">
        <f t="shared" si="5"/>
        <v>81.448753975008586</v>
      </c>
      <c r="W11" s="247">
        <f t="shared" si="6"/>
        <v>54.299169316672405</v>
      </c>
    </row>
    <row r="12" spans="1:23" ht="19.2" customHeight="1">
      <c r="A12" s="611"/>
      <c r="B12" s="516">
        <v>10</v>
      </c>
      <c r="C12" s="496"/>
      <c r="D12" s="496"/>
      <c r="E12" s="496"/>
      <c r="F12" s="496"/>
      <c r="G12" s="496"/>
      <c r="H12" s="496"/>
      <c r="I12" s="2">
        <v>110.1</v>
      </c>
      <c r="J12" s="244">
        <f t="shared" si="0"/>
        <v>137.625</v>
      </c>
      <c r="K12" s="244">
        <f t="shared" si="1"/>
        <v>82.574999999999989</v>
      </c>
      <c r="L12" s="244">
        <f t="shared" si="2"/>
        <v>55.050000000000011</v>
      </c>
      <c r="O12" s="611"/>
      <c r="P12" s="87">
        <v>10</v>
      </c>
      <c r="Q12" s="245">
        <v>55175</v>
      </c>
      <c r="R12" s="246">
        <v>66.772263788736169</v>
      </c>
      <c r="S12" s="246">
        <v>63.83398665256901</v>
      </c>
      <c r="T12" s="247">
        <f t="shared" si="3"/>
        <v>130.60625044130518</v>
      </c>
      <c r="U12" s="497">
        <f t="shared" si="4"/>
        <v>163.25781305163147</v>
      </c>
      <c r="V12" s="497">
        <f t="shared" si="5"/>
        <v>97.954687830978884</v>
      </c>
      <c r="W12" s="247">
        <f t="shared" si="6"/>
        <v>65.303125220652589</v>
      </c>
    </row>
    <row r="13" spans="1:23" ht="19.2" customHeight="1">
      <c r="A13" s="611"/>
      <c r="B13" s="516">
        <v>11</v>
      </c>
      <c r="C13" s="496"/>
      <c r="D13" s="496"/>
      <c r="E13" s="496"/>
      <c r="F13" s="496"/>
      <c r="G13" s="496"/>
      <c r="H13" s="496"/>
      <c r="I13" s="2">
        <v>119.3</v>
      </c>
      <c r="J13" s="244">
        <f t="shared" si="0"/>
        <v>149.125</v>
      </c>
      <c r="K13" s="244">
        <f t="shared" si="1"/>
        <v>89.474999999999994</v>
      </c>
      <c r="L13" s="244">
        <f t="shared" si="2"/>
        <v>59.650000000000006</v>
      </c>
      <c r="O13" s="611"/>
      <c r="P13" s="87">
        <v>11</v>
      </c>
      <c r="Q13" s="245">
        <v>20961</v>
      </c>
      <c r="R13" s="246">
        <v>67.713582297283381</v>
      </c>
      <c r="S13" s="246">
        <v>42.220507647070832</v>
      </c>
      <c r="T13" s="247">
        <f t="shared" si="3"/>
        <v>109.93408994435421</v>
      </c>
      <c r="U13" s="497">
        <f t="shared" si="4"/>
        <v>137.41761243044277</v>
      </c>
      <c r="V13" s="497">
        <f t="shared" si="5"/>
        <v>82.450567458265652</v>
      </c>
      <c r="W13" s="247">
        <f t="shared" si="6"/>
        <v>54.967044972177121</v>
      </c>
    </row>
    <row r="14" spans="1:23" ht="19.2" customHeight="1">
      <c r="A14" s="611"/>
      <c r="B14" s="516">
        <v>12</v>
      </c>
      <c r="C14" s="496"/>
      <c r="D14" s="496"/>
      <c r="E14" s="496"/>
      <c r="F14" s="496"/>
      <c r="G14" s="496"/>
      <c r="H14" s="496"/>
      <c r="I14" s="2">
        <v>115.6</v>
      </c>
      <c r="J14" s="244">
        <f t="shared" si="0"/>
        <v>144.5</v>
      </c>
      <c r="K14" s="244">
        <f t="shared" si="1"/>
        <v>86.699999999999989</v>
      </c>
      <c r="L14" s="244">
        <f t="shared" si="2"/>
        <v>57.800000000000011</v>
      </c>
      <c r="O14" s="611"/>
      <c r="P14" s="87">
        <v>12</v>
      </c>
      <c r="Q14" s="245">
        <v>93863</v>
      </c>
      <c r="R14" s="246">
        <v>69.337542630166993</v>
      </c>
      <c r="S14" s="246">
        <v>42.635038447479175</v>
      </c>
      <c r="T14" s="247">
        <f t="shared" si="3"/>
        <v>111.97258107764617</v>
      </c>
      <c r="U14" s="497">
        <f t="shared" si="4"/>
        <v>139.96572634705771</v>
      </c>
      <c r="V14" s="497">
        <f t="shared" si="5"/>
        <v>83.979435808234626</v>
      </c>
      <c r="W14" s="247">
        <f t="shared" si="6"/>
        <v>55.986290538823084</v>
      </c>
    </row>
    <row r="15" spans="1:23" ht="19.2" customHeight="1">
      <c r="A15" s="611"/>
      <c r="B15" s="516">
        <v>13</v>
      </c>
      <c r="C15" s="496"/>
      <c r="D15" s="496"/>
      <c r="E15" s="496"/>
      <c r="F15" s="496"/>
      <c r="G15" s="496"/>
      <c r="H15" s="496"/>
      <c r="I15" s="2">
        <v>121.5</v>
      </c>
      <c r="J15" s="244">
        <f t="shared" si="0"/>
        <v>151.875</v>
      </c>
      <c r="K15" s="244">
        <f t="shared" si="1"/>
        <v>91.125</v>
      </c>
      <c r="L15" s="244">
        <f t="shared" si="2"/>
        <v>60.75</v>
      </c>
      <c r="O15" s="611"/>
      <c r="P15" s="87">
        <v>13</v>
      </c>
      <c r="Q15" s="245">
        <v>30306</v>
      </c>
      <c r="R15" s="246">
        <v>75.593438725341301</v>
      </c>
      <c r="S15" s="246">
        <v>48.302175867405005</v>
      </c>
      <c r="T15" s="247">
        <f t="shared" si="3"/>
        <v>123.89561459274631</v>
      </c>
      <c r="U15" s="497">
        <f t="shared" si="4"/>
        <v>154.8695182409329</v>
      </c>
      <c r="V15" s="497">
        <f t="shared" si="5"/>
        <v>92.921710944559734</v>
      </c>
      <c r="W15" s="247">
        <f t="shared" si="6"/>
        <v>61.947807296373171</v>
      </c>
    </row>
    <row r="16" spans="1:23" ht="19.2" customHeight="1">
      <c r="A16" s="611"/>
      <c r="B16" s="516">
        <v>14</v>
      </c>
      <c r="C16" s="496"/>
      <c r="D16" s="496"/>
      <c r="E16" s="496"/>
      <c r="F16" s="496"/>
      <c r="G16" s="496"/>
      <c r="H16" s="496"/>
      <c r="I16" s="2">
        <v>119.9</v>
      </c>
      <c r="J16" s="244">
        <f t="shared" si="0"/>
        <v>149.875</v>
      </c>
      <c r="K16" s="244">
        <f t="shared" si="1"/>
        <v>89.925000000000011</v>
      </c>
      <c r="L16" s="244">
        <f t="shared" si="2"/>
        <v>59.949999999999989</v>
      </c>
      <c r="O16" s="611"/>
      <c r="P16" s="87">
        <v>14</v>
      </c>
      <c r="Q16" s="245">
        <v>13400</v>
      </c>
      <c r="R16" s="246">
        <v>63.176915436294905</v>
      </c>
      <c r="S16" s="246">
        <v>77.508974240287117</v>
      </c>
      <c r="T16" s="247">
        <f t="shared" si="3"/>
        <v>140.68588967658201</v>
      </c>
      <c r="U16" s="497">
        <f t="shared" si="4"/>
        <v>175.85736209572752</v>
      </c>
      <c r="V16" s="497">
        <f t="shared" si="5"/>
        <v>105.51441725743651</v>
      </c>
      <c r="W16" s="247">
        <f t="shared" si="6"/>
        <v>70.342944838291018</v>
      </c>
    </row>
    <row r="17" spans="1:23" ht="19.2" customHeight="1">
      <c r="A17" s="611"/>
      <c r="B17" s="516">
        <v>15</v>
      </c>
      <c r="C17" s="496"/>
      <c r="D17" s="496"/>
      <c r="E17" s="496"/>
      <c r="F17" s="496"/>
      <c r="G17" s="496"/>
      <c r="H17" s="496"/>
      <c r="I17" s="2">
        <v>137.9</v>
      </c>
      <c r="J17" s="244">
        <f t="shared" si="0"/>
        <v>172.375</v>
      </c>
      <c r="K17" s="244">
        <f t="shared" si="1"/>
        <v>103.42500000000001</v>
      </c>
      <c r="L17" s="244">
        <f t="shared" si="2"/>
        <v>68.949999999999989</v>
      </c>
      <c r="O17" s="611"/>
      <c r="P17" s="87">
        <v>15</v>
      </c>
      <c r="Q17" s="245">
        <v>24206</v>
      </c>
      <c r="R17" s="246">
        <v>61.217834653468351</v>
      </c>
      <c r="S17" s="246">
        <v>63.656692197584519</v>
      </c>
      <c r="T17" s="247">
        <f t="shared" si="3"/>
        <v>124.87452685105288</v>
      </c>
      <c r="U17" s="497">
        <f t="shared" si="4"/>
        <v>156.0931585638161</v>
      </c>
      <c r="V17" s="497">
        <f t="shared" si="5"/>
        <v>93.655895138289651</v>
      </c>
      <c r="W17" s="247">
        <f t="shared" si="6"/>
        <v>62.437263425526453</v>
      </c>
    </row>
    <row r="18" spans="1:23" ht="19.2" customHeight="1">
      <c r="A18" s="611"/>
      <c r="B18" s="516">
        <v>16</v>
      </c>
      <c r="C18" s="496"/>
      <c r="D18" s="496"/>
      <c r="E18" s="496"/>
      <c r="F18" s="496"/>
      <c r="G18" s="496"/>
      <c r="H18" s="496"/>
      <c r="I18" s="2">
        <v>113.1</v>
      </c>
      <c r="J18" s="244">
        <f t="shared" si="0"/>
        <v>141.375</v>
      </c>
      <c r="K18" s="244">
        <f t="shared" si="1"/>
        <v>84.824999999999989</v>
      </c>
      <c r="L18" s="244">
        <f t="shared" si="2"/>
        <v>56.550000000000011</v>
      </c>
      <c r="O18" s="611"/>
      <c r="P18" s="87">
        <v>16</v>
      </c>
      <c r="Q18" s="245">
        <v>57915</v>
      </c>
      <c r="R18" s="246">
        <v>72.26808706778472</v>
      </c>
      <c r="S18" s="246">
        <v>64.383248663836667</v>
      </c>
      <c r="T18" s="247">
        <f t="shared" si="3"/>
        <v>136.65133573162137</v>
      </c>
      <c r="U18" s="497">
        <f t="shared" si="4"/>
        <v>170.81416966452673</v>
      </c>
      <c r="V18" s="497">
        <f t="shared" si="5"/>
        <v>102.48850179871603</v>
      </c>
      <c r="W18" s="247">
        <f t="shared" si="6"/>
        <v>68.325667865810701</v>
      </c>
    </row>
    <row r="20" spans="1:23">
      <c r="O20" s="5" t="s">
        <v>712</v>
      </c>
    </row>
    <row r="21" spans="1:23">
      <c r="O21" s="5" t="s">
        <v>713</v>
      </c>
    </row>
    <row r="22" spans="1:23">
      <c r="O22" s="5" t="s">
        <v>714</v>
      </c>
    </row>
    <row r="25" spans="1:23" s="15" customFormat="1" hidden="1">
      <c r="O25" s="15" t="s">
        <v>715</v>
      </c>
      <c r="S25" s="16"/>
      <c r="T25" s="17"/>
      <c r="U25" s="18"/>
    </row>
  </sheetData>
  <mergeCells count="4">
    <mergeCell ref="O3:O18"/>
    <mergeCell ref="A1:L1"/>
    <mergeCell ref="A3:A18"/>
    <mergeCell ref="O1:W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9"/>
  <sheetViews>
    <sheetView zoomScaleNormal="100" workbookViewId="0">
      <selection activeCell="L4" sqref="L4:AA9"/>
    </sheetView>
  </sheetViews>
  <sheetFormatPr defaultColWidth="8.6640625" defaultRowHeight="13.2"/>
  <cols>
    <col min="1" max="2" width="12" style="5" customWidth="1"/>
    <col min="3" max="6" width="13.6640625" style="5" customWidth="1"/>
    <col min="7" max="7" width="13.33203125" style="5" customWidth="1"/>
    <col min="8" max="8" width="12.6640625" style="5" bestFit="1" customWidth="1"/>
    <col min="9" max="9" width="8.6640625" style="5"/>
    <col min="10" max="10" width="12" style="5" customWidth="1"/>
    <col min="11" max="11" width="14.109375" style="5" customWidth="1"/>
    <col min="12" max="12" width="10.33203125" style="5" customWidth="1"/>
    <col min="13" max="27" width="5.6640625" style="5" customWidth="1"/>
    <col min="28" max="16384" width="8.6640625" style="5"/>
  </cols>
  <sheetData>
    <row r="1" spans="1:28" ht="28.95" customHeight="1">
      <c r="A1" s="604" t="str">
        <f>"% of Floor Area per CZ and Vintage Bin - "&amp;Prototype!A2</f>
        <v>% of Floor Area per CZ and Vintage Bin - Outpatient</v>
      </c>
      <c r="B1" s="604"/>
      <c r="C1" s="604"/>
      <c r="D1" s="604"/>
      <c r="E1" s="604"/>
      <c r="F1" s="604"/>
      <c r="G1" s="604"/>
      <c r="J1" s="604" t="str">
        <f>"% of Floor Area per CZ and Vintage Bin - "&amp;Prototype!A2</f>
        <v>% of Floor Area per CZ and Vintage Bin - Outpatient</v>
      </c>
      <c r="K1" s="604"/>
      <c r="L1" s="604"/>
      <c r="M1" s="604"/>
      <c r="N1" s="604"/>
      <c r="O1" s="604"/>
      <c r="P1" s="604"/>
      <c r="Q1" s="604"/>
      <c r="R1" s="604"/>
      <c r="S1" s="604"/>
      <c r="T1" s="604"/>
      <c r="U1" s="604"/>
      <c r="V1" s="604"/>
      <c r="W1" s="604"/>
      <c r="X1" s="604"/>
      <c r="Y1" s="604"/>
      <c r="Z1" s="604"/>
      <c r="AA1" s="604"/>
    </row>
    <row r="2" spans="1:28" ht="21" customHeight="1">
      <c r="A2" s="736" t="s">
        <v>10</v>
      </c>
      <c r="B2" s="736" t="s">
        <v>696</v>
      </c>
      <c r="C2" s="736" t="s">
        <v>716</v>
      </c>
      <c r="D2" s="736"/>
      <c r="E2" s="736"/>
      <c r="F2" s="736"/>
      <c r="G2" s="736"/>
      <c r="J2" s="736" t="s">
        <v>10</v>
      </c>
      <c r="K2" s="736" t="s">
        <v>716</v>
      </c>
      <c r="L2" s="736" t="s">
        <v>696</v>
      </c>
      <c r="M2" s="736"/>
      <c r="N2" s="736"/>
      <c r="O2" s="736"/>
      <c r="P2" s="736"/>
      <c r="Q2" s="736"/>
      <c r="R2" s="736"/>
      <c r="S2" s="736"/>
      <c r="T2" s="736"/>
      <c r="U2" s="736"/>
      <c r="V2" s="736"/>
      <c r="W2" s="736"/>
      <c r="X2" s="736"/>
      <c r="Y2" s="736"/>
      <c r="Z2" s="736"/>
      <c r="AA2" s="736"/>
    </row>
    <row r="3" spans="1:28" ht="21" customHeight="1">
      <c r="A3" s="736"/>
      <c r="B3" s="736"/>
      <c r="C3" s="506" t="s">
        <v>717</v>
      </c>
      <c r="D3" s="506" t="s">
        <v>306</v>
      </c>
      <c r="E3" s="506" t="s">
        <v>308</v>
      </c>
      <c r="F3" s="506" t="s">
        <v>310</v>
      </c>
      <c r="G3" s="506" t="s">
        <v>718</v>
      </c>
      <c r="J3" s="736"/>
      <c r="K3" s="736"/>
      <c r="L3" s="506">
        <v>1</v>
      </c>
      <c r="M3" s="506">
        <v>2</v>
      </c>
      <c r="N3" s="506">
        <v>3</v>
      </c>
      <c r="O3" s="506">
        <v>4</v>
      </c>
      <c r="P3" s="506">
        <v>5</v>
      </c>
      <c r="Q3" s="506">
        <v>6</v>
      </c>
      <c r="R3" s="506">
        <v>7</v>
      </c>
      <c r="S3" s="506">
        <v>8</v>
      </c>
      <c r="T3" s="506">
        <v>9</v>
      </c>
      <c r="U3" s="506">
        <v>10</v>
      </c>
      <c r="V3" s="506">
        <v>11</v>
      </c>
      <c r="W3" s="506">
        <v>12</v>
      </c>
      <c r="X3" s="506">
        <v>13</v>
      </c>
      <c r="Y3" s="506">
        <v>14</v>
      </c>
      <c r="Z3" s="506">
        <v>15</v>
      </c>
      <c r="AA3" s="506">
        <v>16</v>
      </c>
    </row>
    <row r="4" spans="1:28" ht="16.95" customHeight="1">
      <c r="A4" s="611" t="s">
        <v>63</v>
      </c>
      <c r="B4" s="87">
        <v>1</v>
      </c>
      <c r="C4" s="498"/>
      <c r="D4" s="498"/>
      <c r="E4" s="498"/>
      <c r="F4" s="498"/>
      <c r="G4" s="499"/>
      <c r="H4" s="49">
        <f>SUM(C4:G4)</f>
        <v>0</v>
      </c>
      <c r="J4" s="735" t="s">
        <v>63</v>
      </c>
      <c r="K4" s="504" t="s">
        <v>717</v>
      </c>
      <c r="L4" s="500"/>
      <c r="M4" s="500"/>
      <c r="N4" s="500"/>
      <c r="O4" s="500"/>
      <c r="P4" s="500"/>
      <c r="Q4" s="500"/>
      <c r="R4" s="500"/>
      <c r="S4" s="500"/>
      <c r="T4" s="500"/>
      <c r="U4" s="500"/>
      <c r="V4" s="500"/>
      <c r="W4" s="500"/>
      <c r="X4" s="500"/>
      <c r="Y4" s="500"/>
      <c r="Z4" s="500"/>
      <c r="AA4" s="500"/>
      <c r="AB4" s="49">
        <f>SUM(L4:AA4)</f>
        <v>0</v>
      </c>
    </row>
    <row r="5" spans="1:28" ht="16.95" customHeight="1">
      <c r="A5" s="611"/>
      <c r="B5" s="87">
        <v>2</v>
      </c>
      <c r="C5" s="498"/>
      <c r="D5" s="498"/>
      <c r="E5" s="498"/>
      <c r="F5" s="498"/>
      <c r="G5" s="499"/>
      <c r="H5" s="49">
        <f t="shared" ref="H5:H19" si="0">SUM(C5:G5)</f>
        <v>0</v>
      </c>
      <c r="J5" s="735"/>
      <c r="K5" s="504" t="s">
        <v>306</v>
      </c>
      <c r="L5" s="500"/>
      <c r="M5" s="500"/>
      <c r="N5" s="500"/>
      <c r="O5" s="500"/>
      <c r="P5" s="500"/>
      <c r="Q5" s="500"/>
      <c r="R5" s="500"/>
      <c r="S5" s="500"/>
      <c r="T5" s="500"/>
      <c r="U5" s="500"/>
      <c r="V5" s="500"/>
      <c r="W5" s="500"/>
      <c r="X5" s="500"/>
      <c r="Y5" s="500"/>
      <c r="Z5" s="500"/>
      <c r="AA5" s="500"/>
      <c r="AB5" s="49">
        <f>SUM(L5:AA5)</f>
        <v>0</v>
      </c>
    </row>
    <row r="6" spans="1:28" ht="16.95" customHeight="1">
      <c r="A6" s="611"/>
      <c r="B6" s="87">
        <v>3</v>
      </c>
      <c r="C6" s="498"/>
      <c r="D6" s="498"/>
      <c r="E6" s="498"/>
      <c r="F6" s="498"/>
      <c r="G6" s="499"/>
      <c r="H6" s="49">
        <f t="shared" si="0"/>
        <v>0</v>
      </c>
      <c r="J6" s="735"/>
      <c r="K6" s="504" t="s">
        <v>308</v>
      </c>
      <c r="L6" s="500"/>
      <c r="M6" s="500"/>
      <c r="N6" s="500"/>
      <c r="O6" s="500"/>
      <c r="P6" s="500"/>
      <c r="Q6" s="500"/>
      <c r="R6" s="500"/>
      <c r="S6" s="500"/>
      <c r="T6" s="500"/>
      <c r="U6" s="500"/>
      <c r="V6" s="500"/>
      <c r="W6" s="500"/>
      <c r="X6" s="500"/>
      <c r="Y6" s="500"/>
      <c r="Z6" s="500"/>
      <c r="AA6" s="500"/>
      <c r="AB6" s="49">
        <f>SUM(L6:AA6)</f>
        <v>0</v>
      </c>
    </row>
    <row r="7" spans="1:28" ht="16.95" customHeight="1">
      <c r="A7" s="611"/>
      <c r="B7" s="87">
        <v>4</v>
      </c>
      <c r="C7" s="498"/>
      <c r="D7" s="498"/>
      <c r="E7" s="498"/>
      <c r="F7" s="498"/>
      <c r="G7" s="499"/>
      <c r="H7" s="49">
        <f t="shared" si="0"/>
        <v>0</v>
      </c>
      <c r="J7" s="735"/>
      <c r="K7" s="504" t="s">
        <v>310</v>
      </c>
      <c r="L7" s="500"/>
      <c r="M7" s="500"/>
      <c r="N7" s="500"/>
      <c r="O7" s="500"/>
      <c r="P7" s="500"/>
      <c r="Q7" s="500"/>
      <c r="R7" s="500"/>
      <c r="S7" s="500"/>
      <c r="T7" s="500"/>
      <c r="U7" s="500"/>
      <c r="V7" s="500"/>
      <c r="W7" s="500"/>
      <c r="X7" s="500"/>
      <c r="Y7" s="500"/>
      <c r="Z7" s="500"/>
      <c r="AA7" s="500"/>
      <c r="AB7" s="49">
        <f>SUM(L7:AA7)</f>
        <v>0</v>
      </c>
    </row>
    <row r="8" spans="1:28" ht="16.95" customHeight="1">
      <c r="A8" s="611"/>
      <c r="B8" s="87">
        <v>5</v>
      </c>
      <c r="C8" s="498"/>
      <c r="D8" s="498"/>
      <c r="E8" s="498"/>
      <c r="F8" s="498"/>
      <c r="G8" s="499"/>
      <c r="H8" s="49">
        <f t="shared" si="0"/>
        <v>0</v>
      </c>
      <c r="J8" s="735"/>
      <c r="K8" s="504" t="s">
        <v>718</v>
      </c>
      <c r="L8" s="500"/>
      <c r="M8" s="500"/>
      <c r="N8" s="500"/>
      <c r="O8" s="500"/>
      <c r="P8" s="500"/>
      <c r="Q8" s="500"/>
      <c r="R8" s="500"/>
      <c r="S8" s="500"/>
      <c r="T8" s="500"/>
      <c r="U8" s="500"/>
      <c r="V8" s="500"/>
      <c r="W8" s="500"/>
      <c r="X8" s="500"/>
      <c r="Y8" s="500"/>
      <c r="Z8" s="500"/>
      <c r="AA8" s="500"/>
      <c r="AB8" s="49">
        <f>SUM(L8:AA8)</f>
        <v>0</v>
      </c>
    </row>
    <row r="9" spans="1:28" ht="16.95" customHeight="1">
      <c r="A9" s="611"/>
      <c r="B9" s="87">
        <v>6</v>
      </c>
      <c r="C9" s="498"/>
      <c r="D9" s="498"/>
      <c r="E9" s="498"/>
      <c r="F9" s="498"/>
      <c r="G9" s="499"/>
      <c r="H9" s="49">
        <f t="shared" si="0"/>
        <v>0</v>
      </c>
      <c r="J9" s="735"/>
      <c r="K9" s="504" t="s">
        <v>441</v>
      </c>
      <c r="L9" s="500"/>
      <c r="M9" s="500"/>
      <c r="N9" s="500"/>
      <c r="O9" s="500"/>
      <c r="P9" s="500"/>
      <c r="Q9" s="500"/>
      <c r="R9" s="500"/>
      <c r="S9" s="500"/>
      <c r="T9" s="500"/>
      <c r="U9" s="500"/>
      <c r="V9" s="500"/>
      <c r="W9" s="500"/>
      <c r="X9" s="500"/>
      <c r="Y9" s="500"/>
      <c r="Z9" s="500"/>
      <c r="AA9" s="500"/>
      <c r="AB9" s="25"/>
    </row>
    <row r="10" spans="1:28" ht="16.95" customHeight="1">
      <c r="A10" s="611"/>
      <c r="B10" s="87">
        <v>7</v>
      </c>
      <c r="C10" s="498"/>
      <c r="D10" s="498"/>
      <c r="E10" s="498"/>
      <c r="F10" s="498"/>
      <c r="G10" s="499"/>
      <c r="H10" s="49">
        <f t="shared" si="0"/>
        <v>0</v>
      </c>
      <c r="J10" s="7"/>
      <c r="K10" s="47"/>
      <c r="L10" s="21"/>
      <c r="M10" s="21"/>
      <c r="N10" s="21"/>
      <c r="O10" s="21"/>
      <c r="P10" s="48"/>
    </row>
    <row r="11" spans="1:28" ht="16.95" customHeight="1">
      <c r="A11" s="611"/>
      <c r="B11" s="87">
        <v>8</v>
      </c>
      <c r="C11" s="498"/>
      <c r="D11" s="498"/>
      <c r="E11" s="498"/>
      <c r="F11" s="498"/>
      <c r="G11" s="499"/>
      <c r="H11" s="49">
        <f t="shared" si="0"/>
        <v>0</v>
      </c>
      <c r="J11" s="7"/>
      <c r="K11" s="47"/>
      <c r="L11" s="21"/>
      <c r="M11" s="21"/>
      <c r="N11" s="21"/>
      <c r="O11" s="21"/>
      <c r="P11" s="48"/>
    </row>
    <row r="12" spans="1:28" ht="16.95" customHeight="1">
      <c r="A12" s="611"/>
      <c r="B12" s="87">
        <v>9</v>
      </c>
      <c r="C12" s="498"/>
      <c r="D12" s="498"/>
      <c r="E12" s="498"/>
      <c r="F12" s="498"/>
      <c r="G12" s="499"/>
      <c r="H12" s="49">
        <f t="shared" si="0"/>
        <v>0</v>
      </c>
      <c r="J12" s="7"/>
      <c r="K12" s="47"/>
      <c r="L12" s="21"/>
      <c r="M12" s="21"/>
      <c r="N12" s="21"/>
      <c r="O12" s="21"/>
      <c r="P12" s="48"/>
    </row>
    <row r="13" spans="1:28" ht="16.95" customHeight="1">
      <c r="A13" s="611"/>
      <c r="B13" s="87">
        <v>10</v>
      </c>
      <c r="C13" s="498"/>
      <c r="D13" s="498"/>
      <c r="E13" s="498"/>
      <c r="F13" s="498"/>
      <c r="G13" s="499"/>
      <c r="H13" s="49">
        <f t="shared" si="0"/>
        <v>0</v>
      </c>
      <c r="J13" s="7"/>
      <c r="K13" s="47"/>
      <c r="L13" s="21"/>
      <c r="M13" s="21"/>
      <c r="N13" s="21"/>
      <c r="O13" s="21"/>
      <c r="P13" s="48"/>
    </row>
    <row r="14" spans="1:28" ht="16.95" customHeight="1">
      <c r="A14" s="611"/>
      <c r="B14" s="87">
        <v>11</v>
      </c>
      <c r="C14" s="498"/>
      <c r="D14" s="498"/>
      <c r="E14" s="498"/>
      <c r="F14" s="498"/>
      <c r="G14" s="499"/>
      <c r="H14" s="49">
        <f t="shared" si="0"/>
        <v>0</v>
      </c>
      <c r="J14" s="7"/>
      <c r="K14" s="47"/>
      <c r="L14" s="21"/>
      <c r="M14" s="21"/>
      <c r="N14" s="21"/>
      <c r="O14" s="21"/>
      <c r="P14" s="48"/>
    </row>
    <row r="15" spans="1:28" ht="16.95" customHeight="1">
      <c r="A15" s="611"/>
      <c r="B15" s="87">
        <v>12</v>
      </c>
      <c r="C15" s="498"/>
      <c r="D15" s="498"/>
      <c r="E15" s="498"/>
      <c r="F15" s="498"/>
      <c r="G15" s="499"/>
      <c r="H15" s="49">
        <f t="shared" si="0"/>
        <v>0</v>
      </c>
      <c r="J15" s="7"/>
      <c r="K15" s="47"/>
      <c r="L15" s="21"/>
      <c r="M15" s="21"/>
      <c r="N15" s="21"/>
      <c r="O15" s="21"/>
      <c r="P15" s="48"/>
    </row>
    <row r="16" spans="1:28" ht="16.95" customHeight="1">
      <c r="A16" s="611"/>
      <c r="B16" s="87">
        <v>13</v>
      </c>
      <c r="C16" s="498"/>
      <c r="D16" s="498"/>
      <c r="E16" s="498"/>
      <c r="F16" s="498"/>
      <c r="G16" s="499"/>
      <c r="H16" s="49">
        <f t="shared" si="0"/>
        <v>0</v>
      </c>
      <c r="J16" s="7"/>
      <c r="K16" s="47"/>
      <c r="L16" s="21"/>
      <c r="M16" s="21"/>
      <c r="N16" s="21"/>
      <c r="O16" s="21"/>
      <c r="P16" s="48"/>
    </row>
    <row r="17" spans="1:16" ht="16.95" customHeight="1">
      <c r="A17" s="611"/>
      <c r="B17" s="87">
        <v>14</v>
      </c>
      <c r="C17" s="498"/>
      <c r="D17" s="498"/>
      <c r="E17" s="498"/>
      <c r="F17" s="498"/>
      <c r="G17" s="499"/>
      <c r="H17" s="49">
        <f t="shared" si="0"/>
        <v>0</v>
      </c>
      <c r="J17" s="7"/>
      <c r="K17" s="47"/>
      <c r="L17" s="21"/>
      <c r="M17" s="21"/>
      <c r="N17" s="21"/>
      <c r="O17" s="21"/>
      <c r="P17" s="48"/>
    </row>
    <row r="18" spans="1:16" ht="16.95" customHeight="1">
      <c r="A18" s="611"/>
      <c r="B18" s="87">
        <v>15</v>
      </c>
      <c r="C18" s="498"/>
      <c r="D18" s="498"/>
      <c r="E18" s="498"/>
      <c r="F18" s="498"/>
      <c r="G18" s="499"/>
      <c r="H18" s="49">
        <f t="shared" si="0"/>
        <v>0</v>
      </c>
      <c r="J18" s="7"/>
      <c r="K18" s="47"/>
      <c r="L18" s="21"/>
      <c r="M18" s="21"/>
      <c r="N18" s="21"/>
      <c r="O18" s="21"/>
      <c r="P18" s="48"/>
    </row>
    <row r="19" spans="1:16" ht="16.95" customHeight="1">
      <c r="A19" s="611"/>
      <c r="B19" s="87">
        <v>16</v>
      </c>
      <c r="C19" s="499"/>
      <c r="D19" s="499"/>
      <c r="E19" s="499"/>
      <c r="F19" s="499"/>
      <c r="G19" s="499"/>
      <c r="H19" s="49">
        <f t="shared" si="0"/>
        <v>0</v>
      </c>
      <c r="J19" s="7"/>
      <c r="K19" s="47"/>
      <c r="L19" s="21"/>
      <c r="M19" s="21"/>
      <c r="N19" s="21"/>
      <c r="O19" s="21"/>
      <c r="P19" s="48"/>
    </row>
    <row r="20" spans="1:16">
      <c r="A20" s="611"/>
      <c r="B20" s="154" t="s">
        <v>719</v>
      </c>
      <c r="C20" s="501"/>
      <c r="D20" s="501"/>
      <c r="E20" s="501"/>
      <c r="F20" s="501"/>
      <c r="G20" s="501"/>
    </row>
    <row r="22" spans="1:16">
      <c r="A22" s="5" t="s">
        <v>720</v>
      </c>
    </row>
    <row r="23" spans="1:16">
      <c r="A23" s="5" t="s">
        <v>713</v>
      </c>
    </row>
    <row r="24" spans="1:16">
      <c r="A24" s="5" t="s">
        <v>714</v>
      </c>
    </row>
    <row r="29" spans="1:16" s="15" customFormat="1" hidden="1">
      <c r="A29" s="15" t="s">
        <v>715</v>
      </c>
      <c r="E29" s="16"/>
      <c r="F29" s="17"/>
      <c r="G29" s="18"/>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sqref="A1:J1"/>
    </sheetView>
  </sheetViews>
  <sheetFormatPr defaultRowHeight="14.4"/>
  <sheetData>
    <row r="1" spans="1:10" ht="23.4" customHeight="1">
      <c r="A1" s="570" t="str">
        <f>"PV - "&amp;Prototype!A2</f>
        <v>PV - Outpatient</v>
      </c>
      <c r="B1" s="570"/>
      <c r="C1" s="570"/>
      <c r="D1" s="570"/>
      <c r="E1" s="570"/>
      <c r="F1" s="570"/>
      <c r="G1" s="570"/>
      <c r="H1" s="570"/>
      <c r="I1" s="570"/>
      <c r="J1" s="570"/>
    </row>
    <row r="2" spans="1:10">
      <c r="A2" t="s">
        <v>721</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cols>
    <col min="1" max="1" width="21" style="5" customWidth="1"/>
    <col min="2" max="2" width="14.33203125" style="5" customWidth="1"/>
    <col min="3" max="3" width="14.5546875" style="5" customWidth="1"/>
    <col min="4" max="8" width="8.6640625" style="5"/>
    <col min="9" max="9" width="13.6640625" style="5" customWidth="1"/>
    <col min="10" max="10" width="14.44140625" style="5" customWidth="1"/>
    <col min="11" max="16384" width="8.6640625" style="5"/>
  </cols>
  <sheetData>
    <row r="1" spans="1:8" ht="19.95" customHeight="1">
      <c r="A1" s="570" t="str">
        <f>"EV Charger - "&amp;Prototype!A2</f>
        <v>EV Charger - Outpatient</v>
      </c>
      <c r="B1" s="570"/>
      <c r="C1" s="570"/>
      <c r="D1" s="570"/>
      <c r="E1" s="570"/>
      <c r="F1" s="570"/>
      <c r="G1" s="570"/>
      <c r="H1" s="570"/>
    </row>
    <row r="2" spans="1:8">
      <c r="A2" s="5" t="s">
        <v>721</v>
      </c>
      <c r="B2" s="34"/>
      <c r="C2" s="35"/>
      <c r="D2" s="36"/>
      <c r="E2" s="36"/>
    </row>
    <row r="3" spans="1:8">
      <c r="A3" s="509"/>
      <c r="B3" s="502"/>
      <c r="C3" s="507"/>
      <c r="D3" s="37"/>
      <c r="E3" s="37"/>
    </row>
    <row r="11" spans="1:8" s="15" customFormat="1" hidden="1">
      <c r="A11" s="15" t="s">
        <v>715</v>
      </c>
      <c r="E11" s="16"/>
      <c r="F11" s="17"/>
      <c r="G11" s="18"/>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BA6B-9D4C-4B48-989E-A8CD5FF5FA27}">
  <sheetPr codeName="Sheet16"/>
  <dimension ref="A1:G83"/>
  <sheetViews>
    <sheetView workbookViewId="0"/>
  </sheetViews>
  <sheetFormatPr defaultRowHeight="14.4"/>
  <cols>
    <col min="1" max="1" width="58.6640625" customWidth="1"/>
    <col min="2" max="2" width="30.88671875" customWidth="1"/>
    <col min="3" max="3" width="30.33203125" customWidth="1"/>
  </cols>
  <sheetData>
    <row r="1" spans="1:7">
      <c r="A1" t="s">
        <v>722</v>
      </c>
      <c r="B1" t="s">
        <v>723</v>
      </c>
      <c r="C1" t="s">
        <v>723</v>
      </c>
      <c r="D1" s="579" t="s">
        <v>724</v>
      </c>
      <c r="E1" s="579"/>
      <c r="F1" s="579"/>
      <c r="G1" s="579"/>
    </row>
    <row r="2" spans="1:7">
      <c r="A2" s="508" t="s">
        <v>725</v>
      </c>
      <c r="D2">
        <v>2013</v>
      </c>
      <c r="E2">
        <v>2016</v>
      </c>
      <c r="F2">
        <v>2019</v>
      </c>
      <c r="G2">
        <v>2025</v>
      </c>
    </row>
    <row r="3" spans="1:7">
      <c r="A3" s="508" t="s">
        <v>726</v>
      </c>
    </row>
    <row r="4" spans="1:7">
      <c r="A4" t="s">
        <v>727</v>
      </c>
    </row>
    <row r="5" spans="1:7">
      <c r="A5" t="s">
        <v>728</v>
      </c>
    </row>
    <row r="6" spans="1:7">
      <c r="A6" t="s">
        <v>729</v>
      </c>
    </row>
    <row r="7" spans="1:7">
      <c r="A7" t="s">
        <v>730</v>
      </c>
    </row>
    <row r="8" spans="1:7">
      <c r="A8" t="s">
        <v>731</v>
      </c>
    </row>
    <row r="9" spans="1:7">
      <c r="A9" t="s">
        <v>732</v>
      </c>
    </row>
    <row r="10" spans="1:7">
      <c r="A10" t="s">
        <v>733</v>
      </c>
    </row>
    <row r="11" spans="1:7">
      <c r="A11" t="s">
        <v>734</v>
      </c>
    </row>
    <row r="12" spans="1:7">
      <c r="A12" t="s">
        <v>735</v>
      </c>
    </row>
    <row r="13" spans="1:7">
      <c r="A13" t="s">
        <v>736</v>
      </c>
    </row>
    <row r="14" spans="1:7">
      <c r="A14" t="s">
        <v>737</v>
      </c>
    </row>
    <row r="15" spans="1:7">
      <c r="A15" t="s">
        <v>738</v>
      </c>
    </row>
    <row r="16" spans="1:7">
      <c r="A16" t="s">
        <v>739</v>
      </c>
    </row>
    <row r="17" spans="1:1">
      <c r="A17" t="s">
        <v>203</v>
      </c>
    </row>
    <row r="18" spans="1:1">
      <c r="A18" t="s">
        <v>740</v>
      </c>
    </row>
    <row r="19" spans="1:1">
      <c r="A19" t="s">
        <v>144</v>
      </c>
    </row>
    <row r="20" spans="1:1">
      <c r="A20" t="s">
        <v>741</v>
      </c>
    </row>
    <row r="21" spans="1:1">
      <c r="A21" t="s">
        <v>131</v>
      </c>
    </row>
    <row r="22" spans="1:1">
      <c r="A22" t="s">
        <v>742</v>
      </c>
    </row>
    <row r="23" spans="1:1">
      <c r="A23" t="s">
        <v>139</v>
      </c>
    </row>
    <row r="24" spans="1:1">
      <c r="A24" t="s">
        <v>743</v>
      </c>
    </row>
    <row r="25" spans="1:1">
      <c r="A25" t="s">
        <v>744</v>
      </c>
    </row>
    <row r="26" spans="1:1">
      <c r="A26" t="s">
        <v>123</v>
      </c>
    </row>
    <row r="27" spans="1:1">
      <c r="A27" t="s">
        <v>158</v>
      </c>
    </row>
    <row r="28" spans="1:1">
      <c r="A28" t="s">
        <v>128</v>
      </c>
    </row>
    <row r="29" spans="1:1">
      <c r="A29" t="s">
        <v>745</v>
      </c>
    </row>
    <row r="30" spans="1:1">
      <c r="A30" t="s">
        <v>168</v>
      </c>
    </row>
    <row r="31" spans="1:1">
      <c r="A31" t="s">
        <v>173</v>
      </c>
    </row>
    <row r="32" spans="1:1">
      <c r="A32" t="s">
        <v>180</v>
      </c>
    </row>
    <row r="33" spans="1:1">
      <c r="A33" t="s">
        <v>255</v>
      </c>
    </row>
    <row r="34" spans="1:1">
      <c r="A34" t="s">
        <v>177</v>
      </c>
    </row>
    <row r="35" spans="1:1">
      <c r="A35" t="s">
        <v>746</v>
      </c>
    </row>
    <row r="36" spans="1:1">
      <c r="A36" t="s">
        <v>163</v>
      </c>
    </row>
    <row r="37" spans="1:1">
      <c r="A37" t="s">
        <v>747</v>
      </c>
    </row>
    <row r="38" spans="1:1">
      <c r="A38" t="s">
        <v>748</v>
      </c>
    </row>
    <row r="39" spans="1:1">
      <c r="A39" t="s">
        <v>749</v>
      </c>
    </row>
    <row r="40" spans="1:1">
      <c r="A40" t="s">
        <v>750</v>
      </c>
    </row>
    <row r="41" spans="1:1">
      <c r="A41" t="s">
        <v>751</v>
      </c>
    </row>
    <row r="42" spans="1:1">
      <c r="A42" t="s">
        <v>147</v>
      </c>
    </row>
    <row r="43" spans="1:1">
      <c r="A43" t="s">
        <v>152</v>
      </c>
    </row>
    <row r="44" spans="1:1">
      <c r="A44" t="s">
        <v>155</v>
      </c>
    </row>
    <row r="45" spans="1:1">
      <c r="A45" t="s">
        <v>752</v>
      </c>
    </row>
    <row r="46" spans="1:1">
      <c r="A46" t="s">
        <v>753</v>
      </c>
    </row>
    <row r="47" spans="1:1">
      <c r="A47" t="s">
        <v>754</v>
      </c>
    </row>
    <row r="48" spans="1:1">
      <c r="A48" t="s">
        <v>755</v>
      </c>
    </row>
    <row r="49" spans="1:1">
      <c r="A49" t="s">
        <v>756</v>
      </c>
    </row>
    <row r="50" spans="1:1">
      <c r="A50" t="s">
        <v>171</v>
      </c>
    </row>
    <row r="51" spans="1:1">
      <c r="A51" t="s">
        <v>135</v>
      </c>
    </row>
    <row r="52" spans="1:1">
      <c r="A52" t="s">
        <v>757</v>
      </c>
    </row>
    <row r="53" spans="1:1">
      <c r="A53" t="s">
        <v>758</v>
      </c>
    </row>
    <row r="54" spans="1:1">
      <c r="A54" t="s">
        <v>759</v>
      </c>
    </row>
    <row r="55" spans="1:1">
      <c r="A55" t="s">
        <v>760</v>
      </c>
    </row>
    <row r="56" spans="1:1">
      <c r="A56" t="s">
        <v>761</v>
      </c>
    </row>
    <row r="57" spans="1:1">
      <c r="A57" t="s">
        <v>762</v>
      </c>
    </row>
    <row r="58" spans="1:1">
      <c r="A58" t="s">
        <v>763</v>
      </c>
    </row>
    <row r="59" spans="1:1">
      <c r="A59" t="s">
        <v>150</v>
      </c>
    </row>
    <row r="60" spans="1:1">
      <c r="A60" t="s">
        <v>266</v>
      </c>
    </row>
    <row r="61" spans="1:1">
      <c r="A61" t="s">
        <v>764</v>
      </c>
    </row>
    <row r="62" spans="1:1">
      <c r="A62" t="s">
        <v>765</v>
      </c>
    </row>
    <row r="63" spans="1:1">
      <c r="A63" t="s">
        <v>766</v>
      </c>
    </row>
    <row r="64" spans="1:1">
      <c r="A64" t="s">
        <v>166</v>
      </c>
    </row>
    <row r="65" spans="1:1">
      <c r="A65" t="s">
        <v>767</v>
      </c>
    </row>
    <row r="66" spans="1:1">
      <c r="A66" t="s">
        <v>768</v>
      </c>
    </row>
    <row r="67" spans="1:1">
      <c r="A67" t="s">
        <v>769</v>
      </c>
    </row>
    <row r="68" spans="1:1">
      <c r="A68" t="s">
        <v>770</v>
      </c>
    </row>
    <row r="69" spans="1:1">
      <c r="A69" t="s">
        <v>771</v>
      </c>
    </row>
    <row r="70" spans="1:1">
      <c r="A70" t="s">
        <v>772</v>
      </c>
    </row>
    <row r="71" spans="1:1">
      <c r="A71" t="s">
        <v>773</v>
      </c>
    </row>
    <row r="72" spans="1:1">
      <c r="A72" t="s">
        <v>774</v>
      </c>
    </row>
    <row r="73" spans="1:1">
      <c r="A73" t="s">
        <v>775</v>
      </c>
    </row>
    <row r="74" spans="1:1">
      <c r="A74" t="s">
        <v>776</v>
      </c>
    </row>
    <row r="75" spans="1:1">
      <c r="A75" t="s">
        <v>777</v>
      </c>
    </row>
    <row r="76" spans="1:1">
      <c r="A76" t="s">
        <v>778</v>
      </c>
    </row>
    <row r="77" spans="1:1">
      <c r="A77" t="s">
        <v>779</v>
      </c>
    </row>
    <row r="78" spans="1:1">
      <c r="A78" t="s">
        <v>185</v>
      </c>
    </row>
    <row r="79" spans="1:1">
      <c r="A79" t="s">
        <v>268</v>
      </c>
    </row>
    <row r="80" spans="1:1">
      <c r="A80" t="s">
        <v>780</v>
      </c>
    </row>
    <row r="81" spans="1:1">
      <c r="A81" t="s">
        <v>781</v>
      </c>
    </row>
    <row r="82" spans="1:1">
      <c r="A82" t="s">
        <v>782</v>
      </c>
    </row>
    <row r="83" spans="1:1">
      <c r="A83" t="s">
        <v>783</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EEB5F461-E581-40E1-8010-B3C93AC1EC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Thermostat</vt:lpstr>
      <vt:lpstr>HVAC System</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2026-10-09T04:47:01Z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y fmtid="{D5CDD505-2E9C-101B-9397-08002B2CF9AE}" pid="24" name="MSIP_Label_aa7be39c-9e9f-446a-a199-286f73f56a3f_Tag">
    <vt:lpwstr>10, 3, 0, 2</vt:lpwstr>
  </property>
</Properties>
</file>