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Check dictation and Spelling\Clean-uploaded to GH-6Oct2026\Without Weights\"/>
    </mc:Choice>
  </mc:AlternateContent>
  <xr:revisionPtr revIDLastSave="0" documentId="13_ncr:1_{C5FFA8C9-FDE0-4FEE-BA87-9A8B692AC3CC}" xr6:coauthVersionLast="47" xr6:coauthVersionMax="47" xr10:uidLastSave="{00000000-0000-0000-0000-000000000000}"/>
  <bookViews>
    <workbookView xWindow="-108" yWindow="-108" windowWidth="23256" windowHeight="13896" tabRatio="675" firstSheet="1" activeTab="1" xr2:uid="{EAC23EE3-0CA0-4FF8-990D-9B21A59FA3E0}"/>
  </bookViews>
  <sheets>
    <sheet name="Notes" sheetId="23" r:id="rId1"/>
    <sheet name="Prototype" sheetId="2" r:id="rId2"/>
    <sheet name="Zones" sheetId="13" r:id="rId3"/>
    <sheet name="Envelope" sheetId="1" r:id="rId4"/>
    <sheet name="HVAC System" sheetId="14" r:id="rId5"/>
    <sheet name="Thermostat" sheetId="30" r:id="rId6"/>
    <sheet name="Ventilation" sheetId="18" r:id="rId7"/>
    <sheet name="Water Heater" sheetId="32" r:id="rId8"/>
    <sheet name="Interior Lights" sheetId="25" r:id="rId9"/>
    <sheet name="Ext Lighting" sheetId="9" r:id="rId10"/>
    <sheet name="Equipment" sheetId="29" r:id="rId11"/>
    <sheet name="Schedules" sheetId="28" r:id="rId12"/>
    <sheet name="Energy Usage" sheetId="20" state="hidden" r:id="rId13"/>
    <sheet name="Weights" sheetId="21" state="hidden" r:id="rId14"/>
    <sheet name="EV Charger" sheetId="22" state="hidden" r:id="rId15"/>
    <sheet name="PV" sheetId="27" state="hidden" r:id="rId16"/>
    <sheet name="Data" sheetId="31" state="hidden" r:id="rId17"/>
  </sheets>
  <definedNames>
    <definedName name="_xlnm._FilterDatabase" localSheetId="16" hidden="1">Data!$D$1:$G$1</definedName>
    <definedName name="_xlnm._FilterDatabase" localSheetId="11" hidden="1">Schedules!$A$1:$AC$21</definedName>
    <definedName name="nonparticipating_forecastzone_scale_factor" localSheetId="7">#REF!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6" i="1" l="1"/>
  <c r="AA27" i="1"/>
  <c r="AA28" i="1" s="1"/>
  <c r="AA29" i="1" l="1"/>
  <c r="AA30" i="1"/>
  <c r="I27" i="1" l="1"/>
  <c r="I28" i="1"/>
  <c r="I29" i="1"/>
  <c r="I30" i="1"/>
  <c r="I26" i="1"/>
  <c r="D24" i="32"/>
  <c r="E9" i="32"/>
  <c r="G4" i="32"/>
  <c r="F4" i="32"/>
  <c r="E4" i="32"/>
  <c r="C10" i="32"/>
  <c r="A10" i="32"/>
  <c r="C9" i="32"/>
  <c r="A9" i="32"/>
  <c r="A1" i="32"/>
  <c r="I69" i="32"/>
  <c r="E133" i="2"/>
  <c r="D133" i="2"/>
  <c r="C133" i="2"/>
  <c r="B133" i="2"/>
  <c r="E132" i="2"/>
  <c r="D132" i="2"/>
  <c r="C132" i="2"/>
  <c r="B132" i="2"/>
  <c r="E129" i="2"/>
  <c r="D129" i="2"/>
  <c r="C129" i="2"/>
  <c r="B129" i="2"/>
  <c r="E127" i="2"/>
  <c r="D127" i="2"/>
  <c r="C127" i="2"/>
  <c r="B127" i="2"/>
  <c r="E125" i="2"/>
  <c r="D125" i="2"/>
  <c r="C125" i="2"/>
  <c r="B125" i="2"/>
  <c r="J18" i="1"/>
  <c r="K18" i="1"/>
  <c r="L18" i="1"/>
  <c r="M18" i="1"/>
  <c r="N18" i="1"/>
  <c r="O18" i="1"/>
  <c r="P18" i="1"/>
  <c r="Q18" i="1"/>
  <c r="R18" i="1"/>
  <c r="S18" i="1"/>
  <c r="T18" i="1"/>
  <c r="U18" i="1"/>
  <c r="V18" i="1"/>
  <c r="W18" i="1"/>
  <c r="X18" i="1"/>
  <c r="I18" i="1"/>
  <c r="J13" i="1"/>
  <c r="K13" i="1"/>
  <c r="L13" i="1"/>
  <c r="M13" i="1"/>
  <c r="N13" i="1"/>
  <c r="O13" i="1"/>
  <c r="P13" i="1"/>
  <c r="Q13" i="1"/>
  <c r="R13" i="1"/>
  <c r="S13" i="1"/>
  <c r="T13" i="1"/>
  <c r="U13" i="1"/>
  <c r="V13" i="1"/>
  <c r="W13" i="1"/>
  <c r="X13" i="1"/>
  <c r="I13" i="1"/>
  <c r="J1" i="21"/>
  <c r="A1" i="21"/>
  <c r="E4" i="29"/>
  <c r="A1" i="20"/>
  <c r="S18" i="20"/>
  <c r="U18" i="20" s="1"/>
  <c r="S17" i="20"/>
  <c r="U17" i="20" s="1"/>
  <c r="S16" i="20"/>
  <c r="T16" i="20" s="1"/>
  <c r="S15" i="20"/>
  <c r="U15" i="20" s="1"/>
  <c r="S14" i="20"/>
  <c r="U14" i="20" s="1"/>
  <c r="S13" i="20"/>
  <c r="T13" i="20" s="1"/>
  <c r="S12" i="20"/>
  <c r="T12" i="20" s="1"/>
  <c r="S11" i="20"/>
  <c r="U11" i="20" s="1"/>
  <c r="S10" i="20"/>
  <c r="U10" i="20" s="1"/>
  <c r="S9" i="20"/>
  <c r="U9" i="20" s="1"/>
  <c r="S8" i="20"/>
  <c r="U8" i="20" s="1"/>
  <c r="S7" i="20"/>
  <c r="U7" i="20" s="1"/>
  <c r="S6" i="20"/>
  <c r="U6" i="20" s="1"/>
  <c r="S5" i="20"/>
  <c r="U5" i="20" s="1"/>
  <c r="S4" i="20"/>
  <c r="T4" i="20" s="1"/>
  <c r="S3" i="20"/>
  <c r="U3" i="20" s="1"/>
  <c r="K18" i="20"/>
  <c r="J18" i="20"/>
  <c r="K17" i="20"/>
  <c r="J17" i="20"/>
  <c r="L17" i="20" s="1"/>
  <c r="K16" i="20"/>
  <c r="J16" i="20"/>
  <c r="K15" i="20"/>
  <c r="J15" i="20"/>
  <c r="L15" i="20" s="1"/>
  <c r="K14" i="20"/>
  <c r="J14" i="20"/>
  <c r="K13" i="20"/>
  <c r="J13" i="20"/>
  <c r="K12" i="20"/>
  <c r="J12" i="20"/>
  <c r="L12" i="20" s="1"/>
  <c r="K11" i="20"/>
  <c r="J11" i="20"/>
  <c r="L11" i="20" s="1"/>
  <c r="K10" i="20"/>
  <c r="J10" i="20"/>
  <c r="L10" i="20" s="1"/>
  <c r="K9" i="20"/>
  <c r="J9" i="20"/>
  <c r="L9" i="20" s="1"/>
  <c r="K8" i="20"/>
  <c r="J8" i="20"/>
  <c r="K7" i="20"/>
  <c r="J7" i="20"/>
  <c r="L7" i="20" s="1"/>
  <c r="K6" i="20"/>
  <c r="J6" i="20"/>
  <c r="L6" i="20" s="1"/>
  <c r="K5" i="20"/>
  <c r="J5" i="20"/>
  <c r="L5" i="20" s="1"/>
  <c r="K4" i="20"/>
  <c r="J4" i="20"/>
  <c r="K3" i="20"/>
  <c r="J3" i="20"/>
  <c r="I19" i="1" l="1"/>
  <c r="F10" i="32"/>
  <c r="G10" i="32" s="1"/>
  <c r="D27" i="32"/>
  <c r="D28" i="32" s="1"/>
  <c r="U13" i="20"/>
  <c r="L16" i="20"/>
  <c r="L13" i="20"/>
  <c r="V13" i="20"/>
  <c r="T18" i="20"/>
  <c r="L3" i="20"/>
  <c r="V18" i="20"/>
  <c r="T9" i="20"/>
  <c r="V9" i="20" s="1"/>
  <c r="T15" i="20"/>
  <c r="V15" i="20" s="1"/>
  <c r="U4" i="20"/>
  <c r="V4" i="20" s="1"/>
  <c r="T10" i="20"/>
  <c r="V10" i="20" s="1"/>
  <c r="U16" i="20"/>
  <c r="V16" i="20" s="1"/>
  <c r="T11" i="20"/>
  <c r="V11" i="20" s="1"/>
  <c r="T6" i="20"/>
  <c r="V6" i="20" s="1"/>
  <c r="U12" i="20"/>
  <c r="V12" i="20" s="1"/>
  <c r="T8" i="20"/>
  <c r="V8" i="20" s="1"/>
  <c r="T3" i="20"/>
  <c r="V3" i="20" s="1"/>
  <c r="T14" i="20"/>
  <c r="V14" i="20" s="1"/>
  <c r="T5" i="20"/>
  <c r="V5" i="20" s="1"/>
  <c r="T17" i="20"/>
  <c r="V17" i="20" s="1"/>
  <c r="T7" i="20"/>
  <c r="V7" i="20" s="1"/>
  <c r="L14" i="20"/>
  <c r="L4" i="20"/>
  <c r="L18" i="20"/>
  <c r="L8" i="20"/>
  <c r="F62" i="28" l="1"/>
  <c r="F63" i="28"/>
  <c r="F64" i="28"/>
  <c r="G62" i="28"/>
  <c r="H62" i="28"/>
  <c r="I62" i="28"/>
  <c r="J62" i="28"/>
  <c r="K62" i="28"/>
  <c r="L62" i="28"/>
  <c r="M62" i="28"/>
  <c r="N62" i="28"/>
  <c r="O62" i="28"/>
  <c r="P62" i="28"/>
  <c r="Q62" i="28"/>
  <c r="R62" i="28"/>
  <c r="S62" i="28"/>
  <c r="T62" i="28"/>
  <c r="U62" i="28"/>
  <c r="V62" i="28"/>
  <c r="W62" i="28"/>
  <c r="X62" i="28"/>
  <c r="Y62" i="28"/>
  <c r="Z62" i="28"/>
  <c r="AA62" i="28"/>
  <c r="AB62" i="28"/>
  <c r="AC62" i="28"/>
  <c r="G63" i="28"/>
  <c r="H63" i="28"/>
  <c r="I63" i="28"/>
  <c r="J63" i="28"/>
  <c r="K63" i="28"/>
  <c r="L63" i="28"/>
  <c r="M63" i="28"/>
  <c r="N63" i="28"/>
  <c r="O63" i="28"/>
  <c r="P63" i="28"/>
  <c r="Q63" i="28"/>
  <c r="R63" i="28"/>
  <c r="S63" i="28"/>
  <c r="T63" i="28"/>
  <c r="U63" i="28"/>
  <c r="V63" i="28"/>
  <c r="W63" i="28"/>
  <c r="X63" i="28"/>
  <c r="Y63" i="28"/>
  <c r="Z63" i="28"/>
  <c r="AA63" i="28"/>
  <c r="AB63" i="28"/>
  <c r="AC63" i="28"/>
  <c r="G64" i="28"/>
  <c r="H64" i="28"/>
  <c r="I64" i="28"/>
  <c r="J64" i="28"/>
  <c r="K64" i="28"/>
  <c r="L64" i="28"/>
  <c r="M64" i="28"/>
  <c r="N64" i="28"/>
  <c r="O64" i="28"/>
  <c r="P64" i="28"/>
  <c r="Q64" i="28"/>
  <c r="R64" i="28"/>
  <c r="S64" i="28"/>
  <c r="T64" i="28"/>
  <c r="U64" i="28"/>
  <c r="V64" i="28"/>
  <c r="W64" i="28"/>
  <c r="X64" i="28"/>
  <c r="Y64" i="28"/>
  <c r="Z64" i="28"/>
  <c r="AA64" i="28"/>
  <c r="AB64" i="28"/>
  <c r="AC64" i="28"/>
  <c r="G65" i="28"/>
  <c r="H65" i="28"/>
  <c r="I65" i="28"/>
  <c r="J65" i="28"/>
  <c r="K65" i="28"/>
  <c r="L65" i="28"/>
  <c r="M65" i="28"/>
  <c r="N65" i="28"/>
  <c r="O65" i="28"/>
  <c r="P65" i="28"/>
  <c r="Q65" i="28"/>
  <c r="R65" i="28"/>
  <c r="S65" i="28"/>
  <c r="T65" i="28"/>
  <c r="U65" i="28"/>
  <c r="V65" i="28"/>
  <c r="W65" i="28"/>
  <c r="X65" i="28"/>
  <c r="Y65" i="28"/>
  <c r="Z65" i="28"/>
  <c r="AA65" i="28"/>
  <c r="AB65" i="28"/>
  <c r="AC65" i="28"/>
  <c r="G66" i="28"/>
  <c r="H66" i="28"/>
  <c r="I66" i="28"/>
  <c r="J66" i="28"/>
  <c r="K66" i="28"/>
  <c r="L66" i="28"/>
  <c r="M66" i="28"/>
  <c r="N66" i="28"/>
  <c r="O66" i="28"/>
  <c r="P66" i="28"/>
  <c r="Q66" i="28"/>
  <c r="R66" i="28"/>
  <c r="S66" i="28"/>
  <c r="T66" i="28"/>
  <c r="U66" i="28"/>
  <c r="V66" i="28"/>
  <c r="W66" i="28"/>
  <c r="X66" i="28"/>
  <c r="Y66" i="28"/>
  <c r="Z66" i="28"/>
  <c r="AA66" i="28"/>
  <c r="AB66" i="28"/>
  <c r="AC66" i="28"/>
  <c r="G67" i="28"/>
  <c r="H67" i="28"/>
  <c r="I67" i="28"/>
  <c r="J67" i="28"/>
  <c r="K67" i="28"/>
  <c r="L67" i="28"/>
  <c r="M67" i="28"/>
  <c r="N67" i="28"/>
  <c r="O67" i="28"/>
  <c r="P67" i="28"/>
  <c r="Q67" i="28"/>
  <c r="R67" i="28"/>
  <c r="S67" i="28"/>
  <c r="T67" i="28"/>
  <c r="U67" i="28"/>
  <c r="V67" i="28"/>
  <c r="W67" i="28"/>
  <c r="X67" i="28"/>
  <c r="Y67" i="28"/>
  <c r="Z67" i="28"/>
  <c r="AA67" i="28"/>
  <c r="AB67" i="28"/>
  <c r="AC67" i="28"/>
  <c r="F66" i="28"/>
  <c r="F67" i="28"/>
  <c r="F65" i="28"/>
  <c r="A62" i="28"/>
  <c r="B62" i="28"/>
  <c r="A65" i="28"/>
  <c r="B65" i="28"/>
  <c r="M35" i="28"/>
  <c r="N35" i="28"/>
  <c r="O35" i="28"/>
  <c r="P35" i="28"/>
  <c r="Q35" i="28"/>
  <c r="R35" i="28"/>
  <c r="S35" i="28"/>
  <c r="T35" i="28"/>
  <c r="U35" i="28"/>
  <c r="V35" i="28"/>
  <c r="W35" i="28"/>
  <c r="X35" i="28"/>
  <c r="Y35" i="28"/>
  <c r="Z35" i="28"/>
  <c r="AA35" i="28"/>
  <c r="AB35" i="28"/>
  <c r="F36" i="28"/>
  <c r="K36" i="28"/>
  <c r="M36" i="28"/>
  <c r="N36" i="28"/>
  <c r="O36" i="28"/>
  <c r="P36" i="28"/>
  <c r="Q36" i="28"/>
  <c r="R36" i="28"/>
  <c r="S36" i="28"/>
  <c r="T36" i="28"/>
  <c r="U36" i="28"/>
  <c r="V36" i="28"/>
  <c r="W36" i="28"/>
  <c r="X36" i="28"/>
  <c r="Y36" i="28"/>
  <c r="Z36" i="28"/>
  <c r="AA36" i="28"/>
  <c r="AB36" i="28"/>
  <c r="M37" i="28"/>
  <c r="N37" i="28"/>
  <c r="O37" i="28"/>
  <c r="P37" i="28"/>
  <c r="Q37" i="28"/>
  <c r="R37" i="28"/>
  <c r="S37" i="28"/>
  <c r="T37" i="28"/>
  <c r="U37" i="28"/>
  <c r="V37" i="28"/>
  <c r="W37" i="28"/>
  <c r="X37" i="28"/>
  <c r="Y37" i="28"/>
  <c r="Z37" i="28"/>
  <c r="AA37" i="28"/>
  <c r="AB37" i="28"/>
  <c r="G28" i="28" l="1"/>
  <c r="H28" i="28"/>
  <c r="I28" i="28"/>
  <c r="J28" i="28"/>
  <c r="K28" i="28"/>
  <c r="L28" i="28"/>
  <c r="M28" i="28"/>
  <c r="N28" i="28"/>
  <c r="O28" i="28"/>
  <c r="P28" i="28"/>
  <c r="Q28" i="28"/>
  <c r="R28" i="28"/>
  <c r="S28" i="28"/>
  <c r="T28" i="28"/>
  <c r="U28" i="28"/>
  <c r="V28" i="28"/>
  <c r="W28" i="28"/>
  <c r="X28" i="28"/>
  <c r="Y28" i="28"/>
  <c r="Z28" i="28"/>
  <c r="AA28" i="28"/>
  <c r="AB28" i="28"/>
  <c r="AC28" i="28"/>
  <c r="G29" i="28"/>
  <c r="H29" i="28"/>
  <c r="I29" i="28"/>
  <c r="J29" i="28"/>
  <c r="K29" i="28"/>
  <c r="L29" i="28"/>
  <c r="M29" i="28"/>
  <c r="N29" i="28"/>
  <c r="O29" i="28"/>
  <c r="P29" i="28"/>
  <c r="Q29" i="28"/>
  <c r="R29" i="28"/>
  <c r="S29" i="28"/>
  <c r="T29" i="28"/>
  <c r="U29" i="28"/>
  <c r="V29" i="28"/>
  <c r="W29" i="28"/>
  <c r="X29" i="28"/>
  <c r="Y29" i="28"/>
  <c r="Z29" i="28"/>
  <c r="AA29" i="28"/>
  <c r="AB29" i="28"/>
  <c r="AC29" i="28"/>
  <c r="G30" i="28"/>
  <c r="H30" i="28"/>
  <c r="I30" i="28"/>
  <c r="J30" i="28"/>
  <c r="K30" i="28"/>
  <c r="L30" i="28"/>
  <c r="M30" i="28"/>
  <c r="N30" i="28"/>
  <c r="O30" i="28"/>
  <c r="P30" i="28"/>
  <c r="Q30" i="28"/>
  <c r="R30" i="28"/>
  <c r="S30" i="28"/>
  <c r="T30" i="28"/>
  <c r="U30" i="28"/>
  <c r="V30" i="28"/>
  <c r="W30" i="28"/>
  <c r="X30" i="28"/>
  <c r="Y30" i="28"/>
  <c r="Z30" i="28"/>
  <c r="AA30" i="28"/>
  <c r="AB30" i="28"/>
  <c r="AC30" i="28"/>
  <c r="F29" i="28"/>
  <c r="F30" i="28"/>
  <c r="F28" i="28"/>
  <c r="F25" i="28"/>
  <c r="G25" i="28"/>
  <c r="F26" i="28"/>
  <c r="G26" i="28"/>
  <c r="F27" i="28"/>
  <c r="G27" i="28"/>
  <c r="H25" i="28"/>
  <c r="I25" i="28"/>
  <c r="J25" i="28"/>
  <c r="K25" i="28"/>
  <c r="L25" i="28"/>
  <c r="M25" i="28"/>
  <c r="N25" i="28"/>
  <c r="O25" i="28"/>
  <c r="P25" i="28"/>
  <c r="Q25" i="28"/>
  <c r="R25" i="28"/>
  <c r="S25" i="28"/>
  <c r="T25" i="28"/>
  <c r="U25" i="28"/>
  <c r="V25" i="28"/>
  <c r="W25" i="28"/>
  <c r="X25" i="28"/>
  <c r="Y25" i="28"/>
  <c r="Z25" i="28"/>
  <c r="AA25" i="28"/>
  <c r="AB25" i="28"/>
  <c r="AC25" i="28"/>
  <c r="H26" i="28"/>
  <c r="I26" i="28"/>
  <c r="J26" i="28"/>
  <c r="K26" i="28"/>
  <c r="L26" i="28"/>
  <c r="M26" i="28"/>
  <c r="N26" i="28"/>
  <c r="O26" i="28"/>
  <c r="P26" i="28"/>
  <c r="Q26" i="28"/>
  <c r="R26" i="28"/>
  <c r="S26" i="28"/>
  <c r="T26" i="28"/>
  <c r="U26" i="28"/>
  <c r="V26" i="28"/>
  <c r="W26" i="28"/>
  <c r="X26" i="28"/>
  <c r="Y26" i="28"/>
  <c r="Z26" i="28"/>
  <c r="AA26" i="28"/>
  <c r="AB26" i="28"/>
  <c r="AC26" i="28"/>
  <c r="H27" i="28"/>
  <c r="I27" i="28"/>
  <c r="J27" i="28"/>
  <c r="K27" i="28"/>
  <c r="L27" i="28"/>
  <c r="M27" i="28"/>
  <c r="N27" i="28"/>
  <c r="O27" i="28"/>
  <c r="P27" i="28"/>
  <c r="Q27" i="28"/>
  <c r="R27" i="28"/>
  <c r="S27" i="28"/>
  <c r="T27" i="28"/>
  <c r="U27" i="28"/>
  <c r="V27" i="28"/>
  <c r="W27" i="28"/>
  <c r="X27" i="28"/>
  <c r="Y27" i="28"/>
  <c r="Z27" i="28"/>
  <c r="AA27" i="28"/>
  <c r="AB27" i="28"/>
  <c r="AC27" i="28"/>
  <c r="B28" i="28"/>
  <c r="A28" i="28"/>
  <c r="B25" i="28"/>
  <c r="A25" i="28"/>
  <c r="A19" i="28"/>
  <c r="A13" i="28"/>
  <c r="A10" i="28"/>
  <c r="AB9" i="28"/>
  <c r="AA9" i="28"/>
  <c r="Z9" i="28"/>
  <c r="Y9" i="28"/>
  <c r="X9" i="28"/>
  <c r="W9" i="28"/>
  <c r="V9" i="28"/>
  <c r="U9" i="28"/>
  <c r="T9" i="28"/>
  <c r="S9" i="28"/>
  <c r="R9" i="28"/>
  <c r="Q9" i="28"/>
  <c r="P9" i="28"/>
  <c r="O9" i="28"/>
  <c r="N9" i="28"/>
  <c r="M9" i="28"/>
  <c r="AB8" i="28"/>
  <c r="AA8" i="28"/>
  <c r="Z8" i="28"/>
  <c r="Y8" i="28"/>
  <c r="X8" i="28"/>
  <c r="W8" i="28"/>
  <c r="V8" i="28"/>
  <c r="U8" i="28"/>
  <c r="T8" i="28"/>
  <c r="S8" i="28"/>
  <c r="R8" i="28"/>
  <c r="Q8" i="28"/>
  <c r="P8" i="28"/>
  <c r="O8" i="28"/>
  <c r="N8" i="28"/>
  <c r="M8" i="28"/>
  <c r="K8" i="28"/>
  <c r="F8" i="28"/>
  <c r="AB7" i="28"/>
  <c r="AA7" i="28"/>
  <c r="Z7" i="28"/>
  <c r="Y7" i="28"/>
  <c r="X7" i="28"/>
  <c r="W7" i="28"/>
  <c r="V7" i="28"/>
  <c r="U7" i="28"/>
  <c r="T7" i="28"/>
  <c r="S7" i="28"/>
  <c r="R7" i="28"/>
  <c r="Q7" i="28"/>
  <c r="P7" i="28"/>
  <c r="O7" i="28"/>
  <c r="N7" i="28"/>
  <c r="M7" i="28"/>
  <c r="A7" i="28"/>
  <c r="A16" i="28" l="1"/>
  <c r="A22" i="28"/>
  <c r="A5" i="18"/>
  <c r="A5" i="29"/>
  <c r="A6" i="25"/>
  <c r="H6" i="13"/>
  <c r="A5" i="25"/>
  <c r="A4" i="25"/>
  <c r="A4" i="29"/>
  <c r="A3" i="29"/>
  <c r="C68" i="2"/>
  <c r="E68" i="2"/>
  <c r="A1" i="18"/>
  <c r="I3" i="18" l="1"/>
  <c r="I4" i="1" l="1"/>
  <c r="B23" i="18" l="1"/>
  <c r="B24" i="18" s="1"/>
  <c r="D12" i="18"/>
  <c r="E12" i="18" s="1"/>
  <c r="Q14" i="1" l="1"/>
  <c r="R14" i="1"/>
  <c r="S14" i="1"/>
  <c r="T14" i="1"/>
  <c r="U14" i="1"/>
  <c r="V14" i="1"/>
  <c r="W14" i="1"/>
  <c r="X14" i="1"/>
  <c r="J14" i="1"/>
  <c r="K14" i="1"/>
  <c r="L14" i="1"/>
  <c r="M14" i="1"/>
  <c r="N14" i="1"/>
  <c r="O14" i="1"/>
  <c r="P14" i="1"/>
  <c r="I14" i="1"/>
  <c r="J19" i="1"/>
  <c r="P19" i="1"/>
  <c r="Q19" i="1"/>
  <c r="R19" i="1"/>
  <c r="S19" i="1"/>
  <c r="T19" i="1"/>
  <c r="U19" i="1"/>
  <c r="V19" i="1"/>
  <c r="W19" i="1"/>
  <c r="X19" i="1"/>
  <c r="K19" i="1"/>
  <c r="L19" i="1"/>
  <c r="M19" i="1"/>
  <c r="N19" i="1"/>
  <c r="O19" i="1"/>
  <c r="J4" i="1" l="1"/>
  <c r="K4" i="1"/>
  <c r="L4" i="1"/>
  <c r="M4" i="1"/>
  <c r="N4" i="1"/>
  <c r="O4" i="1"/>
  <c r="P4" i="1"/>
  <c r="Q4" i="1"/>
  <c r="R4" i="1"/>
  <c r="S4" i="1"/>
  <c r="T4" i="1"/>
  <c r="U4" i="1"/>
  <c r="V4" i="1"/>
  <c r="W4" i="1"/>
  <c r="X4" i="1"/>
  <c r="G12" i="9" l="1"/>
  <c r="B23" i="9"/>
  <c r="C14" i="9" s="1"/>
  <c r="G3" i="13" l="1"/>
  <c r="K4" i="13"/>
  <c r="D10" i="32" s="1"/>
  <c r="K5" i="13"/>
  <c r="K3" i="13"/>
  <c r="D9" i="32" s="1"/>
  <c r="F9" i="32" s="1"/>
  <c r="F11" i="32" s="1"/>
  <c r="I4" i="13"/>
  <c r="I5" i="13"/>
  <c r="I3" i="13"/>
  <c r="F50" i="32" l="1"/>
  <c r="F51" i="32"/>
  <c r="F52" i="32"/>
  <c r="F53" i="32"/>
  <c r="F54" i="32"/>
  <c r="F55" i="32"/>
  <c r="F56" i="32"/>
  <c r="F57" i="32"/>
  <c r="F58" i="32"/>
  <c r="F59" i="32"/>
  <c r="F60" i="32"/>
  <c r="F61" i="32"/>
  <c r="F62" i="32"/>
  <c r="F63" i="32"/>
  <c r="F64" i="32"/>
  <c r="C50" i="32"/>
  <c r="C51" i="32"/>
  <c r="C52" i="32"/>
  <c r="C53" i="32"/>
  <c r="C54" i="32"/>
  <c r="C55" i="32"/>
  <c r="C56" i="32"/>
  <c r="C57" i="32"/>
  <c r="C58" i="32"/>
  <c r="C59" i="32"/>
  <c r="C60" i="32"/>
  <c r="C61" i="32"/>
  <c r="C62" i="32"/>
  <c r="C63" i="32"/>
  <c r="C64" i="32"/>
  <c r="F49" i="32"/>
  <c r="C49" i="32"/>
  <c r="F12" i="32"/>
  <c r="G9" i="32"/>
  <c r="I6" i="13"/>
  <c r="G4" i="13"/>
  <c r="G6" i="13" s="1"/>
  <c r="D56" i="32" l="1"/>
  <c r="E56" i="32" s="1"/>
  <c r="G56" i="32" s="1"/>
  <c r="I56" i="32" s="1"/>
  <c r="D57" i="32"/>
  <c r="E57" i="32" s="1"/>
  <c r="G57" i="32" s="1"/>
  <c r="I57" i="32" s="1"/>
  <c r="D54" i="32"/>
  <c r="E54" i="32" s="1"/>
  <c r="G54" i="32" s="1"/>
  <c r="I54" i="32" s="1"/>
  <c r="D63" i="32"/>
  <c r="E63" i="32" s="1"/>
  <c r="G63" i="32" s="1"/>
  <c r="I63" i="32" s="1"/>
  <c r="D53" i="32"/>
  <c r="E53" i="32" s="1"/>
  <c r="G53" i="32" s="1"/>
  <c r="I53" i="32" s="1"/>
  <c r="D52" i="32"/>
  <c r="E52" i="32" s="1"/>
  <c r="G52" i="32" s="1"/>
  <c r="I52" i="32" s="1"/>
  <c r="D59" i="32"/>
  <c r="E59" i="32" s="1"/>
  <c r="G59" i="32" s="1"/>
  <c r="I59" i="32" s="1"/>
  <c r="D49" i="32"/>
  <c r="E49" i="32" s="1"/>
  <c r="G49" i="32" s="1"/>
  <c r="I49" i="32" s="1"/>
  <c r="D55" i="32"/>
  <c r="E55" i="32" s="1"/>
  <c r="G55" i="32" s="1"/>
  <c r="I55" i="32" s="1"/>
  <c r="D62" i="32"/>
  <c r="E62" i="32" s="1"/>
  <c r="G62" i="32" s="1"/>
  <c r="I62" i="32" s="1"/>
  <c r="D51" i="32"/>
  <c r="E51" i="32" s="1"/>
  <c r="G51" i="32" s="1"/>
  <c r="I51" i="32" s="1"/>
  <c r="D61" i="32"/>
  <c r="E61" i="32" s="1"/>
  <c r="G61" i="32" s="1"/>
  <c r="I61" i="32" s="1"/>
  <c r="D64" i="32"/>
  <c r="E64" i="32" s="1"/>
  <c r="G64" i="32" s="1"/>
  <c r="I64" i="32" s="1"/>
  <c r="D60" i="32"/>
  <c r="E60" i="32" s="1"/>
  <c r="G60" i="32" s="1"/>
  <c r="I60" i="32" s="1"/>
  <c r="D50" i="32"/>
  <c r="E50" i="32" s="1"/>
  <c r="G50" i="32" s="1"/>
  <c r="I50" i="32" s="1"/>
  <c r="D58" i="32"/>
  <c r="E58" i="32" s="1"/>
  <c r="G58" i="32" s="1"/>
  <c r="I58" i="32" s="1"/>
  <c r="A1" i="14"/>
  <c r="A1" i="13" l="1"/>
  <c r="AB9" i="21" l="1"/>
  <c r="H20" i="21"/>
  <c r="J8" i="1" l="1"/>
  <c r="K8" i="1"/>
  <c r="L8" i="1"/>
  <c r="M8" i="1"/>
  <c r="N8" i="1"/>
  <c r="O8" i="1"/>
  <c r="P8" i="1"/>
  <c r="Q8" i="1"/>
  <c r="R8" i="1"/>
  <c r="S8" i="1"/>
  <c r="T8" i="1"/>
  <c r="U8" i="1"/>
  <c r="V8" i="1"/>
  <c r="W8" i="1"/>
  <c r="X8" i="1"/>
  <c r="I8" i="1"/>
  <c r="A1" i="28"/>
  <c r="C4" i="18" l="1"/>
  <c r="B4" i="18"/>
  <c r="G4" i="18" s="1"/>
  <c r="H4" i="18" l="1"/>
  <c r="I4" i="18"/>
  <c r="G10" i="9"/>
  <c r="G14" i="9"/>
  <c r="J4" i="18" l="1"/>
  <c r="B24" i="9"/>
  <c r="C27" i="25"/>
  <c r="C26" i="25"/>
  <c r="C25" i="25"/>
  <c r="A1" i="22"/>
  <c r="A1" i="27"/>
  <c r="A1" i="29"/>
  <c r="A1" i="9"/>
  <c r="A1" i="25"/>
  <c r="A1" i="30"/>
  <c r="A1" i="1"/>
  <c r="C11" i="9" l="1"/>
  <c r="G11" i="9" s="1"/>
  <c r="C15" i="9"/>
  <c r="G15" i="9" s="1"/>
  <c r="C16" i="9"/>
  <c r="G16" i="9" s="1"/>
  <c r="C13" i="9"/>
  <c r="G13" i="9" s="1"/>
  <c r="G18" i="9" l="1"/>
  <c r="B3" i="9" s="1"/>
  <c r="G17" i="9"/>
  <c r="A3" i="9" s="1"/>
  <c r="G19" i="9" l="1"/>
  <c r="C3" i="9"/>
  <c r="C3" i="18"/>
  <c r="H3" i="18" s="1"/>
  <c r="A4" i="18" l="1"/>
  <c r="A3" i="18"/>
  <c r="B3" i="18" l="1"/>
  <c r="G3" i="18" s="1"/>
  <c r="J3" i="18" s="1"/>
  <c r="AB4" i="21" l="1"/>
  <c r="AB5" i="21"/>
  <c r="AB6" i="21"/>
  <c r="AB7" i="21"/>
  <c r="AB8" i="21"/>
  <c r="H5" i="21"/>
  <c r="H6" i="21"/>
  <c r="H7" i="21"/>
  <c r="H8" i="21"/>
  <c r="H9" i="21"/>
  <c r="H10" i="21"/>
  <c r="H11" i="21"/>
  <c r="H12" i="21"/>
  <c r="H13" i="21"/>
  <c r="H14" i="21"/>
  <c r="H15" i="21"/>
  <c r="H16" i="21"/>
  <c r="H17" i="21"/>
  <c r="H18" i="21"/>
  <c r="H19" i="21"/>
  <c r="H4" i="21"/>
</calcChain>
</file>

<file path=xl/sharedStrings.xml><?xml version="1.0" encoding="utf-8"?>
<sst xmlns="http://schemas.openxmlformats.org/spreadsheetml/2006/main" count="1193" uniqueCount="698">
  <si>
    <t>Data Sources</t>
  </si>
  <si>
    <t>Dataset</t>
  </si>
  <si>
    <t>Dodge 2023</t>
  </si>
  <si>
    <t xml:space="preserve"> </t>
  </si>
  <si>
    <t>CEUS 2022</t>
  </si>
  <si>
    <t>CBECS 2018</t>
  </si>
  <si>
    <t>ComStock 2023</t>
  </si>
  <si>
    <t>Prototype</t>
  </si>
  <si>
    <r>
      <t>CEC prototype</t>
    </r>
    <r>
      <rPr>
        <sz val="10"/>
        <rFont val="Arial"/>
        <family val="2"/>
      </rPr>
      <t xml:space="preserve"> (CBECC 2022.3.1)</t>
    </r>
  </si>
  <si>
    <t>https://bees.noresco.com/software2022.html</t>
  </si>
  <si>
    <t>PNNL prototype (90.1-2022)</t>
  </si>
  <si>
    <t>https://www.energycodes.gov/prototype-building-models#Commercial</t>
  </si>
  <si>
    <t>DEER prototype (June 2023)</t>
  </si>
  <si>
    <t>https://github.com/sound-data/DEER-Prototypes-EnergyPlus</t>
  </si>
  <si>
    <t>Codes</t>
  </si>
  <si>
    <t>Title 24, part 6, referred to as T24 (1986, 1992, 2001, 2007, 2013, 2016, 2019, 2022, 2025)</t>
  </si>
  <si>
    <t>ASHRAE 90.1 (2022)</t>
  </si>
  <si>
    <t>CFR Title 10 (2009)</t>
  </si>
  <si>
    <t>https://www.govinfo.gov/content/pkg/FR-2009-03-23/pdf/FR-2009-03-23.pdf</t>
  </si>
  <si>
    <t>CFR Title 10 ( 2013)</t>
  </si>
  <si>
    <t>https://www.govinfo.gov/content/pkg/CFR-2013-title10-vol3/pdf/CFR-2013-title10-vol3-part431.pdf</t>
  </si>
  <si>
    <t>CFR Title 10 ( 2024)</t>
  </si>
  <si>
    <t>https://www.govinfo.gov/content/pkg/CFR-2024-title10-vol3/pdf/CFR-2024-title10-vol3-part431-subpartF.pdf</t>
  </si>
  <si>
    <t>Others</t>
  </si>
  <si>
    <t>ACM (2013, 2019, 2022, 2025)</t>
  </si>
  <si>
    <t>Title 24, 2022 - Appendix 5.4A and Appendix 5.4B</t>
  </si>
  <si>
    <t>https://www.energy.ca.gov/publications/2022/2022-nonresidential-and-multifamily-alternative-calculation-method-reference</t>
  </si>
  <si>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</si>
  <si>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</si>
  <si>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</si>
  <si>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</si>
  <si>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PNNL 20405, 2011</t>
  </si>
  <si>
    <t>https://www.pnnl.gov/main/publications/external/technical_reports/PNNL-20405.pdf</t>
  </si>
  <si>
    <t>Air leakage Memo, NORESCO, 2025</t>
  </si>
  <si>
    <t>https://2050partners.sharepoint.com/:w:/r/sites/CalBEMCollaborativeEfforts/_layouts/15/Doc.aspx?sourcedoc=%7B3BEF8F74-7FAC-44F2-A70C-D76617660066%7D&amp;file=Infiltration_rate_report_14May2025-Short-Version.docx&amp;action=default&amp;mobileredirect=true</t>
  </si>
  <si>
    <t>Yousefi, F., Athalye, R., (2025), "Determining Vintage Bins for Prototype Development: An Analysis of California Commercial Buildings," ASHRAE Annual Conference</t>
  </si>
  <si>
    <t>https://www.thefreelibrary.com/Determining+Vintage+Bins+for+Prototype+Development%3a+An+Analysis+of...-a0879271125</t>
  </si>
  <si>
    <t>Design Guide: Advanced Water Heating for Foodservice (20232) (by GTI and Frontier funded by SoCalGas and Pacific Gas and Electric Company</t>
  </si>
  <si>
    <t>https://caenergywise.com/design-guides/hot-water/Technical_Design_Guide.pdf</t>
  </si>
  <si>
    <t>Design Guide 1 : Improving Commercial Kitchen Ventilation System Performance : Selecting &amp; Sizing Exhaust Hoods referred as CKV (2004) (by SCE)</t>
  </si>
  <si>
    <t>https://www.streivor.com/wp-content/uploads/2020/11/CKV-Design-Guide-1-Selecting-and-Sizing-Exhaust-Hoods.pdf</t>
  </si>
  <si>
    <t>Proposed Updates to Equipment Power Densities and Building Schedules for the 2028 Energy Code, referred to as "Plug load and schedules project with CEC, 2025" (Docket Number =25-BSTD-03  &amp; TN=265693)</t>
  </si>
  <si>
    <t>https://efiling.energy.ca.gov/GetDocument.aspx?tn=265693&amp;DocumentContentId=102545</t>
  </si>
  <si>
    <t xml:space="preserve">ENERGY STAR certified commercial water heaters </t>
  </si>
  <si>
    <t>https://www.energystar.gov/productfinder/product/certified-commercial-water-heaters/results?fuel_filter=Gas&amp;markets_filter=United+States</t>
  </si>
  <si>
    <t>Grainger gas tank water heaters (sizes below commercial, e.g. 30–75 kBtu/h)</t>
  </si>
  <si>
    <t>https://www.grainger.com/category/plumbing/water-heaters/gas-tank-water-heaters</t>
  </si>
  <si>
    <t xml:space="preserve">Grainger electric tank water heaters </t>
  </si>
  <si>
    <t>https://www.grainger.com/category/plumbing/water-heaters/electric-tank-water-heaters</t>
  </si>
  <si>
    <t>Notes</t>
  </si>
  <si>
    <t>RestaurantFastFood</t>
  </si>
  <si>
    <t>Is a subcategory of food service building used for prepared-food sales. These places are often quick-service operations (e.g., drive-throughs, counter-service eateries,...).</t>
  </si>
  <si>
    <t>EIS, 2018:</t>
  </si>
  <si>
    <t>U.S. Energy Information Administration - EIA - Independent Statistics and Analysis</t>
  </si>
  <si>
    <t xml:space="preserve">RestaurantFastFood (STC:3) </t>
  </si>
  <si>
    <t>Year</t>
  </si>
  <si>
    <t>Total floor area (k ft2)</t>
  </si>
  <si>
    <t>Count</t>
  </si>
  <si>
    <t>Dodge Construction data , 2023</t>
  </si>
  <si>
    <r>
      <rPr>
        <sz val="11"/>
        <color rgb="FF0070C0"/>
        <rFont val="Arial"/>
        <family val="2"/>
      </rPr>
      <t>NORESCO, Updated September 2026</t>
    </r>
  </si>
  <si>
    <t>Characteristic</t>
  </si>
  <si>
    <t>Value</t>
  </si>
  <si>
    <t>Building Type</t>
  </si>
  <si>
    <t>Fast Food Restaurant</t>
  </si>
  <si>
    <t>Building Category</t>
  </si>
  <si>
    <t>Nonresidential</t>
  </si>
  <si>
    <t>Version</t>
  </si>
  <si>
    <t>v2-0</t>
  </si>
  <si>
    <t>Vintages</t>
  </si>
  <si>
    <t>4 Vintages: Pre-1978 , 1978-1997 ,1998-2007 , 2008-2018
New Construction (2019+)</t>
  </si>
  <si>
    <r>
      <t xml:space="preserve">Based on the vintage bin analysis. 
</t>
    </r>
    <r>
      <rPr>
        <sz val="10"/>
        <color rgb="FF000000"/>
        <rFont val="Arial"/>
        <family val="2"/>
      </rPr>
      <t>A summary of the findings is presented in the following paper:
Yousefi, F., Athalye, R. (2025). “Determining Vintage Bins for Prototype Development: An Analysis of California Commercial Buildings.” ASHRAE Annual Conference.</t>
    </r>
  </si>
  <si>
    <t>NonRes-Vintage bins-Draft Report-30Nov2023-Final.docx</t>
  </si>
  <si>
    <t>Shape</t>
  </si>
  <si>
    <t>Assumption; same as CEC Prototype 2022</t>
  </si>
  <si>
    <t>Total Floor Area (ft²)</t>
  </si>
  <si>
    <r>
      <t>250</t>
    </r>
    <r>
      <rPr>
        <sz val="10"/>
        <color rgb="FF000000"/>
        <rFont val="Arial"/>
        <family val="2"/>
      </rPr>
      <t>1</t>
    </r>
    <r>
      <rPr>
        <sz val="10"/>
        <rFont val="Arial"/>
        <family val="2"/>
      </rPr>
      <t xml:space="preserve"> (50 ft * 50 ft)</t>
    </r>
  </si>
  <si>
    <t>Aspect Ratio</t>
  </si>
  <si>
    <t>Number of Floors</t>
  </si>
  <si>
    <t>Roof type</t>
  </si>
  <si>
    <t>Attic (17°)</t>
  </si>
  <si>
    <t>WWR</t>
  </si>
  <si>
    <t>Average 14% 
(South: 28% , East: 14% ,North: 0% ,West: 14%</t>
  </si>
  <si>
    <t>Shading Geometry</t>
  </si>
  <si>
    <t>No shades</t>
  </si>
  <si>
    <t>Floor to floor height (ft)</t>
  </si>
  <si>
    <t>N/A</t>
  </si>
  <si>
    <t>Floor to ceiling height (ft)</t>
  </si>
  <si>
    <t>Glazing sill height (ft)</t>
  </si>
  <si>
    <t>3.5 (top of the window is 6.5 ft high with 3 ft high glass)</t>
  </si>
  <si>
    <t>Existing public prototypes</t>
  </si>
  <si>
    <t> </t>
  </si>
  <si>
    <t>PNNL (Fast Food)</t>
  </si>
  <si>
    <t>CEC (Small Restaurant)</t>
  </si>
  <si>
    <t>CPUC  (Fast Food)</t>
  </si>
  <si>
    <t>Geometry</t>
  </si>
  <si>
    <t>Whole building</t>
  </si>
  <si>
    <t>Floor area (ft²)</t>
  </si>
  <si>
    <t>Total</t>
  </si>
  <si>
    <t>Height (ft)</t>
  </si>
  <si>
    <t xml:space="preserve">All </t>
  </si>
  <si>
    <t>Zones</t>
  </si>
  <si>
    <t>Dining 50%, Kitchen 50%, Attic (NOT conditioned)</t>
  </si>
  <si>
    <t>Dining 50% , Kitchen 50%, Attic (NOT conditioned)</t>
  </si>
  <si>
    <t xml:space="preserve">Dining 40% , Kitchen 40% , Waiting Area 15% , Restroom 5% (100 sf) </t>
  </si>
  <si>
    <t>Internal Load</t>
  </si>
  <si>
    <t>People (person/ft²)</t>
  </si>
  <si>
    <t>Dining</t>
  </si>
  <si>
    <t>Kitchen</t>
  </si>
  <si>
    <t>0.005   (6.3 people)</t>
  </si>
  <si>
    <t>Other zones (if any)</t>
  </si>
  <si>
    <t>-</t>
  </si>
  <si>
    <t>0.033 Lobby &amp; 0.005 Restroom</t>
  </si>
  <si>
    <t>Lights (W/ft²)</t>
  </si>
  <si>
    <t>0.7 Lobby, 0.65 Restroom</t>
  </si>
  <si>
    <t>Ext lights (W)</t>
  </si>
  <si>
    <t>952        (209 and 743)</t>
  </si>
  <si>
    <t>Gas Equipment (Btu/h-ft2)</t>
  </si>
  <si>
    <r>
      <t>237.4</t>
    </r>
    <r>
      <rPr>
        <sz val="10"/>
        <color rgb="FF000000"/>
        <rFont val="Arial"/>
        <family val="2"/>
      </rPr>
      <t xml:space="preserve">     (296,748 Btu/h)</t>
    </r>
  </si>
  <si>
    <t>Electric Equipment (W/ft²)</t>
  </si>
  <si>
    <r>
      <t xml:space="preserve">10.3 </t>
    </r>
    <r>
      <rPr>
        <sz val="10"/>
        <color rgb="FF000000"/>
        <rFont val="Arial"/>
        <family val="2"/>
      </rPr>
      <t xml:space="preserve">      (12,835  W)</t>
    </r>
  </si>
  <si>
    <t>0.75     (0.5 receptacle &amp; 0.25 refrigerator )</t>
  </si>
  <si>
    <t>0.75     (0.5 &amp; 0.25)</t>
  </si>
  <si>
    <r>
      <t>24.29</t>
    </r>
    <r>
      <rPr>
        <sz val="10"/>
        <color rgb="FF000000"/>
        <rFont val="Arial"/>
        <family val="2"/>
      </rPr>
      <t xml:space="preserve">      (29,769 W receptacle &amp; 313 W ReachIn Refrigerator &amp;  277 W ReachInFreezer)</t>
    </r>
  </si>
  <si>
    <t>2.62      (1.5 receptacle &amp; 1.12 refrigerator)</t>
  </si>
  <si>
    <t>2.62     (1.5 &amp; 1.12)</t>
  </si>
  <si>
    <t>0.5 Lobby</t>
  </si>
  <si>
    <t xml:space="preserve">Refrigerator </t>
  </si>
  <si>
    <t xml:space="preserve">In addition to the Reachin freezer and refrigerator load defined as electric load, it has :
2 Case refrigerator : 716 and 763 Btu/hr-ft for 8 and 10 ft cases
2.5 COP for design compressor rack
1126 Btu/h for fan power of design compressor </t>
  </si>
  <si>
    <t>Two refrigerator loads is defined as electric equipment load for dining and kitchen</t>
  </si>
  <si>
    <t>expected to simulate the Refrigerator loads as electric equipment load ( like CEC)</t>
  </si>
  <si>
    <t>HVAC System</t>
  </si>
  <si>
    <t>Heating Sizing Factor</t>
  </si>
  <si>
    <t>All</t>
  </si>
  <si>
    <t>H&amp;C: 1.2</t>
  </si>
  <si>
    <t>H&amp;C:1</t>
  </si>
  <si>
    <t>H: 2.5 , C: 2.3</t>
  </si>
  <si>
    <t>HVAC</t>
  </si>
  <si>
    <t>PSZ AC: CAV no reheat, DX cooling coil: multi speed, Gas heating coil</t>
  </si>
  <si>
    <t>(BAseAirSys 13): VAV no Reheat +DX cooling coil:two speed,  Gas Heating coil</t>
  </si>
  <si>
    <t xml:space="preserve">Single Zone VAV no  Reheat , DX cooling coil:multi speed, Gas heating coil </t>
  </si>
  <si>
    <t>PSZ AC : CAV no reheat, DX cooling coil: multi speed, Gas heating coil</t>
  </si>
  <si>
    <t>(sys7or3a): CAV no Reheat+DX cooling coil: single speed+ Gas Heating coil</t>
  </si>
  <si>
    <t xml:space="preserve">Single Zone VAV no  Reheat , DX cooling coil:single speed, Gas heating coil </t>
  </si>
  <si>
    <t xml:space="preserve">For each Lobby and Restroom: Single Zone VAV no  Reheat, DX cooling coil:multi speed , Gas heating coil </t>
  </si>
  <si>
    <t>Exhaust Fan</t>
  </si>
  <si>
    <t>881 cfm with efficiency of 1</t>
  </si>
  <si>
    <t>3300 cfm with efficiency of 0.385</t>
  </si>
  <si>
    <t>2400 cfm with efficiency of 0.43</t>
  </si>
  <si>
    <t>Thermostat Setpoint (F)</t>
  </si>
  <si>
    <t>Dining Heating</t>
  </si>
  <si>
    <t>70 (setback: 60)</t>
  </si>
  <si>
    <t>Dining Cooling</t>
  </si>
  <si>
    <t>75 (setback: 86)</t>
  </si>
  <si>
    <t>75 (setback: 85)</t>
  </si>
  <si>
    <t>Kitchen Heating</t>
  </si>
  <si>
    <r>
      <t>66</t>
    </r>
    <r>
      <rPr>
        <sz val="10"/>
        <color rgb="FF000000"/>
        <rFont val="Arial"/>
        <family val="2"/>
      </rPr>
      <t xml:space="preserve"> (setback: 60)</t>
    </r>
  </si>
  <si>
    <t>Kitchen Cooling</t>
  </si>
  <si>
    <r>
      <t>79</t>
    </r>
    <r>
      <rPr>
        <sz val="10"/>
        <color rgb="FF000000"/>
        <rFont val="Arial"/>
        <family val="2"/>
      </rPr>
      <t xml:space="preserve"> (setback: 86)</t>
    </r>
  </si>
  <si>
    <t>Water Heater</t>
  </si>
  <si>
    <t>Tank Volume (gal</t>
  </si>
  <si>
    <t>Autosize (Nominal tank volume for autosizing: 39.6)
Output file :69 gal</t>
  </si>
  <si>
    <t>Peak Flow Rate (gpm)</t>
  </si>
  <si>
    <t>0.03 Lobby</t>
  </si>
  <si>
    <t>Loop Max and Min Temperature (F)</t>
  </si>
  <si>
    <r>
      <rPr>
        <sz val="10"/>
        <color rgb="FF000000"/>
        <rFont val="Arial"/>
        <family val="2"/>
      </rPr>
      <t>140</t>
    </r>
    <r>
      <rPr>
        <sz val="10"/>
        <color theme="1"/>
        <rFont val="Arial"/>
        <family val="2"/>
      </rPr>
      <t>, 50</t>
    </r>
  </si>
  <si>
    <r>
      <t xml:space="preserve">212, </t>
    </r>
    <r>
      <rPr>
        <sz val="10"/>
        <color rgb="FF000000"/>
        <rFont val="Arial"/>
        <family val="2"/>
      </rPr>
      <t>32</t>
    </r>
  </si>
  <si>
    <t>212 , 50</t>
  </si>
  <si>
    <t>Tank Max Temperature (F)</t>
  </si>
  <si>
    <t>Yealy Water Usage (gal) from the output files</t>
  </si>
  <si>
    <t>ASHRAE DOE</t>
  </si>
  <si>
    <t>Kitchen loads are included in the EnergyPlus Electric Equipment and Gas Equipment objects</t>
  </si>
  <si>
    <t>Prototype Comparison</t>
  </si>
  <si>
    <t>Program</t>
  </si>
  <si>
    <t>CalBEM (RestaurantFastFood)</t>
  </si>
  <si>
    <t>CEC (RestaurantSmall)</t>
  </si>
  <si>
    <t>DEER (Restaurant-FastFood)</t>
  </si>
  <si>
    <t>PNNL (RestaurantFastFood)</t>
  </si>
  <si>
    <t>Envelope</t>
  </si>
  <si>
    <t>Floor Area (ft2)</t>
  </si>
  <si>
    <t>Roof Area (ft2)</t>
  </si>
  <si>
    <t>Gross Exterior Wall Area (ft2)</t>
  </si>
  <si>
    <t>Window Area (ft2)</t>
  </si>
  <si>
    <t>Skylight Area (ft2)</t>
  </si>
  <si>
    <t>Window-to-Wall Ratio (%)</t>
  </si>
  <si>
    <t>Loads</t>
  </si>
  <si>
    <t>Occupants</t>
  </si>
  <si>
    <t>Occupancy Density (people/1000 ft2)</t>
  </si>
  <si>
    <t>Interior Lighting Power (W)</t>
  </si>
  <si>
    <t>Interior LPD (W/ft2)</t>
  </si>
  <si>
    <t>Equipment Power (W)</t>
  </si>
  <si>
    <t>Equipment Density (W/ft2)</t>
  </si>
  <si>
    <t>Ventilation</t>
  </si>
  <si>
    <t>Design OA Sum (cfm)</t>
  </si>
  <si>
    <t>Design OA Density (cfm/ft2)</t>
  </si>
  <si>
    <t>Design OA per Person (cfm/person)</t>
  </si>
  <si>
    <t>HVAC and Water Heater</t>
  </si>
  <si>
    <t>HVAC System Type</t>
  </si>
  <si>
    <t>System: central air loops
Distribution: 2 air loops; constant-volume no-reheat terminal; DX cooling; natural-gas heating
Plant: 1 heat exchanger</t>
  </si>
  <si>
    <t>System: central VAV air loops
Distribution: 2 air loops; VAV no-reheat and constant-volume no-reheat terminals; DX cooling; natural-gas heating</t>
  </si>
  <si>
    <t>System: unitary/package systems + central VAV air loops
Distribution: 4 air loops; VAV no-reheat terminal; DX cooling; natural-gas heating</t>
  </si>
  <si>
    <t>System: unitary/package systems + central air loops
Distribution: 2 air loops; constant-volume no-reheat terminal; DX cooling; natural-gas heating</t>
  </si>
  <si>
    <t>1 water heater: 1 natural-gas
1 service water loop</t>
  </si>
  <si>
    <t>Building</t>
  </si>
  <si>
    <t>Space/Thermal Zone</t>
  </si>
  <si>
    <r>
      <rPr>
        <b/>
        <sz val="10"/>
        <color rgb="FF000000"/>
        <rFont val="Arial"/>
        <family val="2"/>
      </rPr>
      <t xml:space="preserve">Space Type 
</t>
    </r>
    <r>
      <rPr>
        <b/>
        <sz val="10"/>
        <color rgb="FF000000"/>
        <rFont val="Arial"/>
        <family val="2"/>
      </rPr>
      <t>Primarily from [T24, 2022 Appendix 5.4A] -  See Notes column</t>
    </r>
  </si>
  <si>
    <t>HVAC zone</t>
  </si>
  <si>
    <t>Schedule Category</t>
  </si>
  <si>
    <t>Conditioned (Y/N)</t>
  </si>
  <si>
    <t>Area Fraction</t>
  </si>
  <si>
    <t>Area (ft²)</t>
  </si>
  <si>
    <t>Volume (ft³)</t>
  </si>
  <si>
    <t>Multipliers</t>
  </si>
  <si>
    <t>Number of People</t>
  </si>
  <si>
    <t xml:space="preserve">People 
(Persons/1,000 ft²)
[T24, 2025,Table 120.1-A] </t>
  </si>
  <si>
    <t>Dining Area (Cafeteria/Fast Food)</t>
  </si>
  <si>
    <t>AHU_1</t>
  </si>
  <si>
    <t>Restaurant</t>
  </si>
  <si>
    <t>Y</t>
  </si>
  <si>
    <t>Kitchen/Food Preparation Area</t>
  </si>
  <si>
    <t>AHU_2</t>
  </si>
  <si>
    <t>Attic</t>
  </si>
  <si>
    <t>n/a</t>
  </si>
  <si>
    <t>N</t>
  </si>
  <si>
    <t>Total (1 Building)</t>
  </si>
  <si>
    <t>Total (3 Space)</t>
  </si>
  <si>
    <t>Total (3 space type)</t>
  </si>
  <si>
    <t>Total ( 2 HVAC Zones)</t>
  </si>
  <si>
    <t xml:space="preserve"> Total (2 category)</t>
  </si>
  <si>
    <t xml:space="preserve"> Total (2 Conditioned zones)</t>
  </si>
  <si>
    <t>Background Data [To be deleted prior to publication]</t>
  </si>
  <si>
    <t>Element</t>
  </si>
  <si>
    <t xml:space="preserve"> 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</si>
  <si>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</si>
  <si>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</si>
  <si>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</si>
  <si>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</si>
  <si>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</si>
  <si>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</si>
  <si>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</si>
  <si>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</si>
  <si>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</si>
  <si>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</si>
  <si>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</si>
  <si>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</si>
  <si>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</si>
  <si>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</si>
  <si>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</si>
  <si>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</si>
  <si>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</si>
  <si>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</si>
  <si>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</si>
  <si>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</si>
  <si>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</si>
  <si>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 xml:space="preserve">ExtWall_WoodFramed_NonRes </t>
  </si>
  <si>
    <t>Stucco + insulation + wood framing + gypsum board</t>
  </si>
  <si>
    <t>U-factor IP</t>
  </si>
  <si>
    <t>Pre 1978</t>
  </si>
  <si>
    <t>ASHRAE 90.1, 2022 Table A3.4.3.1, 3.5", R-0</t>
  </si>
  <si>
    <t>1978-1997</t>
  </si>
  <si>
    <t xml:space="preserve">Copied from low-rise office alternative table: Package A with heat capacity of 0.0-3.99 (Btu/F-ft²) </t>
  </si>
  <si>
    <t>1998-2007</t>
  </si>
  <si>
    <t xml:space="preserve"> Table 1-H</t>
  </si>
  <si>
    <t>2008-2018</t>
  </si>
  <si>
    <t>Table 140.3-B</t>
  </si>
  <si>
    <t>Existing</t>
  </si>
  <si>
    <t>2019+</t>
  </si>
  <si>
    <t>Table 140.3-C</t>
  </si>
  <si>
    <t>Ceiling/Roof</t>
  </si>
  <si>
    <t>AtticFloor Reversed</t>
  </si>
  <si>
    <t>Attic roof (no insulation): asphalt shingles + gypsum board
 Ceiling (wood-joist): insulation + gypsum board</t>
  </si>
  <si>
    <t>Considering 30 years for roof/ insulation replacement.</t>
  </si>
  <si>
    <t>Table 1-H</t>
  </si>
  <si>
    <r>
      <t xml:space="preserve">Table 140.3-B </t>
    </r>
    <r>
      <rPr>
        <sz val="10"/>
        <color rgb="FF000000"/>
        <rFont val="Arial"/>
        <family val="2"/>
      </rPr>
      <t>(Wood Framed and Other)</t>
    </r>
  </si>
  <si>
    <r>
      <t>Table 140.3-B</t>
    </r>
    <r>
      <rPr>
        <sz val="10"/>
        <color rgb="FF000000"/>
        <rFont val="Arial"/>
        <family val="2"/>
      </rPr>
      <t xml:space="preserve"> (Wood Framed and Other)</t>
    </r>
  </si>
  <si>
    <t>Windows</t>
  </si>
  <si>
    <t>FixedWindow_NonRes</t>
  </si>
  <si>
    <t xml:space="preserve">Single Pane (CBECS 2018, ~ 30 % of windows of Restaurant built before 2000 are single pane) </t>
  </si>
  <si>
    <t>2021 ASHRAE Handbook of Fundamentals - Section 15.9 Table 4 for single pane &amp; T24 2013 Table 140.3-B for double pane (30%-70%)</t>
  </si>
  <si>
    <t>These vintages have better performance because of partial retrofit</t>
  </si>
  <si>
    <t>Double pane</t>
  </si>
  <si>
    <t xml:space="preserve">Table 1-H </t>
  </si>
  <si>
    <t xml:space="preserve">Table 140.3-B </t>
  </si>
  <si>
    <t>SHGC</t>
  </si>
  <si>
    <t>2021 ASHRAE Handbook of Fundamentals - Section 15.22 Table 10 for single pane &amp; T24, 2013 Table 140.3-B for double pane (30%-70%)</t>
  </si>
  <si>
    <t>Table 1-H (Non North, 10-20% total WWR)</t>
  </si>
  <si>
    <t>Infiltration</t>
  </si>
  <si>
    <t xml:space="preserve">I_75 (cfm/ft2)
6-sdied Infiltration rate @ 75 pa </t>
  </si>
  <si>
    <t>Source</t>
  </si>
  <si>
    <t xml:space="preserve"> I-design (cfm/ft²) 
(4-sided Infiltration rate at normal pressure) 
(Design flow rate approach and Flow/Exterior Wall Area calculation method) </t>
  </si>
  <si>
    <t>2022 CASE report (Table 38)</t>
  </si>
  <si>
    <t>Floor or roof area</t>
  </si>
  <si>
    <t>Walls area</t>
  </si>
  <si>
    <t>Building 4 sided area=</t>
  </si>
  <si>
    <t>2022 CASE report (Table 38) &amp;
T24, 2008-2016 (Table 140.3-B)</t>
  </si>
  <si>
    <t>Building 6 sided area=</t>
  </si>
  <si>
    <t>2022 CASE report (Table 38) &amp;  
T24, 2025 (Table 140.3-B)</t>
  </si>
  <si>
    <t>6 sided /4 sided factor=</t>
  </si>
  <si>
    <t>Source:  T24 air barrier requirements (all editions) , the standardized infiltration rate reported in the 2022 CASE report, and Dodge 2023 data</t>
  </si>
  <si>
    <t>Infiltration_rate_report_14May2025-Short-Version.docx</t>
  </si>
  <si>
    <t xml:space="preserve">Heating </t>
  </si>
  <si>
    <t>Cooling</t>
  </si>
  <si>
    <t>Air Distribution</t>
  </si>
  <si>
    <t>Other Systems</t>
  </si>
  <si>
    <t xml:space="preserve">Existing  </t>
  </si>
  <si>
    <t>Gas Furnace (PSZAC)</t>
  </si>
  <si>
    <t>DX Coil (PSZAC)</t>
  </si>
  <si>
    <t>CAV (PSZAC)</t>
  </si>
  <si>
    <t>Economizer for after 2008</t>
  </si>
  <si>
    <t>CEUS 2022 + Engineering Judgement</t>
  </si>
  <si>
    <t>Makeup Air Unit (Combo with RTU) to supply make-up air exceeding transfer air from dining space (can be included in system13b)</t>
  </si>
  <si>
    <t>New Construction</t>
  </si>
  <si>
    <t>Economizer</t>
  </si>
  <si>
    <t>T24, 2025</t>
  </si>
  <si>
    <t>Demand control ventilation</t>
  </si>
  <si>
    <t>HR-Makeup Air Unit (systems that integrate make-up air and heat recovery functions) (can be included in system13b)</t>
  </si>
  <si>
    <r>
      <rPr>
        <b/>
        <sz val="12"/>
        <color rgb="FFFFFFFF"/>
        <rFont val="Arial"/>
      </rPr>
      <t xml:space="preserve">Efficiency of HVAC System
</t>
    </r>
    <r>
      <rPr>
        <sz val="10"/>
        <color rgb="FFFFFFFF"/>
        <rFont val="Arial"/>
      </rPr>
      <t xml:space="preserve"> (Efficiency is capacity-dependent. The following table provides a general estimate of system efficiency based on preliminary simulations in one climate zone, or assuming cooling load based on rule of thumb)</t>
    </r>
  </si>
  <si>
    <t>Upgrade/Installed year</t>
  </si>
  <si>
    <t xml:space="preserve"> Gas Furnace</t>
  </si>
  <si>
    <t>Dining DX cooling 
(&lt;65,000 Btu/h)</t>
  </si>
  <si>
    <t>Kitchen DX cooling 
(&gt;=65,000 and &lt; 135,000 Btu/h )</t>
  </si>
  <si>
    <t xml:space="preserve">Note </t>
  </si>
  <si>
    <t xml:space="preserve"> Efficiency 80%</t>
  </si>
  <si>
    <t xml:space="preserve"> SEER 13 </t>
  </si>
  <si>
    <t>EER 10.3</t>
  </si>
  <si>
    <t xml:space="preserve">System &lt;65,000: 10 CFR, 2009 (Vol. 74, No. 54 , page 12074)
system &gt;65,000: T24, 2008, Table 112-A </t>
  </si>
  <si>
    <r>
      <t xml:space="preserve">Econ Max Position=0.9.
</t>
    </r>
    <r>
      <rPr>
        <sz val="9"/>
        <rFont val="Arial"/>
        <family val="2"/>
      </rPr>
      <t>*Econ Max Position is set to below 1 to approximate effects of not having fault detection and diagnostics (FDD) requirements, which began in 2013. it can be modeled in E+ either by:
- Reducing Maximum Outdoor Air Flow Rate in Controller:OutdoorAir.
- Or using FaultModel objects to simulate pre-2013 “no FDD” conditions</t>
    </r>
  </si>
  <si>
    <t>SEER 13</t>
  </si>
  <si>
    <t>EER 11.2</t>
  </si>
  <si>
    <t xml:space="preserve">System &lt;65,000: 10 CFR, 2013, Table 1 TO § 431.97 
System &gt;65,000:  T24, 2013, Table 110.2-A </t>
  </si>
  <si>
    <t>Econ Max Position=0.9</t>
  </si>
  <si>
    <t xml:space="preserve">SEER2 13.4 </t>
  </si>
  <si>
    <t>System &lt;65,000: 10 CFR, 2024 ,Table 19 TO § 431.97(h)
System &gt;65,000: T24, 2025, Table 110.2-A</t>
  </si>
  <si>
    <t>- Econ Max Position=1
- Deduct 0.2 from the required EERs and IEERs for units with a heating section other than electric resistance heat.</t>
  </si>
  <si>
    <t>Fan Power</t>
  </si>
  <si>
    <t>Approach</t>
  </si>
  <si>
    <t>System</t>
  </si>
  <si>
    <t>Total Static Pressure (TSP)
(in w.c.)</t>
  </si>
  <si>
    <t>Fan Efficiency
[ACM 2025]</t>
  </si>
  <si>
    <t xml:space="preserve">Motor Efficiency </t>
  </si>
  <si>
    <t xml:space="preserve"> Fan Power Index 
(W/cfm)</t>
  </si>
  <si>
    <t>Data Source</t>
  </si>
  <si>
    <t>PNNL 90.1-2011, TSP</t>
  </si>
  <si>
    <t>CAV Kitchen (system &lt;7,437 cfm)</t>
  </si>
  <si>
    <t>ASHRAE 90.1, 2004, Table 10.8 *</t>
  </si>
  <si>
    <t>Fan power formula: PNNL 20405, 2010, section 5.2.2.5
TSP and fan efficiecncy: PNNL 20405, 2010, Table 5.11, 90.1-04ac values
Motor and drive efficiency: ASHRAE 90.1, 2004, Table 10.8</t>
  </si>
  <si>
    <t>CAV Dining (system &lt;7,437 cfm)</t>
  </si>
  <si>
    <t>Brake horsepower (bhp) = (Supply cfm × TSP in w.c.) / (6356 × fan efficiency)</t>
  </si>
  <si>
    <t>Fan power (w/cfm) = (bhp ×  746) / ( supply cfm × motor efficiency )</t>
  </si>
  <si>
    <t>ACM 2025</t>
  </si>
  <si>
    <t>PSZAC (System 3a), CAV kitchen, ≤5,000 cfm</t>
  </si>
  <si>
    <t>TSP = fan power × motor efficiency × fan efficiency × 6356 / 746</t>
  </si>
  <si>
    <t>2025 ACM Table 12 **</t>
  </si>
  <si>
    <t>Fan power index: [ACM 2025, Table 13]
Motor efficiency: [ACM 2025, Table 12]</t>
  </si>
  <si>
    <t>PSZAC (System 3a), CAV dining, ≤5,000 cfm</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</si>
  <si>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</si>
  <si>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cfm of the fan.
     Brake horsepower  (bhp) = (Supply cfm from sizing run × fan power in W/cfm) / 746.
     Note: PSZAC with gas furnace (System 3a SZAC) ≤5,000 cfm. Same index as Restaurant Sit-Down kitchen.
     Note: PSZAC with gas furnace (System 3a SZAC) ≤5,000 cfm. Same index as Restaurant Sit-Down kitchen.</t>
  </si>
  <si>
    <t>Setpoint</t>
  </si>
  <si>
    <t xml:space="preserve"> Heating Setpoint (F)</t>
  </si>
  <si>
    <t>T24 2022 - Appendix 5.4B</t>
  </si>
  <si>
    <t xml:space="preserve"> Heating Setback (F)</t>
  </si>
  <si>
    <t xml:space="preserve"> Cooling Setpoint (F)</t>
  </si>
  <si>
    <t xml:space="preserve"> Cooling Setback (F)</t>
  </si>
  <si>
    <t>PNNL 09.1, 2022 Restaurant prototype</t>
  </si>
  <si>
    <t>PNNL's comfort range in kitchen is 4 F wider : 66 -79 F (with Heating setback of 60 F and Cooling setback of 86 F)</t>
  </si>
  <si>
    <t>CPUC has the same setpoint and setback as CEC</t>
  </si>
  <si>
    <t>Floor Area (ft²)</t>
  </si>
  <si>
    <t>cfm/person
[T24, 2025, Equation 120.1-F and Table 120.1-A]</t>
  </si>
  <si>
    <t>cfm/ft²  
[T24, 2025, Equation 120.1-F and Table 120.1-A]</t>
  </si>
  <si>
    <t>Required Exhaust Rate
[T24, 2025, Table 120.1-B – minimum exhaust rates]</t>
  </si>
  <si>
    <t>Total cfm 
Driven by People</t>
  </si>
  <si>
    <t>Total cfm 
Driven by Area</t>
  </si>
  <si>
    <t>Total cfm 
Driven by Exhaust</t>
  </si>
  <si>
    <t>Total cfm</t>
  </si>
  <si>
    <t>2 restroom, each 25/50 cfm pr unit</t>
  </si>
  <si>
    <t>0.7 cfm/ft2</t>
  </si>
  <si>
    <t>Fine storage is defined for normal inventory that doesn't require an extra exhaust rate based on the space functions  in T24, Part6, 2025, Table 120.1 B.</t>
  </si>
  <si>
    <t>Exhaust hood</t>
  </si>
  <si>
    <t xml:space="preserve">Type of Hood </t>
  </si>
  <si>
    <t>Max Exhaust Flow Rate (cfm/ft)
[T24, 2025, Table 140.9-C]</t>
  </si>
  <si>
    <t xml:space="preserve">Hood Length (ft) * 
[CKV, 2004] &amp; </t>
  </si>
  <si>
    <t>Hood Exhaust Rate (cfm)</t>
  </si>
  <si>
    <t>Note</t>
  </si>
  <si>
    <t>Type I , wall-mounted canopy, medium duty hood</t>
  </si>
  <si>
    <t>Efficiency of exhaust fan is 50% (according to ACM, 2025,section 5.7.3)</t>
  </si>
  <si>
    <t>Quick Service Restaurant Hood Appliance</t>
  </si>
  <si>
    <t>Appliance</t>
  </si>
  <si>
    <t>Length  (ft)</t>
  </si>
  <si>
    <t xml:space="preserve">Two Fryers side </t>
  </si>
  <si>
    <t>CKV Design Guide, 2004</t>
  </si>
  <si>
    <t>Fryer drip station (doesn't generate heat or grease but still need to be covered)</t>
  </si>
  <si>
    <t>Griddle</t>
  </si>
  <si>
    <t>Convection oven</t>
  </si>
  <si>
    <t>Charbroiler</t>
  </si>
  <si>
    <t>Charbroiler is common in fast food with burgers in the menu (e.g., KFC). So, we've decide to add this appliance to the above mentioned ones</t>
  </si>
  <si>
    <t>Total cooking line length (ft)</t>
  </si>
  <si>
    <t>Hood length (ft) (+1 ft buffer)</t>
  </si>
  <si>
    <t>WH Type</t>
  </si>
  <si>
    <t>Efficiency</t>
  </si>
  <si>
    <t>Number of WH</t>
  </si>
  <si>
    <t>Tank Volume (gal)</t>
  </si>
  <si>
    <t>Tank Loss</t>
  </si>
  <si>
    <t>Gas</t>
  </si>
  <si>
    <t>See table below for CZ-specific values: Climate Zone Water Heater Sizing and Loss Coefficients, Storage Volume column (col F)</t>
  </si>
  <si>
    <t>See table below: Climate Zone Water Heater Sizing and Loss Coefficients, Standby Loss column (col G)</t>
  </si>
  <si>
    <t>See table below for sources: Climate Zone Water Heater Sizing and Loss Coefficients</t>
  </si>
  <si>
    <t>Peak Hot Water Consumption</t>
  </si>
  <si>
    <t>Space Name</t>
  </si>
  <si>
    <t>Baseline WH Type 
[T24, 2022, Appendix 5.4A , sheet: "2022 SpaceFuncData-Input"]</t>
  </si>
  <si>
    <t>Total Area (ft²)</t>
  </si>
  <si>
    <t>Hot Water Usage Specification
(gal/hr per person)  
[T24, 2022, Appendix 5.4A , sheet: "2022 SpaceFuncData-Input"]</t>
  </si>
  <si>
    <t>Peak Hot Water Usage
(gal/hr)</t>
  </si>
  <si>
    <t>Peak Hot Water Usage
(gal/min)</t>
  </si>
  <si>
    <t>Assumption: HW usage rate for the restaurant dining space was calculated at 20% of the hot water usage rate specified in the 2025 Nonres ACM 2024, Appendix 5.4A (equivalent to applying the full  rate to 20% of the dining floor area)</t>
  </si>
  <si>
    <t>Peak HW Usage is based on the fixture calulcation from the table below.</t>
  </si>
  <si>
    <t>Gas storage</t>
  </si>
  <si>
    <t>Minimum peak hot water usage is 75 gal according to ACM 2025</t>
  </si>
  <si>
    <t xml:space="preserve">Total </t>
  </si>
  <si>
    <t>Electric resistance</t>
  </si>
  <si>
    <t>Design Guide: Advanced Water Heating for Foodservice, 2022, Table 8]</t>
  </si>
  <si>
    <t>Design Guide: Advanced Water Heating for Foodservice, 2023, Table 11]</t>
  </si>
  <si>
    <t>Technical_Design_Guide.pdf</t>
  </si>
  <si>
    <t>Peak Water Heater Capacity, Tank Capacity, and Tank Loss</t>
  </si>
  <si>
    <t xml:space="preserve">Fixture </t>
  </si>
  <si>
    <t>Tank Recovery Rate (gal/h)</t>
  </si>
  <si>
    <t xml:space="preserve">Fixture Count </t>
  </si>
  <si>
    <t>Storage Heater Min Recovery Rate (gal/hr)</t>
  </si>
  <si>
    <t>Room sinks</t>
  </si>
  <si>
    <t>Design Guide: Advanced Water Heating for Foodservice (2022) , Table 6,7: Small Quick Restaurant Kitchen
Design Guide: Advanced Water Heating for Foodservice (2023) , Table11: Small Quick Restaurant Kitchen</t>
  </si>
  <si>
    <t>Hand sinks</t>
  </si>
  <si>
    <t>3-Compartment sinks</t>
  </si>
  <si>
    <t>Mop sink</t>
  </si>
  <si>
    <t>Utility or pre-soak sinks</t>
  </si>
  <si>
    <t>Minimum Recovery Rate (gal/h)</t>
  </si>
  <si>
    <t>Design Guide: Advanced Water Heating for Foodservice, 2023, Table 11]
*Minimum recovery rate discount factor of 20% for using single service utensils</t>
  </si>
  <si>
    <t>Input Rate (Btu/h)</t>
  </si>
  <si>
    <t>.Design Guide: Advanced Water Heating for Foodservice, 2023, Table 12]</t>
  </si>
  <si>
    <t>Tank volume (gal)</t>
  </si>
  <si>
    <t>Standby Loss (Btu/hr)</t>
  </si>
  <si>
    <t>Title 20, §1605.1 Table F-4  (Standby loss equation: )</t>
  </si>
  <si>
    <t>Off/On Cycle Loss Coefficient to Ambient Temperature (Btu/h-F)</t>
  </si>
  <si>
    <t>Title 20 / 10 CFR 431.102: UA = SL / 70 °F rating ΔT (same as climate-zone col I). Not ambient T.</t>
  </si>
  <si>
    <t>For Gas Water Heater: UA (Btu/h-°F) = Q_SL (Btu/h) / 70 °F. 70 is the Title 20 / 10 CFR 431.102 rating ΔT (stored water minus ambient), not ambient T.</t>
  </si>
  <si>
    <t>Rating ΔT (°F)</t>
  </si>
  <si>
    <t>10 CFR 431.102: gas standby loss is Btu/h based on a 70 °F temperature differential between stored water and ambient. Not ACM indoor temperature.</t>
  </si>
  <si>
    <t>** For Electric Water Heater: UA(Btu/h-°F)​= 0.0834 *SL​ (%/hr)*V gal</t>
  </si>
  <si>
    <t>Design supply temperature (°F)</t>
  </si>
  <si>
    <t>CEC-400-2022-009-CMF-REV2-AP5.4B</t>
  </si>
  <si>
    <t>WH system factor</t>
  </si>
  <si>
    <t>2025 ACM §5.9.2 Rated Capacity</t>
  </si>
  <si>
    <t>Water mass conversion (lb/gal)</t>
  </si>
  <si>
    <t>Reheat multiplier</t>
  </si>
  <si>
    <t>2025 ACM §5.9.2 Storage Volume</t>
  </si>
  <si>
    <t>Climate Zone Water Heater Sizing and Loss Coefficients</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</si>
  <si>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</si>
  <si>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</si>
  <si>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</si>
  <si>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</si>
  <si>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</si>
  <si>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</si>
  <si>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[Title 20, §1605.1 Table F-4; Appendix B: Water Heating Calculation Method]</t>
  </si>
  <si>
    <t xml:space="preserve">Off/On Cycle Loss Coefficient to Ambient Temp </t>
  </si>
  <si>
    <t>Source/Note</t>
  </si>
  <si>
    <t>CZ01</t>
  </si>
  <si>
    <t>Btu/hr</t>
  </si>
  <si>
    <t>Btu/h·°F</t>
  </si>
  <si>
    <t>Required Energy Input: vendor/available catalog size (Market data table).
Storage Volume: standard/available catalog tank size (Market data table). Off/On-cycle UA (col I): gas SL / 70 °F rating ΔT (10 CFR 431.102 / Title 20), not ambient T.</t>
  </si>
  <si>
    <t>CZ02</t>
  </si>
  <si>
    <t>CZ03</t>
  </si>
  <si>
    <t>CZ04</t>
  </si>
  <si>
    <t>CZ05</t>
  </si>
  <si>
    <t>CZ06</t>
  </si>
  <si>
    <t>CZ07</t>
  </si>
  <si>
    <t>CZ08</t>
  </si>
  <si>
    <t>CZ09</t>
  </si>
  <si>
    <t xml:space="preserve">Market data </t>
  </si>
  <si>
    <t>Catalog gas input (Btu/h)</t>
  </si>
  <si>
    <t>Input source</t>
  </si>
  <si>
    <t>Elec resistance tank (kW)</t>
  </si>
  <si>
    <t>Elec resistance (Btu/h)</t>
  </si>
  <si>
    <t>Catalog gas tank (gal)</t>
  </si>
  <si>
    <t>Tank source</t>
  </si>
  <si>
    <t>Elec tank (gal)</t>
  </si>
  <si>
    <t>Elec tank source</t>
  </si>
  <si>
    <t>Grainger</t>
  </si>
  <si>
    <t>ENERGY STAR</t>
  </si>
  <si>
    <t>Both</t>
  </si>
  <si>
    <t>Space Type</t>
  </si>
  <si>
    <t xml:space="preserve">New Construction </t>
  </si>
  <si>
    <t>LPD (W/ft²)</t>
  </si>
  <si>
    <t>Additional LPD for Portable Lighting (W/ft²)</t>
  </si>
  <si>
    <t xml:space="preserve">LPD (W/ft²) </t>
  </si>
  <si>
    <t xml:space="preserve">T24, 2025, Table 140.6-C
(Area category method) </t>
  </si>
  <si>
    <t>T24, 2016, Table 140.6-C
(Area category method) 
LPD of "All other spaces" is considered for storage space</t>
  </si>
  <si>
    <t xml:space="preserve">Existing </t>
  </si>
  <si>
    <t>Whole Building</t>
  </si>
  <si>
    <t>All other building</t>
  </si>
  <si>
    <t>T24,  2019, Table 140.6 B</t>
  </si>
  <si>
    <t xml:space="preserve">Area Category </t>
  </si>
  <si>
    <t>T24, 2019, Table 140.6-C</t>
  </si>
  <si>
    <t>T24,  2016, Table 140.6 B</t>
  </si>
  <si>
    <t>ZONE1 OFFICE</t>
  </si>
  <si>
    <t>T24,  2016, Table 140.6-C</t>
  </si>
  <si>
    <t>ZONE2 FINE STORAGE</t>
  </si>
  <si>
    <t>ZONE3 BULK STORAGE</t>
  </si>
  <si>
    <t>T24, 2013, Table 140.6 B</t>
  </si>
  <si>
    <t>T24, 2013, Table 140.6-C</t>
  </si>
  <si>
    <t>Motion Controlled Luminaires (W)</t>
  </si>
  <si>
    <t>Non-motion Controlled Luminaires (W)</t>
  </si>
  <si>
    <t>Total (W)</t>
  </si>
  <si>
    <t>T24, 2022</t>
  </si>
  <si>
    <t xml:space="preserve">Exterior Lighting </t>
  </si>
  <si>
    <t>Items (Assume LZ2)</t>
  </si>
  <si>
    <t>Assumptions
[2019 Outdoor Lighting CASE Report &amp; PNNL 90.1-2010 TSD]</t>
  </si>
  <si>
    <t>Unit</t>
  </si>
  <si>
    <t>Lighting Power Allowance 
[T24, 2025, Table 140.7-A &amp; 140.7-B]</t>
  </si>
  <si>
    <t>Exterior Lighting Power (W)</t>
  </si>
  <si>
    <t>IWA (Initial Wattage Allowance)</t>
  </si>
  <si>
    <t>(W)</t>
  </si>
  <si>
    <t>Parking area</t>
  </si>
  <si>
    <r>
      <t xml:space="preserve"> 400 ft² for every parking space</t>
    </r>
    <r>
      <rPr>
        <sz val="10"/>
        <color rgb="FF000000"/>
        <rFont val="Arial"/>
        <family val="2"/>
      </rPr>
      <t xml:space="preserve"> [2019 Lighting CASE report, Appendix H]</t>
    </r>
    <r>
      <rPr>
        <sz val="10"/>
        <rFont val="Arial"/>
        <family val="2"/>
      </rPr>
      <t xml:space="preserve">
1 parking space per 250 ft² of gross building area  [</t>
    </r>
    <r>
      <rPr>
        <sz val="10"/>
        <color rgb="FF000000"/>
        <rFont val="Arial"/>
        <family val="2"/>
      </rPr>
      <t>2019 Lighting CASE report,Table 38]</t>
    </r>
  </si>
  <si>
    <t>(ft²)</t>
  </si>
  <si>
    <t>(W/ft²)</t>
  </si>
  <si>
    <t>Building Entrance</t>
  </si>
  <si>
    <t>2 building entrance (1 per 10,000 ft² footprint)</t>
  </si>
  <si>
    <t>(count)</t>
  </si>
  <si>
    <t>(W/ea)</t>
  </si>
  <si>
    <t>Hardscape Ornamental Light</t>
  </si>
  <si>
    <r>
      <t xml:space="preserve">0.1 ft² per 1 ft² of gross building area </t>
    </r>
    <r>
      <rPr>
        <sz val="10"/>
        <color rgb="FF000000"/>
        <rFont val="Arial"/>
        <family val="2"/>
      </rPr>
      <t>[2019 Lighting CASE report,Table 36]</t>
    </r>
  </si>
  <si>
    <t>Building façade</t>
  </si>
  <si>
    <t>0.1 W per 1 ft² of facade area 
Façade Area = Perimeter × 0.5 × 10 ft (10 ft is the building height ) * 
The 0.5 factor assumes that only half of the perimeter walls are lit.
-Formula ia developed based on the 2019 Outdoor Lighting CASE report</t>
  </si>
  <si>
    <t>Drive up windows</t>
  </si>
  <si>
    <r>
      <t xml:space="preserve">1 per 1500 ft² of gross building area </t>
    </r>
    <r>
      <rPr>
        <sz val="10"/>
        <color rgb="FF000000"/>
        <rFont val="Arial"/>
        <family val="2"/>
      </rPr>
      <t>[2019 Lighting CASE report,Table 36]</t>
    </r>
  </si>
  <si>
    <t>Outdoor dining</t>
  </si>
  <si>
    <r>
      <t xml:space="preserve">1 ft² per 5 ft² of gross building area </t>
    </r>
    <r>
      <rPr>
        <sz val="10"/>
        <color rgb="FF000000"/>
        <rFont val="Arial"/>
        <family val="2"/>
      </rPr>
      <t>[2019 Lighting CASE report,Table 36]</t>
    </r>
  </si>
  <si>
    <t>Motion controlled Luminaires</t>
  </si>
  <si>
    <t>Non-motion-controlled Luminaires</t>
  </si>
  <si>
    <t>TOTAL</t>
  </si>
  <si>
    <t>Perimeter (ft)</t>
  </si>
  <si>
    <t>Total floor area (ft²)</t>
  </si>
  <si>
    <t>Floors</t>
  </si>
  <si>
    <t xml:space="preserve">Plug Load Power Density (W/ft²) </t>
  </si>
  <si>
    <t>ReachIn Refrigerator and ReachInFreezer Power (W) - 24/7</t>
  </si>
  <si>
    <t>Refrigerator Power Density (W/ft²)</t>
  </si>
  <si>
    <t>Gas Power Density (Btu/hr-ft²)</t>
  </si>
  <si>
    <t xml:space="preserve"> Others inputs: T24 2025 - Appendix 5.4A: "2022 SpaceFuncData-Input" </t>
  </si>
  <si>
    <t>- ReachIn Refrigerator and ReachInFreezer load :
[PNNL ASHRAE 90.1 2022 Fast Food prototype]
- Other inputs: 
T24 2025 - Appendix 5.4A: "2022 SpaceFuncData-Input"
Plug load density is confirmed by the findings Plug load and schedules project with CEC, 2025</t>
  </si>
  <si>
    <t>*ReachIn Refrigerator and ReachInFreezer Power is based on PNNL model. It doesn’t exist in the CEC prototype model.</t>
  </si>
  <si>
    <t>* Gas load is very low compared to PNNL model (237.4 Btu/hr-ft2 for Kitchen)</t>
  </si>
  <si>
    <t xml:space="preserve">Refrigerator load will be simulated as equipment load </t>
  </si>
  <si>
    <t>Zone</t>
  </si>
  <si>
    <t>Schedule</t>
  </si>
  <si>
    <t>Type</t>
  </si>
  <si>
    <t>Hour</t>
  </si>
  <si>
    <t>Occupancy</t>
  </si>
  <si>
    <t>PNNL,ASHRAE 90.1, 2022 Fast Food Restaurant prototype 
(It has higher occupancy rate during morning compared to T24 2022 - Appendix 5.4B)</t>
  </si>
  <si>
    <t>Weekday</t>
  </si>
  <si>
    <t>Saturday</t>
  </si>
  <si>
    <t>Sunday</t>
  </si>
  <si>
    <t>Lights</t>
  </si>
  <si>
    <r>
      <t xml:space="preserve">T24 2022 - Appendix 5.4B, [Restaurant]
</t>
    </r>
    <r>
      <rPr>
        <sz val="9"/>
        <color rgb="FF00B050"/>
        <rFont val="Arial"/>
        <family val="2"/>
      </rPr>
      <t>Updated based on the equipment schedule from the plug load and schedule project with CEC</t>
    </r>
    <r>
      <rPr>
        <sz val="9"/>
        <color theme="1"/>
        <rFont val="Arial"/>
        <family val="2"/>
      </rPr>
      <t xml:space="preserve">
</t>
    </r>
  </si>
  <si>
    <t>ElecEquipment</t>
  </si>
  <si>
    <t>Plug load and schedules project with CEC, 2025</t>
  </si>
  <si>
    <t>HVACAvail</t>
  </si>
  <si>
    <r>
      <t xml:space="preserve">T24 2022 - Appendix 5.4B , [Restaurant]
</t>
    </r>
    <r>
      <rPr>
        <sz val="9"/>
        <color rgb="FF00B050"/>
        <rFont val="Arial"/>
        <family val="2"/>
      </rPr>
      <t xml:space="preserve">Updated based on the adopted PNNL occupancy 
</t>
    </r>
  </si>
  <si>
    <t>ServiceHotWater</t>
  </si>
  <si>
    <r>
      <t xml:space="preserve">T24 2022 - Appendix 5.4B, [Restaurant]
</t>
    </r>
    <r>
      <rPr>
        <sz val="9"/>
        <color rgb="FF00B050"/>
        <rFont val="Arial"/>
        <family val="2"/>
      </rPr>
      <t xml:space="preserve">
Updated based on the adopted PNNL occupancy </t>
    </r>
  </si>
  <si>
    <r>
      <t xml:space="preserve">T24 2022 - Appendix 5.4B, [Restaurant]
</t>
    </r>
    <r>
      <rPr>
        <sz val="9"/>
        <color rgb="FF00B050"/>
        <rFont val="Arial"/>
        <family val="2"/>
      </rPr>
      <t xml:space="preserve">Updated based on the adopted PNNL occupancy 
</t>
    </r>
    <r>
      <rPr>
        <sz val="9"/>
        <color theme="1"/>
        <rFont val="Arial"/>
        <family val="2"/>
      </rPr>
      <t xml:space="preserve">
</t>
    </r>
  </si>
  <si>
    <t>Refrigeration</t>
  </si>
  <si>
    <t>T24 2022 - Appendix 5.4B, [Restaurant]</t>
  </si>
  <si>
    <t>HtgSetpt</t>
  </si>
  <si>
    <t>ClgSetpt</t>
  </si>
  <si>
    <t>occupancy</t>
  </si>
  <si>
    <t>ExhaustHoodEqualOrLessThan5000cfm</t>
  </si>
  <si>
    <t>ExhaustHoodGreaterThan 5000cfm</t>
  </si>
  <si>
    <r>
      <t xml:space="preserve">T24 2022 - Appendix 5.4B,  [Restaurant]
</t>
    </r>
    <r>
      <rPr>
        <sz val="9"/>
        <color rgb="FF00B050"/>
        <rFont val="Arial"/>
        <family val="2"/>
      </rPr>
      <t xml:space="preserve">
Updated based on the adopted PNNL occupancy</t>
    </r>
  </si>
  <si>
    <t>GasEquipment</t>
  </si>
  <si>
    <r>
      <t xml:space="preserve">T24 2022 - Appendix 5.4B,  [Restaurant]
</t>
    </r>
    <r>
      <rPr>
        <sz val="9"/>
        <color rgb="FF00B050"/>
        <rFont val="Arial"/>
        <family val="2"/>
      </rPr>
      <t>Updated based on the equipment schedule from the plug load and schedule project with CEC</t>
    </r>
  </si>
  <si>
    <t>Thermostat Setpoints of PNNL 09.1, 2022 Restaurant prototype and HVAC availability schedule of CEC Restaurant prototype</t>
  </si>
  <si>
    <t>Other</t>
  </si>
  <si>
    <t>ExtLightingNonMotionCtrl</t>
  </si>
  <si>
    <t>ExtLightingMotionCtrl</t>
  </si>
  <si>
    <t>DiningAreaPeopleActivityLevel</t>
  </si>
  <si>
    <t>Based on Activity level schedules in  CEC Prototypes and assumed spaces for Basement</t>
  </si>
  <si>
    <t>KitchenPeopleActivityLevel</t>
  </si>
  <si>
    <t>;</t>
  </si>
  <si>
    <t>National Average (EnergyStar Portfolio Manager)</t>
  </si>
  <si>
    <t>CEUS Energy Consumption - Restaurant</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</si>
  <si>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</si>
  <si>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</si>
  <si>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</si>
  <si>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</si>
  <si>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</si>
  <si>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</si>
  <si>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</si>
  <si>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</si>
  <si>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</si>
  <si>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</si>
  <si>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</si>
  <si>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</si>
  <si>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CEUS 2022 Electricity EUI (kBtu/ft²)</t>
  </si>
  <si>
    <t>CEUS 2022 Gas EUI  (kBtu/ft²)</t>
  </si>
  <si>
    <t>CEUS 2022 Total EUI (kBtu/ft²)</t>
  </si>
  <si>
    <t xml:space="preserve">CEUS 2022 Acceptable EUI Range </t>
  </si>
  <si>
    <t>RetailStripMall</t>
  </si>
  <si>
    <t xml:space="preserve">Ref: CEUS 2022 Report </t>
  </si>
  <si>
    <t xml:space="preserve">And converted FZ level data to CZ level </t>
  </si>
  <si>
    <t>Restaurants have only one category in CEUS data.</t>
  </si>
  <si>
    <t>Screenshot of assumption for the national average in the EnergyStar Portfolio Manager website</t>
  </si>
  <si>
    <t xml:space="preserve">EIA 2018: </t>
  </si>
  <si>
    <t>ENERGY STAR Portfolio Manager Upgrade</t>
  </si>
  <si>
    <t>Vintage Bin</t>
  </si>
  <si>
    <t>Pre-1978</t>
  </si>
  <si>
    <t>Not available</t>
  </si>
  <si>
    <t>Statewide</t>
  </si>
  <si>
    <t>Ref: CEUS 2022 dataset</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</si>
  <si>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</si>
  <si>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</si>
  <si>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</si>
  <si>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</si>
  <si>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</si>
  <si>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</si>
  <si>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</si>
  <si>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</si>
  <si>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</si>
  <si>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</si>
  <si>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</si>
  <si>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</si>
  <si>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</si>
  <si>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</si>
  <si>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</si>
  <si>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</si>
  <si>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</si>
  <si>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</si>
  <si>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</si>
  <si>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Convention, Conference, Multipurpose and Meeting Area</t>
  </si>
  <si>
    <t>Copy Room</t>
  </si>
  <si>
    <t>Corridor Area</t>
  </si>
  <si>
    <t>Dining Area (Bar/Lounge and Fine Dining)</t>
  </si>
  <si>
    <t>Dining Area (Family and Leisure)</t>
  </si>
  <si>
    <t>Electrical, Mechanical, Telephone Rooms</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</si>
  <si>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</si>
  <si>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</si>
  <si>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</si>
  <si>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</si>
  <si>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</si>
  <si>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</si>
  <si>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</si>
  <si>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</si>
  <si>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</si>
  <si>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</si>
  <si>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</si>
  <si>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</si>
  <si>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Kitchenette or Residential Kitchen</t>
  </si>
  <si>
    <t>Laboratory, Scientific</t>
  </si>
  <si>
    <t xml:space="preserve">Laundry Area </t>
  </si>
  <si>
    <t>Library (Reading Area)</t>
  </si>
  <si>
    <t>Library (Stacks Area)</t>
  </si>
  <si>
    <t>Lobby, Main Entry</t>
  </si>
  <si>
    <t>Locker Room</t>
  </si>
  <si>
    <t>Lounge, Breakroom, or Waiting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</si>
  <si>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</si>
  <si>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</si>
  <si>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</si>
  <si>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</si>
  <si>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</si>
  <si>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(&gt;250 square feet)</t>
  </si>
  <si>
    <t>Office Area (&lt;250 square feet)</t>
  </si>
  <si>
    <t>Parking Garage Area (Parking Zone and Ramps)</t>
  </si>
  <si>
    <t>Parking Garage Area (Daylight Adaptation Zones)</t>
  </si>
  <si>
    <t>Pharmacy Area</t>
  </si>
  <si>
    <t>Retail Sales Area (Grocery Sales)</t>
  </si>
  <si>
    <t>Retail Sales Area (Retail Merchandise Sales)</t>
  </si>
  <si>
    <t>Retail Sales Area (Fitting Room)</t>
  </si>
  <si>
    <t>Religious Worship Area</t>
  </si>
  <si>
    <t>Restrooms</t>
  </si>
  <si>
    <t>Stairwell</t>
  </si>
  <si>
    <t>Storage, Commercial/Industrial (Warehouse)</t>
  </si>
  <si>
    <t>Storage, Commercial/Industrial (Refrigerated)</t>
  </si>
  <si>
    <t>Storage, Commercial/Industrial (Shipping &amp; Handling)</t>
  </si>
  <si>
    <t>Storage (General)</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</si>
  <si>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</si>
  <si>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</si>
  <si>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</si>
  <si>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</si>
  <si>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</si>
  <si>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</si>
  <si>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</si>
  <si>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</si>
  <si>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</si>
  <si>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</si>
  <si>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</si>
  <si>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</si>
  <si>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Reception Area</t>
  </si>
  <si>
    <t>Elevator</t>
  </si>
  <si>
    <t>Plenum</t>
  </si>
  <si>
    <t>IT Room (EPD 12)</t>
  </si>
  <si>
    <t>Computer Room (EPD 20)</t>
  </si>
  <si>
    <t>Server Room (EPD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</si>
</sst>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0.0%"/>
    <numFmt numFmtId="165" formatCode="0.0"/>
    <numFmt numFmtId="166" formatCode="#,##0.0"/>
    <numFmt numFmtId="167" formatCode="0.0000"/>
    <numFmt numFmtId="168" formatCode="0.000"/>
    <numFmt numFmtId="169" formatCode="_(* #,##0_);_(* \(#,##0\);_(* &quot;-&quot;??_);_(@_)"/>
    <numFmt numFmtId="170" formatCode="#,##0;\-0;[Color15]0"/>
  </numFmts>
  <fonts count="67" x14ac:knownFonts="1">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1"/>
      <color theme="0"/>
      <name val="Calibri"/>
      <family val="2"/>
      <scheme val="minor"/>
    </font>
    <font>
      <sz val="10"/>
      <color indexed="8"/>
      <name val="Arial"/>
      <family val="2"/>
    </font>
    <font>
      <sz val="11"/>
      <color theme="0"/>
      <name val="Calibri"/>
      <family val="2"/>
      <scheme val="minor"/>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1"/>
      <color rgb="FF0070C0"/>
      <name val="Arial"/>
      <family val="2"/>
    </font>
    <font>
      <b/>
      <sz val="10"/>
      <name val="Arial"/>
      <family val="2"/>
    </font>
    <font>
      <b/>
      <sz val="10"/>
      <color indexed="8"/>
      <name val="Arial"/>
      <family val="2"/>
    </font>
    <font>
      <sz val="10"/>
      <color rgb="FF000000"/>
      <name val="Arial"/>
      <family val="2"/>
    </font>
    <font>
      <sz val="9"/>
      <color theme="1"/>
      <name val="Arial"/>
      <family val="2"/>
    </font>
    <font>
      <b/>
      <sz val="10"/>
      <color rgb="FF000000"/>
      <name val="Arial"/>
      <family val="2"/>
    </font>
    <font>
      <b/>
      <sz val="9"/>
      <color theme="0"/>
      <name val="Arial"/>
      <family val="2"/>
    </font>
    <font>
      <sz val="11"/>
      <color theme="1"/>
      <name val="Arial"/>
      <family val="2"/>
    </font>
    <font>
      <sz val="11"/>
      <color theme="0"/>
      <name val="Arial"/>
      <family val="2"/>
    </font>
    <font>
      <sz val="12"/>
      <color theme="1"/>
      <name val="Arial"/>
      <family val="2"/>
    </font>
    <font>
      <b/>
      <sz val="11"/>
      <color rgb="FF0000CC"/>
      <name val="Arial"/>
      <family val="2"/>
    </font>
    <font>
      <sz val="11"/>
      <color rgb="FF000000"/>
      <name val="Arial"/>
      <family val="2"/>
    </font>
    <font>
      <sz val="10"/>
      <color rgb="FF0070C0"/>
      <name val="Arial"/>
      <family val="2"/>
    </font>
    <font>
      <b/>
      <sz val="12"/>
      <color rgb="FFFFFFFF"/>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0000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000000"/>
      <name val="Calibri"/>
      <family val="2"/>
      <scheme val="minor"/>
    </font>
    <font>
      <i/>
      <sz val="11"/>
      <color rgb="FF7F7F7F"/>
      <name val="Calibri"/>
      <family val="2"/>
      <scheme val="minor"/>
    </font>
    <font>
      <b/>
      <sz val="18"/>
      <color theme="3"/>
      <name val="Calibri Light"/>
      <family val="2"/>
      <scheme val="major"/>
    </font>
    <font>
      <sz val="11"/>
      <color rgb="FF9C6500"/>
      <name val="Calibri"/>
      <family val="2"/>
      <scheme val="minor"/>
    </font>
    <font>
      <sz val="9"/>
      <name val="Arial"/>
      <family val="2"/>
    </font>
    <font>
      <sz val="9"/>
      <color rgb="FF00B050"/>
      <name val="Arial"/>
      <family val="2"/>
    </font>
    <font>
      <sz val="11"/>
      <name val="Arial"/>
      <family val="2"/>
    </font>
    <font>
      <sz val="9"/>
      <color rgb="FF000000"/>
      <name val="Arial"/>
      <family val="2"/>
    </font>
    <font>
      <sz val="11"/>
      <name val="Aptos Narrow"/>
      <family val="2"/>
    </font>
    <font>
      <sz val="10"/>
      <color rgb="FF92D050"/>
      <name val="Arial"/>
      <family val="2"/>
    </font>
    <font>
      <sz val="11"/>
      <name val="Calibri"/>
      <family val="2"/>
      <scheme val="minor"/>
    </font>
    <font>
      <b/>
      <sz val="11"/>
      <name val="Arial"/>
      <family val="2"/>
    </font>
    <font>
      <sz val="12"/>
      <color rgb="FF000000"/>
      <name val="Arial"/>
      <family val="2"/>
    </font>
    <font>
      <b/>
      <sz val="11"/>
      <color rgb="FFFFFFFF"/>
      <name val="Arial"/>
      <family val="2"/>
    </font>
    <font>
      <sz val="9"/>
      <color rgb="FF0070C0"/>
      <name val="Arial"/>
      <family val="2"/>
    </font>
    <font>
      <sz val="11"/>
      <color rgb="FF000000"/>
      <name val="Calibri"/>
      <family val="2"/>
    </font>
    <font>
      <b/>
      <sz val="11"/>
      <color rgb="FF000000"/>
      <name val="Arial"/>
      <family val="2"/>
    </font>
    <font>
      <b/>
      <sz val="11"/>
      <name val="Calibri"/>
      <family val="2"/>
    </font>
    <font>
      <b/>
      <sz val="12"/>
      <color rgb="FFFFFFFF"/>
      <name val="Calibri"/>
      <family val="2"/>
    </font>
    <font>
      <sz val="11"/>
      <color theme="1"/>
      <name val="Calibri"/>
      <family val="2"/>
    </font>
    <font>
      <sz val="11"/>
      <color theme="1"/>
      <name val="Segoe UI"/>
      <family val="2"/>
    </font>
    <font>
      <u/>
      <sz val="10"/>
      <color theme="10"/>
      <name val="Calibri"/>
      <family val="2"/>
      <scheme val="minor"/>
    </font>
    <font>
      <u/>
      <sz val="10"/>
      <color rgb="FF000000"/>
      <name val="Arial"/>
      <family val="2"/>
    </font>
    <font>
      <u/>
      <sz val="11"/>
      <color rgb="FF000000"/>
      <name val="Calibri"/>
      <family val="2"/>
      <scheme val="minor"/>
    </font>
    <font>
      <sz val="11"/>
      <color rgb="FF0070C0"/>
      <name val="Arial"/>
    </font>
    <font>
      <b/>
      <sz val="12"/>
      <color rgb="FFFFFFFF"/>
      <name val="Arial"/>
    </font>
    <font>
      <sz val="10"/>
      <color rgb="FFFFFFFF"/>
      <name val="Arial"/>
    </font>
  </fonts>
  <fills count="66">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D9E1F2"/>
        <bgColor rgb="FF000000"/>
      </patternFill>
    </fill>
    <fill>
      <patternFill patternType="solid">
        <fgColor rgb="FF203764"/>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2EFDA"/>
        <bgColor rgb="FF000000"/>
      </patternFill>
    </fill>
    <fill>
      <patternFill patternType="solid">
        <fgColor rgb="FFFFFFFF"/>
        <bgColor rgb="FF000000"/>
      </patternFill>
    </fill>
    <fill>
      <patternFill patternType="solid">
        <fgColor rgb="FFF2F2F2"/>
        <bgColor rgb="FF000000"/>
      </patternFill>
    </fill>
    <fill>
      <patternFill patternType="solid">
        <fgColor rgb="FFC6E0B4"/>
        <bgColor rgb="FF000000"/>
      </patternFill>
    </fill>
    <fill>
      <patternFill patternType="solid">
        <fgColor rgb="FFB4C6E7"/>
        <bgColor rgb="FF000000"/>
      </patternFill>
    </fill>
    <fill>
      <patternFill patternType="solid">
        <fgColor rgb="FFEFE8F0"/>
        <bgColor indexed="64"/>
      </patternFill>
    </fill>
    <fill>
      <patternFill patternType="solid">
        <fgColor rgb="FFDFD1E1"/>
        <bgColor indexed="64"/>
      </patternFill>
    </fill>
    <fill>
      <patternFill patternType="solid">
        <fgColor rgb="FFF1EAF2"/>
        <bgColor indexed="64"/>
      </patternFill>
    </fill>
    <fill>
      <patternFill patternType="solid">
        <fgColor rgb="FFD6DCE4"/>
        <bgColor rgb="FF000000"/>
      </patternFill>
    </fill>
    <fill>
      <patternFill patternType="solid">
        <fgColor rgb="FFFFF2CC"/>
        <bgColor rgb="FF000000"/>
      </patternFill>
    </fill>
    <fill>
      <patternFill patternType="solid">
        <fgColor rgb="FFFFFF00"/>
        <bgColor rgb="FF000000"/>
      </patternFill>
    </fill>
    <fill>
      <patternFill patternType="solid">
        <fgColor rgb="FF92D050"/>
      </patternFill>
    </fill>
    <fill>
      <patternFill patternType="solid">
        <fgColor rgb="FFFFC000"/>
      </patternFill>
    </fill>
    <fill>
      <patternFill patternType="solid">
        <fgColor rgb="FFB4A7D6"/>
      </patternFill>
    </fill>
    <fill>
      <patternFill patternType="solid">
        <fgColor rgb="FFCFE2F3"/>
      </patternFill>
    </fill>
    <fill>
      <patternFill patternType="solid">
        <fgColor rgb="FF203864"/>
      </patternFill>
    </fill>
    <fill>
      <patternFill patternType="solid">
        <fgColor rgb="FFD9E1F2"/>
      </patternFill>
    </fill>
    <fill>
      <patternFill patternType="solid">
        <fgColor rgb="FFEAF1F8"/>
      </patternFill>
    </fill>
    <fill>
      <patternFill patternType="solid">
        <fgColor theme="8" tint="0.79998168889431442"/>
        <bgColor indexed="64"/>
      </patternFill>
    </fill>
    <fill>
      <patternFill patternType="solid">
        <fgColor rgb="FFF5F8FA"/>
        <bgColor indexed="64"/>
      </patternFill>
    </fill>
    <fill>
      <patternFill patternType="solid">
        <fgColor rgb="FFC2BCBC"/>
        <bgColor indexed="64"/>
      </patternFill>
    </fill>
    <fill>
      <patternFill patternType="solid">
        <fgColor theme="1" tint="0.499984740745262"/>
        <bgColor indexed="64"/>
      </patternFill>
    </fill>
    <fill>
      <patternFill patternType="solid">
        <fgColor rgb="FF808080"/>
        <bgColor indexed="64"/>
      </patternFill>
    </fill>
  </fills>
  <borders count="244">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thin">
        <color indexed="64"/>
      </left>
      <right style="thin">
        <color indexed="64"/>
      </right>
      <top style="thin">
        <color indexed="64"/>
      </top>
      <bottom style="medium">
        <color indexed="64"/>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indexed="64"/>
      </left>
      <right style="medium">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right style="thin">
        <color theme="1" tint="0.499984740745262"/>
      </right>
      <top style="medium">
        <color indexed="64"/>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medium">
        <color indexed="64"/>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medium">
        <color indexed="64"/>
      </right>
      <top/>
      <bottom style="thin">
        <color theme="1" tint="0.499984740745262"/>
      </bottom>
      <diagonal/>
    </border>
    <border>
      <left/>
      <right style="thin">
        <color theme="1" tint="0.499984740745262"/>
      </right>
      <top/>
      <bottom style="thin">
        <color theme="1" tint="0.499984740745262"/>
      </bottom>
      <diagonal/>
    </border>
    <border>
      <left style="medium">
        <color indexed="64"/>
      </left>
      <right/>
      <top/>
      <bottom/>
      <diagonal/>
    </border>
    <border>
      <left/>
      <right style="medium">
        <color indexed="64"/>
      </right>
      <top/>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theme="1" tint="4.9989318521683403E-2"/>
      </left>
      <right style="thin">
        <color theme="1" tint="4.9989318521683403E-2"/>
      </right>
      <top style="thin">
        <color theme="1" tint="4.9989318521683403E-2"/>
      </top>
      <bottom style="thin">
        <color theme="1" tint="4.9989318521683403E-2"/>
      </bottom>
      <diagonal/>
    </border>
    <border>
      <left style="thin">
        <color theme="1" tint="0.34998626667073579"/>
      </left>
      <right style="thin">
        <color theme="1" tint="0.34998626667073579"/>
      </right>
      <top style="thin">
        <color theme="1" tint="0.34998626667073579"/>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theme="1" tint="4.9989318521683403E-2"/>
      </right>
      <top style="thin">
        <color theme="1" tint="4.9989318521683403E-2"/>
      </top>
      <bottom style="thin">
        <color theme="1" tint="4.9989318521683403E-2"/>
      </bottom>
      <diagonal/>
    </border>
    <border>
      <left style="thin">
        <color theme="1" tint="4.9989318521683403E-2"/>
      </left>
      <right/>
      <top style="thin">
        <color theme="1" tint="4.9989318521683403E-2"/>
      </top>
      <bottom style="thin">
        <color theme="1" tint="4.9989318521683403E-2"/>
      </bottom>
      <diagonal/>
    </border>
    <border>
      <left/>
      <right/>
      <top style="thin">
        <color theme="1" tint="4.9989318521683403E-2"/>
      </top>
      <bottom style="thin">
        <color theme="1" tint="4.9989318521683403E-2"/>
      </bottom>
      <diagonal/>
    </border>
    <border>
      <left style="thin">
        <color theme="1" tint="0.34998626667073579"/>
      </left>
      <right/>
      <top/>
      <bottom/>
      <diagonal/>
    </border>
    <border>
      <left/>
      <right style="thin">
        <color theme="1" tint="0.34998626667073579"/>
      </right>
      <top/>
      <bottom/>
      <diagonal/>
    </border>
    <border>
      <left/>
      <right/>
      <top/>
      <bottom style="thin">
        <color theme="1" tint="0.34998626667073579"/>
      </bottom>
      <diagonal/>
    </border>
    <border>
      <left style="thin">
        <color rgb="FF595959"/>
      </left>
      <right/>
      <top style="thin">
        <color rgb="FF595959"/>
      </top>
      <bottom/>
      <diagonal/>
    </border>
    <border>
      <left/>
      <right style="thin">
        <color rgb="FF595959"/>
      </right>
      <top style="thin">
        <color rgb="FF595959"/>
      </top>
      <bottom/>
      <diagonal/>
    </border>
    <border>
      <left style="thin">
        <color rgb="FF595959"/>
      </left>
      <right style="thin">
        <color rgb="FF595959"/>
      </right>
      <top style="thin">
        <color rgb="FF595959"/>
      </top>
      <bottom/>
      <diagonal/>
    </border>
    <border>
      <left/>
      <right/>
      <top/>
      <bottom style="thin">
        <color rgb="FF595959"/>
      </bottom>
      <diagonal/>
    </border>
    <border>
      <left style="thin">
        <color rgb="FF595959"/>
      </left>
      <right/>
      <top/>
      <bottom/>
      <diagonal/>
    </border>
    <border>
      <left style="thin">
        <color theme="1" tint="0.34998626667073579"/>
      </left>
      <right style="thin">
        <color theme="1" tint="0.34998626667073579"/>
      </right>
      <top/>
      <bottom/>
      <diagonal/>
    </border>
    <border>
      <left style="thin">
        <color theme="1" tint="0.34998626667073579"/>
      </left>
      <right style="thin">
        <color theme="1" tint="0.34998626667073579"/>
      </right>
      <top/>
      <bottom style="thin">
        <color theme="1" tint="0.34998626667073579"/>
      </bottom>
      <diagonal/>
    </border>
    <border>
      <left style="thin">
        <color indexed="64"/>
      </left>
      <right/>
      <top/>
      <bottom style="thin">
        <color theme="1" tint="0.34998626667073579"/>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medium">
        <color theme="1"/>
      </left>
      <right style="thin">
        <color theme="1" tint="0.499984740745262"/>
      </right>
      <top style="medium">
        <color theme="1"/>
      </top>
      <bottom style="thin">
        <color theme="1" tint="0.499984740745262"/>
      </bottom>
      <diagonal/>
    </border>
    <border>
      <left style="thin">
        <color theme="1" tint="0.499984740745262"/>
      </left>
      <right style="thin">
        <color theme="1" tint="0.499984740745262"/>
      </right>
      <top style="medium">
        <color theme="1"/>
      </top>
      <bottom style="thin">
        <color theme="1" tint="0.499984740745262"/>
      </bottom>
      <diagonal/>
    </border>
    <border>
      <left style="thin">
        <color theme="1" tint="0.499984740745262"/>
      </left>
      <right style="medium">
        <color theme="1"/>
      </right>
      <top style="medium">
        <color theme="1"/>
      </top>
      <bottom style="thin">
        <color theme="1" tint="0.499984740745262"/>
      </bottom>
      <diagonal/>
    </border>
    <border>
      <left style="medium">
        <color theme="1"/>
      </left>
      <right style="thin">
        <color theme="1" tint="0.499984740745262"/>
      </right>
      <top style="thin">
        <color theme="1" tint="0.499984740745262"/>
      </top>
      <bottom style="thin">
        <color theme="1" tint="0.499984740745262"/>
      </bottom>
      <diagonal/>
    </border>
    <border>
      <left style="thin">
        <color theme="1" tint="0.499984740745262"/>
      </left>
      <right style="medium">
        <color theme="1"/>
      </right>
      <top style="thin">
        <color theme="1" tint="0.499984740745262"/>
      </top>
      <bottom style="thin">
        <color theme="1" tint="0.499984740745262"/>
      </bottom>
      <diagonal/>
    </border>
    <border>
      <left style="medium">
        <color theme="1"/>
      </left>
      <right style="thin">
        <color theme="1" tint="0.499984740745262"/>
      </right>
      <top style="thin">
        <color theme="1" tint="0.499984740745262"/>
      </top>
      <bottom style="medium">
        <color theme="1"/>
      </bottom>
      <diagonal/>
    </border>
    <border>
      <left style="thin">
        <color theme="1" tint="0.499984740745262"/>
      </left>
      <right style="thin">
        <color theme="1" tint="0.499984740745262"/>
      </right>
      <top style="thin">
        <color theme="1" tint="0.499984740745262"/>
      </top>
      <bottom style="medium">
        <color theme="1"/>
      </bottom>
      <diagonal/>
    </border>
    <border>
      <left style="thin">
        <color theme="1" tint="0.499984740745262"/>
      </left>
      <right style="medium">
        <color theme="1"/>
      </right>
      <top style="thin">
        <color theme="1" tint="0.499984740745262"/>
      </top>
      <bottom style="medium">
        <color theme="1"/>
      </bottom>
      <diagonal/>
    </border>
    <border>
      <left style="thin">
        <color theme="1" tint="0.499984740745262"/>
      </left>
      <right style="thin">
        <color theme="1" tint="0.499984740745262"/>
      </right>
      <top style="medium">
        <color theme="1"/>
      </top>
      <bottom/>
      <diagonal/>
    </border>
    <border>
      <left style="thin">
        <color theme="1" tint="0.499984740745262"/>
      </left>
      <right style="thin">
        <color theme="1" tint="0.499984740745262"/>
      </right>
      <top/>
      <bottom style="medium">
        <color theme="1"/>
      </bottom>
      <diagonal/>
    </border>
    <border>
      <left style="thin">
        <color theme="1" tint="0.499984740745262"/>
      </left>
      <right style="thin">
        <color theme="1" tint="0.499984740745262"/>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style="thin">
        <color rgb="FF000000"/>
      </right>
      <top style="thin">
        <color rgb="FF000000"/>
      </top>
      <bottom/>
      <diagonal/>
    </border>
    <border>
      <left/>
      <right/>
      <top style="thin">
        <color rgb="FF000000"/>
      </top>
      <bottom/>
      <diagonal/>
    </border>
    <border>
      <left style="thin">
        <color rgb="FF595959"/>
      </left>
      <right style="thin">
        <color indexed="64"/>
      </right>
      <top/>
      <bottom/>
      <diagonal/>
    </border>
    <border>
      <left style="thin">
        <color rgb="FF595959"/>
      </left>
      <right style="thin">
        <color rgb="FF595959"/>
      </right>
      <top/>
      <bottom/>
      <diagonal/>
    </border>
    <border>
      <left style="thin">
        <color theme="1" tint="0.34998626667073579"/>
      </left>
      <right/>
      <top/>
      <bottom style="thin">
        <color theme="1" tint="0.34998626667073579"/>
      </bottom>
      <diagonal/>
    </border>
    <border>
      <left style="thin">
        <color indexed="64"/>
      </left>
      <right style="medium">
        <color indexed="64"/>
      </right>
      <top style="medium">
        <color indexed="64"/>
      </top>
      <bottom/>
      <diagonal/>
    </border>
    <border>
      <left/>
      <right style="thin">
        <color theme="1" tint="0.499984740745262"/>
      </right>
      <top style="medium">
        <color theme="1"/>
      </top>
      <bottom style="thin">
        <color theme="1" tint="0.499984740745262"/>
      </bottom>
      <diagonal/>
    </border>
    <border>
      <left style="thin">
        <color indexed="64"/>
      </left>
      <right style="medium">
        <color indexed="64"/>
      </right>
      <top/>
      <bottom/>
      <diagonal/>
    </border>
    <border>
      <left/>
      <right style="thin">
        <color theme="1" tint="0.499984740745262"/>
      </right>
      <top style="thin">
        <color theme="1" tint="0.499984740745262"/>
      </top>
      <bottom style="medium">
        <color theme="1"/>
      </bottom>
      <diagonal/>
    </border>
    <border>
      <left style="thin">
        <color indexed="64"/>
      </left>
      <right style="thin">
        <color indexed="64"/>
      </right>
      <top/>
      <bottom style="thin">
        <color theme="1" tint="0.499984740745262"/>
      </bottom>
      <diagonal/>
    </border>
    <border>
      <left style="thin">
        <color indexed="64"/>
      </left>
      <right style="thin">
        <color indexed="64"/>
      </right>
      <top style="thin">
        <color theme="1" tint="0.499984740745262"/>
      </top>
      <bottom style="thin">
        <color theme="1" tint="0.499984740745262"/>
      </bottom>
      <diagonal/>
    </border>
    <border>
      <left style="thin">
        <color indexed="64"/>
      </left>
      <right style="medium">
        <color theme="1"/>
      </right>
      <top style="medium">
        <color indexed="64"/>
      </top>
      <bottom/>
      <diagonal/>
    </border>
    <border>
      <left style="thin">
        <color indexed="64"/>
      </left>
      <right style="thin">
        <color indexed="64"/>
      </right>
      <top style="medium">
        <color indexed="64"/>
      </top>
      <bottom style="thin">
        <color theme="1" tint="0.499984740745262"/>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medium">
        <color theme="1" tint="0.34998626667073579"/>
      </left>
      <right style="thin">
        <color rgb="FF000000"/>
      </right>
      <top style="thin">
        <color rgb="FF000000"/>
      </top>
      <bottom style="thin">
        <color rgb="FF000000"/>
      </bottom>
      <diagonal/>
    </border>
    <border>
      <left style="thin">
        <color indexed="64"/>
      </left>
      <right style="medium">
        <color theme="1" tint="0.34998626667073579"/>
      </right>
      <top style="thin">
        <color indexed="64"/>
      </top>
      <bottom/>
      <diagonal/>
    </border>
    <border>
      <left style="medium">
        <color theme="1" tint="0.34998626667073579"/>
      </left>
      <right style="thin">
        <color rgb="FF000000"/>
      </right>
      <top style="thin">
        <color rgb="FF000000"/>
      </top>
      <bottom/>
      <diagonal/>
    </border>
    <border>
      <left style="medium">
        <color indexed="64"/>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diagonal/>
    </border>
    <border>
      <left/>
      <right/>
      <top style="medium">
        <color theme="1" tint="0.34998626667073579"/>
      </top>
      <bottom style="thin">
        <color rgb="FF000000"/>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bottom/>
      <diagonal/>
    </border>
    <border>
      <left/>
      <right/>
      <top style="thin">
        <color rgb="FF000000"/>
      </top>
      <bottom style="thin">
        <color rgb="FF000000"/>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bottom style="medium">
        <color indexed="64"/>
      </bottom>
      <diagonal/>
    </border>
    <border>
      <left/>
      <right/>
      <top style="thin">
        <color rgb="FF000000"/>
      </top>
      <bottom style="medium">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style="thin">
        <color indexed="64"/>
      </left>
      <right/>
      <top style="medium">
        <color indexed="64"/>
      </top>
      <bottom/>
      <diagonal/>
    </border>
    <border>
      <left style="thin">
        <color theme="1" tint="0.34998626667073579"/>
      </left>
      <right style="medium">
        <color indexed="64"/>
      </right>
      <top style="thin">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diagonal/>
    </border>
    <border>
      <left style="thin">
        <color theme="1" tint="0.34998626667073579"/>
      </left>
      <right style="medium">
        <color indexed="64"/>
      </right>
      <top style="medium">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style="thin">
        <color theme="1" tint="0.499984740745262"/>
      </top>
      <bottom/>
      <diagonal/>
    </border>
    <border>
      <left style="medium">
        <color theme="1"/>
      </left>
      <right style="thin">
        <color theme="1" tint="0.499984740745262"/>
      </right>
      <top style="thin">
        <color theme="1" tint="0.499984740745262"/>
      </top>
      <bottom/>
      <diagonal/>
    </border>
    <border>
      <left style="thin">
        <color theme="1" tint="0.499984740745262"/>
      </left>
      <right style="medium">
        <color theme="1"/>
      </right>
      <top style="thin">
        <color theme="1" tint="0.499984740745262"/>
      </top>
      <bottom/>
      <diagonal/>
    </border>
    <border>
      <left style="medium">
        <color theme="1" tint="0.34998626667073579"/>
      </left>
      <right style="thin">
        <color theme="1" tint="0.34998626667073579"/>
      </right>
      <top/>
      <bottom style="thin">
        <color theme="1" tint="0.34998626667073579"/>
      </bottom>
      <diagonal/>
    </border>
    <border>
      <left/>
      <right style="thin">
        <color theme="1" tint="0.34998626667073579"/>
      </right>
      <top/>
      <bottom style="thin">
        <color theme="1" tint="0.34998626667073579"/>
      </bottom>
      <diagonal/>
    </border>
    <border>
      <left style="thin">
        <color theme="1" tint="0.34998626667073579"/>
      </left>
      <right style="medium">
        <color theme="1" tint="0.34998626667073579"/>
      </right>
      <top/>
      <bottom style="thin">
        <color theme="1" tint="0.34998626667073579"/>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style="medium">
        <color indexed="64"/>
      </right>
      <top/>
      <bottom style="medium">
        <color theme="1" tint="0.34998626667073579"/>
      </bottom>
      <diagonal/>
    </border>
    <border>
      <left/>
      <right style="thin">
        <color theme="1" tint="0.34998626667073579"/>
      </right>
      <top style="thin">
        <color theme="1" tint="0.34998626667073579"/>
      </top>
      <bottom style="medium">
        <color theme="1" tint="0.34998626667073579"/>
      </bottom>
      <diagonal/>
    </border>
    <border>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bottom style="medium">
        <color indexed="64"/>
      </bottom>
      <diagonal/>
    </border>
    <border>
      <left/>
      <right style="thin">
        <color theme="1" tint="0.34998626667073579"/>
      </right>
      <top style="thin">
        <color theme="1" tint="0.34998626667073579"/>
      </top>
      <bottom style="medium">
        <color indexed="64"/>
      </bottom>
      <diagonal/>
    </border>
    <border>
      <left style="medium">
        <color theme="1" tint="0.34998626667073579"/>
      </left>
      <right style="thin">
        <color rgb="FF000000"/>
      </right>
      <top/>
      <bottom style="thin">
        <color rgb="FF000000"/>
      </bottom>
      <diagonal/>
    </border>
    <border>
      <left style="thin">
        <color indexed="64"/>
      </left>
      <right style="medium">
        <color theme="1" tint="0.34998626667073579"/>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theme="1" tint="0.499984740745262"/>
      </bottom>
      <diagonal/>
    </border>
    <border>
      <left style="thin">
        <color indexed="64"/>
      </left>
      <right style="medium">
        <color rgb="FF000000"/>
      </right>
      <top style="medium">
        <color rgb="FF000000"/>
      </top>
      <bottom/>
      <diagonal/>
    </border>
    <border>
      <left style="medium">
        <color rgb="FF000000"/>
      </left>
      <right style="thin">
        <color indexed="64"/>
      </right>
      <top style="medium">
        <color indexed="64"/>
      </top>
      <bottom style="thin">
        <color indexed="64"/>
      </bottom>
      <diagonal/>
    </border>
    <border>
      <left style="thin">
        <color indexed="64"/>
      </left>
      <right style="medium">
        <color rgb="FF000000"/>
      </right>
      <top style="medium">
        <color indexed="64"/>
      </top>
      <bottom/>
      <diagonal/>
    </border>
    <border>
      <left style="medium">
        <color rgb="FF000000"/>
      </left>
      <right style="thin">
        <color indexed="64"/>
      </right>
      <top style="medium">
        <color indexed="64"/>
      </top>
      <bottom style="medium">
        <color rgb="FF000000"/>
      </bottom>
      <diagonal/>
    </border>
    <border>
      <left style="thin">
        <color indexed="64"/>
      </left>
      <right style="thin">
        <color indexed="64"/>
      </right>
      <top style="medium">
        <color indexed="64"/>
      </top>
      <bottom style="medium">
        <color rgb="FF000000"/>
      </bottom>
      <diagonal/>
    </border>
    <border>
      <left style="thin">
        <color indexed="64"/>
      </left>
      <right style="medium">
        <color rgb="FF000000"/>
      </right>
      <top style="medium">
        <color indexed="64"/>
      </top>
      <bottom style="medium">
        <color rgb="FF000000"/>
      </bottom>
      <diagonal/>
    </border>
    <border>
      <left style="medium">
        <color rgb="FF000000"/>
      </left>
      <right style="thin">
        <color theme="1" tint="0.34998626667073579"/>
      </right>
      <top style="medium">
        <color rgb="FF000000"/>
      </top>
      <bottom style="thin">
        <color theme="1" tint="0.34998626667073579"/>
      </bottom>
      <diagonal/>
    </border>
    <border>
      <left style="thin">
        <color theme="1" tint="0.34998626667073579"/>
      </left>
      <right style="thin">
        <color theme="1" tint="0.34998626667073579"/>
      </right>
      <top style="medium">
        <color rgb="FF000000"/>
      </top>
      <bottom style="thin">
        <color theme="1" tint="0.34998626667073579"/>
      </bottom>
      <diagonal/>
    </border>
    <border>
      <left style="thin">
        <color theme="1" tint="0.34998626667073579"/>
      </left>
      <right style="medium">
        <color rgb="FF000000"/>
      </right>
      <top style="medium">
        <color rgb="FF000000"/>
      </top>
      <bottom/>
      <diagonal/>
    </border>
    <border>
      <left style="medium">
        <color rgb="FF000000"/>
      </left>
      <right style="thin">
        <color theme="1" tint="0.34998626667073579"/>
      </right>
      <top style="medium">
        <color indexed="64"/>
      </top>
      <bottom style="thin">
        <color theme="1" tint="0.34998626667073579"/>
      </bottom>
      <diagonal/>
    </border>
    <border>
      <left style="thin">
        <color theme="1" tint="0.34998626667073579"/>
      </left>
      <right style="medium">
        <color rgb="FF000000"/>
      </right>
      <top style="medium">
        <color indexed="64"/>
      </top>
      <bottom/>
      <diagonal/>
    </border>
    <border>
      <left style="medium">
        <color rgb="FF000000"/>
      </left>
      <right style="thin">
        <color theme="1" tint="0.34998626667073579"/>
      </right>
      <top style="medium">
        <color indexed="64"/>
      </top>
      <bottom style="medium">
        <color rgb="FF000000"/>
      </bottom>
      <diagonal/>
    </border>
    <border>
      <left style="thin">
        <color theme="1" tint="0.34998626667073579"/>
      </left>
      <right style="thin">
        <color theme="1" tint="0.34998626667073579"/>
      </right>
      <top style="medium">
        <color indexed="64"/>
      </top>
      <bottom style="medium">
        <color rgb="FF000000"/>
      </bottom>
      <diagonal/>
    </border>
    <border>
      <left style="thin">
        <color theme="1" tint="0.34998626667073579"/>
      </left>
      <right style="medium">
        <color rgb="FF000000"/>
      </right>
      <top style="medium">
        <color indexed="64"/>
      </top>
      <bottom style="medium">
        <color rgb="FF000000"/>
      </bottom>
      <diagonal/>
    </border>
    <border>
      <left style="medium">
        <color theme="1" tint="0.34998626667073579"/>
      </left>
      <right style="thin">
        <color theme="1" tint="0.34998626667073579"/>
      </right>
      <top style="medium">
        <color theme="1" tint="0.34998626667073579"/>
      </top>
      <bottom/>
      <diagonal/>
    </border>
    <border>
      <left style="thin">
        <color theme="1" tint="0.34998626667073579"/>
      </left>
      <right style="thin">
        <color theme="1" tint="0.34998626667073579"/>
      </right>
      <top style="medium">
        <color theme="1" tint="0.34998626667073579"/>
      </top>
      <bottom/>
      <diagonal/>
    </border>
    <border>
      <left style="thin">
        <color theme="1" tint="0.34998626667073579"/>
      </left>
      <right style="medium">
        <color theme="1" tint="0.34998626667073579"/>
      </right>
      <top style="medium">
        <color theme="1" tint="0.34998626667073579"/>
      </top>
      <bottom/>
      <diagonal/>
    </border>
    <border>
      <left style="thin">
        <color indexed="64"/>
      </left>
      <right style="thin">
        <color indexed="64"/>
      </right>
      <top/>
      <bottom style="medium">
        <color rgb="FF000000"/>
      </bottom>
      <diagonal/>
    </border>
    <border>
      <left style="thin">
        <color indexed="64"/>
      </left>
      <right style="medium">
        <color rgb="FF000000"/>
      </right>
      <top style="medium">
        <color rgb="FF000000"/>
      </top>
      <bottom style="thin">
        <color indexed="64"/>
      </bottom>
      <diagonal/>
    </border>
    <border>
      <left style="thin">
        <color indexed="64"/>
      </left>
      <right style="medium">
        <color rgb="FF000000"/>
      </right>
      <top style="medium">
        <color indexed="64"/>
      </top>
      <bottom style="thin">
        <color indexed="64"/>
      </bottom>
      <diagonal/>
    </border>
    <border>
      <left style="medium">
        <color rgb="FF000000"/>
      </left>
      <right style="thin">
        <color indexed="64"/>
      </right>
      <top style="medium">
        <color indexed="64"/>
      </top>
      <bottom/>
      <diagonal/>
    </border>
    <border>
      <left style="medium">
        <color rgb="FF000000"/>
      </left>
      <right style="thin">
        <color indexed="64"/>
      </right>
      <top/>
      <bottom style="thin">
        <color indexed="64"/>
      </bottom>
      <diagonal/>
    </border>
    <border>
      <left style="thin">
        <color indexed="64"/>
      </left>
      <right style="medium">
        <color rgb="FF000000"/>
      </right>
      <top/>
      <bottom/>
      <diagonal/>
    </border>
    <border>
      <left style="medium">
        <color rgb="FF000000"/>
      </left>
      <right style="thin">
        <color indexed="64"/>
      </right>
      <top/>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indexed="64"/>
      </bottom>
      <diagonal/>
    </border>
    <border>
      <left style="thin">
        <color indexed="64"/>
      </left>
      <right style="medium">
        <color rgb="FF000000"/>
      </right>
      <top/>
      <bottom style="medium">
        <color indexed="64"/>
      </bottom>
      <diagonal/>
    </border>
    <border>
      <left style="thin">
        <color theme="1" tint="0.34998626667073579"/>
      </left>
      <right style="medium">
        <color rgb="FF000000"/>
      </right>
      <top style="medium">
        <color indexed="64"/>
      </top>
      <bottom style="thin">
        <color theme="1" tint="0.34998626667073579"/>
      </bottom>
      <diagonal/>
    </border>
    <border>
      <left style="medium">
        <color rgb="FF000000"/>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rgb="FF000000"/>
      </right>
      <top style="thin">
        <color theme="1" tint="0.34998626667073579"/>
      </top>
      <bottom style="thin">
        <color theme="1" tint="0.34998626667073579"/>
      </bottom>
      <diagonal/>
    </border>
    <border>
      <left style="medium">
        <color rgb="FF000000"/>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style="thin">
        <color theme="1" tint="0.34998626667073579"/>
      </top>
      <bottom style="medium">
        <color rgb="FF000000"/>
      </bottom>
      <diagonal/>
    </border>
    <border>
      <left style="thin">
        <color theme="1" tint="0.34998626667073579"/>
      </left>
      <right style="medium">
        <color rgb="FF000000"/>
      </right>
      <top style="thin">
        <color theme="1" tint="0.34998626667073579"/>
      </top>
      <bottom style="medium">
        <color rgb="FF000000"/>
      </bottom>
      <diagonal/>
    </border>
    <border>
      <left/>
      <right style="thin">
        <color rgb="FF000000"/>
      </right>
      <top style="medium">
        <color indexed="64"/>
      </top>
      <bottom style="thin">
        <color rgb="FF000000"/>
      </bottom>
      <diagonal/>
    </border>
    <border>
      <left/>
      <right style="thin">
        <color rgb="FF000000"/>
      </right>
      <top style="thin">
        <color rgb="FF000000"/>
      </top>
      <bottom style="thin">
        <color rgb="FF000000"/>
      </bottom>
      <diagonal/>
    </border>
    <border>
      <left style="thin">
        <color theme="1" tint="0.34998626667073579"/>
      </left>
      <right style="medium">
        <color rgb="FF000000"/>
      </right>
      <top style="medium">
        <color rgb="FF000000"/>
      </top>
      <bottom style="thin">
        <color theme="1" tint="0.34998626667073579"/>
      </bottom>
      <diagonal/>
    </border>
    <border>
      <left/>
      <right/>
      <top style="thin">
        <color rgb="FF000000"/>
      </top>
      <bottom style="medium">
        <color indexed="64"/>
      </bottom>
      <diagonal/>
    </border>
    <border>
      <left style="medium">
        <color rgb="FF000000"/>
      </left>
      <right style="thin">
        <color theme="1" tint="0.34998626667073579"/>
      </right>
      <top style="thin">
        <color theme="1" tint="0.34998626667073579"/>
      </top>
      <bottom/>
      <diagonal/>
    </border>
    <border>
      <left style="thin">
        <color theme="1" tint="0.34998626667073579"/>
      </left>
      <right style="medium">
        <color rgb="FF000000"/>
      </right>
      <top style="thin">
        <color theme="1" tint="0.34998626667073579"/>
      </top>
      <bottom/>
      <diagonal/>
    </border>
    <border>
      <left style="medium">
        <color rgb="FF000000"/>
      </left>
      <right style="thin">
        <color indexed="64"/>
      </right>
      <top style="medium">
        <color rgb="FF000000"/>
      </top>
      <bottom/>
      <diagonal/>
    </border>
    <border>
      <left style="thin">
        <color indexed="64"/>
      </left>
      <right style="thin">
        <color indexed="64"/>
      </right>
      <top style="medium">
        <color rgb="FF000000"/>
      </top>
      <bottom/>
      <diagonal/>
    </border>
    <border>
      <left style="medium">
        <color rgb="FF000000"/>
      </left>
      <right style="thin">
        <color indexed="64"/>
      </right>
      <top/>
      <bottom style="medium">
        <color rgb="FF000000"/>
      </bottom>
      <diagonal/>
    </border>
    <border>
      <left style="thin">
        <color indexed="64"/>
      </left>
      <right style="thin">
        <color indexed="64"/>
      </right>
      <top style="thin">
        <color indexed="64"/>
      </top>
      <bottom style="medium">
        <color rgb="FF000000"/>
      </bottom>
      <diagonal/>
    </border>
    <border>
      <left style="medium">
        <color theme="1" tint="0.499984740745262"/>
      </left>
      <right/>
      <top/>
      <bottom/>
      <diagonal/>
    </border>
    <border>
      <left style="medium">
        <color theme="1" tint="0.499984740745262"/>
      </left>
      <right style="thin">
        <color indexed="64"/>
      </right>
      <top style="medium">
        <color theme="1" tint="0.499984740745262"/>
      </top>
      <bottom style="thin">
        <color indexed="64"/>
      </bottom>
      <diagonal/>
    </border>
    <border>
      <left/>
      <right/>
      <top style="medium">
        <color theme="1" tint="0.499984740745262"/>
      </top>
      <bottom style="thin">
        <color indexed="64"/>
      </bottom>
      <diagonal/>
    </border>
    <border>
      <left/>
      <right style="medium">
        <color indexed="64"/>
      </right>
      <top style="medium">
        <color indexed="64"/>
      </top>
      <bottom style="thin">
        <color indexed="64"/>
      </bottom>
      <diagonal/>
    </border>
    <border>
      <left style="medium">
        <color theme="1" tint="0.499984740745262"/>
      </left>
      <right style="thin">
        <color indexed="64"/>
      </right>
      <top/>
      <bottom/>
      <diagonal/>
    </border>
    <border>
      <left/>
      <right style="medium">
        <color indexed="64"/>
      </right>
      <top/>
      <bottom style="thin">
        <color indexed="64"/>
      </bottom>
      <diagonal/>
    </border>
    <border>
      <left style="medium">
        <color theme="1" tint="0.499984740745262"/>
      </left>
      <right style="thin">
        <color indexed="64"/>
      </right>
      <top/>
      <bottom style="medium">
        <color theme="1" tint="0.499984740745262"/>
      </bottom>
      <diagonal/>
    </border>
    <border>
      <left/>
      <right/>
      <top/>
      <bottom style="medium">
        <color theme="1" tint="0.499984740745262"/>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theme="1" tint="0.499984740745262"/>
      </left>
      <right/>
      <top/>
      <bottom/>
      <diagonal/>
    </border>
    <border>
      <left style="thin">
        <color rgb="FF000000"/>
      </left>
      <right/>
      <top/>
      <bottom/>
      <diagonal/>
    </border>
    <border>
      <left style="thin">
        <color rgb="FF808080"/>
      </left>
      <right style="thin">
        <color rgb="FF000000"/>
      </right>
      <top/>
      <bottom style="thin">
        <color rgb="FF808080"/>
      </bottom>
      <diagonal/>
    </border>
    <border>
      <left style="thin">
        <color rgb="FF808080"/>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style="thin">
        <color rgb="FF000000"/>
      </left>
      <right style="thin">
        <color rgb="FF000000"/>
      </right>
      <top style="thin">
        <color rgb="FF000000"/>
      </top>
      <bottom/>
      <diagonal/>
    </border>
    <border>
      <left/>
      <right/>
      <top style="thin">
        <color indexed="64"/>
      </top>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indexed="64"/>
      </left>
      <right/>
      <top/>
      <bottom style="thin">
        <color theme="1" tint="0.249977111117893"/>
      </bottom>
      <diagonal/>
    </border>
    <border>
      <left/>
      <right/>
      <top/>
      <bottom style="thin">
        <color theme="1" tint="0.249977111117893"/>
      </bottom>
      <diagonal/>
    </border>
    <border>
      <left/>
      <right style="thin">
        <color theme="1" tint="0.249977111117893"/>
      </right>
      <top/>
      <bottom/>
      <diagonal/>
    </border>
    <border>
      <left/>
      <right style="thin">
        <color theme="1" tint="0.249977111117893"/>
      </right>
      <top/>
      <bottom style="thin">
        <color theme="1" tint="0.249977111117893"/>
      </bottom>
      <diagonal/>
    </border>
    <border>
      <left/>
      <right style="thin">
        <color indexed="64"/>
      </right>
      <top style="thin">
        <color indexed="64"/>
      </top>
      <bottom style="thin">
        <color theme="1" tint="0.249977111117893"/>
      </bottom>
      <diagonal/>
    </border>
    <border>
      <left style="thin">
        <color rgb="FF000000"/>
      </left>
      <right/>
      <top style="thin">
        <color rgb="FF000000"/>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theme="1" tint="0.34998626667073579"/>
      </bottom>
      <diagonal/>
    </border>
    <border>
      <left style="thin">
        <color rgb="FF000000"/>
      </left>
      <right/>
      <top style="thin">
        <color rgb="FF000000"/>
      </top>
      <bottom style="thin">
        <color rgb="FF000000"/>
      </bottom>
      <diagonal/>
    </border>
    <border>
      <left style="thin">
        <color rgb="FF808080"/>
      </left>
      <right style="thin">
        <color rgb="FF808080"/>
      </right>
      <top/>
      <bottom style="thin">
        <color rgb="FF000000"/>
      </bottom>
      <diagonal/>
    </border>
    <border>
      <left style="thin">
        <color rgb="FF000000"/>
      </left>
      <right/>
      <top style="thin">
        <color rgb="FF000000"/>
      </top>
      <bottom/>
      <diagonal/>
    </border>
  </borders>
  <cellStyleXfs count="57">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6" fillId="0" borderId="0"/>
    <xf numFmtId="0" fontId="8" fillId="0" borderId="0" applyNumberFormat="0" applyFill="0" applyBorder="0" applyAlignment="0" applyProtection="0"/>
    <xf numFmtId="43" fontId="2" fillId="0" borderId="0" applyFont="0" applyFill="0" applyBorder="0" applyAlignment="0" applyProtection="0"/>
    <xf numFmtId="0" fontId="2" fillId="0" borderId="0"/>
    <xf numFmtId="9" fontId="6" fillId="0" borderId="0" applyFont="0" applyFill="0" applyBorder="0" applyAlignment="0" applyProtection="0"/>
    <xf numFmtId="0" fontId="14" fillId="0" borderId="0"/>
    <xf numFmtId="0" fontId="16" fillId="0" borderId="0" applyNumberFormat="0" applyFill="0" applyBorder="0" applyAlignment="0" applyProtection="0"/>
    <xf numFmtId="0" fontId="6" fillId="0" borderId="0"/>
    <xf numFmtId="0" fontId="6" fillId="0" borderId="0"/>
    <xf numFmtId="0" fontId="31" fillId="0" borderId="58" applyNumberFormat="0" applyFill="0" applyAlignment="0" applyProtection="0"/>
    <xf numFmtId="0" fontId="32" fillId="0" borderId="59" applyNumberFormat="0" applyFill="0" applyAlignment="0" applyProtection="0"/>
    <xf numFmtId="0" fontId="33" fillId="0" borderId="60" applyNumberFormat="0" applyFill="0" applyAlignment="0" applyProtection="0"/>
    <xf numFmtId="0" fontId="33" fillId="0" borderId="0" applyNumberFormat="0" applyFill="0" applyBorder="0" applyAlignment="0" applyProtection="0"/>
    <xf numFmtId="0" fontId="34" fillId="12" borderId="0" applyNumberFormat="0" applyBorder="0" applyAlignment="0" applyProtection="0"/>
    <xf numFmtId="0" fontId="35" fillId="13" borderId="0" applyNumberFormat="0" applyBorder="0" applyAlignment="0" applyProtection="0"/>
    <xf numFmtId="0" fontId="36" fillId="15" borderId="61" applyNumberFormat="0" applyAlignment="0" applyProtection="0"/>
    <xf numFmtId="0" fontId="37" fillId="16" borderId="62" applyNumberFormat="0" applyAlignment="0" applyProtection="0"/>
    <xf numFmtId="0" fontId="38" fillId="16" borderId="61" applyNumberFormat="0" applyAlignment="0" applyProtection="0"/>
    <xf numFmtId="0" fontId="39" fillId="0" borderId="63" applyNumberFormat="0" applyFill="0" applyAlignment="0" applyProtection="0"/>
    <xf numFmtId="0" fontId="9" fillId="17" borderId="64" applyNumberFormat="0" applyAlignment="0" applyProtection="0"/>
    <xf numFmtId="0" fontId="40" fillId="0" borderId="0" applyNumberFormat="0" applyFill="0" applyBorder="0" applyAlignment="0" applyProtection="0"/>
    <xf numFmtId="0" fontId="2" fillId="18" borderId="65" applyNumberFormat="0" applyFont="0" applyAlignment="0" applyProtection="0"/>
    <xf numFmtId="0" fontId="41" fillId="0" borderId="0" applyNumberFormat="0" applyFill="0" applyBorder="0" applyAlignment="0" applyProtection="0"/>
    <xf numFmtId="0" fontId="3" fillId="0" borderId="66" applyNumberFormat="0" applyFill="0" applyAlignment="0" applyProtection="0"/>
    <xf numFmtId="0" fontId="11"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11"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11"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11"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11" fillId="35"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11" fillId="39"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42" fillId="0" borderId="0" applyNumberFormat="0" applyFill="0" applyBorder="0" applyAlignment="0" applyProtection="0"/>
    <xf numFmtId="0" fontId="43" fillId="14" borderId="0" applyNumberFormat="0" applyBorder="0" applyAlignment="0" applyProtection="0"/>
    <xf numFmtId="0" fontId="11" fillId="22" borderId="0" applyNumberFormat="0" applyBorder="0" applyAlignment="0" applyProtection="0"/>
    <xf numFmtId="0" fontId="11" fillId="26" borderId="0" applyNumberFormat="0" applyBorder="0" applyAlignment="0" applyProtection="0"/>
    <xf numFmtId="0" fontId="11" fillId="30" borderId="0" applyNumberFormat="0" applyBorder="0" applyAlignment="0" applyProtection="0"/>
    <xf numFmtId="0" fontId="11" fillId="34" borderId="0" applyNumberFormat="0" applyBorder="0" applyAlignment="0" applyProtection="0"/>
    <xf numFmtId="0" fontId="11" fillId="38" borderId="0" applyNumberFormat="0" applyBorder="0" applyAlignment="0" applyProtection="0"/>
    <xf numFmtId="0" fontId="11" fillId="42" borderId="0" applyNumberFormat="0" applyBorder="0" applyAlignment="0" applyProtection="0"/>
    <xf numFmtId="0" fontId="2" fillId="0" borderId="0"/>
    <xf numFmtId="0" fontId="12" fillId="0" borderId="0"/>
    <xf numFmtId="0" fontId="59" fillId="0" borderId="0"/>
  </cellStyleXfs>
  <cellXfs count="883">
    <xf numFmtId="0" fontId="0" fillId="0" borderId="0" xfId="0"/>
    <xf numFmtId="165" fontId="0" fillId="0" borderId="2" xfId="0" applyNumberFormat="1" applyBorder="1"/>
    <xf numFmtId="0" fontId="12" fillId="0" borderId="0" xfId="0" applyFont="1"/>
    <xf numFmtId="0" fontId="12" fillId="0" borderId="0" xfId="0" applyFont="1" applyAlignment="1">
      <alignment horizontal="center" vertical="center"/>
    </xf>
    <xf numFmtId="0" fontId="6" fillId="0" borderId="0" xfId="0" applyFont="1"/>
    <xf numFmtId="0" fontId="7" fillId="0" borderId="0" xfId="0" applyFont="1"/>
    <xf numFmtId="0" fontId="6" fillId="0" borderId="0" xfId="0" applyFont="1" applyAlignment="1">
      <alignment horizontal="center" vertical="center"/>
    </xf>
    <xf numFmtId="0" fontId="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wrapText="1"/>
    </xf>
    <xf numFmtId="0" fontId="15" fillId="0" borderId="0" xfId="0" applyFont="1" applyAlignment="1">
      <alignment vertical="center"/>
    </xf>
    <xf numFmtId="0" fontId="6" fillId="0" borderId="2" xfId="0" applyFont="1" applyBorder="1" applyAlignment="1">
      <alignment vertical="center"/>
    </xf>
    <xf numFmtId="0" fontId="18" fillId="7" borderId="2" xfId="0" applyFont="1" applyFill="1" applyBorder="1" applyAlignment="1">
      <alignment vertical="center"/>
    </xf>
    <xf numFmtId="0" fontId="18" fillId="7" borderId="2" xfId="0" applyFont="1" applyFill="1" applyBorder="1" applyAlignment="1">
      <alignment horizontal="left" vertical="center"/>
    </xf>
    <xf numFmtId="3" fontId="6" fillId="0" borderId="2" xfId="7" applyNumberFormat="1" applyFont="1" applyBorder="1" applyAlignment="1">
      <alignment horizontal="center" vertical="center"/>
    </xf>
    <xf numFmtId="1" fontId="1" fillId="0" borderId="2" xfId="7" applyNumberFormat="1" applyFont="1" applyBorder="1" applyAlignment="1">
      <alignment horizontal="center" vertical="center"/>
    </xf>
    <xf numFmtId="165" fontId="6" fillId="0" borderId="0" xfId="0" applyNumberFormat="1" applyFont="1" applyAlignment="1">
      <alignment horizontal="center" vertical="center"/>
    </xf>
    <xf numFmtId="0" fontId="1" fillId="0" borderId="0" xfId="0" applyFont="1" applyAlignment="1">
      <alignment vertical="top"/>
    </xf>
    <xf numFmtId="0" fontId="6" fillId="0" borderId="0" xfId="0" applyFont="1" applyAlignment="1">
      <alignment horizontal="center" vertical="top" wrapText="1"/>
    </xf>
    <xf numFmtId="0" fontId="7" fillId="2" borderId="0" xfId="0" applyFont="1" applyFill="1"/>
    <xf numFmtId="0" fontId="7" fillId="2" borderId="0" xfId="0" applyFont="1" applyFill="1" applyAlignment="1">
      <alignment wrapText="1"/>
    </xf>
    <xf numFmtId="0" fontId="7" fillId="2" borderId="0" xfId="0" applyFont="1" applyFill="1" applyAlignment="1">
      <alignment horizontal="left"/>
    </xf>
    <xf numFmtId="0" fontId="7" fillId="2" borderId="0" xfId="0" applyFont="1" applyFill="1" applyAlignment="1">
      <alignment horizontal="center"/>
    </xf>
    <xf numFmtId="0" fontId="19" fillId="7" borderId="2" xfId="0" applyFont="1" applyFill="1" applyBorder="1" applyAlignment="1">
      <alignment horizontal="center" vertical="center" wrapText="1"/>
    </xf>
    <xf numFmtId="0" fontId="18" fillId="7" borderId="2" xfId="0" applyFont="1" applyFill="1" applyBorder="1" applyAlignment="1">
      <alignment horizontal="center" vertical="center"/>
    </xf>
    <xf numFmtId="9" fontId="6" fillId="0" borderId="0" xfId="2" applyFont="1" applyFill="1" applyBorder="1" applyAlignment="1">
      <alignment horizontal="center" vertical="center"/>
    </xf>
    <xf numFmtId="9" fontId="6" fillId="0" borderId="0" xfId="2" applyFont="1" applyFill="1" applyBorder="1"/>
    <xf numFmtId="0" fontId="1" fillId="0" borderId="2" xfId="0" applyFont="1" applyBorder="1" applyAlignment="1">
      <alignment horizontal="center" vertical="center"/>
    </xf>
    <xf numFmtId="0" fontId="7" fillId="7" borderId="22" xfId="0" applyFont="1" applyFill="1" applyBorder="1" applyAlignment="1">
      <alignment horizontal="center" vertical="center"/>
    </xf>
    <xf numFmtId="9" fontId="6" fillId="0" borderId="0" xfId="0" applyNumberFormat="1" applyFont="1" applyAlignment="1">
      <alignment vertical="center"/>
    </xf>
    <xf numFmtId="0" fontId="7" fillId="0" borderId="0" xfId="0" applyFont="1" applyAlignment="1">
      <alignment vertical="center"/>
    </xf>
    <xf numFmtId="0" fontId="6" fillId="0" borderId="22" xfId="4" applyBorder="1" applyAlignment="1">
      <alignment horizontal="center" vertical="center"/>
    </xf>
    <xf numFmtId="0" fontId="22" fillId="7" borderId="12" xfId="0" applyFont="1" applyFill="1" applyBorder="1" applyAlignment="1">
      <alignment horizontal="center" vertical="center"/>
    </xf>
    <xf numFmtId="0" fontId="21" fillId="0" borderId="0" xfId="0" applyFont="1" applyAlignment="1">
      <alignment horizontal="center" vertical="center"/>
    </xf>
    <xf numFmtId="0" fontId="23" fillId="5" borderId="0" xfId="0" applyFont="1" applyFill="1" applyAlignment="1">
      <alignment vertical="center" wrapText="1"/>
    </xf>
    <xf numFmtId="0" fontId="21" fillId="5" borderId="0" xfId="0" applyFont="1" applyFill="1" applyAlignment="1">
      <alignment horizontal="center" vertical="center"/>
    </xf>
    <xf numFmtId="165" fontId="21" fillId="5" borderId="0" xfId="0" applyNumberFormat="1" applyFont="1" applyFill="1" applyAlignment="1">
      <alignment horizontal="center" vertical="center"/>
    </xf>
    <xf numFmtId="0" fontId="18" fillId="7" borderId="25" xfId="0" applyFont="1" applyFill="1" applyBorder="1" applyAlignment="1">
      <alignment horizontal="center" vertical="center" wrapText="1"/>
    </xf>
    <xf numFmtId="0" fontId="22" fillId="0" borderId="0" xfId="0" applyFont="1" applyAlignment="1">
      <alignment horizontal="left" vertical="center" wrapText="1"/>
    </xf>
    <xf numFmtId="0" fontId="22" fillId="0" borderId="0" xfId="0" applyFont="1" applyAlignment="1">
      <alignment horizontal="left" vertical="center"/>
    </xf>
    <xf numFmtId="0" fontId="22" fillId="0" borderId="0" xfId="0" applyFont="1" applyAlignment="1">
      <alignment horizontal="center" vertical="center" wrapText="1"/>
    </xf>
    <xf numFmtId="10" fontId="6" fillId="0" borderId="0" xfId="8" applyNumberFormat="1" applyFont="1" applyFill="1" applyBorder="1" applyAlignment="1">
      <alignment horizontal="center"/>
    </xf>
    <xf numFmtId="9" fontId="6" fillId="0" borderId="0" xfId="2" applyFont="1" applyFill="1" applyBorder="1" applyAlignment="1">
      <alignment horizontal="left"/>
    </xf>
    <xf numFmtId="1" fontId="6" fillId="0" borderId="0" xfId="2" applyNumberFormat="1" applyFont="1" applyFill="1" applyBorder="1"/>
    <xf numFmtId="168" fontId="21" fillId="0" borderId="0" xfId="0" applyNumberFormat="1" applyFont="1" applyAlignment="1">
      <alignment horizontal="center" vertical="center"/>
    </xf>
    <xf numFmtId="0" fontId="13" fillId="0" borderId="0" xfId="0" applyFont="1" applyAlignment="1">
      <alignment vertical="center"/>
    </xf>
    <xf numFmtId="3" fontId="6" fillId="0" borderId="0" xfId="7" applyNumberFormat="1" applyFont="1" applyAlignment="1">
      <alignment horizontal="center" vertical="center"/>
    </xf>
    <xf numFmtId="0" fontId="24" fillId="0" borderId="0" xfId="0" applyFont="1"/>
    <xf numFmtId="0" fontId="25" fillId="0" borderId="0" xfId="0" quotePrefix="1" applyFont="1"/>
    <xf numFmtId="0" fontId="24" fillId="0" borderId="0" xfId="0" applyFont="1" applyAlignment="1">
      <alignment wrapText="1"/>
    </xf>
    <xf numFmtId="0" fontId="24" fillId="0" borderId="0" xfId="0" applyFont="1" applyAlignment="1">
      <alignment horizontal="center"/>
    </xf>
    <xf numFmtId="0" fontId="8" fillId="0" borderId="0" xfId="5" applyAlignment="1">
      <alignment vertical="center"/>
    </xf>
    <xf numFmtId="0" fontId="6" fillId="0" borderId="0" xfId="4" applyAlignment="1">
      <alignment horizontal="center" vertical="center"/>
    </xf>
    <xf numFmtId="9" fontId="6" fillId="0" borderId="0" xfId="0" applyNumberFormat="1" applyFont="1" applyAlignment="1">
      <alignment horizontal="center"/>
    </xf>
    <xf numFmtId="9" fontId="6" fillId="0" borderId="0" xfId="0" applyNumberFormat="1" applyFont="1" applyAlignment="1">
      <alignment horizontal="left"/>
    </xf>
    <xf numFmtId="0" fontId="7" fillId="7" borderId="22" xfId="0" applyFont="1" applyFill="1" applyBorder="1" applyAlignment="1">
      <alignment horizontal="center" vertical="center" wrapText="1"/>
    </xf>
    <xf numFmtId="0" fontId="6" fillId="0" borderId="2" xfId="0" applyFont="1" applyBorder="1"/>
    <xf numFmtId="0" fontId="18" fillId="7" borderId="12" xfId="0" applyFont="1" applyFill="1" applyBorder="1" applyAlignment="1">
      <alignment horizontal="center" vertical="center" wrapText="1"/>
    </xf>
    <xf numFmtId="0" fontId="7" fillId="7" borderId="25" xfId="0" applyFont="1" applyFill="1" applyBorder="1" applyAlignment="1">
      <alignment horizontal="center" vertical="center"/>
    </xf>
    <xf numFmtId="0" fontId="26" fillId="0" borderId="0" xfId="0" applyFont="1"/>
    <xf numFmtId="0" fontId="28" fillId="0" borderId="0" xfId="0" applyFont="1" applyAlignment="1">
      <alignment vertical="center"/>
    </xf>
    <xf numFmtId="0" fontId="6" fillId="0" borderId="20" xfId="0" applyFont="1" applyBorder="1"/>
    <xf numFmtId="169" fontId="6" fillId="0" borderId="0" xfId="6" applyNumberFormat="1" applyFont="1"/>
    <xf numFmtId="169" fontId="6" fillId="0" borderId="20" xfId="6" applyNumberFormat="1" applyFont="1" applyBorder="1"/>
    <xf numFmtId="0" fontId="6" fillId="0" borderId="2" xfId="0" applyFont="1" applyBorder="1" applyAlignment="1">
      <alignment wrapText="1"/>
    </xf>
    <xf numFmtId="0" fontId="6" fillId="0" borderId="15" xfId="0" applyFont="1" applyBorder="1"/>
    <xf numFmtId="0" fontId="6" fillId="0" borderId="18" xfId="0" applyFont="1" applyBorder="1"/>
    <xf numFmtId="0" fontId="6" fillId="0" borderId="15" xfId="0" applyFont="1" applyBorder="1" applyAlignment="1">
      <alignment horizontal="right" vertical="center"/>
    </xf>
    <xf numFmtId="3" fontId="6" fillId="0" borderId="11" xfId="7" applyNumberFormat="1" applyFont="1" applyBorder="1" applyAlignment="1">
      <alignment horizontal="center" vertical="center"/>
    </xf>
    <xf numFmtId="3" fontId="6" fillId="0" borderId="28" xfId="7" applyNumberFormat="1" applyFont="1" applyBorder="1" applyAlignment="1">
      <alignment horizontal="center" vertical="center"/>
    </xf>
    <xf numFmtId="0" fontId="1" fillId="0" borderId="22" xfId="0" applyFont="1" applyBorder="1" applyAlignment="1">
      <alignment horizontal="center" wrapText="1"/>
    </xf>
    <xf numFmtId="0" fontId="20" fillId="0" borderId="0" xfId="0" applyFont="1" applyAlignment="1">
      <alignment horizontal="left" vertical="center"/>
    </xf>
    <xf numFmtId="0" fontId="20" fillId="0" borderId="0" xfId="0" applyFont="1"/>
    <xf numFmtId="0" fontId="12" fillId="0" borderId="0" xfId="0" applyFont="1" applyAlignment="1">
      <alignment vertical="center"/>
    </xf>
    <xf numFmtId="0" fontId="6" fillId="5" borderId="0" xfId="0" applyFont="1" applyFill="1"/>
    <xf numFmtId="0" fontId="6" fillId="5" borderId="0" xfId="0" applyFont="1" applyFill="1" applyAlignment="1">
      <alignment horizontal="center"/>
    </xf>
    <xf numFmtId="0" fontId="6" fillId="9" borderId="0" xfId="0" applyFont="1" applyFill="1"/>
    <xf numFmtId="0" fontId="12" fillId="0" borderId="0" xfId="0" applyFont="1" applyAlignment="1">
      <alignment wrapText="1"/>
    </xf>
    <xf numFmtId="0" fontId="12" fillId="0" borderId="0" xfId="0" applyFont="1" applyAlignment="1">
      <alignment horizontal="center"/>
    </xf>
    <xf numFmtId="0" fontId="1" fillId="0" borderId="0" xfId="0" applyFont="1"/>
    <xf numFmtId="0" fontId="21" fillId="0" borderId="36" xfId="0" applyFont="1" applyBorder="1" applyAlignment="1">
      <alignment horizontal="center" vertical="center"/>
    </xf>
    <xf numFmtId="0" fontId="21" fillId="0" borderId="39" xfId="0" applyFont="1" applyBorder="1" applyAlignment="1">
      <alignment horizontal="center" vertical="center"/>
    </xf>
    <xf numFmtId="2" fontId="21" fillId="0" borderId="37" xfId="0" applyNumberFormat="1" applyFont="1" applyBorder="1" applyAlignment="1">
      <alignment horizontal="center" vertical="center"/>
    </xf>
    <xf numFmtId="2" fontId="21" fillId="0" borderId="38" xfId="0" applyNumberFormat="1" applyFont="1" applyBorder="1" applyAlignment="1">
      <alignment horizontal="center" vertical="center"/>
    </xf>
    <xf numFmtId="0" fontId="21" fillId="0" borderId="42" xfId="0" applyFont="1" applyBorder="1" applyAlignment="1">
      <alignment horizontal="center" vertical="center"/>
    </xf>
    <xf numFmtId="2" fontId="21" fillId="0" borderId="40" xfId="0" applyNumberFormat="1" applyFont="1" applyBorder="1" applyAlignment="1">
      <alignment horizontal="center" vertical="center"/>
    </xf>
    <xf numFmtId="2" fontId="21" fillId="0" borderId="41" xfId="0" applyNumberFormat="1" applyFont="1" applyBorder="1" applyAlignment="1">
      <alignment horizontal="center" vertical="center"/>
    </xf>
    <xf numFmtId="0" fontId="21" fillId="0" borderId="45" xfId="0" applyFont="1" applyBorder="1" applyAlignment="1">
      <alignment horizontal="center" vertical="center"/>
    </xf>
    <xf numFmtId="0" fontId="21" fillId="0" borderId="48" xfId="0" applyFont="1" applyBorder="1" applyAlignment="1">
      <alignment horizontal="center" vertical="center"/>
    </xf>
    <xf numFmtId="2" fontId="21" fillId="0" borderId="46" xfId="0" applyNumberFormat="1" applyFont="1" applyBorder="1" applyAlignment="1">
      <alignment horizontal="center" vertical="center"/>
    </xf>
    <xf numFmtId="2" fontId="21" fillId="0" borderId="47" xfId="0" applyNumberFormat="1" applyFont="1" applyBorder="1" applyAlignment="1">
      <alignment horizontal="center" vertical="center"/>
    </xf>
    <xf numFmtId="0" fontId="21" fillId="0" borderId="51" xfId="0" applyFont="1" applyBorder="1" applyAlignment="1">
      <alignment horizontal="center" vertical="center"/>
    </xf>
    <xf numFmtId="2" fontId="21" fillId="0" borderId="1" xfId="0" applyNumberFormat="1" applyFont="1" applyBorder="1" applyAlignment="1">
      <alignment horizontal="center" vertical="center"/>
    </xf>
    <xf numFmtId="2" fontId="21" fillId="0" borderId="5" xfId="0" applyNumberFormat="1" applyFont="1" applyBorder="1" applyAlignment="1">
      <alignment horizontal="center" vertical="center"/>
    </xf>
    <xf numFmtId="0" fontId="21" fillId="0" borderId="11" xfId="0" applyFont="1" applyBorder="1" applyAlignment="1">
      <alignment horizontal="center" vertical="center"/>
    </xf>
    <xf numFmtId="2" fontId="21" fillId="0" borderId="2" xfId="0" applyNumberFormat="1" applyFont="1" applyBorder="1" applyAlignment="1">
      <alignment horizontal="center" vertical="center"/>
    </xf>
    <xf numFmtId="2" fontId="21" fillId="0" borderId="7" xfId="0" applyNumberFormat="1" applyFont="1" applyBorder="1" applyAlignment="1">
      <alignment horizontal="center" vertical="center"/>
    </xf>
    <xf numFmtId="0" fontId="21" fillId="0" borderId="14" xfId="0" applyFont="1" applyBorder="1" applyAlignment="1">
      <alignment horizontal="center" vertical="center"/>
    </xf>
    <xf numFmtId="2" fontId="21" fillId="0" borderId="12" xfId="0" applyNumberFormat="1" applyFont="1" applyBorder="1" applyAlignment="1">
      <alignment horizontal="center" vertical="center"/>
    </xf>
    <xf numFmtId="2" fontId="21" fillId="0" borderId="30" xfId="0" applyNumberFormat="1" applyFont="1" applyBorder="1" applyAlignment="1">
      <alignment horizontal="center" vertical="center"/>
    </xf>
    <xf numFmtId="0" fontId="21" fillId="0" borderId="53" xfId="0" applyFont="1" applyBorder="1" applyAlignment="1">
      <alignment horizontal="center" vertical="center"/>
    </xf>
    <xf numFmtId="2" fontId="21" fillId="0" borderId="27" xfId="0" applyNumberFormat="1" applyFont="1" applyBorder="1" applyAlignment="1">
      <alignment horizontal="center" vertical="center"/>
    </xf>
    <xf numFmtId="2" fontId="21" fillId="0" borderId="9" xfId="0" applyNumberFormat="1" applyFont="1" applyBorder="1" applyAlignment="1">
      <alignment horizontal="center" vertical="center"/>
    </xf>
    <xf numFmtId="0" fontId="21" fillId="0" borderId="21" xfId="0" applyFont="1" applyBorder="1" applyAlignment="1">
      <alignment horizontal="center" vertical="center"/>
    </xf>
    <xf numFmtId="2" fontId="21" fillId="0" borderId="18" xfId="0" applyNumberFormat="1" applyFont="1" applyBorder="1" applyAlignment="1">
      <alignment horizontal="center" vertical="center"/>
    </xf>
    <xf numFmtId="2" fontId="21" fillId="0" borderId="55" xfId="0" applyNumberFormat="1" applyFont="1" applyBorder="1" applyAlignment="1">
      <alignment horizontal="center" vertical="center"/>
    </xf>
    <xf numFmtId="0" fontId="21" fillId="0" borderId="0" xfId="0" applyFont="1" applyAlignment="1">
      <alignment horizontal="left" vertical="center" wrapText="1"/>
    </xf>
    <xf numFmtId="0" fontId="7" fillId="7" borderId="23" xfId="0" applyFont="1" applyFill="1" applyBorder="1" applyAlignment="1">
      <alignment horizontal="center" vertical="center"/>
    </xf>
    <xf numFmtId="0" fontId="13" fillId="9" borderId="0" xfId="0" applyFont="1" applyFill="1" applyAlignment="1">
      <alignment vertical="center"/>
    </xf>
    <xf numFmtId="0" fontId="7" fillId="7" borderId="56" xfId="0" applyFont="1" applyFill="1" applyBorder="1" applyAlignment="1">
      <alignment horizontal="center" vertical="center"/>
    </xf>
    <xf numFmtId="0" fontId="16" fillId="0" borderId="56" xfId="5" applyFont="1" applyBorder="1" applyAlignment="1">
      <alignment horizontal="center" vertical="center"/>
    </xf>
    <xf numFmtId="0" fontId="13" fillId="0" borderId="29" xfId="0" applyFont="1" applyBorder="1" applyAlignment="1">
      <alignment vertical="center"/>
    </xf>
    <xf numFmtId="0" fontId="7" fillId="2" borderId="0" xfId="0" applyFont="1" applyFill="1" applyAlignment="1">
      <alignment vertical="center"/>
    </xf>
    <xf numFmtId="0" fontId="20" fillId="0" borderId="0" xfId="0" applyFont="1" applyAlignment="1">
      <alignment vertical="center"/>
    </xf>
    <xf numFmtId="0" fontId="8" fillId="0" borderId="0" xfId="5"/>
    <xf numFmtId="0" fontId="6" fillId="0" borderId="0" xfId="0" applyFont="1" applyAlignment="1">
      <alignment horizontal="left"/>
    </xf>
    <xf numFmtId="0" fontId="6" fillId="0" borderId="56" xfId="0" applyFont="1" applyBorder="1" applyAlignment="1">
      <alignment horizontal="center" vertical="center" wrapText="1"/>
    </xf>
    <xf numFmtId="0" fontId="7" fillId="7" borderId="56" xfId="0" applyFont="1" applyFill="1" applyBorder="1" applyAlignment="1">
      <alignment horizontal="center" vertical="center" wrapText="1"/>
    </xf>
    <xf numFmtId="2" fontId="45" fillId="0" borderId="34" xfId="0" applyNumberFormat="1" applyFont="1" applyBorder="1" applyAlignment="1">
      <alignment horizontal="center" vertical="center"/>
    </xf>
    <xf numFmtId="170" fontId="46" fillId="0" borderId="0" xfId="0" applyNumberFormat="1" applyFont="1" applyAlignment="1">
      <alignment vertical="center"/>
    </xf>
    <xf numFmtId="170" fontId="1" fillId="0" borderId="0" xfId="0" applyNumberFormat="1" applyFont="1"/>
    <xf numFmtId="168" fontId="6" fillId="0" borderId="0" xfId="0" applyNumberFormat="1" applyFont="1" applyAlignment="1">
      <alignment horizontal="center" vertical="center"/>
    </xf>
    <xf numFmtId="0" fontId="20" fillId="0" borderId="0" xfId="0" applyFont="1" applyAlignment="1">
      <alignment horizontal="center" vertical="center" wrapText="1"/>
    </xf>
    <xf numFmtId="9" fontId="6" fillId="5" borderId="0" xfId="0" applyNumberFormat="1" applyFont="1" applyFill="1"/>
    <xf numFmtId="0" fontId="6" fillId="5" borderId="0" xfId="0" applyFont="1" applyFill="1" applyAlignment="1">
      <alignment vertical="center"/>
    </xf>
    <xf numFmtId="0" fontId="7" fillId="7" borderId="31" xfId="0" applyFont="1" applyFill="1" applyBorder="1" applyAlignment="1">
      <alignment horizontal="center" vertical="center"/>
    </xf>
    <xf numFmtId="0" fontId="6" fillId="0" borderId="31" xfId="0" applyFont="1" applyBorder="1" applyAlignment="1">
      <alignment vertical="center" wrapText="1"/>
    </xf>
    <xf numFmtId="0" fontId="22" fillId="7" borderId="31" xfId="0" applyFont="1" applyFill="1" applyBorder="1" applyAlignment="1">
      <alignment horizontal="left" vertical="center" wrapText="1"/>
    </xf>
    <xf numFmtId="0" fontId="22" fillId="7" borderId="31" xfId="0" applyFont="1" applyFill="1" applyBorder="1" applyAlignment="1">
      <alignment horizontal="center" vertical="center" wrapText="1"/>
    </xf>
    <xf numFmtId="0" fontId="6" fillId="0" borderId="31" xfId="0" applyFont="1" applyBorder="1" applyAlignment="1">
      <alignment vertical="center"/>
    </xf>
    <xf numFmtId="170" fontId="46" fillId="8" borderId="31" xfId="0" applyNumberFormat="1" applyFont="1" applyFill="1" applyBorder="1" applyAlignment="1">
      <alignment vertical="center"/>
    </xf>
    <xf numFmtId="3" fontId="6" fillId="0" borderId="31" xfId="0" applyNumberFormat="1" applyFont="1" applyBorder="1" applyAlignment="1">
      <alignment horizontal="center" vertical="center"/>
    </xf>
    <xf numFmtId="0" fontId="7" fillId="7" borderId="31" xfId="0" applyFont="1" applyFill="1" applyBorder="1" applyAlignment="1">
      <alignment horizontal="center" vertical="center" wrapText="1"/>
    </xf>
    <xf numFmtId="0" fontId="18" fillId="7" borderId="31" xfId="0" applyFont="1" applyFill="1" applyBorder="1" applyAlignment="1">
      <alignment horizontal="center" vertical="center" wrapText="1"/>
    </xf>
    <xf numFmtId="169" fontId="6" fillId="0" borderId="31" xfId="6" applyNumberFormat="1" applyFont="1" applyBorder="1" applyAlignment="1">
      <alignment horizontal="center" vertical="center"/>
    </xf>
    <xf numFmtId="169" fontId="6" fillId="0" borderId="31" xfId="6" applyNumberFormat="1" applyFont="1" applyBorder="1" applyAlignment="1">
      <alignment horizontal="center" vertical="center" wrapText="1"/>
    </xf>
    <xf numFmtId="2" fontId="6" fillId="0" borderId="31" xfId="6" applyNumberFormat="1" applyFont="1" applyFill="1" applyBorder="1" applyAlignment="1">
      <alignment horizontal="center" vertical="center"/>
    </xf>
    <xf numFmtId="0" fontId="22" fillId="10" borderId="31" xfId="0" applyFont="1" applyFill="1" applyBorder="1" applyAlignment="1">
      <alignment horizontal="center" vertical="center" wrapText="1"/>
    </xf>
    <xf numFmtId="0" fontId="10" fillId="0" borderId="31" xfId="3" applyFont="1" applyBorder="1" applyAlignment="1">
      <alignment horizontal="center" vertical="center" wrapText="1"/>
    </xf>
    <xf numFmtId="165" fontId="6" fillId="0" borderId="31" xfId="0" quotePrefix="1" applyNumberFormat="1" applyFont="1" applyBorder="1" applyAlignment="1">
      <alignment horizontal="center" vertical="center"/>
    </xf>
    <xf numFmtId="165" fontId="6" fillId="0" borderId="56" xfId="0" applyNumberFormat="1" applyFont="1" applyBorder="1" applyAlignment="1">
      <alignment horizontal="center" vertical="center"/>
    </xf>
    <xf numFmtId="0" fontId="6" fillId="0" borderId="2" xfId="0" applyFont="1" applyBorder="1" applyAlignment="1">
      <alignment horizontal="left" vertical="center" wrapText="1"/>
    </xf>
    <xf numFmtId="9" fontId="6" fillId="0" borderId="31" xfId="0" applyNumberFormat="1" applyFont="1" applyBorder="1" applyAlignment="1">
      <alignment horizontal="center"/>
    </xf>
    <xf numFmtId="0" fontId="6" fillId="0" borderId="31" xfId="4" applyBorder="1" applyAlignment="1">
      <alignment horizontal="center" vertical="center"/>
    </xf>
    <xf numFmtId="164" fontId="6" fillId="0" borderId="28" xfId="7" applyNumberFormat="1" applyFont="1" applyBorder="1" applyAlignment="1">
      <alignment horizontal="center" vertical="center"/>
    </xf>
    <xf numFmtId="0" fontId="6" fillId="5" borderId="77" xfId="0" applyFont="1" applyFill="1" applyBorder="1"/>
    <xf numFmtId="0" fontId="8" fillId="0" borderId="0" xfId="5" applyAlignment="1">
      <alignment horizontal="left"/>
    </xf>
    <xf numFmtId="0" fontId="8" fillId="0" borderId="0" xfId="5" applyAlignment="1"/>
    <xf numFmtId="0" fontId="20" fillId="0" borderId="0" xfId="0" applyFont="1" applyAlignment="1">
      <alignment horizontal="center" vertical="center"/>
    </xf>
    <xf numFmtId="0" fontId="20" fillId="0" borderId="0" xfId="0" applyFont="1" applyAlignment="1">
      <alignment horizontal="left"/>
    </xf>
    <xf numFmtId="0" fontId="20" fillId="0" borderId="0" xfId="0" applyFont="1" applyAlignment="1">
      <alignment wrapText="1"/>
    </xf>
    <xf numFmtId="0" fontId="20" fillId="0" borderId="31" xfId="0" applyFont="1" applyBorder="1" applyAlignment="1">
      <alignment vertical="center"/>
    </xf>
    <xf numFmtId="2" fontId="44" fillId="0" borderId="34" xfId="0" applyNumberFormat="1" applyFont="1" applyBorder="1" applyAlignment="1">
      <alignment horizontal="center" vertical="center"/>
    </xf>
    <xf numFmtId="2" fontId="44" fillId="0" borderId="35" xfId="0" applyNumberFormat="1" applyFont="1" applyBorder="1" applyAlignment="1">
      <alignment horizontal="center" vertical="center"/>
    </xf>
    <xf numFmtId="2" fontId="44" fillId="0" borderId="37" xfId="0" applyNumberFormat="1" applyFont="1" applyBorder="1" applyAlignment="1">
      <alignment horizontal="center" vertical="center"/>
    </xf>
    <xf numFmtId="2" fontId="44" fillId="0" borderId="38" xfId="0" applyNumberFormat="1" applyFont="1" applyBorder="1" applyAlignment="1">
      <alignment horizontal="center" vertical="center"/>
    </xf>
    <xf numFmtId="0" fontId="44" fillId="5" borderId="0" xfId="0" applyFont="1" applyFill="1" applyAlignment="1">
      <alignment horizontal="center" vertical="center"/>
    </xf>
    <xf numFmtId="2" fontId="44" fillId="0" borderId="43" xfId="0" applyNumberFormat="1" applyFont="1" applyBorder="1" applyAlignment="1">
      <alignment horizontal="center" vertical="center"/>
    </xf>
    <xf numFmtId="2" fontId="44" fillId="0" borderId="44" xfId="0" applyNumberFormat="1" applyFont="1" applyBorder="1" applyAlignment="1">
      <alignment horizontal="center" vertical="center"/>
    </xf>
    <xf numFmtId="0" fontId="1" fillId="0" borderId="2" xfId="0" applyFont="1" applyBorder="1" applyAlignment="1">
      <alignment horizontal="center" vertical="center" wrapText="1"/>
    </xf>
    <xf numFmtId="0" fontId="7" fillId="0" borderId="0" xfId="0" applyFont="1" applyAlignment="1">
      <alignment wrapText="1"/>
    </xf>
    <xf numFmtId="0" fontId="7" fillId="0" borderId="0" xfId="0" applyFont="1" applyAlignment="1">
      <alignment horizontal="left"/>
    </xf>
    <xf numFmtId="0" fontId="7" fillId="0" borderId="0" xfId="0" applyFont="1" applyAlignment="1">
      <alignment horizontal="center"/>
    </xf>
    <xf numFmtId="9" fontId="1" fillId="0" borderId="31" xfId="2" applyFont="1" applyFill="1" applyBorder="1" applyAlignment="1">
      <alignment horizontal="center" vertical="center"/>
    </xf>
    <xf numFmtId="9" fontId="1" fillId="0" borderId="31" xfId="0" applyNumberFormat="1" applyFont="1" applyBorder="1" applyAlignment="1">
      <alignment horizontal="center"/>
    </xf>
    <xf numFmtId="169" fontId="1" fillId="0" borderId="22" xfId="6" applyNumberFormat="1" applyFont="1" applyBorder="1" applyAlignment="1">
      <alignment horizontal="center" vertical="center"/>
    </xf>
    <xf numFmtId="3" fontId="1" fillId="0" borderId="2" xfId="3" applyNumberFormat="1" applyFont="1" applyFill="1" applyBorder="1" applyAlignment="1">
      <alignment horizontal="center" vertical="center" wrapText="1"/>
    </xf>
    <xf numFmtId="0" fontId="1" fillId="0" borderId="31" xfId="0" applyFont="1" applyBorder="1" applyAlignment="1">
      <alignment vertical="center" wrapText="1"/>
    </xf>
    <xf numFmtId="0" fontId="1" fillId="0" borderId="0" xfId="3" applyFont="1" applyFill="1" applyBorder="1" applyAlignment="1">
      <alignment horizontal="left" vertical="center" wrapText="1"/>
    </xf>
    <xf numFmtId="3" fontId="1" fillId="0" borderId="0" xfId="3" applyNumberFormat="1" applyFont="1" applyFill="1" applyBorder="1" applyAlignment="1">
      <alignment horizontal="center" vertical="center" wrapText="1"/>
    </xf>
    <xf numFmtId="3" fontId="10" fillId="0" borderId="0" xfId="3" applyNumberFormat="1" applyFont="1" applyBorder="1" applyAlignment="1">
      <alignment horizontal="center" vertical="center" wrapText="1"/>
    </xf>
    <xf numFmtId="1" fontId="1" fillId="0" borderId="0" xfId="7" applyNumberFormat="1" applyFont="1" applyAlignment="1">
      <alignment horizontal="center" vertical="center"/>
    </xf>
    <xf numFmtId="0" fontId="22" fillId="10" borderId="81" xfId="0" applyFont="1" applyFill="1" applyBorder="1" applyAlignment="1">
      <alignment horizontal="center" vertical="center" wrapText="1"/>
    </xf>
    <xf numFmtId="0" fontId="22" fillId="10" borderId="81" xfId="0" applyFont="1" applyFill="1" applyBorder="1" applyAlignment="1">
      <alignment horizontal="center" vertical="center"/>
    </xf>
    <xf numFmtId="0" fontId="30" fillId="0" borderId="0" xfId="0" applyFont="1" applyAlignment="1">
      <alignment vertical="center" wrapText="1"/>
    </xf>
    <xf numFmtId="3" fontId="10" fillId="0" borderId="2" xfId="3" applyNumberFormat="1" applyFont="1" applyFill="1" applyBorder="1" applyAlignment="1">
      <alignment horizontal="center" vertical="center" wrapText="1"/>
    </xf>
    <xf numFmtId="0" fontId="1" fillId="0" borderId="0" xfId="0" applyFont="1" applyAlignment="1">
      <alignment horizontal="left"/>
    </xf>
    <xf numFmtId="169" fontId="1" fillId="0" borderId="31" xfId="6" applyNumberFormat="1" applyFont="1" applyBorder="1" applyAlignment="1">
      <alignment horizontal="right" vertical="center"/>
    </xf>
    <xf numFmtId="0" fontId="1" fillId="0" borderId="31" xfId="0" applyFont="1" applyBorder="1" applyAlignment="1">
      <alignment horizontal="right" vertical="center"/>
    </xf>
    <xf numFmtId="170" fontId="1" fillId="0" borderId="31" xfId="0" applyNumberFormat="1" applyFont="1" applyBorder="1" applyAlignment="1">
      <alignment vertical="center"/>
    </xf>
    <xf numFmtId="169" fontId="1" fillId="0" borderId="31" xfId="6" applyNumberFormat="1" applyFont="1" applyBorder="1" applyAlignment="1">
      <alignment horizontal="right" vertical="center" wrapText="1"/>
    </xf>
    <xf numFmtId="0" fontId="0" fillId="0" borderId="16" xfId="0" applyBorder="1"/>
    <xf numFmtId="3" fontId="1" fillId="0" borderId="0" xfId="0" applyNumberFormat="1" applyFont="1" applyAlignment="1">
      <alignment horizontal="left"/>
    </xf>
    <xf numFmtId="0" fontId="6" fillId="0" borderId="31" xfId="0" applyFont="1" applyBorder="1"/>
    <xf numFmtId="0" fontId="7" fillId="0" borderId="0" xfId="0" applyFont="1" applyAlignment="1">
      <alignment horizontal="center" vertical="center"/>
    </xf>
    <xf numFmtId="10" fontId="6" fillId="0" borderId="0" xfId="0" applyNumberFormat="1" applyFont="1"/>
    <xf numFmtId="169" fontId="1" fillId="0" borderId="0" xfId="6" applyNumberFormat="1" applyFont="1" applyFill="1" applyBorder="1" applyAlignment="1">
      <alignment horizontal="right" vertical="center"/>
    </xf>
    <xf numFmtId="169" fontId="6" fillId="0" borderId="0" xfId="6" applyNumberFormat="1" applyFont="1" applyFill="1" applyBorder="1" applyAlignment="1">
      <alignment horizontal="right" vertical="center"/>
    </xf>
    <xf numFmtId="1" fontId="1" fillId="0" borderId="0" xfId="0" applyNumberFormat="1" applyFont="1" applyAlignment="1">
      <alignment horizontal="right"/>
    </xf>
    <xf numFmtId="0" fontId="6" fillId="0" borderId="0" xfId="0" applyFont="1" applyAlignment="1">
      <alignment horizontal="right"/>
    </xf>
    <xf numFmtId="1" fontId="1" fillId="0" borderId="0" xfId="0" applyNumberFormat="1" applyFont="1" applyAlignment="1">
      <alignment horizontal="right" wrapText="1"/>
    </xf>
    <xf numFmtId="0" fontId="1" fillId="0" borderId="0" xfId="0" applyFont="1" applyAlignment="1">
      <alignment horizontal="right" wrapText="1"/>
    </xf>
    <xf numFmtId="0" fontId="20" fillId="0" borderId="0" xfId="0" applyFont="1" applyAlignment="1">
      <alignment horizontal="left" vertical="center" wrapText="1"/>
    </xf>
    <xf numFmtId="0" fontId="49" fillId="0" borderId="0" xfId="0" applyFont="1" applyAlignment="1">
      <alignment horizontal="center" vertical="center" wrapText="1"/>
    </xf>
    <xf numFmtId="3" fontId="49" fillId="0" borderId="0" xfId="7" applyNumberFormat="1" applyFont="1" applyAlignment="1">
      <alignment horizontal="center" vertical="center"/>
    </xf>
    <xf numFmtId="164" fontId="49" fillId="0" borderId="0" xfId="7" applyNumberFormat="1" applyFont="1" applyAlignment="1">
      <alignment horizontal="center" vertical="center"/>
    </xf>
    <xf numFmtId="1" fontId="49" fillId="0" borderId="0" xfId="7" applyNumberFormat="1" applyFont="1" applyAlignment="1">
      <alignment horizontal="center" vertical="center"/>
    </xf>
    <xf numFmtId="0" fontId="49" fillId="0" borderId="0" xfId="3" applyFont="1" applyFill="1" applyBorder="1" applyAlignment="1">
      <alignment horizontal="left" vertical="center" wrapText="1"/>
    </xf>
    <xf numFmtId="3" fontId="49" fillId="0" borderId="0" xfId="3" applyNumberFormat="1" applyFont="1" applyFill="1" applyBorder="1" applyAlignment="1">
      <alignment horizontal="center" vertical="center" wrapText="1"/>
    </xf>
    <xf numFmtId="0" fontId="1" fillId="0" borderId="0" xfId="0" applyFont="1" applyAlignment="1">
      <alignment horizontal="left" vertical="center"/>
    </xf>
    <xf numFmtId="0" fontId="50" fillId="0" borderId="0" xfId="0" applyFont="1"/>
    <xf numFmtId="0" fontId="6" fillId="0" borderId="2" xfId="0" applyFont="1" applyBorder="1" applyAlignment="1">
      <alignment horizontal="center"/>
    </xf>
    <xf numFmtId="0" fontId="6" fillId="8" borderId="2" xfId="0" applyFont="1" applyFill="1" applyBorder="1"/>
    <xf numFmtId="0" fontId="6" fillId="8" borderId="2" xfId="0" applyFont="1" applyFill="1" applyBorder="1" applyAlignment="1">
      <alignment wrapText="1"/>
    </xf>
    <xf numFmtId="165" fontId="20" fillId="0" borderId="0" xfId="0" applyNumberFormat="1" applyFont="1" applyAlignment="1">
      <alignment horizontal="center" vertical="center"/>
    </xf>
    <xf numFmtId="0" fontId="6" fillId="0" borderId="3" xfId="0" applyFont="1" applyBorder="1" applyAlignment="1">
      <alignment horizontal="center"/>
    </xf>
    <xf numFmtId="0" fontId="52" fillId="0" borderId="0" xfId="0" applyFont="1"/>
    <xf numFmtId="1" fontId="6" fillId="0" borderId="37" xfId="0" applyNumberFormat="1" applyFont="1" applyBorder="1" applyAlignment="1">
      <alignment horizontal="center" vertical="center" wrapText="1"/>
    </xf>
    <xf numFmtId="0" fontId="20" fillId="0" borderId="37" xfId="0" applyFont="1" applyBorder="1" applyAlignment="1">
      <alignment horizontal="center" vertical="center" wrapText="1"/>
    </xf>
    <xf numFmtId="0" fontId="50" fillId="0" borderId="37" xfId="0" applyFont="1" applyBorder="1" applyAlignment="1">
      <alignment horizontal="center" vertical="center"/>
    </xf>
    <xf numFmtId="0" fontId="1" fillId="0" borderId="37" xfId="0" applyFont="1" applyBorder="1" applyAlignment="1">
      <alignment horizontal="center" vertical="center"/>
    </xf>
    <xf numFmtId="0" fontId="1" fillId="0" borderId="31" xfId="0" applyFont="1" applyBorder="1" applyAlignment="1">
      <alignment horizontal="left" vertical="center" wrapText="1"/>
    </xf>
    <xf numFmtId="0" fontId="1" fillId="0" borderId="32" xfId="0" applyFont="1" applyBorder="1" applyAlignment="1">
      <alignment horizontal="center" vertical="center"/>
    </xf>
    <xf numFmtId="0" fontId="7" fillId="7" borderId="57" xfId="0" applyFont="1" applyFill="1" applyBorder="1" applyAlignment="1">
      <alignment horizontal="center" vertical="center" wrapText="1"/>
    </xf>
    <xf numFmtId="0" fontId="1" fillId="0" borderId="0" xfId="0" applyFont="1" applyAlignment="1">
      <alignment vertical="center"/>
    </xf>
    <xf numFmtId="0" fontId="21" fillId="0" borderId="88" xfId="0" applyFont="1" applyBorder="1" applyAlignment="1">
      <alignment horizontal="center" vertical="center"/>
    </xf>
    <xf numFmtId="2" fontId="21" fillId="0" borderId="89" xfId="0" applyNumberFormat="1" applyFont="1" applyBorder="1" applyAlignment="1">
      <alignment horizontal="center" vertical="center"/>
    </xf>
    <xf numFmtId="2" fontId="21" fillId="0" borderId="90" xfId="0" applyNumberFormat="1" applyFont="1" applyBorder="1" applyAlignment="1">
      <alignment horizontal="center" vertical="center"/>
    </xf>
    <xf numFmtId="0" fontId="21" fillId="0" borderId="91" xfId="0" applyFont="1" applyBorder="1" applyAlignment="1">
      <alignment horizontal="center" vertical="center"/>
    </xf>
    <xf numFmtId="2" fontId="21" fillId="0" borderId="92" xfId="0" applyNumberFormat="1" applyFont="1" applyBorder="1" applyAlignment="1">
      <alignment horizontal="center" vertical="center"/>
    </xf>
    <xf numFmtId="0" fontId="21" fillId="0" borderId="93" xfId="0" applyFont="1" applyBorder="1" applyAlignment="1">
      <alignment horizontal="center" vertical="center"/>
    </xf>
    <xf numFmtId="2" fontId="21" fillId="0" borderId="94" xfId="0" applyNumberFormat="1" applyFont="1" applyBorder="1" applyAlignment="1">
      <alignment horizontal="center" vertical="center"/>
    </xf>
    <xf numFmtId="2" fontId="21" fillId="0" borderId="95" xfId="0" applyNumberFormat="1" applyFont="1" applyBorder="1" applyAlignment="1">
      <alignment horizontal="center" vertical="center"/>
    </xf>
    <xf numFmtId="0" fontId="7" fillId="7" borderId="0" xfId="0" applyFont="1" applyFill="1" applyAlignment="1">
      <alignment horizontal="center" vertical="center" wrapText="1"/>
    </xf>
    <xf numFmtId="0" fontId="1" fillId="0" borderId="2" xfId="0" quotePrefix="1" applyFont="1" applyBorder="1" applyAlignment="1">
      <alignment horizontal="left" vertical="center" wrapText="1"/>
    </xf>
    <xf numFmtId="0" fontId="13" fillId="0" borderId="0" xfId="0" applyFont="1" applyAlignment="1">
      <alignment horizontal="center" vertical="center"/>
    </xf>
    <xf numFmtId="2" fontId="54" fillId="0" borderId="37" xfId="0" applyNumberFormat="1" applyFont="1" applyBorder="1" applyAlignment="1">
      <alignment horizontal="center" vertical="center"/>
    </xf>
    <xf numFmtId="2" fontId="54" fillId="0" borderId="94" xfId="0" applyNumberFormat="1" applyFont="1" applyBorder="1" applyAlignment="1">
      <alignment horizontal="center" vertical="center"/>
    </xf>
    <xf numFmtId="2" fontId="54" fillId="0" borderId="89" xfId="0" applyNumberFormat="1" applyFont="1" applyBorder="1" applyAlignment="1">
      <alignment horizontal="center" vertical="center"/>
    </xf>
    <xf numFmtId="2" fontId="21" fillId="0" borderId="0" xfId="0" applyNumberFormat="1" applyFont="1" applyAlignment="1">
      <alignment horizontal="center" vertical="center"/>
    </xf>
    <xf numFmtId="2" fontId="21" fillId="0" borderId="96" xfId="0" applyNumberFormat="1" applyFont="1" applyBorder="1" applyAlignment="1">
      <alignment horizontal="center" vertical="center"/>
    </xf>
    <xf numFmtId="2" fontId="45" fillId="0" borderId="89" xfId="0" applyNumberFormat="1" applyFont="1" applyBorder="1" applyAlignment="1">
      <alignment horizontal="center" vertical="center"/>
    </xf>
    <xf numFmtId="2" fontId="44" fillId="0" borderId="1" xfId="0" applyNumberFormat="1" applyFont="1" applyBorder="1" applyAlignment="1">
      <alignment horizontal="center" vertical="center"/>
    </xf>
    <xf numFmtId="2" fontId="44" fillId="0" borderId="2" xfId="0" applyNumberFormat="1" applyFont="1" applyBorder="1" applyAlignment="1">
      <alignment horizontal="center" vertical="center"/>
    </xf>
    <xf numFmtId="2" fontId="45" fillId="0" borderId="46" xfId="0" applyNumberFormat="1" applyFont="1" applyBorder="1" applyAlignment="1">
      <alignment horizontal="center" vertical="center"/>
    </xf>
    <xf numFmtId="2" fontId="45" fillId="0" borderId="37" xfId="0" applyNumberFormat="1" applyFont="1" applyBorder="1" applyAlignment="1">
      <alignment horizontal="center" vertical="center"/>
    </xf>
    <xf numFmtId="2" fontId="45" fillId="0" borderId="40" xfId="0" applyNumberFormat="1" applyFont="1" applyBorder="1" applyAlignment="1">
      <alignment horizontal="center" vertical="center"/>
    </xf>
    <xf numFmtId="2" fontId="45" fillId="0" borderId="97" xfId="0" applyNumberFormat="1" applyFont="1" applyBorder="1" applyAlignment="1">
      <alignment horizontal="center" vertical="center"/>
    </xf>
    <xf numFmtId="2" fontId="45" fillId="0" borderId="94" xfId="0" applyNumberFormat="1" applyFont="1" applyBorder="1" applyAlignment="1">
      <alignment horizontal="center" vertical="center"/>
    </xf>
    <xf numFmtId="2" fontId="45" fillId="0" borderId="96" xfId="0" applyNumberFormat="1" applyFont="1" applyBorder="1" applyAlignment="1">
      <alignment horizontal="center" vertical="center"/>
    </xf>
    <xf numFmtId="2" fontId="45" fillId="0" borderId="1" xfId="0" applyNumberFormat="1" applyFont="1" applyBorder="1" applyAlignment="1">
      <alignment horizontal="center" vertical="center"/>
    </xf>
    <xf numFmtId="2" fontId="45" fillId="0" borderId="2" xfId="0" applyNumberFormat="1" applyFont="1" applyBorder="1" applyAlignment="1">
      <alignment horizontal="center" vertical="center"/>
    </xf>
    <xf numFmtId="2" fontId="45" fillId="0" borderId="12" xfId="0" applyNumberFormat="1" applyFont="1" applyBorder="1" applyAlignment="1">
      <alignment horizontal="center" vertical="center"/>
    </xf>
    <xf numFmtId="2" fontId="45" fillId="0" borderId="43" xfId="0" applyNumberFormat="1" applyFont="1" applyBorder="1" applyAlignment="1">
      <alignment horizontal="center" vertical="center"/>
    </xf>
    <xf numFmtId="2" fontId="45" fillId="0" borderId="18" xfId="0" applyNumberFormat="1" applyFont="1" applyBorder="1" applyAlignment="1">
      <alignment horizontal="center" vertical="center"/>
    </xf>
    <xf numFmtId="2" fontId="45" fillId="0" borderId="27" xfId="0" applyNumberFormat="1" applyFont="1" applyBorder="1" applyAlignment="1">
      <alignment horizontal="center" vertical="center"/>
    </xf>
    <xf numFmtId="0" fontId="1" fillId="0" borderId="31" xfId="0" quotePrefix="1" applyFont="1" applyBorder="1" applyAlignment="1">
      <alignment vertical="center" wrapText="1"/>
    </xf>
    <xf numFmtId="0" fontId="55" fillId="0" borderId="0" xfId="0" applyFont="1"/>
    <xf numFmtId="0" fontId="1" fillId="0" borderId="11" xfId="0" applyFont="1" applyBorder="1" applyAlignment="1">
      <alignment horizontal="center" vertical="center" wrapText="1"/>
    </xf>
    <xf numFmtId="165" fontId="6" fillId="0" borderId="31" xfId="0" quotePrefix="1" applyNumberFormat="1" applyFont="1" applyBorder="1" applyAlignment="1">
      <alignment horizontal="center" vertical="center" wrapText="1"/>
    </xf>
    <xf numFmtId="0" fontId="10" fillId="0" borderId="2" xfId="3" applyFont="1" applyFill="1" applyBorder="1" applyAlignment="1">
      <alignment horizontal="center" vertical="center" wrapText="1"/>
    </xf>
    <xf numFmtId="165" fontId="1" fillId="0" borderId="31" xfId="0" applyNumberFormat="1" applyFont="1" applyBorder="1" applyAlignment="1">
      <alignment horizontal="center" vertical="center"/>
    </xf>
    <xf numFmtId="169" fontId="1" fillId="0" borderId="31" xfId="6" applyNumberFormat="1" applyFont="1" applyBorder="1" applyAlignment="1">
      <alignment horizontal="center" vertical="center"/>
    </xf>
    <xf numFmtId="0" fontId="6" fillId="0" borderId="2" xfId="0" applyFont="1" applyBorder="1" applyAlignment="1">
      <alignment horizontal="left" vertical="center"/>
    </xf>
    <xf numFmtId="0" fontId="6" fillId="0" borderId="3" xfId="0" applyFont="1" applyBorder="1" applyAlignment="1">
      <alignment horizontal="center" vertical="center"/>
    </xf>
    <xf numFmtId="0" fontId="6" fillId="0" borderId="10" xfId="0" applyFont="1" applyBorder="1" applyAlignment="1">
      <alignment horizontal="center" vertical="center"/>
    </xf>
    <xf numFmtId="0" fontId="6" fillId="0" borderId="87" xfId="0" applyFont="1" applyBorder="1" applyAlignment="1">
      <alignment horizontal="left" wrapText="1"/>
    </xf>
    <xf numFmtId="0" fontId="1" fillId="0" borderId="37" xfId="0" applyFont="1" applyBorder="1"/>
    <xf numFmtId="0" fontId="1" fillId="0" borderId="85" xfId="0" applyFont="1" applyBorder="1" applyAlignment="1">
      <alignment horizontal="center" vertical="center"/>
    </xf>
    <xf numFmtId="0" fontId="1" fillId="0" borderId="0" xfId="0" applyFont="1" applyAlignment="1">
      <alignment horizontal="center" vertical="center"/>
    </xf>
    <xf numFmtId="0" fontId="1" fillId="0" borderId="21" xfId="0" applyFont="1" applyBorder="1" applyAlignment="1">
      <alignment horizontal="center" vertical="center" wrapText="1"/>
    </xf>
    <xf numFmtId="3" fontId="1" fillId="0" borderId="99" xfId="1" applyNumberFormat="1" applyBorder="1" applyAlignment="1">
      <alignment horizontal="center" vertical="center" wrapText="1"/>
    </xf>
    <xf numFmtId="166" fontId="1" fillId="0" borderId="99" xfId="1" applyNumberFormat="1" applyBorder="1" applyAlignment="1">
      <alignment horizontal="center" vertical="center" wrapText="1"/>
    </xf>
    <xf numFmtId="0" fontId="1" fillId="0" borderId="99" xfId="0" applyFont="1" applyBorder="1" applyAlignment="1">
      <alignment horizontal="center" vertical="center"/>
    </xf>
    <xf numFmtId="9" fontId="1" fillId="0" borderId="99" xfId="0" applyNumberFormat="1" applyFont="1" applyBorder="1" applyAlignment="1">
      <alignment horizontal="center" vertical="center" wrapText="1"/>
    </xf>
    <xf numFmtId="0" fontId="1" fillId="0" borderId="99" xfId="1" applyBorder="1" applyAlignment="1">
      <alignment horizontal="center" vertical="center" wrapText="1"/>
    </xf>
    <xf numFmtId="0" fontId="6" fillId="0" borderId="3" xfId="0" applyFont="1" applyBorder="1" applyAlignment="1">
      <alignment vertical="center"/>
    </xf>
    <xf numFmtId="0" fontId="1" fillId="0" borderId="3" xfId="1" applyBorder="1" applyAlignment="1">
      <alignment vertical="center" wrapText="1"/>
    </xf>
    <xf numFmtId="0" fontId="1" fillId="0" borderId="3" xfId="1" applyBorder="1" applyAlignment="1">
      <alignment vertical="center"/>
    </xf>
    <xf numFmtId="0" fontId="56" fillId="0" borderId="0" xfId="0" applyFont="1"/>
    <xf numFmtId="0" fontId="22" fillId="0" borderId="100" xfId="0" applyFont="1" applyBorder="1"/>
    <xf numFmtId="0" fontId="56" fillId="0" borderId="101" xfId="0" applyFont="1" applyBorder="1"/>
    <xf numFmtId="0" fontId="51" fillId="0" borderId="102" xfId="0" applyFont="1" applyBorder="1"/>
    <xf numFmtId="0" fontId="56" fillId="0" borderId="81" xfId="0" applyFont="1" applyBorder="1"/>
    <xf numFmtId="0" fontId="20" fillId="46" borderId="21" xfId="0" applyFont="1" applyFill="1" applyBorder="1" applyAlignment="1">
      <alignment vertical="center"/>
    </xf>
    <xf numFmtId="0" fontId="20" fillId="46" borderId="21" xfId="0" applyFont="1" applyFill="1" applyBorder="1" applyAlignment="1">
      <alignment vertical="center" wrapText="1"/>
    </xf>
    <xf numFmtId="0" fontId="1" fillId="47" borderId="21" xfId="0" applyFont="1" applyFill="1" applyBorder="1" applyAlignment="1">
      <alignment vertical="center"/>
    </xf>
    <xf numFmtId="0" fontId="1" fillId="10" borderId="21" xfId="0" applyFont="1" applyFill="1" applyBorder="1" applyAlignment="1">
      <alignment vertical="center" wrapText="1"/>
    </xf>
    <xf numFmtId="0" fontId="1" fillId="10" borderId="21" xfId="0" quotePrefix="1" applyFont="1" applyFill="1" applyBorder="1" applyAlignment="1">
      <alignment vertical="center" wrapText="1"/>
    </xf>
    <xf numFmtId="0" fontId="1" fillId="47" borderId="21" xfId="0" applyFont="1" applyFill="1" applyBorder="1" applyAlignment="1">
      <alignment vertical="center" wrapText="1"/>
    </xf>
    <xf numFmtId="0" fontId="20" fillId="10" borderId="21" xfId="0" applyFont="1" applyFill="1" applyBorder="1" applyAlignment="1">
      <alignment vertical="center" wrapText="1"/>
    </xf>
    <xf numFmtId="0" fontId="20" fillId="43" borderId="11" xfId="0" applyFont="1" applyFill="1" applyBorder="1" applyAlignment="1">
      <alignment horizontal="left" vertical="center" wrapText="1"/>
    </xf>
    <xf numFmtId="3" fontId="1" fillId="45" borderId="21" xfId="0" applyNumberFormat="1" applyFont="1" applyFill="1" applyBorder="1" applyAlignment="1">
      <alignment horizontal="left" vertical="center"/>
    </xf>
    <xf numFmtId="0" fontId="1" fillId="0" borderId="21" xfId="0" applyFont="1" applyBorder="1" applyAlignment="1">
      <alignment horizontal="left" vertical="center"/>
    </xf>
    <xf numFmtId="0" fontId="1" fillId="45" borderId="21" xfId="0" applyFont="1" applyFill="1" applyBorder="1" applyAlignment="1">
      <alignment horizontal="left" vertical="center" wrapText="1"/>
    </xf>
    <xf numFmtId="0" fontId="6" fillId="49" borderId="2" xfId="0" applyFont="1" applyFill="1" applyBorder="1" applyAlignment="1">
      <alignment horizontal="left"/>
    </xf>
    <xf numFmtId="0" fontId="6" fillId="48" borderId="2" xfId="0" applyFont="1" applyFill="1" applyBorder="1" applyAlignment="1">
      <alignment horizontal="left"/>
    </xf>
    <xf numFmtId="0" fontId="6" fillId="50" borderId="2" xfId="0" applyFont="1" applyFill="1" applyBorder="1"/>
    <xf numFmtId="0" fontId="20" fillId="50" borderId="2" xfId="0" applyFont="1" applyFill="1" applyBorder="1" applyAlignment="1">
      <alignment horizontal="left"/>
    </xf>
    <xf numFmtId="0" fontId="6" fillId="50" borderId="2" xfId="0" applyFont="1" applyFill="1" applyBorder="1" applyAlignment="1">
      <alignment horizontal="left"/>
    </xf>
    <xf numFmtId="3" fontId="6" fillId="49" borderId="2" xfId="0" applyNumberFormat="1" applyFont="1" applyFill="1" applyBorder="1" applyAlignment="1">
      <alignment horizontal="left"/>
    </xf>
    <xf numFmtId="0" fontId="12" fillId="0" borderId="0" xfId="0" applyFont="1" applyAlignment="1">
      <alignment horizontal="left"/>
    </xf>
    <xf numFmtId="0" fontId="6" fillId="49" borderId="2" xfId="0" applyFont="1" applyFill="1" applyBorder="1" applyAlignment="1">
      <alignment horizontal="left" wrapText="1"/>
    </xf>
    <xf numFmtId="0" fontId="6" fillId="49" borderId="2" xfId="0" applyFont="1" applyFill="1" applyBorder="1" applyAlignment="1">
      <alignment vertical="center"/>
    </xf>
    <xf numFmtId="0" fontId="20" fillId="49" borderId="2" xfId="0" applyFont="1" applyFill="1" applyBorder="1" applyAlignment="1">
      <alignment horizontal="left" vertical="center"/>
    </xf>
    <xf numFmtId="0" fontId="6" fillId="49" borderId="2" xfId="0" applyFont="1" applyFill="1" applyBorder="1" applyAlignment="1">
      <alignment horizontal="left" vertical="center"/>
    </xf>
    <xf numFmtId="0" fontId="12" fillId="48" borderId="2" xfId="0" quotePrefix="1" applyFont="1" applyFill="1" applyBorder="1" applyAlignment="1">
      <alignment horizontal="left" vertical="center"/>
    </xf>
    <xf numFmtId="0" fontId="6" fillId="48" borderId="2" xfId="0" applyFont="1" applyFill="1" applyBorder="1" applyAlignment="1">
      <alignment horizontal="left" vertical="center"/>
    </xf>
    <xf numFmtId="0" fontId="6" fillId="50" borderId="2" xfId="0" applyFont="1" applyFill="1" applyBorder="1" applyAlignment="1">
      <alignment vertical="center"/>
    </xf>
    <xf numFmtId="0" fontId="20" fillId="50" borderId="2" xfId="0" applyFont="1" applyFill="1" applyBorder="1" applyAlignment="1">
      <alignment horizontal="left" vertical="center"/>
    </xf>
    <xf numFmtId="0" fontId="6" fillId="50" borderId="2" xfId="0" applyFont="1" applyFill="1" applyBorder="1" applyAlignment="1">
      <alignment horizontal="left" vertical="center"/>
    </xf>
    <xf numFmtId="3" fontId="6" fillId="0" borderId="0" xfId="0" applyNumberFormat="1" applyFont="1" applyAlignment="1">
      <alignment horizontal="left"/>
    </xf>
    <xf numFmtId="0" fontId="6" fillId="48" borderId="2" xfId="0" applyFont="1" applyFill="1" applyBorder="1" applyAlignment="1">
      <alignment vertical="center"/>
    </xf>
    <xf numFmtId="3" fontId="20" fillId="0" borderId="2" xfId="0" applyNumberFormat="1" applyFont="1" applyBorder="1" applyAlignment="1">
      <alignment horizontal="left" vertical="center"/>
    </xf>
    <xf numFmtId="3" fontId="6" fillId="0" borderId="2" xfId="0" applyNumberFormat="1" applyFont="1" applyBorder="1" applyAlignment="1">
      <alignment horizontal="left" vertical="center"/>
    </xf>
    <xf numFmtId="3" fontId="1" fillId="0" borderId="2" xfId="0" applyNumberFormat="1" applyFont="1" applyBorder="1" applyAlignment="1">
      <alignment horizontal="left" vertical="center"/>
    </xf>
    <xf numFmtId="0" fontId="21" fillId="0" borderId="0" xfId="0" applyFont="1" applyAlignment="1">
      <alignment horizontal="center" vertical="center" wrapText="1"/>
    </xf>
    <xf numFmtId="2" fontId="21" fillId="0" borderId="107" xfId="0" applyNumberFormat="1" applyFont="1" applyBorder="1" applyAlignment="1">
      <alignment horizontal="center" vertical="center"/>
    </xf>
    <xf numFmtId="2" fontId="21" fillId="0" borderId="39" xfId="0" applyNumberFormat="1" applyFont="1" applyBorder="1" applyAlignment="1">
      <alignment horizontal="center" vertical="center"/>
    </xf>
    <xf numFmtId="2" fontId="21" fillId="0" borderId="109" xfId="0" applyNumberFormat="1" applyFont="1" applyBorder="1" applyAlignment="1">
      <alignment horizontal="center" vertical="center"/>
    </xf>
    <xf numFmtId="0" fontId="21" fillId="0" borderId="119" xfId="0" applyFont="1" applyBorder="1" applyAlignment="1">
      <alignment horizontal="center" vertical="center"/>
    </xf>
    <xf numFmtId="1" fontId="21" fillId="0" borderId="13" xfId="0" applyNumberFormat="1" applyFont="1" applyBorder="1" applyAlignment="1">
      <alignment horizontal="center" vertical="center"/>
    </xf>
    <xf numFmtId="1" fontId="21" fillId="0" borderId="120" xfId="0" applyNumberFormat="1" applyFont="1" applyBorder="1" applyAlignment="1">
      <alignment horizontal="center" vertical="center"/>
    </xf>
    <xf numFmtId="0" fontId="21" fillId="0" borderId="121" xfId="0" applyFont="1" applyBorder="1" applyAlignment="1">
      <alignment horizontal="center" vertical="center"/>
    </xf>
    <xf numFmtId="0" fontId="21" fillId="0" borderId="125" xfId="0" applyFont="1" applyBorder="1" applyAlignment="1">
      <alignment horizontal="center" vertical="center"/>
    </xf>
    <xf numFmtId="1" fontId="21" fillId="0" borderId="115" xfId="0" applyNumberFormat="1" applyFont="1" applyBorder="1" applyAlignment="1">
      <alignment horizontal="center" vertical="center"/>
    </xf>
    <xf numFmtId="1" fontId="21" fillId="0" borderId="116" xfId="0" applyNumberFormat="1" applyFont="1" applyBorder="1" applyAlignment="1">
      <alignment horizontal="center" vertical="center"/>
    </xf>
    <xf numFmtId="0" fontId="21" fillId="0" borderId="128" xfId="0" applyFont="1" applyBorder="1" applyAlignment="1">
      <alignment horizontal="center" vertical="center"/>
    </xf>
    <xf numFmtId="1" fontId="21" fillId="0" borderId="31" xfId="0" applyNumberFormat="1" applyFont="1" applyBorder="1" applyAlignment="1">
      <alignment horizontal="center" vertical="center"/>
    </xf>
    <xf numFmtId="1" fontId="21" fillId="0" borderId="118" xfId="0" applyNumberFormat="1" applyFont="1" applyBorder="1" applyAlignment="1">
      <alignment horizontal="center" vertical="center"/>
    </xf>
    <xf numFmtId="0" fontId="21" fillId="0" borderId="132" xfId="0" applyFont="1" applyBorder="1" applyAlignment="1">
      <alignment horizontal="center" vertical="center"/>
    </xf>
    <xf numFmtId="1" fontId="21" fillId="0" borderId="133" xfId="0" applyNumberFormat="1" applyFont="1" applyBorder="1" applyAlignment="1">
      <alignment horizontal="center" vertical="center"/>
    </xf>
    <xf numFmtId="1" fontId="21" fillId="0" borderId="134" xfId="0" applyNumberFormat="1" applyFont="1" applyBorder="1" applyAlignment="1">
      <alignment horizontal="center" vertical="center"/>
    </xf>
    <xf numFmtId="0" fontId="21" fillId="0" borderId="107" xfId="0" applyFont="1" applyBorder="1" applyAlignment="1">
      <alignment horizontal="center" vertical="center"/>
    </xf>
    <xf numFmtId="0" fontId="21" fillId="0" borderId="109" xfId="0" applyFont="1" applyBorder="1" applyAlignment="1">
      <alignment horizontal="center" vertical="center"/>
    </xf>
    <xf numFmtId="1" fontId="21" fillId="0" borderId="136" xfId="0" applyNumberFormat="1" applyFont="1" applyBorder="1" applyAlignment="1">
      <alignment horizontal="center" vertical="center"/>
    </xf>
    <xf numFmtId="1" fontId="21" fillId="0" borderId="106" xfId="0" applyNumberFormat="1" applyFont="1" applyBorder="1" applyAlignment="1">
      <alignment horizontal="center" vertical="center"/>
    </xf>
    <xf numFmtId="1" fontId="21" fillId="0" borderId="30" xfId="0" applyNumberFormat="1" applyFont="1" applyBorder="1" applyAlignment="1">
      <alignment horizontal="center" vertical="center"/>
    </xf>
    <xf numFmtId="1" fontId="21" fillId="0" borderId="139" xfId="0" applyNumberFormat="1" applyFont="1" applyBorder="1" applyAlignment="1">
      <alignment horizontal="center" vertical="center"/>
    </xf>
    <xf numFmtId="1" fontId="21" fillId="0" borderId="137" xfId="0" applyNumberFormat="1" applyFont="1" applyBorder="1" applyAlignment="1">
      <alignment horizontal="center" vertical="center"/>
    </xf>
    <xf numFmtId="1" fontId="21" fillId="0" borderId="130" xfId="0" applyNumberFormat="1" applyFont="1" applyBorder="1" applyAlignment="1">
      <alignment horizontal="center" vertical="center"/>
    </xf>
    <xf numFmtId="1" fontId="21" fillId="0" borderId="140" xfId="0" applyNumberFormat="1" applyFont="1" applyBorder="1" applyAlignment="1">
      <alignment horizontal="center" vertical="center"/>
    </xf>
    <xf numFmtId="0" fontId="21" fillId="0" borderId="145" xfId="0" applyFont="1" applyBorder="1" applyAlignment="1">
      <alignment horizontal="center" vertical="center"/>
    </xf>
    <xf numFmtId="165" fontId="44" fillId="0" borderId="89" xfId="0" applyNumberFormat="1" applyFont="1" applyBorder="1" applyAlignment="1">
      <alignment horizontal="center" vertical="center"/>
    </xf>
    <xf numFmtId="165" fontId="44" fillId="0" borderId="90" xfId="0" applyNumberFormat="1" applyFont="1" applyBorder="1" applyAlignment="1">
      <alignment horizontal="center" vertical="center"/>
    </xf>
    <xf numFmtId="165" fontId="44" fillId="0" borderId="37" xfId="0" applyNumberFormat="1" applyFont="1" applyBorder="1" applyAlignment="1">
      <alignment horizontal="center" vertical="center"/>
    </xf>
    <xf numFmtId="165" fontId="44" fillId="0" borderId="46" xfId="0" applyNumberFormat="1" applyFont="1" applyBorder="1" applyAlignment="1">
      <alignment horizontal="center" vertical="center"/>
    </xf>
    <xf numFmtId="165" fontId="44" fillId="0" borderId="92" xfId="0" applyNumberFormat="1" applyFont="1" applyBorder="1" applyAlignment="1">
      <alignment horizontal="center" vertical="center"/>
    </xf>
    <xf numFmtId="165" fontId="44" fillId="0" borderId="40" xfId="0" applyNumberFormat="1" applyFont="1" applyBorder="1" applyAlignment="1">
      <alignment horizontal="center" vertical="center"/>
    </xf>
    <xf numFmtId="165" fontId="44" fillId="0" borderId="98" xfId="0" applyNumberFormat="1" applyFont="1" applyBorder="1" applyAlignment="1">
      <alignment horizontal="center" vertical="center"/>
    </xf>
    <xf numFmtId="165" fontId="44" fillId="0" borderId="146" xfId="0" applyNumberFormat="1" applyFont="1" applyBorder="1" applyAlignment="1">
      <alignment horizontal="center" vertical="center"/>
    </xf>
    <xf numFmtId="165" fontId="44" fillId="0" borderId="34" xfId="0" applyNumberFormat="1" applyFont="1" applyBorder="1" applyAlignment="1">
      <alignment horizontal="center" vertical="center"/>
    </xf>
    <xf numFmtId="165" fontId="44" fillId="0" borderId="35" xfId="0" applyNumberFormat="1" applyFont="1" applyBorder="1" applyAlignment="1">
      <alignment horizontal="center" vertical="center"/>
    </xf>
    <xf numFmtId="165" fontId="44" fillId="0" borderId="38" xfId="0" applyNumberFormat="1" applyFont="1" applyBorder="1" applyAlignment="1">
      <alignment horizontal="center" vertical="center"/>
    </xf>
    <xf numFmtId="165" fontId="44" fillId="0" borderId="43" xfId="0" applyNumberFormat="1" applyFont="1" applyBorder="1" applyAlignment="1">
      <alignment horizontal="center" vertical="center"/>
    </xf>
    <xf numFmtId="165" fontId="44" fillId="0" borderId="44" xfId="0" applyNumberFormat="1" applyFont="1" applyBorder="1" applyAlignment="1">
      <alignment horizontal="center" vertical="center"/>
    </xf>
    <xf numFmtId="0" fontId="21" fillId="0" borderId="148" xfId="0" applyFont="1" applyBorder="1" applyAlignment="1">
      <alignment horizontal="center" vertical="center"/>
    </xf>
    <xf numFmtId="0" fontId="21" fillId="0" borderId="33" xfId="0" applyFont="1" applyBorder="1" applyAlignment="1">
      <alignment horizontal="center" vertical="center"/>
    </xf>
    <xf numFmtId="0" fontId="21" fillId="0" borderId="153" xfId="0" applyFont="1" applyBorder="1" applyAlignment="1">
      <alignment horizontal="center" vertical="center"/>
    </xf>
    <xf numFmtId="1" fontId="47" fillId="0" borderId="118" xfId="0" applyNumberFormat="1" applyFont="1" applyBorder="1" applyAlignment="1">
      <alignment horizontal="center" vertical="center"/>
    </xf>
    <xf numFmtId="1" fontId="47" fillId="0" borderId="134" xfId="0" applyNumberFormat="1" applyFont="1" applyBorder="1" applyAlignment="1">
      <alignment horizontal="center" vertical="center"/>
    </xf>
    <xf numFmtId="1" fontId="47" fillId="0" borderId="149" xfId="0" applyNumberFormat="1" applyFont="1" applyBorder="1" applyAlignment="1">
      <alignment horizontal="center" vertical="center"/>
    </xf>
    <xf numFmtId="0" fontId="21" fillId="0" borderId="154" xfId="0" applyFont="1" applyBorder="1" applyAlignment="1">
      <alignment horizontal="center" vertical="center"/>
    </xf>
    <xf numFmtId="1" fontId="21" fillId="0" borderId="123" xfId="0" applyNumberFormat="1" applyFont="1" applyBorder="1" applyAlignment="1">
      <alignment horizontal="center" vertical="center"/>
    </xf>
    <xf numFmtId="1" fontId="21" fillId="0" borderId="135" xfId="0" applyNumberFormat="1" applyFont="1" applyBorder="1" applyAlignment="1">
      <alignment horizontal="center" vertical="center"/>
    </xf>
    <xf numFmtId="0" fontId="21" fillId="0" borderId="156" xfId="0" applyFont="1" applyBorder="1" applyAlignment="1">
      <alignment horizontal="center" vertical="center"/>
    </xf>
    <xf numFmtId="2" fontId="45" fillId="0" borderId="98" xfId="0" applyNumberFormat="1" applyFont="1" applyBorder="1" applyAlignment="1">
      <alignment horizontal="center" vertical="center"/>
    </xf>
    <xf numFmtId="2" fontId="21" fillId="0" borderId="146" xfId="0" applyNumberFormat="1" applyFont="1" applyBorder="1" applyAlignment="1">
      <alignment horizontal="center" vertical="center"/>
    </xf>
    <xf numFmtId="0" fontId="21" fillId="0" borderId="157" xfId="0" applyFont="1" applyBorder="1" applyAlignment="1">
      <alignment horizontal="center" vertical="center"/>
    </xf>
    <xf numFmtId="1" fontId="21" fillId="0" borderId="16" xfId="0" applyNumberFormat="1" applyFont="1" applyBorder="1" applyAlignment="1">
      <alignment horizontal="center" vertical="center"/>
    </xf>
    <xf numFmtId="1" fontId="21" fillId="0" borderId="158" xfId="0" applyNumberFormat="1" applyFont="1" applyBorder="1" applyAlignment="1">
      <alignment horizontal="center" vertical="center"/>
    </xf>
    <xf numFmtId="0" fontId="21" fillId="0" borderId="4" xfId="0" applyFont="1" applyBorder="1" applyAlignment="1">
      <alignment horizontal="center" vertical="center"/>
    </xf>
    <xf numFmtId="0" fontId="21" fillId="0" borderId="6" xfId="0" applyFont="1" applyBorder="1" applyAlignment="1">
      <alignment horizontal="center" vertical="center"/>
    </xf>
    <xf numFmtId="0" fontId="21" fillId="0" borderId="8" xfId="0" applyFont="1" applyBorder="1" applyAlignment="1">
      <alignment horizontal="center" vertical="center"/>
    </xf>
    <xf numFmtId="2" fontId="44" fillId="0" borderId="27" xfId="0" applyNumberFormat="1" applyFont="1" applyBorder="1" applyAlignment="1">
      <alignment horizontal="center" vertical="center"/>
    </xf>
    <xf numFmtId="1" fontId="21" fillId="0" borderId="198" xfId="0" applyNumberFormat="1" applyFont="1" applyBorder="1" applyAlignment="1">
      <alignment horizontal="center" vertical="center"/>
    </xf>
    <xf numFmtId="1" fontId="21" fillId="0" borderId="199" xfId="0" applyNumberFormat="1" applyFont="1" applyBorder="1" applyAlignment="1">
      <alignment horizontal="center" vertical="center"/>
    </xf>
    <xf numFmtId="1" fontId="21" fillId="0" borderId="101" xfId="0" applyNumberFormat="1" applyFont="1" applyBorder="1" applyAlignment="1">
      <alignment horizontal="center" vertical="center"/>
    </xf>
    <xf numFmtId="1" fontId="21" fillId="0" borderId="125" xfId="0" applyNumberFormat="1" applyFont="1" applyBorder="1" applyAlignment="1">
      <alignment horizontal="center" vertical="center"/>
    </xf>
    <xf numFmtId="1" fontId="21" fillId="0" borderId="128" xfId="0" applyNumberFormat="1" applyFont="1" applyBorder="1" applyAlignment="1">
      <alignment horizontal="center" vertical="center"/>
    </xf>
    <xf numFmtId="1" fontId="21" fillId="0" borderId="201" xfId="0" applyNumberFormat="1" applyFont="1" applyBorder="1" applyAlignment="1">
      <alignment horizontal="center" vertical="center"/>
    </xf>
    <xf numFmtId="2" fontId="12" fillId="0" borderId="0" xfId="0" applyNumberFormat="1" applyFont="1"/>
    <xf numFmtId="168" fontId="12" fillId="0" borderId="0" xfId="0" applyNumberFormat="1" applyFont="1"/>
    <xf numFmtId="0" fontId="22" fillId="10" borderId="209" xfId="0" applyFont="1" applyFill="1" applyBorder="1" applyAlignment="1">
      <alignment horizontal="center" vertical="center" wrapText="1"/>
    </xf>
    <xf numFmtId="0" fontId="18" fillId="10" borderId="210" xfId="0" applyFont="1" applyFill="1" applyBorder="1" applyAlignment="1">
      <alignment horizontal="center" vertical="center" wrapText="1"/>
    </xf>
    <xf numFmtId="0" fontId="18" fillId="51" borderId="4" xfId="0" applyFont="1" applyFill="1" applyBorder="1" applyAlignment="1">
      <alignment horizontal="center" vertical="center" wrapText="1"/>
    </xf>
    <xf numFmtId="0" fontId="18" fillId="51" borderId="51" xfId="0" applyFont="1" applyFill="1" applyBorder="1" applyAlignment="1">
      <alignment horizontal="center" vertical="center" wrapText="1"/>
    </xf>
    <xf numFmtId="0" fontId="18" fillId="51" borderId="211" xfId="0" applyFont="1" applyFill="1" applyBorder="1" applyAlignment="1">
      <alignment horizontal="center" vertical="center" wrapText="1"/>
    </xf>
    <xf numFmtId="0" fontId="18" fillId="51" borderId="1" xfId="0" applyFont="1" applyFill="1" applyBorder="1" applyAlignment="1">
      <alignment horizontal="center" vertical="center" wrapText="1"/>
    </xf>
    <xf numFmtId="0" fontId="18" fillId="51" borderId="5" xfId="0" applyFont="1" applyFill="1" applyBorder="1" applyAlignment="1">
      <alignment horizontal="center" vertical="center" wrapText="1"/>
    </xf>
    <xf numFmtId="0" fontId="18" fillId="52" borderId="4" xfId="0" applyFont="1" applyFill="1" applyBorder="1" applyAlignment="1">
      <alignment horizontal="center" vertical="center" wrapText="1"/>
    </xf>
    <xf numFmtId="0" fontId="18" fillId="52" borderId="1" xfId="0" applyFont="1" applyFill="1" applyBorder="1" applyAlignment="1">
      <alignment horizontal="center" vertical="center" wrapText="1"/>
    </xf>
    <xf numFmtId="0" fontId="18" fillId="52" borderId="5" xfId="0" applyFont="1" applyFill="1" applyBorder="1" applyAlignment="1">
      <alignment horizontal="center" vertical="center" wrapText="1"/>
    </xf>
    <xf numFmtId="165" fontId="55" fillId="0" borderId="6" xfId="0" applyNumberFormat="1" applyFont="1" applyBorder="1"/>
    <xf numFmtId="165" fontId="55" fillId="0" borderId="2" xfId="0" applyNumberFormat="1" applyFont="1" applyBorder="1"/>
    <xf numFmtId="165" fontId="6" fillId="0" borderId="7" xfId="0" applyNumberFormat="1" applyFont="1" applyBorder="1"/>
    <xf numFmtId="165" fontId="55" fillId="0" borderId="8" xfId="0" applyNumberFormat="1" applyFont="1" applyBorder="1"/>
    <xf numFmtId="165" fontId="55" fillId="0" borderId="27" xfId="0" applyNumberFormat="1" applyFont="1" applyBorder="1"/>
    <xf numFmtId="0" fontId="6" fillId="0" borderId="27" xfId="0" applyFont="1" applyBorder="1"/>
    <xf numFmtId="165" fontId="6" fillId="0" borderId="9" xfId="0" applyNumberFormat="1" applyFont="1" applyBorder="1"/>
    <xf numFmtId="2" fontId="1" fillId="0" borderId="0" xfId="0" applyNumberFormat="1" applyFont="1" applyAlignment="1">
      <alignment horizontal="center" vertical="center"/>
    </xf>
    <xf numFmtId="0" fontId="18" fillId="10" borderId="2" xfId="0" applyFont="1" applyFill="1" applyBorder="1" applyAlignment="1">
      <alignment horizontal="center" vertical="center" wrapText="1"/>
    </xf>
    <xf numFmtId="165" fontId="1" fillId="0" borderId="22" xfId="0" applyNumberFormat="1" applyFont="1" applyBorder="1" applyAlignment="1">
      <alignment horizontal="center" vertical="center"/>
    </xf>
    <xf numFmtId="0" fontId="18" fillId="0" borderId="0" xfId="0" applyFont="1" applyAlignment="1">
      <alignment horizontal="center" vertical="center" wrapText="1"/>
    </xf>
    <xf numFmtId="165" fontId="0" fillId="7" borderId="2" xfId="0" applyNumberFormat="1" applyFill="1" applyBorder="1"/>
    <xf numFmtId="165" fontId="0" fillId="0" borderId="27" xfId="0" applyNumberFormat="1" applyBorder="1"/>
    <xf numFmtId="165" fontId="0" fillId="7" borderId="27" xfId="0" applyNumberFormat="1" applyFill="1" applyBorder="1"/>
    <xf numFmtId="1" fontId="21" fillId="0" borderId="85" xfId="0" applyNumberFormat="1" applyFont="1" applyBorder="1" applyAlignment="1">
      <alignment horizontal="center" vertical="center"/>
    </xf>
    <xf numFmtId="2" fontId="45" fillId="0" borderId="47" xfId="0" applyNumberFormat="1" applyFont="1" applyBorder="1" applyAlignment="1">
      <alignment horizontal="center" vertical="center"/>
    </xf>
    <xf numFmtId="2" fontId="45" fillId="0" borderId="38" xfId="0" applyNumberFormat="1" applyFont="1" applyBorder="1" applyAlignment="1">
      <alignment horizontal="center" vertical="center"/>
    </xf>
    <xf numFmtId="0" fontId="6" fillId="2" borderId="0" xfId="0" applyFont="1" applyFill="1"/>
    <xf numFmtId="165" fontId="6" fillId="0" borderId="31" xfId="6" applyNumberFormat="1" applyFont="1" applyFill="1" applyBorder="1" applyAlignment="1">
      <alignment horizontal="center" vertical="center"/>
    </xf>
    <xf numFmtId="165" fontId="1" fillId="0" borderId="31" xfId="6" applyNumberFormat="1" applyFont="1" applyFill="1" applyBorder="1" applyAlignment="1">
      <alignment horizontal="center" vertical="center"/>
    </xf>
    <xf numFmtId="0" fontId="8" fillId="0" borderId="0" xfId="5" applyBorder="1" applyAlignment="1">
      <alignment vertical="center"/>
    </xf>
    <xf numFmtId="0" fontId="55" fillId="0" borderId="0" xfId="0" applyFont="1" applyAlignment="1">
      <alignment horizontal="center" vertical="center" wrapText="1"/>
    </xf>
    <xf numFmtId="0" fontId="55" fillId="2" borderId="0" xfId="0" applyFont="1" applyFill="1" applyAlignment="1">
      <alignment horizontal="center" vertical="center" wrapText="1"/>
    </xf>
    <xf numFmtId="9" fontId="6" fillId="2" borderId="0" xfId="2" applyFont="1" applyFill="1" applyBorder="1"/>
    <xf numFmtId="9" fontId="6" fillId="2" borderId="0" xfId="2" applyFont="1" applyFill="1" applyBorder="1" applyAlignment="1">
      <alignment horizontal="left"/>
    </xf>
    <xf numFmtId="1" fontId="6" fillId="2" borderId="0" xfId="2" applyNumberFormat="1" applyFont="1" applyFill="1" applyBorder="1"/>
    <xf numFmtId="0" fontId="57" fillId="0" borderId="0" xfId="0" applyFont="1" applyAlignment="1">
      <alignment horizontal="center" vertical="center" wrapText="1"/>
    </xf>
    <xf numFmtId="0" fontId="57" fillId="53" borderId="49" xfId="0" applyFont="1" applyFill="1" applyBorder="1" applyAlignment="1">
      <alignment horizontal="center" vertical="center" wrapText="1"/>
    </xf>
    <xf numFmtId="0" fontId="57" fillId="53" borderId="0" xfId="0" applyFont="1" applyFill="1" applyAlignment="1">
      <alignment horizontal="center" vertical="center" wrapText="1"/>
    </xf>
    <xf numFmtId="0" fontId="57" fillId="53" borderId="50" xfId="0" applyFont="1" applyFill="1" applyBorder="1" applyAlignment="1">
      <alignment horizontal="center" vertical="center" wrapText="1"/>
    </xf>
    <xf numFmtId="0" fontId="55" fillId="0" borderId="49" xfId="0" applyFont="1" applyBorder="1" applyAlignment="1">
      <alignment horizontal="center" vertical="center" wrapText="1"/>
    </xf>
    <xf numFmtId="0" fontId="55" fillId="0" borderId="50" xfId="0" applyFont="1" applyBorder="1" applyAlignment="1">
      <alignment horizontal="center" vertical="center" wrapText="1"/>
    </xf>
    <xf numFmtId="0" fontId="57" fillId="54" borderId="49" xfId="0" applyFont="1" applyFill="1" applyBorder="1" applyAlignment="1">
      <alignment horizontal="center" vertical="center" wrapText="1"/>
    </xf>
    <xf numFmtId="0" fontId="57" fillId="54" borderId="0" xfId="0" applyFont="1" applyFill="1" applyAlignment="1">
      <alignment horizontal="center" vertical="center" wrapText="1"/>
    </xf>
    <xf numFmtId="0" fontId="57" fillId="54" borderId="50" xfId="0" applyFont="1" applyFill="1" applyBorder="1" applyAlignment="1">
      <alignment horizontal="center" vertical="center" wrapText="1"/>
    </xf>
    <xf numFmtId="0" fontId="0" fillId="0" borderId="49" xfId="0" applyBorder="1" applyAlignment="1">
      <alignment horizontal="center" vertical="center" wrapText="1"/>
    </xf>
    <xf numFmtId="2" fontId="0" fillId="0" borderId="0" xfId="0" applyNumberFormat="1" applyAlignment="1">
      <alignment horizontal="center" vertical="center" wrapText="1"/>
    </xf>
    <xf numFmtId="2" fontId="0" fillId="0" borderId="50" xfId="0" applyNumberFormat="1" applyBorder="1" applyAlignment="1">
      <alignment horizontal="center" vertical="center" wrapText="1"/>
    </xf>
    <xf numFmtId="0" fontId="57" fillId="55" borderId="49" xfId="0" applyFont="1" applyFill="1" applyBorder="1" applyAlignment="1">
      <alignment horizontal="center" vertical="center" wrapText="1"/>
    </xf>
    <xf numFmtId="0" fontId="57" fillId="55" borderId="0" xfId="0" applyFont="1" applyFill="1" applyAlignment="1">
      <alignment horizontal="center" vertical="center" wrapText="1"/>
    </xf>
    <xf numFmtId="0" fontId="57" fillId="55" borderId="50" xfId="0" applyFont="1" applyFill="1" applyBorder="1" applyAlignment="1">
      <alignment horizontal="center" vertical="center" wrapText="1"/>
    </xf>
    <xf numFmtId="0" fontId="57" fillId="56" borderId="49" xfId="0" applyFont="1" applyFill="1" applyBorder="1" applyAlignment="1">
      <alignment horizontal="center" vertical="center" wrapText="1"/>
    </xf>
    <xf numFmtId="0" fontId="57" fillId="56" borderId="0" xfId="0" applyFont="1" applyFill="1" applyAlignment="1">
      <alignment horizontal="center" vertical="center" wrapText="1"/>
    </xf>
    <xf numFmtId="0" fontId="57" fillId="56" borderId="50" xfId="0" applyFont="1" applyFill="1" applyBorder="1" applyAlignment="1">
      <alignment horizontal="center" vertical="center" wrapText="1"/>
    </xf>
    <xf numFmtId="0" fontId="57" fillId="57" borderId="49" xfId="0" applyFont="1" applyFill="1" applyBorder="1" applyAlignment="1">
      <alignment horizontal="center" vertical="center" wrapText="1"/>
    </xf>
    <xf numFmtId="0" fontId="57" fillId="57" borderId="0" xfId="0" applyFont="1" applyFill="1" applyAlignment="1">
      <alignment horizontal="center" vertical="center" wrapText="1"/>
    </xf>
    <xf numFmtId="0" fontId="57" fillId="57" borderId="50" xfId="0" applyFont="1" applyFill="1" applyBorder="1" applyAlignment="1">
      <alignment horizontal="center" vertical="center" wrapText="1"/>
    </xf>
    <xf numFmtId="0" fontId="0" fillId="0" borderId="0" xfId="0" applyAlignment="1">
      <alignment horizontal="center" vertical="center" wrapText="1"/>
    </xf>
    <xf numFmtId="0" fontId="0" fillId="0" borderId="50" xfId="0" applyBorder="1" applyAlignment="1">
      <alignment horizontal="center" vertical="center" wrapText="1"/>
    </xf>
    <xf numFmtId="0" fontId="0" fillId="0" borderId="70" xfId="0" applyBorder="1" applyAlignment="1">
      <alignment horizontal="center" vertical="center" wrapText="1"/>
    </xf>
    <xf numFmtId="0" fontId="0" fillId="0" borderId="71" xfId="0" applyBorder="1" applyAlignment="1">
      <alignment horizontal="center" vertical="center" wrapText="1"/>
    </xf>
    <xf numFmtId="0" fontId="0" fillId="0" borderId="72" xfId="0" applyBorder="1" applyAlignment="1">
      <alignment horizontal="center" vertical="center" wrapText="1"/>
    </xf>
    <xf numFmtId="2" fontId="0" fillId="4" borderId="0" xfId="0" applyNumberFormat="1" applyFill="1" applyAlignment="1">
      <alignment horizontal="center" vertical="center" wrapText="1"/>
    </xf>
    <xf numFmtId="2" fontId="0" fillId="4" borderId="50" xfId="0" applyNumberFormat="1" applyFill="1" applyBorder="1" applyAlignment="1">
      <alignment horizontal="center" vertical="center" wrapText="1"/>
    </xf>
    <xf numFmtId="0" fontId="60" fillId="0" borderId="0" xfId="0" applyFont="1" applyAlignment="1">
      <alignment horizontal="center" vertical="center" wrapText="1"/>
    </xf>
    <xf numFmtId="0" fontId="61" fillId="0" borderId="0" xfId="5" applyFont="1" applyAlignment="1">
      <alignment horizontal="left"/>
    </xf>
    <xf numFmtId="0" fontId="7" fillId="10" borderId="2" xfId="0" applyFont="1" applyFill="1" applyBorder="1" applyAlignment="1">
      <alignment horizontal="center" vertical="center" wrapText="1"/>
    </xf>
    <xf numFmtId="2" fontId="6" fillId="0" borderId="2" xfId="0" applyNumberFormat="1" applyFont="1" applyBorder="1" applyAlignment="1">
      <alignment horizontal="center" vertical="center" wrapText="1"/>
    </xf>
    <xf numFmtId="0" fontId="6" fillId="0" borderId="219" xfId="0" applyFont="1" applyBorder="1"/>
    <xf numFmtId="43" fontId="6" fillId="0" borderId="2" xfId="6" applyFont="1" applyBorder="1" applyAlignment="1">
      <alignment horizontal="center" vertical="center"/>
    </xf>
    <xf numFmtId="0" fontId="6" fillId="0" borderId="0" xfId="56" applyFont="1"/>
    <xf numFmtId="0" fontId="55" fillId="0" borderId="0" xfId="56" applyFont="1" applyAlignment="1">
      <alignment vertical="center" wrapText="1"/>
    </xf>
    <xf numFmtId="0" fontId="55" fillId="0" borderId="0" xfId="56" applyFont="1" applyAlignment="1">
      <alignment vertical="center"/>
    </xf>
    <xf numFmtId="0" fontId="6" fillId="0" borderId="0" xfId="56" applyFont="1" applyAlignment="1">
      <alignment horizontal="left"/>
    </xf>
    <xf numFmtId="0" fontId="59" fillId="0" borderId="0" xfId="56"/>
    <xf numFmtId="0" fontId="6" fillId="0" borderId="0" xfId="56" applyFont="1" applyAlignment="1">
      <alignment wrapText="1"/>
    </xf>
    <xf numFmtId="0" fontId="62" fillId="0" borderId="0" xfId="5" applyFont="1" applyAlignment="1"/>
    <xf numFmtId="0" fontId="20" fillId="0" borderId="0" xfId="0" applyFont="1" applyAlignment="1">
      <alignment vertical="center" wrapText="1"/>
    </xf>
    <xf numFmtId="0" fontId="62" fillId="0" borderId="0" xfId="5" applyFont="1" applyAlignment="1">
      <alignment horizontal="left" vertical="center"/>
    </xf>
    <xf numFmtId="0" fontId="8" fillId="0" borderId="0" xfId="5" applyAlignment="1">
      <alignment horizontal="left" vertical="center"/>
    </xf>
    <xf numFmtId="0" fontId="27" fillId="0" borderId="0" xfId="0" applyFont="1" applyAlignment="1">
      <alignment vertical="center"/>
    </xf>
    <xf numFmtId="0" fontId="6" fillId="0" borderId="2" xfId="0" applyFont="1" applyBorder="1" applyAlignment="1">
      <alignment vertical="center" wrapText="1"/>
    </xf>
    <xf numFmtId="0" fontId="1" fillId="0" borderId="2" xfId="3" applyFont="1" applyFill="1" applyBorder="1" applyAlignment="1">
      <alignment horizontal="center" vertical="center" wrapText="1"/>
    </xf>
    <xf numFmtId="0" fontId="48" fillId="0" borderId="2" xfId="0" applyFont="1" applyBorder="1" applyAlignment="1">
      <alignment horizontal="center" vertical="center" wrapText="1"/>
    </xf>
    <xf numFmtId="0" fontId="29" fillId="44" borderId="219" xfId="0" applyFont="1" applyFill="1" applyBorder="1" applyAlignment="1">
      <alignment horizontal="left" vertical="center"/>
    </xf>
    <xf numFmtId="3" fontId="20" fillId="0" borderId="2" xfId="0" applyNumberFormat="1" applyFont="1" applyBorder="1" applyAlignment="1">
      <alignment horizontal="center" vertical="center" wrapText="1"/>
    </xf>
    <xf numFmtId="169" fontId="20" fillId="0" borderId="2" xfId="0" applyNumberFormat="1" applyFont="1" applyBorder="1" applyAlignment="1">
      <alignment horizontal="center" vertical="center" wrapText="1"/>
    </xf>
    <xf numFmtId="43" fontId="6" fillId="0" borderId="32" xfId="0" applyNumberFormat="1" applyFont="1" applyBorder="1" applyAlignment="1">
      <alignment vertical="center"/>
    </xf>
    <xf numFmtId="0" fontId="6" fillId="0" borderId="220" xfId="0" applyFont="1" applyBorder="1" applyAlignment="1">
      <alignment vertical="center" wrapText="1"/>
    </xf>
    <xf numFmtId="0" fontId="18" fillId="10" borderId="81" xfId="0" applyFont="1" applyFill="1" applyBorder="1" applyAlignment="1">
      <alignment horizontal="center" vertical="center" wrapText="1"/>
    </xf>
    <xf numFmtId="3" fontId="1" fillId="0" borderId="222" xfId="0" applyNumberFormat="1" applyFont="1" applyBorder="1" applyAlignment="1">
      <alignment horizontal="right" vertical="center"/>
    </xf>
    <xf numFmtId="0" fontId="20" fillId="0" borderId="2" xfId="0" applyFont="1" applyBorder="1" applyAlignment="1">
      <alignment vertical="center" wrapText="1"/>
    </xf>
    <xf numFmtId="0" fontId="20" fillId="0" borderId="222" xfId="56" applyFont="1" applyBorder="1" applyAlignment="1">
      <alignment horizontal="center" vertical="center" wrapText="1"/>
    </xf>
    <xf numFmtId="165" fontId="20" fillId="60" borderId="222" xfId="56" applyNumberFormat="1" applyFont="1" applyFill="1" applyBorder="1" applyAlignment="1">
      <alignment horizontal="center" vertical="center" wrapText="1"/>
    </xf>
    <xf numFmtId="3" fontId="20" fillId="0" borderId="222" xfId="56" applyNumberFormat="1" applyFont="1" applyBorder="1" applyAlignment="1">
      <alignment horizontal="center" vertical="center" wrapText="1"/>
    </xf>
    <xf numFmtId="3" fontId="20" fillId="0" borderId="224" xfId="56" applyNumberFormat="1" applyFont="1" applyBorder="1" applyAlignment="1">
      <alignment horizontal="center" vertical="center" wrapText="1"/>
    </xf>
    <xf numFmtId="0" fontId="20" fillId="62" borderId="16" xfId="56" applyFont="1" applyFill="1" applyBorder="1" applyAlignment="1">
      <alignment horizontal="left" vertical="center"/>
    </xf>
    <xf numFmtId="0" fontId="20" fillId="62" borderId="0" xfId="56" applyFont="1" applyFill="1" applyAlignment="1">
      <alignment horizontal="left" vertical="center"/>
    </xf>
    <xf numFmtId="0" fontId="63" fillId="0" borderId="0" xfId="5" applyFont="1" applyAlignment="1">
      <alignment horizontal="left" vertical="top"/>
    </xf>
    <xf numFmtId="3" fontId="20" fillId="62" borderId="0" xfId="6" applyNumberFormat="1" applyFont="1" applyFill="1" applyAlignment="1">
      <alignment horizontal="left" vertical="center"/>
    </xf>
    <xf numFmtId="0" fontId="20" fillId="62" borderId="234" xfId="56" applyFont="1" applyFill="1" applyBorder="1" applyAlignment="1">
      <alignment horizontal="left" vertical="center"/>
    </xf>
    <xf numFmtId="0" fontId="20" fillId="0" borderId="0" xfId="56" applyFont="1"/>
    <xf numFmtId="0" fontId="20" fillId="0" borderId="222" xfId="0" applyFont="1" applyBorder="1" applyAlignment="1">
      <alignment wrapText="1"/>
    </xf>
    <xf numFmtId="1" fontId="20" fillId="0" borderId="0" xfId="0" applyNumberFormat="1" applyFont="1"/>
    <xf numFmtId="0" fontId="20" fillId="0" borderId="0" xfId="0" applyFont="1" applyAlignment="1">
      <alignment horizontal="left" wrapText="1"/>
    </xf>
    <xf numFmtId="0" fontId="20" fillId="0" borderId="2" xfId="0" applyFont="1" applyBorder="1" applyAlignment="1">
      <alignment horizontal="center" vertical="center" wrapText="1"/>
    </xf>
    <xf numFmtId="0" fontId="6" fillId="0" borderId="2" xfId="0" applyFont="1" applyBorder="1" applyAlignment="1">
      <alignment horizontal="center" vertical="center" wrapText="1"/>
    </xf>
    <xf numFmtId="0" fontId="7" fillId="10" borderId="57" xfId="0" applyFont="1" applyFill="1" applyBorder="1" applyAlignment="1">
      <alignment horizontal="center" vertical="center" wrapText="1"/>
    </xf>
    <xf numFmtId="0" fontId="7" fillId="7" borderId="57" xfId="0" applyFont="1" applyFill="1" applyBorder="1" applyAlignment="1">
      <alignment horizontal="center" vertical="center"/>
    </xf>
    <xf numFmtId="0" fontId="7" fillId="10" borderId="57" xfId="0" applyFont="1" applyFill="1" applyBorder="1" applyAlignment="1">
      <alignment horizontal="center" vertical="center"/>
    </xf>
    <xf numFmtId="0" fontId="6" fillId="5" borderId="0" xfId="0" applyFont="1" applyFill="1" applyAlignment="1">
      <alignment horizontal="left" vertical="center"/>
    </xf>
    <xf numFmtId="0" fontId="16" fillId="0" borderId="0" xfId="5" applyFont="1" applyFill="1" applyBorder="1"/>
    <xf numFmtId="9" fontId="6" fillId="0" borderId="0" xfId="0" applyNumberFormat="1" applyFont="1"/>
    <xf numFmtId="0" fontId="63" fillId="0" borderId="0" xfId="5" applyFont="1" applyBorder="1" applyAlignment="1">
      <alignment horizontal="center" vertical="center" wrapText="1"/>
    </xf>
    <xf numFmtId="0" fontId="6" fillId="5" borderId="13" xfId="0" applyFont="1" applyFill="1" applyBorder="1" applyAlignment="1">
      <alignment vertical="center" wrapText="1"/>
    </xf>
    <xf numFmtId="0" fontId="6" fillId="5" borderId="14" xfId="0" applyFont="1" applyFill="1" applyBorder="1" applyAlignment="1">
      <alignment vertical="center" wrapText="1"/>
    </xf>
    <xf numFmtId="0" fontId="6" fillId="5" borderId="16" xfId="0" applyFont="1" applyFill="1" applyBorder="1" applyAlignment="1">
      <alignment vertical="center" wrapText="1"/>
    </xf>
    <xf numFmtId="0" fontId="6" fillId="5" borderId="17" xfId="0" applyFont="1" applyFill="1" applyBorder="1" applyAlignment="1">
      <alignment vertical="center" wrapText="1"/>
    </xf>
    <xf numFmtId="0" fontId="6" fillId="5" borderId="19" xfId="0" applyFont="1" applyFill="1" applyBorder="1" applyAlignment="1">
      <alignment vertical="center" wrapText="1"/>
    </xf>
    <xf numFmtId="0" fontId="6" fillId="5" borderId="21" xfId="0" applyFont="1" applyFill="1" applyBorder="1" applyAlignment="1">
      <alignment vertical="center" wrapText="1"/>
    </xf>
    <xf numFmtId="0" fontId="6" fillId="0" borderId="11" xfId="0" applyFont="1" applyBorder="1" applyAlignment="1">
      <alignment horizontal="center" vertical="center" wrapText="1"/>
    </xf>
    <xf numFmtId="0" fontId="1" fillId="0" borderId="11" xfId="3" applyFont="1" applyFill="1" applyBorder="1" applyAlignment="1">
      <alignment horizontal="center" vertical="center" wrapText="1"/>
    </xf>
    <xf numFmtId="0" fontId="20" fillId="0" borderId="99" xfId="0" applyFont="1" applyBorder="1" applyAlignment="1">
      <alignment horizontal="center" vertical="center"/>
    </xf>
    <xf numFmtId="0" fontId="6" fillId="62" borderId="234" xfId="56" applyFont="1" applyFill="1" applyBorder="1" applyAlignment="1">
      <alignment horizontal="left" vertical="center"/>
    </xf>
    <xf numFmtId="0" fontId="20" fillId="8" borderId="0" xfId="56" applyFont="1" applyFill="1" applyAlignment="1">
      <alignment horizontal="left" vertical="center"/>
    </xf>
    <xf numFmtId="0" fontId="20" fillId="8" borderId="17" xfId="56" applyFont="1" applyFill="1" applyBorder="1" applyAlignment="1">
      <alignment horizontal="left" vertical="center"/>
    </xf>
    <xf numFmtId="0" fontId="20" fillId="62" borderId="232" xfId="56" applyFont="1" applyFill="1" applyBorder="1" applyAlignment="1">
      <alignment horizontal="left" vertical="center"/>
    </xf>
    <xf numFmtId="0" fontId="20" fillId="62" borderId="233" xfId="56" applyFont="1" applyFill="1" applyBorder="1" applyAlignment="1">
      <alignment horizontal="left" vertical="center"/>
    </xf>
    <xf numFmtId="0" fontId="6" fillId="62" borderId="235" xfId="56" applyFont="1" applyFill="1" applyBorder="1" applyAlignment="1">
      <alignment horizontal="left" vertical="center"/>
    </xf>
    <xf numFmtId="0" fontId="6" fillId="0" borderId="0" xfId="56" applyFont="1" applyAlignment="1">
      <alignment horizontal="left" vertical="center"/>
    </xf>
    <xf numFmtId="0" fontId="59" fillId="0" borderId="0" xfId="56" applyAlignment="1">
      <alignment horizontal="left" vertical="center"/>
    </xf>
    <xf numFmtId="0" fontId="20" fillId="8" borderId="21" xfId="56" applyFont="1" applyFill="1" applyBorder="1" applyAlignment="1">
      <alignment horizontal="left" vertical="center"/>
    </xf>
    <xf numFmtId="0" fontId="7" fillId="7" borderId="25" xfId="0" applyFont="1" applyFill="1" applyBorder="1" applyAlignment="1">
      <alignment horizontal="center" vertical="center" wrapText="1"/>
    </xf>
    <xf numFmtId="168" fontId="1" fillId="0" borderId="31" xfId="0" applyNumberFormat="1" applyFont="1" applyBorder="1" applyAlignment="1">
      <alignment horizontal="center" vertical="center"/>
    </xf>
    <xf numFmtId="0" fontId="6" fillId="8" borderId="31" xfId="0" applyFont="1" applyFill="1" applyBorder="1" applyAlignment="1">
      <alignment horizontal="center" vertical="center"/>
    </xf>
    <xf numFmtId="0" fontId="1" fillId="8" borderId="31" xfId="0" applyFont="1" applyFill="1" applyBorder="1" applyAlignment="1">
      <alignment horizontal="center" vertical="center" wrapText="1"/>
    </xf>
    <xf numFmtId="168" fontId="1" fillId="8" borderId="31" xfId="0" applyNumberFormat="1" applyFont="1" applyFill="1" applyBorder="1" applyAlignment="1">
      <alignment horizontal="center" vertical="center"/>
    </xf>
    <xf numFmtId="0" fontId="6" fillId="6" borderId="31" xfId="0" applyFont="1" applyFill="1" applyBorder="1" applyAlignment="1">
      <alignment horizontal="center" vertical="center"/>
    </xf>
    <xf numFmtId="0" fontId="1" fillId="6" borderId="31" xfId="0" applyFont="1" applyFill="1" applyBorder="1" applyAlignment="1">
      <alignment horizontal="center" vertical="center"/>
    </xf>
    <xf numFmtId="0" fontId="6" fillId="3" borderId="31" xfId="0" applyFont="1" applyFill="1" applyBorder="1" applyAlignment="1">
      <alignment horizontal="center" vertical="center"/>
    </xf>
    <xf numFmtId="0" fontId="1" fillId="3" borderId="31" xfId="0" applyFont="1" applyFill="1" applyBorder="1" applyAlignment="1">
      <alignment horizontal="center" vertical="center"/>
    </xf>
    <xf numFmtId="0" fontId="6" fillId="64" borderId="31" xfId="0" applyFont="1" applyFill="1" applyBorder="1" applyAlignment="1">
      <alignment horizontal="center" vertical="center"/>
    </xf>
    <xf numFmtId="0" fontId="1" fillId="64" borderId="31" xfId="0" applyFont="1" applyFill="1" applyBorder="1" applyAlignment="1">
      <alignment horizontal="center" vertical="center"/>
    </xf>
    <xf numFmtId="0" fontId="1" fillId="8" borderId="31" xfId="0" applyFont="1" applyFill="1" applyBorder="1" applyAlignment="1">
      <alignment horizontal="center" vertical="center"/>
    </xf>
    <xf numFmtId="0" fontId="1" fillId="6" borderId="31" xfId="0" applyFont="1" applyFill="1" applyBorder="1" applyAlignment="1">
      <alignment horizontal="center" vertical="center" wrapText="1"/>
    </xf>
    <xf numFmtId="0" fontId="6" fillId="6" borderId="31" xfId="0" applyFont="1" applyFill="1" applyBorder="1" applyAlignment="1">
      <alignment horizontal="center" vertical="center" wrapText="1"/>
    </xf>
    <xf numFmtId="0" fontId="1" fillId="65" borderId="31" xfId="0" applyFont="1" applyFill="1" applyBorder="1" applyAlignment="1">
      <alignment horizontal="center" vertical="center"/>
    </xf>
    <xf numFmtId="0" fontId="6" fillId="65" borderId="31" xfId="0" applyFont="1" applyFill="1" applyBorder="1" applyAlignment="1">
      <alignment horizontal="center" vertical="center"/>
    </xf>
    <xf numFmtId="0" fontId="6" fillId="0" borderId="56" xfId="0" applyFont="1" applyBorder="1" applyAlignment="1">
      <alignment horizontal="center" vertical="center"/>
    </xf>
    <xf numFmtId="2" fontId="1" fillId="0" borderId="31" xfId="0" applyNumberFormat="1" applyFont="1" applyBorder="1" applyAlignment="1">
      <alignment horizontal="center" vertical="center"/>
    </xf>
    <xf numFmtId="2" fontId="1" fillId="8" borderId="31" xfId="0" applyNumberFormat="1" applyFont="1" applyFill="1" applyBorder="1" applyAlignment="1">
      <alignment horizontal="center" vertical="center"/>
    </xf>
    <xf numFmtId="2" fontId="1" fillId="6" borderId="31" xfId="0" applyNumberFormat="1" applyFont="1" applyFill="1" applyBorder="1" applyAlignment="1">
      <alignment horizontal="center" vertical="center"/>
    </xf>
    <xf numFmtId="2" fontId="1" fillId="3" borderId="31" xfId="0" applyNumberFormat="1" applyFont="1" applyFill="1" applyBorder="1" applyAlignment="1">
      <alignment horizontal="center" vertical="center"/>
    </xf>
    <xf numFmtId="2" fontId="1" fillId="65" borderId="31" xfId="0" applyNumberFormat="1" applyFont="1" applyFill="1" applyBorder="1" applyAlignment="1">
      <alignment horizontal="center" vertical="center"/>
    </xf>
    <xf numFmtId="0" fontId="6" fillId="0" borderId="0" xfId="0" applyFont="1" applyAlignment="1">
      <alignment horizontal="center"/>
    </xf>
    <xf numFmtId="0" fontId="6" fillId="0" borderId="31" xfId="0" applyFont="1" applyBorder="1" applyAlignment="1">
      <alignment horizontal="center" vertical="center"/>
    </xf>
    <xf numFmtId="0" fontId="6" fillId="0" borderId="31" xfId="0" applyFont="1" applyBorder="1" applyAlignment="1">
      <alignment horizontal="center" vertical="center" wrapText="1"/>
    </xf>
    <xf numFmtId="0" fontId="1" fillId="0" borderId="31" xfId="0" applyFont="1" applyBorder="1" applyAlignment="1">
      <alignment horizontal="center" vertical="center"/>
    </xf>
    <xf numFmtId="0" fontId="6" fillId="0" borderId="2" xfId="0" applyFont="1" applyBorder="1" applyAlignment="1">
      <alignment horizontal="center" vertical="center"/>
    </xf>
    <xf numFmtId="0" fontId="6" fillId="0" borderId="0" xfId="0" applyFont="1" applyAlignment="1">
      <alignment horizontal="left" vertical="center"/>
    </xf>
    <xf numFmtId="0" fontId="6" fillId="0" borderId="0" xfId="0" applyFont="1" applyAlignment="1">
      <alignment vertical="center" wrapText="1"/>
    </xf>
    <xf numFmtId="0" fontId="6" fillId="0" borderId="12" xfId="0" applyFont="1" applyBorder="1" applyAlignment="1">
      <alignment horizontal="center" vertical="center" wrapText="1"/>
    </xf>
    <xf numFmtId="0" fontId="1" fillId="0" borderId="18" xfId="0" applyFont="1" applyBorder="1" applyAlignment="1">
      <alignment horizontal="center" vertical="center" wrapText="1"/>
    </xf>
    <xf numFmtId="0" fontId="6" fillId="0" borderId="12" xfId="0" applyFont="1" applyBorder="1" applyAlignment="1">
      <alignment horizontal="center" vertical="center"/>
    </xf>
    <xf numFmtId="0" fontId="20" fillId="0" borderId="99" xfId="0" applyFont="1" applyBorder="1" applyAlignment="1">
      <alignment horizontal="center" vertical="center" wrapText="1"/>
    </xf>
    <xf numFmtId="0" fontId="1" fillId="0" borderId="99" xfId="0" applyFont="1" applyBorder="1" applyAlignment="1">
      <alignment horizontal="center" vertical="center" wrapText="1"/>
    </xf>
    <xf numFmtId="0" fontId="6" fillId="0" borderId="99" xfId="0" applyFont="1" applyBorder="1" applyAlignment="1">
      <alignment horizontal="center" vertical="center"/>
    </xf>
    <xf numFmtId="0" fontId="20" fillId="0" borderId="0" xfId="0" applyFont="1" applyAlignment="1">
      <alignment horizontal="left" vertical="top" wrapText="1"/>
    </xf>
    <xf numFmtId="0" fontId="6" fillId="0" borderId="0" xfId="0" applyFont="1" applyAlignment="1">
      <alignment horizontal="left" vertical="top" wrapText="1"/>
    </xf>
    <xf numFmtId="0" fontId="1" fillId="0" borderId="229" xfId="0" applyFont="1" applyBorder="1" applyAlignment="1">
      <alignment horizontal="left" vertical="center"/>
    </xf>
    <xf numFmtId="0" fontId="1" fillId="0" borderId="230" xfId="0" applyFont="1" applyBorder="1" applyAlignment="1">
      <alignment horizontal="left" vertical="center"/>
    </xf>
    <xf numFmtId="0" fontId="1" fillId="0" borderId="231" xfId="0" applyFont="1" applyBorder="1" applyAlignment="1">
      <alignment horizontal="left" vertical="center"/>
    </xf>
    <xf numFmtId="0" fontId="7" fillId="7" borderId="37" xfId="0" applyFont="1" applyFill="1" applyBorder="1" applyAlignment="1">
      <alignment horizontal="center" vertical="center" wrapText="1"/>
    </xf>
    <xf numFmtId="0" fontId="1" fillId="0" borderId="37" xfId="0" applyFont="1" applyBorder="1" applyAlignment="1">
      <alignment horizontal="center" vertical="center" wrapText="1"/>
    </xf>
    <xf numFmtId="0" fontId="6" fillId="0" borderId="37" xfId="0" applyFont="1" applyBorder="1" applyAlignment="1">
      <alignment horizontal="center" vertical="center" wrapText="1"/>
    </xf>
    <xf numFmtId="0" fontId="7" fillId="7" borderId="0" xfId="0" applyFont="1" applyFill="1" applyAlignment="1">
      <alignment horizontal="center" vertical="center"/>
    </xf>
    <xf numFmtId="0" fontId="7" fillId="7" borderId="12" xfId="0" applyFont="1" applyFill="1" applyBorder="1" applyAlignment="1">
      <alignment horizontal="center" vertical="center"/>
    </xf>
    <xf numFmtId="0" fontId="18" fillId="7" borderId="2" xfId="0" applyFont="1" applyFill="1" applyBorder="1" applyAlignment="1">
      <alignment horizontal="center" vertical="center" wrapText="1"/>
    </xf>
    <xf numFmtId="9" fontId="6" fillId="0" borderId="31" xfId="2" applyFont="1" applyFill="1" applyBorder="1" applyAlignment="1">
      <alignment horizontal="center" vertical="center"/>
    </xf>
    <xf numFmtId="0" fontId="22" fillId="7" borderId="31" xfId="0" applyFont="1" applyFill="1" applyBorder="1" applyAlignment="1">
      <alignment horizontal="center" vertical="center"/>
    </xf>
    <xf numFmtId="1" fontId="1" fillId="0" borderId="222" xfId="0" applyNumberFormat="1" applyFont="1" applyBorder="1" applyAlignment="1">
      <alignment horizontal="center" vertical="center"/>
    </xf>
    <xf numFmtId="2" fontId="20" fillId="0" borderId="222" xfId="0" applyNumberFormat="1" applyFont="1" applyBorder="1" applyAlignment="1">
      <alignment horizontal="center" vertical="center"/>
    </xf>
    <xf numFmtId="2" fontId="20" fillId="0" borderId="223" xfId="56" applyNumberFormat="1" applyFont="1" applyBorder="1" applyAlignment="1">
      <alignment horizontal="center" vertical="center" wrapText="1"/>
    </xf>
    <xf numFmtId="0" fontId="20" fillId="0" borderId="99" xfId="0" applyFont="1" applyBorder="1" applyAlignment="1">
      <alignment vertical="center"/>
    </xf>
    <xf numFmtId="0" fontId="28" fillId="0" borderId="0" xfId="0" applyFont="1"/>
    <xf numFmtId="0" fontId="20" fillId="0" borderId="2" xfId="0" applyFont="1" applyBorder="1" applyAlignment="1">
      <alignment vertical="center"/>
    </xf>
    <xf numFmtId="0" fontId="20" fillId="0" borderId="11" xfId="0" applyFont="1" applyBorder="1" applyAlignment="1">
      <alignment vertical="center"/>
    </xf>
    <xf numFmtId="0" fontId="20" fillId="45" borderId="18" xfId="0" applyFont="1" applyFill="1" applyBorder="1" applyAlignment="1">
      <alignment vertical="center"/>
    </xf>
    <xf numFmtId="0" fontId="20" fillId="45" borderId="21" xfId="0" applyFont="1" applyFill="1" applyBorder="1" applyAlignment="1">
      <alignment vertical="center"/>
    </xf>
    <xf numFmtId="0" fontId="20" fillId="0" borderId="18" xfId="0" applyFont="1" applyBorder="1" applyAlignment="1">
      <alignment vertical="center"/>
    </xf>
    <xf numFmtId="0" fontId="20" fillId="0" borderId="21" xfId="0" applyFont="1" applyBorder="1" applyAlignment="1">
      <alignment vertical="center"/>
    </xf>
    <xf numFmtId="0" fontId="20" fillId="0" borderId="21" xfId="0" applyFont="1" applyBorder="1" applyAlignment="1">
      <alignment horizontal="left" vertical="center"/>
    </xf>
    <xf numFmtId="0" fontId="20" fillId="45" borderId="18" xfId="0" applyFont="1" applyFill="1" applyBorder="1" applyAlignment="1">
      <alignment vertical="center" wrapText="1"/>
    </xf>
    <xf numFmtId="0" fontId="20" fillId="45" borderId="21" xfId="0" applyFont="1" applyFill="1" applyBorder="1" applyAlignment="1">
      <alignment vertical="center" wrapText="1"/>
    </xf>
    <xf numFmtId="0" fontId="20" fillId="46" borderId="21" xfId="0" applyFont="1" applyFill="1" applyBorder="1" applyAlignment="1">
      <alignment horizontal="left" vertical="center"/>
    </xf>
    <xf numFmtId="0" fontId="20" fillId="46" borderId="21" xfId="0" quotePrefix="1" applyFont="1" applyFill="1" applyBorder="1" applyAlignment="1">
      <alignment horizontal="left" vertical="center"/>
    </xf>
    <xf numFmtId="0" fontId="20" fillId="43" borderId="21" xfId="0" applyFont="1" applyFill="1" applyBorder="1" applyAlignment="1">
      <alignment vertical="center"/>
    </xf>
    <xf numFmtId="0" fontId="20" fillId="43" borderId="21" xfId="0" applyFont="1" applyFill="1" applyBorder="1" applyAlignment="1">
      <alignment horizontal="left" vertical="center"/>
    </xf>
    <xf numFmtId="0" fontId="20" fillId="43" borderId="18" xfId="0" applyFont="1" applyFill="1" applyBorder="1" applyAlignment="1">
      <alignment vertical="center"/>
    </xf>
    <xf numFmtId="0" fontId="20" fillId="46" borderId="16" xfId="0" applyFont="1" applyFill="1" applyBorder="1" applyAlignment="1">
      <alignment vertical="center"/>
    </xf>
    <xf numFmtId="0" fontId="20" fillId="46" borderId="0" xfId="0" applyFont="1" applyFill="1" applyAlignment="1">
      <alignment vertical="center"/>
    </xf>
    <xf numFmtId="0" fontId="20" fillId="46" borderId="103" xfId="0" applyFont="1" applyFill="1" applyBorder="1" applyAlignment="1">
      <alignment horizontal="left" vertical="center" wrapText="1"/>
    </xf>
    <xf numFmtId="0" fontId="20" fillId="46" borderId="0" xfId="0" quotePrefix="1" applyFont="1" applyFill="1" applyAlignment="1">
      <alignment horizontal="left" vertical="center" wrapText="1"/>
    </xf>
    <xf numFmtId="0" fontId="20" fillId="46" borderId="104" xfId="0" quotePrefix="1" applyFont="1" applyFill="1" applyBorder="1" applyAlignment="1">
      <alignment horizontal="left" vertical="center" wrapText="1"/>
    </xf>
    <xf numFmtId="0" fontId="20" fillId="43" borderId="2" xfId="0" applyFont="1" applyFill="1" applyBorder="1" applyAlignment="1">
      <alignment vertical="center"/>
    </xf>
    <xf numFmtId="0" fontId="20" fillId="43" borderId="11" xfId="0" applyFont="1" applyFill="1" applyBorder="1" applyAlignment="1">
      <alignment vertical="center"/>
    </xf>
    <xf numFmtId="0" fontId="20" fillId="46" borderId="21" xfId="0" quotePrefix="1" applyFont="1" applyFill="1" applyBorder="1" applyAlignment="1">
      <alignment vertical="center"/>
    </xf>
    <xf numFmtId="0" fontId="20" fillId="43" borderId="21" xfId="0" applyFont="1" applyFill="1" applyBorder="1" applyAlignment="1">
      <alignment vertical="center" wrapText="1"/>
    </xf>
    <xf numFmtId="0" fontId="20" fillId="47" borderId="18" xfId="0" applyFont="1" applyFill="1" applyBorder="1" applyAlignment="1">
      <alignment vertical="center"/>
    </xf>
    <xf numFmtId="0" fontId="28" fillId="47" borderId="21" xfId="0" applyFont="1" applyFill="1" applyBorder="1" applyAlignment="1">
      <alignment vertical="center"/>
    </xf>
    <xf numFmtId="0" fontId="20" fillId="47" borderId="21" xfId="0" applyFont="1" applyFill="1" applyBorder="1" applyAlignment="1">
      <alignment vertical="center"/>
    </xf>
    <xf numFmtId="2" fontId="55" fillId="13" borderId="0" xfId="0" applyNumberFormat="1" applyFont="1" applyFill="1" applyAlignment="1">
      <alignment horizontal="center" vertical="center" wrapText="1"/>
    </xf>
    <xf numFmtId="0" fontId="22" fillId="7" borderId="57" xfId="0" applyFont="1" applyFill="1" applyBorder="1" applyAlignment="1">
      <alignment horizontal="center" vertical="center" wrapText="1"/>
    </xf>
    <xf numFmtId="0" fontId="22" fillId="10" borderId="222" xfId="0" applyFont="1" applyFill="1" applyBorder="1" applyAlignment="1">
      <alignment horizontal="center" vertical="center" wrapText="1"/>
    </xf>
    <xf numFmtId="0" fontId="28" fillId="0" borderId="0" xfId="0" applyFont="1" applyAlignment="1">
      <alignment wrapText="1"/>
    </xf>
    <xf numFmtId="0" fontId="14" fillId="0" borderId="0" xfId="0" applyFont="1"/>
    <xf numFmtId="3" fontId="14" fillId="0" borderId="0" xfId="0" applyNumberFormat="1" applyFont="1"/>
    <xf numFmtId="167" fontId="14" fillId="0" borderId="0" xfId="0" applyNumberFormat="1" applyFont="1"/>
    <xf numFmtId="0" fontId="28" fillId="0" borderId="0" xfId="0" applyFont="1" applyAlignment="1">
      <alignment horizontal="center"/>
    </xf>
    <xf numFmtId="0" fontId="20" fillId="5" borderId="0" xfId="0" applyFont="1" applyFill="1" applyAlignment="1">
      <alignment horizontal="center" vertical="center" wrapText="1"/>
    </xf>
    <xf numFmtId="0" fontId="28" fillId="0" borderId="83" xfId="0" applyFont="1" applyBorder="1"/>
    <xf numFmtId="0" fontId="20" fillId="0" borderId="31" xfId="0" applyFont="1" applyBorder="1" applyAlignment="1">
      <alignment horizontal="left" vertical="center" wrapText="1"/>
    </xf>
    <xf numFmtId="0" fontId="20" fillId="0" borderId="2" xfId="0" applyFont="1" applyBorder="1" applyAlignment="1">
      <alignment horizontal="center"/>
    </xf>
    <xf numFmtId="0" fontId="20" fillId="0" borderId="3" xfId="0" applyFont="1" applyBorder="1" applyAlignment="1">
      <alignment horizontal="center"/>
    </xf>
    <xf numFmtId="0" fontId="20" fillId="0" borderId="3" xfId="0" applyFont="1" applyBorder="1" applyAlignment="1">
      <alignment horizontal="center" vertical="center"/>
    </xf>
    <xf numFmtId="43" fontId="22" fillId="0" borderId="2" xfId="6" applyFont="1" applyBorder="1" applyAlignment="1">
      <alignment horizontal="center" vertical="center"/>
    </xf>
    <xf numFmtId="2" fontId="22" fillId="0" borderId="2" xfId="0" applyNumberFormat="1" applyFont="1" applyBorder="1" applyAlignment="1">
      <alignment horizontal="center" vertical="center" wrapText="1"/>
    </xf>
    <xf numFmtId="0" fontId="20" fillId="0" borderId="222" xfId="0" applyFont="1" applyBorder="1"/>
    <xf numFmtId="0" fontId="20" fillId="0" borderId="222" xfId="0" applyFont="1" applyBorder="1" applyAlignment="1">
      <alignment horizontal="center"/>
    </xf>
    <xf numFmtId="0" fontId="20" fillId="0" borderId="228" xfId="0" applyFont="1" applyBorder="1" applyAlignment="1">
      <alignment horizontal="center" vertical="center" wrapText="1"/>
    </xf>
    <xf numFmtId="0" fontId="20" fillId="0" borderId="229" xfId="0" applyFont="1" applyBorder="1" applyAlignment="1">
      <alignment horizontal="right" vertical="center"/>
    </xf>
    <xf numFmtId="165" fontId="20" fillId="0" borderId="0" xfId="0" applyNumberFormat="1" applyFont="1"/>
    <xf numFmtId="0" fontId="20" fillId="0" borderId="0" xfId="56" applyFont="1" applyAlignment="1">
      <alignment vertical="center" wrapText="1"/>
    </xf>
    <xf numFmtId="165" fontId="20" fillId="0" borderId="0" xfId="56" applyNumberFormat="1" applyFont="1" applyAlignment="1">
      <alignment horizontal="left" vertical="center" wrapText="1"/>
    </xf>
    <xf numFmtId="0" fontId="20" fillId="0" borderId="0" xfId="56" applyFont="1" applyAlignment="1">
      <alignment vertical="center"/>
    </xf>
    <xf numFmtId="168" fontId="20" fillId="0" borderId="0" xfId="56" applyNumberFormat="1" applyFont="1" applyAlignment="1">
      <alignment horizontal="left" vertical="center" wrapText="1"/>
    </xf>
    <xf numFmtId="0" fontId="20" fillId="0" borderId="0" xfId="56" applyFont="1" applyAlignment="1">
      <alignment horizontal="left" vertical="center" wrapText="1"/>
    </xf>
    <xf numFmtId="167" fontId="20" fillId="0" borderId="0" xfId="56" applyNumberFormat="1" applyFont="1" applyAlignment="1">
      <alignment horizontal="left" vertical="center" wrapText="1"/>
    </xf>
    <xf numFmtId="0" fontId="22" fillId="59" borderId="222" xfId="56" applyFont="1" applyFill="1" applyBorder="1" applyAlignment="1">
      <alignment horizontal="center" vertical="center" wrapText="1"/>
    </xf>
    <xf numFmtId="0" fontId="22" fillId="59" borderId="12" xfId="56" applyFont="1" applyFill="1" applyBorder="1" applyAlignment="1">
      <alignment vertical="center" wrapText="1"/>
    </xf>
    <xf numFmtId="0" fontId="22" fillId="6" borderId="237" xfId="56" applyFont="1" applyFill="1" applyBorder="1" applyAlignment="1">
      <alignment vertical="center" wrapText="1"/>
    </xf>
    <xf numFmtId="0" fontId="56" fillId="6" borderId="102" xfId="56" applyFont="1" applyFill="1" applyBorder="1" applyAlignment="1">
      <alignment vertical="center" wrapText="1"/>
    </xf>
    <xf numFmtId="0" fontId="56" fillId="61" borderId="3" xfId="56" applyFont="1" applyFill="1" applyBorder="1" applyAlignment="1">
      <alignment vertical="center" wrapText="1"/>
    </xf>
    <xf numFmtId="0" fontId="56" fillId="61" borderId="10" xfId="56" applyFont="1" applyFill="1" applyBorder="1" applyAlignment="1">
      <alignment vertical="center" wrapText="1"/>
    </xf>
    <xf numFmtId="0" fontId="22" fillId="61" borderId="10" xfId="56" applyFont="1" applyFill="1" applyBorder="1" applyAlignment="1">
      <alignment vertical="center" wrapText="1"/>
    </xf>
    <xf numFmtId="0" fontId="56" fillId="61" borderId="10" xfId="56" applyFont="1" applyFill="1" applyBorder="1" applyAlignment="1">
      <alignment horizontal="left" vertical="center" wrapText="1"/>
    </xf>
    <xf numFmtId="0" fontId="56" fillId="61" borderId="236" xfId="56" applyFont="1" applyFill="1" applyBorder="1" applyAlignment="1">
      <alignment vertical="center" wrapText="1"/>
    </xf>
    <xf numFmtId="0" fontId="28" fillId="8" borderId="0" xfId="56" applyFont="1" applyFill="1" applyAlignment="1">
      <alignment horizontal="left" vertical="center"/>
    </xf>
    <xf numFmtId="0" fontId="28" fillId="8" borderId="226" xfId="56" applyFont="1" applyFill="1" applyBorder="1" applyAlignment="1">
      <alignment horizontal="left" vertical="center"/>
    </xf>
    <xf numFmtId="0" fontId="28" fillId="8" borderId="20" xfId="56" applyFont="1" applyFill="1" applyBorder="1" applyAlignment="1">
      <alignment horizontal="left" vertical="center"/>
    </xf>
    <xf numFmtId="0" fontId="20" fillId="0" borderId="20" xfId="0" applyFont="1" applyBorder="1" applyAlignment="1">
      <alignment horizontal="center" vertical="center"/>
    </xf>
    <xf numFmtId="165" fontId="20" fillId="0" borderId="54" xfId="0" applyNumberFormat="1" applyFont="1" applyBorder="1" applyAlignment="1">
      <alignment horizontal="center" vertical="center"/>
    </xf>
    <xf numFmtId="165" fontId="20" fillId="0" borderId="21" xfId="0" applyNumberFormat="1" applyFont="1" applyBorder="1" applyAlignment="1">
      <alignment horizontal="center" vertical="center"/>
    </xf>
    <xf numFmtId="165" fontId="20" fillId="0" borderId="213" xfId="0" applyNumberFormat="1" applyFont="1" applyBorder="1" applyAlignment="1">
      <alignment horizontal="center" vertical="center"/>
    </xf>
    <xf numFmtId="165" fontId="20" fillId="0" borderId="99" xfId="0" applyNumberFormat="1" applyFont="1" applyBorder="1"/>
    <xf numFmtId="0" fontId="20" fillId="0" borderId="215" xfId="0" applyFont="1" applyBorder="1" applyAlignment="1">
      <alignment horizontal="center" vertical="center"/>
    </xf>
    <xf numFmtId="165" fontId="20" fillId="0" borderId="216" xfId="0" applyNumberFormat="1" applyFont="1" applyBorder="1" applyAlignment="1">
      <alignment horizontal="center" vertical="center"/>
    </xf>
    <xf numFmtId="165" fontId="20" fillId="0" borderId="217" xfId="0" applyNumberFormat="1" applyFont="1" applyBorder="1" applyAlignment="1">
      <alignment horizontal="center" vertical="center"/>
    </xf>
    <xf numFmtId="165" fontId="20" fillId="0" borderId="72" xfId="0" applyNumberFormat="1" applyFont="1" applyBorder="1" applyAlignment="1">
      <alignment horizontal="center" vertical="center"/>
    </xf>
    <xf numFmtId="0" fontId="58" fillId="9" borderId="67" xfId="0" applyFont="1" applyFill="1" applyBorder="1" applyAlignment="1">
      <alignment horizontal="center" vertical="center" wrapText="1"/>
    </xf>
    <xf numFmtId="0" fontId="58" fillId="9" borderId="68" xfId="0" applyFont="1" applyFill="1" applyBorder="1" applyAlignment="1">
      <alignment horizontal="center" vertical="center" wrapText="1"/>
    </xf>
    <xf numFmtId="0" fontId="58" fillId="9" borderId="69" xfId="0" applyFont="1" applyFill="1" applyBorder="1" applyAlignment="1">
      <alignment horizontal="center" vertical="center" wrapText="1"/>
    </xf>
    <xf numFmtId="0" fontId="51" fillId="44" borderId="10" xfId="0" applyFont="1" applyFill="1" applyBorder="1" applyAlignment="1">
      <alignment horizontal="center" vertical="center" wrapText="1"/>
    </xf>
    <xf numFmtId="0" fontId="20" fillId="46" borderId="15" xfId="0" applyFont="1" applyFill="1" applyBorder="1" applyAlignment="1">
      <alignment vertical="center"/>
    </xf>
    <xf numFmtId="0" fontId="20" fillId="46" borderId="18" xfId="0" applyFont="1" applyFill="1" applyBorder="1" applyAlignment="1">
      <alignment vertical="center"/>
    </xf>
    <xf numFmtId="0" fontId="20" fillId="43" borderId="15" xfId="0" applyFont="1" applyFill="1" applyBorder="1" applyAlignment="1">
      <alignment vertical="center"/>
    </xf>
    <xf numFmtId="0" fontId="20" fillId="43" borderId="18" xfId="0" applyFont="1" applyFill="1" applyBorder="1" applyAlignment="1">
      <alignment vertical="center"/>
    </xf>
    <xf numFmtId="0" fontId="20" fillId="47" borderId="15" xfId="0" applyFont="1" applyFill="1" applyBorder="1" applyAlignment="1">
      <alignment vertical="center"/>
    </xf>
    <xf numFmtId="0" fontId="20" fillId="47" borderId="18" xfId="0" applyFont="1" applyFill="1" applyBorder="1" applyAlignment="1">
      <alignment vertical="center"/>
    </xf>
    <xf numFmtId="0" fontId="20" fillId="10" borderId="15" xfId="0" applyFont="1" applyFill="1" applyBorder="1" applyAlignment="1">
      <alignment vertical="center"/>
    </xf>
    <xf numFmtId="0" fontId="20" fillId="10" borderId="18" xfId="0" applyFont="1" applyFill="1" applyBorder="1" applyAlignment="1">
      <alignment vertical="center"/>
    </xf>
    <xf numFmtId="0" fontId="51" fillId="0" borderId="105" xfId="0" applyFont="1" applyBorder="1" applyAlignment="1">
      <alignment horizontal="center" vertical="center"/>
    </xf>
    <xf numFmtId="0" fontId="51" fillId="0" borderId="78" xfId="0" applyFont="1" applyBorder="1" applyAlignment="1">
      <alignment horizontal="center" vertical="center"/>
    </xf>
    <xf numFmtId="0" fontId="28" fillId="0" borderId="0" xfId="0" applyFont="1"/>
    <xf numFmtId="0" fontId="20" fillId="10" borderId="15" xfId="0" applyFont="1" applyFill="1" applyBorder="1" applyAlignment="1">
      <alignment vertical="center" wrapText="1"/>
    </xf>
    <xf numFmtId="0" fontId="20" fillId="10" borderId="18" xfId="0" applyFont="1" applyFill="1" applyBorder="1" applyAlignment="1">
      <alignment vertical="center" wrapText="1"/>
    </xf>
    <xf numFmtId="0" fontId="6" fillId="48" borderId="12" xfId="0" applyFont="1" applyFill="1" applyBorder="1" applyAlignment="1">
      <alignment horizontal="left" vertical="center"/>
    </xf>
    <xf numFmtId="0" fontId="6" fillId="48" borderId="15" xfId="0" applyFont="1" applyFill="1" applyBorder="1" applyAlignment="1">
      <alignment horizontal="left" vertical="center"/>
    </xf>
    <xf numFmtId="0" fontId="6" fillId="48" borderId="18" xfId="0" applyFont="1" applyFill="1" applyBorder="1" applyAlignment="1">
      <alignment horizontal="left" vertical="center"/>
    </xf>
    <xf numFmtId="0" fontId="64" fillId="0" borderId="20" xfId="0" applyFont="1" applyBorder="1" applyAlignment="1">
      <alignment horizontal="left" vertical="center"/>
    </xf>
    <xf numFmtId="0" fontId="13" fillId="9" borderId="3" xfId="1" applyFont="1" applyFill="1" applyBorder="1" applyAlignment="1">
      <alignment horizontal="center" vertical="center" wrapText="1"/>
    </xf>
    <xf numFmtId="0" fontId="13" fillId="9" borderId="10" xfId="1" applyFont="1" applyFill="1" applyBorder="1" applyAlignment="1">
      <alignment horizontal="center" vertical="center" wrapText="1"/>
    </xf>
    <xf numFmtId="0" fontId="6" fillId="0" borderId="2" xfId="0" applyFont="1" applyBorder="1" applyAlignment="1">
      <alignment horizontal="center" vertical="center"/>
    </xf>
    <xf numFmtId="0" fontId="6" fillId="0" borderId="0" xfId="0" applyFont="1" applyAlignment="1">
      <alignment horizontal="left" vertical="center"/>
    </xf>
    <xf numFmtId="0" fontId="13" fillId="9" borderId="0" xfId="0" applyFont="1" applyFill="1" applyAlignment="1">
      <alignment horizontal="center" vertical="center"/>
    </xf>
    <xf numFmtId="0" fontId="6" fillId="0" borderId="0" xfId="0" applyFont="1" applyAlignment="1">
      <alignment vertical="center" wrapText="1"/>
    </xf>
    <xf numFmtId="0" fontId="6" fillId="0" borderId="0" xfId="0" applyFont="1" applyAlignment="1">
      <alignment horizontal="left" vertical="center" wrapText="1"/>
    </xf>
    <xf numFmtId="167" fontId="1" fillId="0" borderId="74" xfId="0" applyNumberFormat="1" applyFont="1" applyBorder="1" applyAlignment="1">
      <alignment horizontal="center" vertical="center" wrapText="1"/>
    </xf>
    <xf numFmtId="167" fontId="1" fillId="0" borderId="75" xfId="0" applyNumberFormat="1" applyFont="1" applyBorder="1" applyAlignment="1">
      <alignment horizontal="center" vertical="center" wrapText="1"/>
    </xf>
    <xf numFmtId="167" fontId="1" fillId="0" borderId="73" xfId="0" applyNumberFormat="1" applyFont="1" applyBorder="1" applyAlignment="1">
      <alignment horizontal="center" vertical="center" wrapText="1"/>
    </xf>
    <xf numFmtId="0" fontId="7" fillId="7" borderId="74" xfId="0" applyFont="1" applyFill="1" applyBorder="1" applyAlignment="1">
      <alignment horizontal="center" vertical="center" wrapText="1"/>
    </xf>
    <xf numFmtId="0" fontId="7" fillId="7" borderId="75" xfId="0" applyFont="1" applyFill="1" applyBorder="1" applyAlignment="1">
      <alignment horizontal="center" vertical="center" wrapText="1"/>
    </xf>
    <xf numFmtId="0" fontId="7" fillId="7" borderId="73" xfId="0" applyFont="1" applyFill="1" applyBorder="1" applyAlignment="1">
      <alignment horizontal="center" vertical="center" wrapText="1"/>
    </xf>
    <xf numFmtId="0" fontId="20" fillId="0" borderId="227" xfId="0" applyFont="1" applyBorder="1" applyAlignment="1">
      <alignment horizontal="center" vertical="center"/>
    </xf>
    <xf numFmtId="0" fontId="20" fillId="0" borderId="228" xfId="0" applyFont="1" applyBorder="1" applyAlignment="1">
      <alignment horizontal="center" vertical="center"/>
    </xf>
    <xf numFmtId="0" fontId="20" fillId="0" borderId="242" xfId="0" applyFont="1" applyBorder="1" applyAlignment="1">
      <alignment horizontal="center" vertical="center"/>
    </xf>
    <xf numFmtId="167" fontId="20" fillId="0" borderId="74" xfId="0" applyNumberFormat="1" applyFont="1" applyBorder="1" applyAlignment="1">
      <alignment horizontal="center" vertical="center" wrapText="1"/>
    </xf>
    <xf numFmtId="167" fontId="20" fillId="0" borderId="75" xfId="0" applyNumberFormat="1" applyFont="1" applyBorder="1" applyAlignment="1">
      <alignment horizontal="center" vertical="center" wrapText="1"/>
    </xf>
    <xf numFmtId="167" fontId="20" fillId="0" borderId="73" xfId="0" applyNumberFormat="1" applyFont="1" applyBorder="1" applyAlignment="1">
      <alignment horizontal="center" vertical="center" wrapText="1"/>
    </xf>
    <xf numFmtId="0" fontId="6" fillId="0" borderId="31" xfId="0" applyFont="1" applyBorder="1" applyAlignment="1">
      <alignment horizontal="center" vertical="center"/>
    </xf>
    <xf numFmtId="0" fontId="1" fillId="0" borderId="31" xfId="0" applyFont="1" applyBorder="1" applyAlignment="1">
      <alignment horizontal="center" vertical="center" wrapText="1"/>
    </xf>
    <xf numFmtId="0" fontId="1" fillId="0" borderId="31" xfId="0" applyFont="1" applyBorder="1" applyAlignment="1">
      <alignment horizontal="center" vertical="center"/>
    </xf>
    <xf numFmtId="0" fontId="13" fillId="9" borderId="0" xfId="0" applyFont="1" applyFill="1" applyAlignment="1">
      <alignment horizontal="center" vertical="center" wrapText="1"/>
    </xf>
    <xf numFmtId="0" fontId="6" fillId="0" borderId="31" xfId="0" applyFont="1" applyBorder="1" applyAlignment="1">
      <alignment horizontal="center" vertical="center" wrapText="1"/>
    </xf>
    <xf numFmtId="0" fontId="6" fillId="0" borderId="0" xfId="0" applyFont="1" applyAlignment="1">
      <alignment horizontal="center"/>
    </xf>
    <xf numFmtId="0" fontId="20" fillId="0" borderId="0" xfId="0" applyFont="1" applyAlignment="1">
      <alignment horizontal="left" vertical="top" wrapText="1"/>
    </xf>
    <xf numFmtId="0" fontId="20" fillId="0" borderId="99" xfId="0" applyFont="1" applyBorder="1" applyAlignment="1">
      <alignment horizontal="center" vertical="center" wrapText="1"/>
    </xf>
    <xf numFmtId="0" fontId="20" fillId="63" borderId="99" xfId="0" applyFont="1" applyFill="1" applyBorder="1" applyAlignment="1">
      <alignment horizontal="center" vertical="center" wrapText="1"/>
    </xf>
    <xf numFmtId="0" fontId="6" fillId="0" borderId="99" xfId="0" applyFont="1" applyBorder="1" applyAlignment="1">
      <alignment horizontal="center" vertical="center"/>
    </xf>
    <xf numFmtId="0" fontId="8" fillId="0" borderId="99" xfId="5" applyBorder="1" applyAlignment="1">
      <alignment horizontal="center" vertical="center" wrapText="1"/>
    </xf>
    <xf numFmtId="0" fontId="6" fillId="0" borderId="0" xfId="0" applyFont="1" applyAlignment="1">
      <alignment horizontal="left" vertical="top" wrapText="1"/>
    </xf>
    <xf numFmtId="0" fontId="30" fillId="11" borderId="2" xfId="0" applyFont="1" applyFill="1" applyBorder="1" applyAlignment="1">
      <alignment horizontal="center" vertical="center"/>
    </xf>
    <xf numFmtId="0" fontId="30" fillId="11" borderId="240" xfId="0" applyFont="1" applyFill="1" applyBorder="1" applyAlignment="1">
      <alignment horizontal="center" vertical="center"/>
    </xf>
    <xf numFmtId="0" fontId="1" fillId="0" borderId="99" xfId="0" applyFont="1" applyBorder="1" applyAlignment="1">
      <alignment horizontal="center" vertical="center" wrapText="1"/>
    </xf>
    <xf numFmtId="0" fontId="20" fillId="0" borderId="241" xfId="0" applyFont="1" applyBorder="1" applyAlignment="1">
      <alignment horizontal="center" vertical="center" wrapText="1"/>
    </xf>
    <xf numFmtId="0" fontId="20" fillId="0" borderId="99" xfId="5" applyFont="1" applyBorder="1" applyAlignment="1">
      <alignment horizontal="center" vertical="center" wrapText="1"/>
    </xf>
    <xf numFmtId="0" fontId="14" fillId="0" borderId="99" xfId="5" applyFont="1" applyBorder="1" applyAlignment="1">
      <alignment horizontal="center" vertical="center" wrapText="1"/>
    </xf>
    <xf numFmtId="0" fontId="6" fillId="0" borderId="12"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18"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8" xfId="0" applyFont="1" applyBorder="1" applyAlignment="1">
      <alignment horizontal="center" vertical="center" wrapText="1"/>
    </xf>
    <xf numFmtId="0" fontId="13" fillId="9" borderId="20" xfId="0" applyFont="1" applyFill="1" applyBorder="1" applyAlignment="1">
      <alignment horizontal="center" vertical="center" wrapText="1"/>
    </xf>
    <xf numFmtId="0" fontId="6" fillId="0" borderId="12" xfId="0" applyFont="1" applyBorder="1" applyAlignment="1">
      <alignment horizontal="center" vertical="center"/>
    </xf>
    <xf numFmtId="0" fontId="6" fillId="0" borderId="18" xfId="0" applyFont="1" applyBorder="1" applyAlignment="1">
      <alignment horizontal="center" vertical="center"/>
    </xf>
    <xf numFmtId="0" fontId="65" fillId="9" borderId="243" xfId="0" applyFont="1" applyFill="1" applyBorder="1" applyAlignment="1">
      <alignment horizontal="center" vertical="center" wrapText="1"/>
    </xf>
    <xf numFmtId="0" fontId="65" fillId="9" borderId="102" xfId="0" applyFont="1" applyFill="1" applyBorder="1" applyAlignment="1">
      <alignment horizontal="center" vertical="center" wrapText="1"/>
    </xf>
    <xf numFmtId="0" fontId="65" fillId="9" borderId="101" xfId="0" applyFont="1" applyFill="1" applyBorder="1" applyAlignment="1">
      <alignment horizontal="center" vertical="center" wrapText="1"/>
    </xf>
    <xf numFmtId="0" fontId="0" fillId="0" borderId="2" xfId="0" applyBorder="1" applyAlignment="1">
      <alignment horizontal="center" vertical="center" wrapText="1"/>
    </xf>
    <xf numFmtId="0" fontId="20" fillId="0" borderId="2" xfId="0" applyFont="1" applyBorder="1" applyAlignment="1">
      <alignment horizontal="center" vertical="center"/>
    </xf>
    <xf numFmtId="0" fontId="20" fillId="0" borderId="2" xfId="0" applyFont="1" applyBorder="1" applyAlignment="1">
      <alignment horizontal="center" vertical="center" wrapText="1"/>
    </xf>
    <xf numFmtId="0" fontId="22" fillId="10" borderId="79" xfId="0" applyFont="1" applyFill="1" applyBorder="1" applyAlignment="1">
      <alignment horizontal="center" vertical="center"/>
    </xf>
    <xf numFmtId="0" fontId="22" fillId="10" borderId="80" xfId="0" applyFont="1" applyFill="1" applyBorder="1" applyAlignment="1">
      <alignment horizontal="center" vertical="center"/>
    </xf>
    <xf numFmtId="0" fontId="20" fillId="0" borderId="31" xfId="0" applyFont="1" applyBorder="1" applyAlignment="1">
      <alignment horizontal="center" vertical="center"/>
    </xf>
    <xf numFmtId="0" fontId="30" fillId="11" borderId="82" xfId="0" applyFont="1" applyFill="1" applyBorder="1" applyAlignment="1">
      <alignment horizontal="center" vertical="center" wrapText="1"/>
    </xf>
    <xf numFmtId="165" fontId="6" fillId="8" borderId="3" xfId="0" applyNumberFormat="1" applyFont="1" applyFill="1" applyBorder="1" applyAlignment="1">
      <alignment horizontal="center"/>
    </xf>
    <xf numFmtId="165" fontId="6" fillId="8" borderId="11" xfId="0" applyNumberFormat="1" applyFont="1" applyFill="1" applyBorder="1" applyAlignment="1">
      <alignment horizontal="center"/>
    </xf>
    <xf numFmtId="0" fontId="53" fillId="11" borderId="82" xfId="0" applyFont="1" applyFill="1" applyBorder="1" applyAlignment="1">
      <alignment horizontal="center" vertical="center" wrapText="1"/>
    </xf>
    <xf numFmtId="0" fontId="20" fillId="0" borderId="87" xfId="0" applyFont="1" applyBorder="1" applyAlignment="1">
      <alignment horizontal="left" vertical="center"/>
    </xf>
    <xf numFmtId="43" fontId="22" fillId="0" borderId="3" xfId="6" applyFont="1" applyBorder="1" applyAlignment="1">
      <alignment horizontal="center" vertical="center"/>
    </xf>
    <xf numFmtId="43" fontId="22" fillId="0" borderId="10" xfId="6" applyFont="1" applyBorder="1" applyAlignment="1">
      <alignment horizontal="center" vertical="center"/>
    </xf>
    <xf numFmtId="43" fontId="22" fillId="0" borderId="11" xfId="6" applyFont="1" applyBorder="1" applyAlignment="1">
      <alignment horizontal="center" vertical="center"/>
    </xf>
    <xf numFmtId="43" fontId="20" fillId="0" borderId="15" xfId="6" applyFont="1" applyBorder="1" applyAlignment="1">
      <alignment horizontal="center" vertical="center" wrapText="1"/>
    </xf>
    <xf numFmtId="43" fontId="20" fillId="0" borderId="18" xfId="6" applyFont="1" applyBorder="1" applyAlignment="1">
      <alignment horizontal="center" vertical="center" wrapText="1"/>
    </xf>
    <xf numFmtId="0" fontId="13" fillId="9" borderId="19" xfId="0" applyFont="1" applyFill="1" applyBorder="1" applyAlignment="1">
      <alignment horizontal="center" vertical="center" wrapText="1"/>
    </xf>
    <xf numFmtId="0" fontId="13" fillId="58" borderId="221" xfId="56" applyFont="1" applyFill="1" applyBorder="1" applyAlignment="1">
      <alignment horizontal="center" vertical="center" wrapText="1"/>
    </xf>
    <xf numFmtId="0" fontId="13" fillId="58" borderId="0" xfId="56" applyFont="1" applyFill="1" applyAlignment="1">
      <alignment horizontal="center" vertical="center" wrapText="1"/>
    </xf>
    <xf numFmtId="0" fontId="22" fillId="59" borderId="2" xfId="56" applyFont="1" applyFill="1" applyBorder="1" applyAlignment="1">
      <alignment horizontal="center" vertical="center" wrapText="1"/>
    </xf>
    <xf numFmtId="0" fontId="20" fillId="0" borderId="225" xfId="0" applyFont="1" applyBorder="1" applyAlignment="1">
      <alignment horizontal="center" vertical="center" wrapText="1"/>
    </xf>
    <xf numFmtId="0" fontId="20" fillId="0" borderId="238" xfId="0" applyFont="1" applyBorder="1" applyAlignment="1">
      <alignment horizontal="center" vertical="center" wrapText="1"/>
    </xf>
    <xf numFmtId="0" fontId="20" fillId="0" borderId="239" xfId="0" applyFont="1" applyBorder="1" applyAlignment="1">
      <alignment horizontal="center" vertical="center" wrapText="1"/>
    </xf>
    <xf numFmtId="0" fontId="13" fillId="9" borderId="16" xfId="0" applyFont="1" applyFill="1" applyBorder="1" applyAlignment="1">
      <alignment horizontal="center" vertical="center" wrapText="1"/>
    </xf>
    <xf numFmtId="0" fontId="1" fillId="0" borderId="229" xfId="0" applyFont="1" applyBorder="1" applyAlignment="1">
      <alignment horizontal="left" vertical="center"/>
    </xf>
    <xf numFmtId="0" fontId="1" fillId="0" borderId="230" xfId="0" applyFont="1" applyBorder="1" applyAlignment="1">
      <alignment horizontal="left" vertical="center"/>
    </xf>
    <xf numFmtId="0" fontId="1" fillId="0" borderId="231" xfId="0" applyFont="1" applyBorder="1" applyAlignment="1">
      <alignment horizontal="left" vertical="center"/>
    </xf>
    <xf numFmtId="0" fontId="20" fillId="0" borderId="227" xfId="0" applyFont="1" applyBorder="1" applyAlignment="1">
      <alignment horizontal="center" vertical="center" wrapText="1"/>
    </xf>
    <xf numFmtId="0" fontId="20" fillId="0" borderId="228" xfId="0" applyFont="1" applyBorder="1" applyAlignment="1">
      <alignment horizontal="center" vertical="center" wrapText="1"/>
    </xf>
    <xf numFmtId="0" fontId="50" fillId="0" borderId="229" xfId="0" applyFont="1" applyBorder="1" applyAlignment="1">
      <alignment horizontal="left" vertical="center"/>
    </xf>
    <xf numFmtId="0" fontId="50" fillId="0" borderId="230" xfId="0" applyFont="1" applyBorder="1" applyAlignment="1">
      <alignment horizontal="left" vertical="center"/>
    </xf>
    <xf numFmtId="0" fontId="50" fillId="0" borderId="231" xfId="0" applyFont="1" applyBorder="1" applyAlignment="1">
      <alignment horizontal="left" vertical="center"/>
    </xf>
    <xf numFmtId="0" fontId="13" fillId="9" borderId="37" xfId="0" applyFont="1" applyFill="1" applyBorder="1" applyAlignment="1">
      <alignment horizontal="center" vertical="center" wrapText="1"/>
    </xf>
    <xf numFmtId="0" fontId="7" fillId="7" borderId="37" xfId="0" applyFont="1" applyFill="1" applyBorder="1" applyAlignment="1">
      <alignment horizontal="center" vertical="center"/>
    </xf>
    <xf numFmtId="0" fontId="7" fillId="7" borderId="37" xfId="0" applyFont="1" applyFill="1" applyBorder="1" applyAlignment="1">
      <alignment horizontal="center" vertical="center" wrapText="1"/>
    </xf>
    <xf numFmtId="0" fontId="6" fillId="0" borderId="15" xfId="0" applyFont="1" applyBorder="1" applyAlignment="1">
      <alignment horizontal="center" vertical="center"/>
    </xf>
    <xf numFmtId="0" fontId="1" fillId="0" borderId="22" xfId="0" applyFont="1" applyBorder="1" applyAlignment="1">
      <alignment horizontal="center" vertical="center" wrapText="1"/>
    </xf>
    <xf numFmtId="0" fontId="1" fillId="0" borderId="37" xfId="0" applyFont="1" applyBorder="1" applyAlignment="1">
      <alignment horizontal="center" vertical="center" wrapText="1"/>
    </xf>
    <xf numFmtId="0" fontId="6" fillId="0" borderId="37" xfId="0" applyFont="1" applyBorder="1" applyAlignment="1">
      <alignment horizontal="center" vertical="center" wrapText="1"/>
    </xf>
    <xf numFmtId="0" fontId="6" fillId="8" borderId="31" xfId="0" applyFont="1" applyFill="1" applyBorder="1" applyAlignment="1">
      <alignment horizontal="left" vertical="center"/>
    </xf>
    <xf numFmtId="0" fontId="13" fillId="9" borderId="31" xfId="0" applyFont="1" applyFill="1" applyBorder="1" applyAlignment="1">
      <alignment horizontal="center" vertical="center"/>
    </xf>
    <xf numFmtId="0" fontId="22" fillId="7" borderId="32" xfId="0" applyFont="1" applyFill="1" applyBorder="1" applyAlignment="1">
      <alignment horizontal="center" vertical="center" wrapText="1"/>
    </xf>
    <xf numFmtId="0" fontId="22" fillId="7" borderId="33" xfId="0" applyFont="1" applyFill="1" applyBorder="1" applyAlignment="1">
      <alignment horizontal="center" vertical="center" wrapText="1"/>
    </xf>
    <xf numFmtId="0" fontId="13" fillId="9" borderId="86" xfId="0" applyFont="1" applyFill="1" applyBorder="1" applyAlignment="1">
      <alignment horizontal="center" vertical="center"/>
    </xf>
    <xf numFmtId="0" fontId="13" fillId="9" borderId="78" xfId="0" applyFont="1" applyFill="1" applyBorder="1" applyAlignment="1">
      <alignment horizontal="center" vertical="center"/>
    </xf>
    <xf numFmtId="0" fontId="7" fillId="7" borderId="2" xfId="0" applyFont="1" applyFill="1" applyBorder="1" applyAlignment="1">
      <alignment horizontal="center" vertical="center"/>
    </xf>
    <xf numFmtId="0" fontId="7" fillId="7" borderId="12" xfId="0" applyFont="1" applyFill="1" applyBorder="1" applyAlignment="1">
      <alignment horizontal="center" vertical="center"/>
    </xf>
    <xf numFmtId="0" fontId="13" fillId="9" borderId="21" xfId="0" applyFont="1" applyFill="1" applyBorder="1" applyAlignment="1">
      <alignment horizontal="center" vertical="center" wrapText="1"/>
    </xf>
    <xf numFmtId="0" fontId="21" fillId="0" borderId="141" xfId="0" applyFont="1" applyBorder="1" applyAlignment="1">
      <alignment horizontal="center" vertical="center" wrapText="1"/>
    </xf>
    <xf numFmtId="0" fontId="21" fillId="0" borderId="112" xfId="0" applyFont="1" applyBorder="1" applyAlignment="1">
      <alignment horizontal="center" vertical="center" wrapText="1"/>
    </xf>
    <xf numFmtId="0" fontId="21" fillId="0" borderId="141" xfId="0" applyFont="1" applyBorder="1" applyAlignment="1">
      <alignment horizontal="center" vertical="center"/>
    </xf>
    <xf numFmtId="0" fontId="54" fillId="0" borderId="112" xfId="0" applyFont="1" applyBorder="1" applyAlignment="1">
      <alignment horizontal="center" vertical="center" wrapText="1"/>
    </xf>
    <xf numFmtId="0" fontId="18" fillId="7" borderId="2" xfId="0" applyFont="1" applyFill="1" applyBorder="1" applyAlignment="1">
      <alignment horizontal="center" vertical="center" wrapText="1"/>
    </xf>
    <xf numFmtId="0" fontId="21" fillId="0" borderId="163" xfId="0" applyFont="1" applyBorder="1" applyAlignment="1">
      <alignment horizontal="center" vertical="center"/>
    </xf>
    <xf numFmtId="0" fontId="21" fillId="0" borderId="1" xfId="0" applyFont="1" applyBorder="1" applyAlignment="1">
      <alignment horizontal="center" vertical="center"/>
    </xf>
    <xf numFmtId="0" fontId="21" fillId="0" borderId="169" xfId="0" applyFont="1" applyBorder="1" applyAlignment="1">
      <alignment horizontal="center" vertical="center"/>
    </xf>
    <xf numFmtId="0" fontId="21" fillId="0" borderId="165" xfId="0" applyFont="1" applyBorder="1" applyAlignment="1">
      <alignment horizontal="center" vertical="center" wrapText="1"/>
    </xf>
    <xf numFmtId="0" fontId="21" fillId="0" borderId="167" xfId="0" applyFont="1" applyBorder="1" applyAlignment="1">
      <alignment horizontal="center" vertical="center" wrapText="1"/>
    </xf>
    <xf numFmtId="0" fontId="21" fillId="0" borderId="170" xfId="0" applyFont="1" applyBorder="1" applyAlignment="1">
      <alignment horizontal="center" vertical="center" wrapText="1"/>
    </xf>
    <xf numFmtId="0" fontId="21" fillId="0" borderId="15" xfId="0" applyFont="1" applyBorder="1" applyAlignment="1">
      <alignment horizontal="center" vertical="center"/>
    </xf>
    <xf numFmtId="0" fontId="21" fillId="0" borderId="108" xfId="0" applyFont="1" applyBorder="1" applyAlignment="1">
      <alignment horizontal="center" vertical="center" wrapText="1"/>
    </xf>
    <xf numFmtId="0" fontId="21" fillId="0" borderId="106" xfId="0" applyFont="1" applyBorder="1" applyAlignment="1">
      <alignment horizontal="center" vertical="center" wrapText="1"/>
    </xf>
    <xf numFmtId="0" fontId="21" fillId="0" borderId="162" xfId="0" applyFont="1" applyBorder="1" applyAlignment="1">
      <alignment horizontal="center" vertical="center" wrapText="1"/>
    </xf>
    <xf numFmtId="0" fontId="21" fillId="0" borderId="166" xfId="0" applyFont="1" applyBorder="1" applyAlignment="1">
      <alignment horizontal="center" vertical="center" wrapText="1"/>
    </xf>
    <xf numFmtId="0" fontId="21" fillId="0" borderId="168" xfId="0" applyFont="1" applyBorder="1" applyAlignment="1">
      <alignment horizontal="center" vertical="center" wrapText="1"/>
    </xf>
    <xf numFmtId="0" fontId="21" fillId="0" borderId="143" xfId="0" applyFont="1" applyBorder="1" applyAlignment="1">
      <alignment horizontal="center" vertical="center" wrapText="1"/>
    </xf>
    <xf numFmtId="0" fontId="21" fillId="0" borderId="142" xfId="0" applyFont="1" applyBorder="1" applyAlignment="1">
      <alignment horizontal="center" vertical="center" wrapText="1"/>
    </xf>
    <xf numFmtId="0" fontId="21" fillId="0" borderId="173" xfId="0" applyFont="1" applyBorder="1" applyAlignment="1">
      <alignment horizontal="center" vertical="center" wrapText="1"/>
    </xf>
    <xf numFmtId="0" fontId="21" fillId="0" borderId="175" xfId="0" applyFont="1" applyBorder="1" applyAlignment="1">
      <alignment horizontal="center" vertical="center" wrapText="1"/>
    </xf>
    <xf numFmtId="0" fontId="21" fillId="0" borderId="178" xfId="0" applyFont="1" applyBorder="1" applyAlignment="1">
      <alignment horizontal="center" vertical="center" wrapText="1"/>
    </xf>
    <xf numFmtId="0" fontId="21" fillId="0" borderId="164" xfId="0" applyFont="1" applyBorder="1" applyAlignment="1">
      <alignment horizontal="center" vertical="center"/>
    </xf>
    <xf numFmtId="0" fontId="21" fillId="0" borderId="113" xfId="0" applyFont="1" applyBorder="1" applyAlignment="1">
      <alignment horizontal="center" vertical="center"/>
    </xf>
    <xf numFmtId="0" fontId="21" fillId="0" borderId="18" xfId="0" applyFont="1" applyBorder="1" applyAlignment="1">
      <alignment horizontal="center" vertical="center"/>
    </xf>
    <xf numFmtId="0" fontId="21" fillId="0" borderId="2" xfId="0" applyFont="1" applyBorder="1" applyAlignment="1">
      <alignment horizontal="center" vertical="center"/>
    </xf>
    <xf numFmtId="0" fontId="21" fillId="0" borderId="27" xfId="0" applyFont="1" applyBorder="1" applyAlignment="1">
      <alignment horizontal="center" vertical="center"/>
    </xf>
    <xf numFmtId="0" fontId="21" fillId="0" borderId="18" xfId="0" applyFont="1" applyBorder="1" applyAlignment="1">
      <alignment horizontal="center" vertical="center" wrapText="1"/>
    </xf>
    <xf numFmtId="0" fontId="21" fillId="0" borderId="2" xfId="0" applyFont="1" applyBorder="1" applyAlignment="1">
      <alignment horizontal="center" vertical="center" wrapText="1"/>
    </xf>
    <xf numFmtId="0" fontId="21" fillId="0" borderId="27" xfId="0" applyFont="1" applyBorder="1" applyAlignment="1">
      <alignment horizontal="center" vertical="center" wrapText="1"/>
    </xf>
    <xf numFmtId="0" fontId="21" fillId="0" borderId="187" xfId="0" applyFont="1" applyBorder="1" applyAlignment="1">
      <alignment horizontal="center" vertical="center" wrapText="1"/>
    </xf>
    <xf numFmtId="0" fontId="21" fillId="0" borderId="191" xfId="0" applyFont="1" applyBorder="1" applyAlignment="1">
      <alignment horizontal="center" vertical="center" wrapText="1"/>
    </xf>
    <xf numFmtId="0" fontId="21" fillId="0" borderId="163"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169" xfId="0" applyFont="1" applyBorder="1" applyAlignment="1">
      <alignment horizontal="center" vertical="center" wrapText="1"/>
    </xf>
    <xf numFmtId="0" fontId="21" fillId="0" borderId="186" xfId="0" applyFont="1" applyBorder="1" applyAlignment="1">
      <alignment horizontal="center" vertical="center" wrapText="1"/>
    </xf>
    <xf numFmtId="0" fontId="21" fillId="0" borderId="188" xfId="0" applyFont="1" applyBorder="1" applyAlignment="1">
      <alignment horizontal="center" vertical="center" wrapText="1"/>
    </xf>
    <xf numFmtId="0" fontId="21" fillId="0" borderId="110" xfId="0" applyFont="1" applyBorder="1" applyAlignment="1">
      <alignment horizontal="center" vertical="center"/>
    </xf>
    <xf numFmtId="0" fontId="54" fillId="0" borderId="187" xfId="0" applyFont="1" applyBorder="1" applyAlignment="1">
      <alignment horizontal="center" vertical="center" wrapText="1"/>
    </xf>
    <xf numFmtId="0" fontId="21" fillId="0" borderId="113" xfId="0" applyFont="1" applyBorder="1" applyAlignment="1">
      <alignment horizontal="center" vertical="center" wrapText="1"/>
    </xf>
    <xf numFmtId="0" fontId="21" fillId="0" borderId="183" xfId="0" applyFont="1" applyBorder="1" applyAlignment="1">
      <alignment horizontal="center" vertical="center"/>
    </xf>
    <xf numFmtId="0" fontId="21" fillId="0" borderId="184" xfId="0" applyFont="1" applyBorder="1" applyAlignment="1">
      <alignment horizontal="center" vertical="center"/>
    </xf>
    <xf numFmtId="0" fontId="21" fillId="0" borderId="167" xfId="0" applyFont="1" applyBorder="1" applyAlignment="1">
      <alignment horizontal="center" vertical="center"/>
    </xf>
    <xf numFmtId="0" fontId="21" fillId="0" borderId="164" xfId="0" applyFont="1" applyBorder="1" applyAlignment="1">
      <alignment horizontal="center" vertical="center" wrapText="1"/>
    </xf>
    <xf numFmtId="0" fontId="21" fillId="0" borderId="85" xfId="0" applyFont="1" applyBorder="1" applyAlignment="1">
      <alignment horizontal="center" vertical="center" wrapText="1"/>
    </xf>
    <xf numFmtId="0" fontId="21" fillId="0" borderId="84" xfId="0" applyFont="1" applyBorder="1" applyAlignment="1">
      <alignment horizontal="center" vertical="center" wrapText="1"/>
    </xf>
    <xf numFmtId="0" fontId="21" fillId="0" borderId="149" xfId="0" applyFont="1" applyBorder="1" applyAlignment="1">
      <alignment horizontal="center" vertical="center" wrapText="1"/>
    </xf>
    <xf numFmtId="0" fontId="21" fillId="0" borderId="116" xfId="0" applyFont="1" applyBorder="1" applyAlignment="1">
      <alignment horizontal="center" vertical="center" wrapText="1"/>
    </xf>
    <xf numFmtId="0" fontId="21" fillId="0" borderId="181" xfId="0" applyFont="1" applyBorder="1" applyAlignment="1">
      <alignment horizontal="center" vertical="center" wrapText="1"/>
    </xf>
    <xf numFmtId="0" fontId="21" fillId="0" borderId="185" xfId="0" applyFont="1" applyBorder="1" applyAlignment="1">
      <alignment horizontal="center" vertical="center" wrapText="1"/>
    </xf>
    <xf numFmtId="0" fontId="21" fillId="0" borderId="54" xfId="0" applyFont="1" applyBorder="1" applyAlignment="1">
      <alignment horizontal="center" vertical="center" wrapText="1"/>
    </xf>
    <xf numFmtId="0" fontId="21" fillId="0" borderId="4" xfId="0" applyFont="1" applyBorder="1" applyAlignment="1">
      <alignment horizontal="center" vertical="center" wrapText="1"/>
    </xf>
    <xf numFmtId="0" fontId="21" fillId="0" borderId="159" xfId="0" applyFont="1" applyBorder="1" applyAlignment="1">
      <alignment horizontal="center" vertical="center" wrapText="1"/>
    </xf>
    <xf numFmtId="0" fontId="21" fillId="0" borderId="160" xfId="0" applyFont="1" applyBorder="1" applyAlignment="1">
      <alignment horizontal="center" vertical="center"/>
    </xf>
    <xf numFmtId="0" fontId="21" fillId="0" borderId="15" xfId="0" applyFont="1" applyBorder="1" applyAlignment="1">
      <alignment horizontal="center" vertical="center" wrapText="1"/>
    </xf>
    <xf numFmtId="0" fontId="21" fillId="0" borderId="160" xfId="0" applyFont="1" applyBorder="1" applyAlignment="1">
      <alignment horizontal="center" vertical="center" wrapText="1"/>
    </xf>
    <xf numFmtId="0" fontId="21" fillId="0" borderId="161" xfId="0" applyFont="1" applyBorder="1" applyAlignment="1">
      <alignment horizontal="center" vertical="center" wrapText="1"/>
    </xf>
    <xf numFmtId="0" fontId="21" fillId="0" borderId="147" xfId="0" applyFont="1" applyBorder="1" applyAlignment="1">
      <alignment horizontal="center" vertical="center" wrapText="1"/>
    </xf>
    <xf numFmtId="0" fontId="21" fillId="0" borderId="114" xfId="0" applyFont="1" applyBorder="1" applyAlignment="1">
      <alignment horizontal="center" vertical="center" wrapText="1"/>
    </xf>
    <xf numFmtId="0" fontId="21" fillId="0" borderId="179" xfId="0" applyFont="1" applyBorder="1" applyAlignment="1">
      <alignment horizontal="center" vertical="center" wrapText="1"/>
    </xf>
    <xf numFmtId="0" fontId="44" fillId="0" borderId="85" xfId="0" applyFont="1" applyBorder="1" applyAlignment="1">
      <alignment horizontal="center" vertical="center"/>
    </xf>
    <xf numFmtId="0" fontId="44" fillId="0" borderId="115" xfId="0" applyFont="1" applyBorder="1" applyAlignment="1">
      <alignment horizontal="center" vertical="center"/>
    </xf>
    <xf numFmtId="0" fontId="44" fillId="0" borderId="180" xfId="0" applyFont="1" applyBorder="1" applyAlignment="1">
      <alignment horizontal="center" vertical="center"/>
    </xf>
    <xf numFmtId="0" fontId="21" fillId="0" borderId="171" xfId="0" applyFont="1" applyBorder="1" applyAlignment="1">
      <alignment horizontal="center" vertical="center" wrapText="1"/>
    </xf>
    <xf numFmtId="0" fontId="21" fillId="0" borderId="174" xfId="0" applyFont="1" applyBorder="1" applyAlignment="1">
      <alignment horizontal="center" vertical="center" wrapText="1"/>
    </xf>
    <xf numFmtId="0" fontId="21" fillId="0" borderId="176" xfId="0" applyFont="1" applyBorder="1" applyAlignment="1">
      <alignment horizontal="center" vertical="center" wrapText="1"/>
    </xf>
    <xf numFmtId="0" fontId="44" fillId="0" borderId="172" xfId="0" applyFont="1" applyBorder="1" applyAlignment="1">
      <alignment horizontal="center" vertical="center"/>
    </xf>
    <xf numFmtId="0" fontId="44" fillId="0" borderId="123" xfId="0" applyFont="1" applyBorder="1" applyAlignment="1">
      <alignment horizontal="center" vertical="center"/>
    </xf>
    <xf numFmtId="0" fontId="44" fillId="0" borderId="177" xfId="0" applyFont="1" applyBorder="1" applyAlignment="1">
      <alignment horizontal="center" vertical="center"/>
    </xf>
    <xf numFmtId="0" fontId="7" fillId="7" borderId="0" xfId="0" applyFont="1" applyFill="1" applyAlignment="1">
      <alignment horizontal="center" vertical="center"/>
    </xf>
    <xf numFmtId="0" fontId="21" fillId="0" borderId="172" xfId="0" applyFont="1" applyBorder="1" applyAlignment="1">
      <alignment horizontal="center" vertical="center" wrapText="1"/>
    </xf>
    <xf numFmtId="0" fontId="21" fillId="0" borderId="123" xfId="0" applyFont="1" applyBorder="1" applyAlignment="1">
      <alignment horizontal="center" vertical="center" wrapText="1"/>
    </xf>
    <xf numFmtId="0" fontId="21" fillId="0" borderId="177" xfId="0" applyFont="1" applyBorder="1" applyAlignment="1">
      <alignment horizontal="center" vertical="center" wrapText="1"/>
    </xf>
    <xf numFmtId="0" fontId="21" fillId="0" borderId="110" xfId="0" applyFont="1" applyBorder="1" applyAlignment="1">
      <alignment horizontal="center" vertical="center" wrapText="1"/>
    </xf>
    <xf numFmtId="0" fontId="21" fillId="0" borderId="182" xfId="0" applyFont="1" applyBorder="1" applyAlignment="1">
      <alignment horizontal="center" vertical="center" wrapText="1"/>
    </xf>
    <xf numFmtId="0" fontId="21" fillId="0" borderId="193" xfId="0" applyFont="1" applyBorder="1" applyAlignment="1">
      <alignment horizontal="center" vertical="center" wrapText="1"/>
    </xf>
    <xf numFmtId="0" fontId="21" fillId="0" borderId="202" xfId="0" applyFont="1" applyBorder="1" applyAlignment="1">
      <alignment horizontal="center" vertical="center" wrapText="1"/>
    </xf>
    <xf numFmtId="0" fontId="44" fillId="0" borderId="31" xfId="0" applyFont="1" applyBorder="1" applyAlignment="1">
      <alignment horizontal="center" vertical="center"/>
    </xf>
    <xf numFmtId="0" fontId="44" fillId="0" borderId="57" xfId="0" applyFont="1" applyBorder="1" applyAlignment="1">
      <alignment horizontal="center" vertical="center"/>
    </xf>
    <xf numFmtId="0" fontId="21" fillId="0" borderId="31" xfId="0" applyFont="1" applyBorder="1" applyAlignment="1">
      <alignment horizontal="center" vertical="center" wrapText="1"/>
    </xf>
    <xf numFmtId="0" fontId="21" fillId="0" borderId="57" xfId="0" applyFont="1" applyBorder="1" applyAlignment="1">
      <alignment horizontal="center" vertical="center" wrapText="1"/>
    </xf>
    <xf numFmtId="0" fontId="21" fillId="0" borderId="192" xfId="0" applyFont="1" applyBorder="1" applyAlignment="1">
      <alignment horizontal="center" vertical="center" wrapText="1"/>
    </xf>
    <xf numFmtId="0" fontId="21" fillId="0" borderId="194" xfId="0" applyFont="1" applyBorder="1" applyAlignment="1">
      <alignment horizontal="center" vertical="center" wrapText="1"/>
    </xf>
    <xf numFmtId="0" fontId="21" fillId="0" borderId="203" xfId="0" applyFont="1" applyBorder="1" applyAlignment="1">
      <alignment horizontal="center" vertical="center" wrapText="1"/>
    </xf>
    <xf numFmtId="0" fontId="21" fillId="0" borderId="189" xfId="0" applyFont="1" applyBorder="1" applyAlignment="1">
      <alignment horizontal="center" vertical="center" wrapText="1"/>
    </xf>
    <xf numFmtId="0" fontId="21" fillId="0" borderId="190"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52" xfId="0" applyFont="1" applyBorder="1" applyAlignment="1">
      <alignment horizontal="center" vertical="center" wrapText="1"/>
    </xf>
    <xf numFmtId="0" fontId="21" fillId="0" borderId="12" xfId="0" applyFont="1" applyBorder="1" applyAlignment="1">
      <alignment horizontal="center" vertical="center"/>
    </xf>
    <xf numFmtId="0" fontId="21" fillId="0" borderId="111" xfId="0" applyFont="1" applyBorder="1" applyAlignment="1">
      <alignment horizontal="center" vertical="center" wrapText="1"/>
    </xf>
    <xf numFmtId="0" fontId="21" fillId="0" borderId="144" xfId="0" applyFont="1" applyBorder="1" applyAlignment="1">
      <alignment horizontal="center" vertical="center" wrapText="1"/>
    </xf>
    <xf numFmtId="0" fontId="21" fillId="0" borderId="139" xfId="0" applyFont="1" applyBorder="1" applyAlignment="1">
      <alignment horizontal="center" vertical="center" wrapText="1"/>
    </xf>
    <xf numFmtId="0" fontId="21" fillId="0" borderId="137" xfId="0" applyFont="1" applyBorder="1" applyAlignment="1">
      <alignment horizontal="center" vertical="center" wrapText="1"/>
    </xf>
    <xf numFmtId="0" fontId="21" fillId="0" borderId="138" xfId="0" applyFont="1" applyBorder="1" applyAlignment="1">
      <alignment horizontal="center" vertical="center" wrapText="1"/>
    </xf>
    <xf numFmtId="0" fontId="21" fillId="0" borderId="204" xfId="0" applyFont="1" applyBorder="1" applyAlignment="1">
      <alignment horizontal="center" vertical="center" wrapText="1"/>
    </xf>
    <xf numFmtId="0" fontId="21" fillId="0" borderId="206" xfId="0" applyFont="1" applyBorder="1" applyAlignment="1">
      <alignment horizontal="center" vertical="center" wrapText="1"/>
    </xf>
    <xf numFmtId="0" fontId="21" fillId="0" borderId="207" xfId="0" applyFont="1" applyBorder="1" applyAlignment="1">
      <alignment horizontal="center" vertical="center"/>
    </xf>
    <xf numFmtId="0" fontId="21" fillId="0" borderId="205" xfId="0" applyFont="1" applyBorder="1" applyAlignment="1">
      <alignment horizontal="center" vertical="center" wrapText="1"/>
    </xf>
    <xf numFmtId="0" fontId="21" fillId="0" borderId="200" xfId="0" applyFont="1" applyBorder="1" applyAlignment="1">
      <alignment horizontal="center" vertical="center" wrapText="1"/>
    </xf>
    <xf numFmtId="0" fontId="21" fillId="0" borderId="197" xfId="0" applyFont="1" applyBorder="1" applyAlignment="1">
      <alignment horizontal="center" vertical="center" wrapText="1"/>
    </xf>
    <xf numFmtId="0" fontId="21" fillId="0" borderId="122" xfId="0" applyFont="1" applyBorder="1" applyAlignment="1">
      <alignment horizontal="center" vertical="center" wrapText="1"/>
    </xf>
    <xf numFmtId="0" fontId="21" fillId="0" borderId="126" xfId="0" applyFont="1" applyBorder="1" applyAlignment="1">
      <alignment horizontal="center" vertical="center" wrapText="1"/>
    </xf>
    <xf numFmtId="0" fontId="21" fillId="0" borderId="129" xfId="0" applyFont="1" applyBorder="1" applyAlignment="1">
      <alignment horizontal="center" vertical="center" wrapText="1"/>
    </xf>
    <xf numFmtId="0" fontId="21" fillId="0" borderId="123" xfId="0" applyFont="1" applyBorder="1" applyAlignment="1">
      <alignment horizontal="center" vertical="center"/>
    </xf>
    <xf numFmtId="0" fontId="21" fillId="0" borderId="31" xfId="0" applyFont="1" applyBorder="1" applyAlignment="1">
      <alignment horizontal="center" vertical="center"/>
    </xf>
    <xf numFmtId="0" fontId="21" fillId="0" borderId="130" xfId="0" applyFont="1" applyBorder="1" applyAlignment="1">
      <alignment horizontal="center" vertical="center"/>
    </xf>
    <xf numFmtId="0" fontId="21" fillId="0" borderId="155" xfId="0" applyFont="1" applyBorder="1" applyAlignment="1">
      <alignment horizontal="center" vertical="center" wrapText="1"/>
    </xf>
    <xf numFmtId="0" fontId="21" fillId="0" borderId="124" xfId="0" applyFont="1" applyBorder="1" applyAlignment="1">
      <alignment horizontal="center" vertical="center" wrapText="1"/>
    </xf>
    <xf numFmtId="0" fontId="21" fillId="0" borderId="127" xfId="0" applyFont="1" applyBorder="1" applyAlignment="1">
      <alignment horizontal="center" vertical="center" wrapText="1"/>
    </xf>
    <xf numFmtId="0" fontId="21" fillId="0" borderId="131" xfId="0" applyFont="1" applyBorder="1" applyAlignment="1">
      <alignment horizontal="center" vertical="center" wrapText="1"/>
    </xf>
    <xf numFmtId="0" fontId="21" fillId="0" borderId="117" xfId="0" applyFont="1" applyBorder="1" applyAlignment="1">
      <alignment horizontal="center" vertical="center" wrapText="1"/>
    </xf>
    <xf numFmtId="0" fontId="21" fillId="0" borderId="150" xfId="0" applyFont="1" applyBorder="1" applyAlignment="1">
      <alignment horizontal="center" vertical="center" wrapText="1"/>
    </xf>
    <xf numFmtId="0" fontId="21" fillId="0" borderId="85" xfId="0" applyFont="1" applyBorder="1" applyAlignment="1">
      <alignment horizontal="center" vertical="center"/>
    </xf>
    <xf numFmtId="0" fontId="21" fillId="0" borderId="133" xfId="0" applyFont="1" applyBorder="1" applyAlignment="1">
      <alignment horizontal="center" vertical="center"/>
    </xf>
    <xf numFmtId="0" fontId="21" fillId="0" borderId="151" xfId="0" applyFont="1" applyBorder="1" applyAlignment="1">
      <alignment horizontal="center" vertical="center" wrapText="1"/>
    </xf>
    <xf numFmtId="0" fontId="21" fillId="0" borderId="152" xfId="0" applyFont="1" applyBorder="1" applyAlignment="1">
      <alignment horizontal="center" vertical="center" wrapText="1"/>
    </xf>
    <xf numFmtId="0" fontId="7" fillId="7" borderId="76" xfId="0" applyFont="1" applyFill="1" applyBorder="1" applyAlignment="1">
      <alignment horizontal="center" vertical="center"/>
    </xf>
    <xf numFmtId="0" fontId="7" fillId="7" borderId="77" xfId="0" applyFont="1" applyFill="1" applyBorder="1" applyAlignment="1">
      <alignment horizontal="center" vertical="center"/>
    </xf>
    <xf numFmtId="0" fontId="21" fillId="0" borderId="195" xfId="0" applyFont="1" applyBorder="1" applyAlignment="1">
      <alignment horizontal="center" vertical="center" wrapText="1"/>
    </xf>
    <xf numFmtId="0" fontId="44" fillId="0" borderId="196" xfId="0" applyFont="1" applyBorder="1" applyAlignment="1">
      <alignment horizontal="center" vertical="center"/>
    </xf>
    <xf numFmtId="0" fontId="21" fillId="0" borderId="196" xfId="0" applyFont="1" applyBorder="1" applyAlignment="1">
      <alignment horizontal="center" vertical="center" wrapText="1"/>
    </xf>
    <xf numFmtId="0" fontId="6" fillId="0" borderId="26" xfId="0" applyFont="1" applyBorder="1" applyAlignment="1">
      <alignment horizontal="center"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20" fillId="0" borderId="212" xfId="0" applyFont="1" applyBorder="1" applyAlignment="1">
      <alignment horizontal="center" vertical="center"/>
    </xf>
    <xf numFmtId="0" fontId="20" fillId="0" borderId="214" xfId="0" applyFont="1" applyBorder="1" applyAlignment="1">
      <alignment horizontal="center" vertical="center"/>
    </xf>
    <xf numFmtId="0" fontId="13" fillId="9" borderId="218" xfId="0" applyFont="1" applyFill="1" applyBorder="1" applyAlignment="1">
      <alignment horizontal="center" vertical="center"/>
    </xf>
    <xf numFmtId="0" fontId="30" fillId="11" borderId="208" xfId="0" applyFont="1" applyFill="1" applyBorder="1" applyAlignment="1">
      <alignment horizontal="center" vertical="center"/>
    </xf>
    <xf numFmtId="0" fontId="30" fillId="11" borderId="0" xfId="0" applyFont="1" applyFill="1" applyAlignment="1">
      <alignment horizontal="center" vertical="center"/>
    </xf>
    <xf numFmtId="0" fontId="30" fillId="11" borderId="71" xfId="0" applyFont="1" applyFill="1" applyBorder="1" applyAlignment="1">
      <alignment horizontal="center" vertical="center"/>
    </xf>
    <xf numFmtId="9" fontId="6" fillId="0" borderId="31" xfId="2" applyFont="1" applyFill="1" applyBorder="1" applyAlignment="1">
      <alignment horizontal="center" vertical="center"/>
    </xf>
    <xf numFmtId="0" fontId="22" fillId="7" borderId="31" xfId="0" applyFont="1" applyFill="1" applyBorder="1" applyAlignment="1">
      <alignment horizontal="center" vertical="center"/>
    </xf>
    <xf numFmtId="0" fontId="0" fillId="0" borderId="0" xfId="0" applyAlignment="1">
      <alignment horizontal="center"/>
    </xf>
  </cellXfs>
  <cellStyles count="57">
    <cellStyle name="20% - Accent1" xfId="29" builtinId="30" customBuiltin="1"/>
    <cellStyle name="20% - Accent2" xfId="32" builtinId="34" customBuiltin="1"/>
    <cellStyle name="20% - Accent3" xfId="35" builtinId="38" customBuiltin="1"/>
    <cellStyle name="20% - Accent4" xfId="38" builtinId="42" customBuiltin="1"/>
    <cellStyle name="20% - Accent5" xfId="41" builtinId="46" customBuiltin="1"/>
    <cellStyle name="20% - Accent6" xfId="44" builtinId="50" customBuiltin="1"/>
    <cellStyle name="40% - Accent1" xfId="30" builtinId="31" customBuiltin="1"/>
    <cellStyle name="40% - Accent2" xfId="33" builtinId="35" customBuiltin="1"/>
    <cellStyle name="40% - Accent3" xfId="36" builtinId="39" customBuiltin="1"/>
    <cellStyle name="40% - Accent4" xfId="39" builtinId="43" customBuiltin="1"/>
    <cellStyle name="40% - Accent5" xfId="42" builtinId="47" customBuiltin="1"/>
    <cellStyle name="40% - Accent6" xfId="45" builtinId="51" customBuiltin="1"/>
    <cellStyle name="60% - Accent1 2" xfId="48" xr:uid="{742F182D-DE19-4ABD-8125-542911AC2871}"/>
    <cellStyle name="60% - Accent2 2" xfId="49" xr:uid="{C203D7A7-4D1E-4E4D-9A55-425F304335D3}"/>
    <cellStyle name="60% - Accent3 2" xfId="50" xr:uid="{D575A5F1-76FC-4DEE-A89E-DFDABCBF86AA}"/>
    <cellStyle name="60% - Accent4 2" xfId="51" xr:uid="{D57D9030-641B-49DF-B44E-F0A7AC7C8BB7}"/>
    <cellStyle name="60% - Accent5 2" xfId="52" xr:uid="{EA6BFE8E-04CA-4DDE-A801-C5177F36DCFD}"/>
    <cellStyle name="60% - Accent6 2" xfId="53" xr:uid="{B263CC10-573D-4AC3-9866-0BC54A3DA634}"/>
    <cellStyle name="Accent1" xfId="28" builtinId="29" customBuiltin="1"/>
    <cellStyle name="Accent2" xfId="31" builtinId="33" customBuiltin="1"/>
    <cellStyle name="Accent3" xfId="34" builtinId="37" customBuiltin="1"/>
    <cellStyle name="Accent4" xfId="37" builtinId="41" customBuiltin="1"/>
    <cellStyle name="Accent5" xfId="40" builtinId="45" customBuiltin="1"/>
    <cellStyle name="Accent6" xfId="43" builtinId="49" customBuiltin="1"/>
    <cellStyle name="Bad" xfId="18" builtinId="27" customBuiltin="1"/>
    <cellStyle name="Calculation" xfId="21" builtinId="22" customBuiltin="1"/>
    <cellStyle name="Check Cell" xfId="23" builtinId="23" customBuiltin="1"/>
    <cellStyle name="Comma" xfId="6" builtinId="3"/>
    <cellStyle name="Explanatory Text" xfId="26" builtinId="53" customBuiltin="1"/>
    <cellStyle name="Good" xfId="17" builtinId="26" customBuiltin="1"/>
    <cellStyle name="Heading 1" xfId="13" builtinId="16" customBuiltin="1"/>
    <cellStyle name="Heading 2" xfId="14" builtinId="17" customBuiltin="1"/>
    <cellStyle name="Heading 3" xfId="15" builtinId="18" customBuiltin="1"/>
    <cellStyle name="Heading 4" xfId="16" builtinId="19" customBuiltin="1"/>
    <cellStyle name="Hyperlink" xfId="5" builtinId="8"/>
    <cellStyle name="Hyperlink 2" xfId="10" xr:uid="{10C1E3C0-F46B-4E25-BD9A-EE5D62F88FF2}"/>
    <cellStyle name="Input" xfId="19" builtinId="20" customBuiltin="1"/>
    <cellStyle name="Linked Cell" xfId="22" builtinId="24" customBuiltin="1"/>
    <cellStyle name="Neutral 2" xfId="47" xr:uid="{65990A78-3418-4385-8A90-6596C12444EC}"/>
    <cellStyle name="Normal" xfId="0" builtinId="0"/>
    <cellStyle name="Normal 2" xfId="3" xr:uid="{E38C2638-0821-4BB2-9C33-A89D3950ADA6}"/>
    <cellStyle name="Normal 2 2" xfId="4" xr:uid="{7604919E-E68F-4366-A693-6A7B8B8DA661}"/>
    <cellStyle name="Normal 2 3" xfId="9" xr:uid="{8A1E39CD-7ABA-4D79-A464-67010D1209C1}"/>
    <cellStyle name="Normal 2 4" xfId="55" xr:uid="{AE4B3509-A26F-46BA-8AEA-0889CC1E7DEC}"/>
    <cellStyle name="Normal 3" xfId="7" xr:uid="{1C10DAE4-4F9C-4E19-81E4-5574511A6741}"/>
    <cellStyle name="Normal 4" xfId="11" xr:uid="{43272557-B37F-4996-BC18-AA3EDEAFA379}"/>
    <cellStyle name="Normal 5" xfId="12" xr:uid="{642BE191-BE2F-4847-8420-1C59B95E270E}"/>
    <cellStyle name="Normal 6" xfId="54" xr:uid="{40F62795-0E60-4B52-B70B-B046DFB737FF}"/>
    <cellStyle name="Normal 7" xfId="56" xr:uid="{FA32BA9C-5D4D-4191-B1FD-7FE7BC8F9643}"/>
    <cellStyle name="Normal_Prototype_Scorecard-LgOffice-2008-03-13" xfId="1" xr:uid="{F839F8A1-86E5-4008-9801-0F032E8A3317}"/>
    <cellStyle name="Note" xfId="25" builtinId="10" customBuiltin="1"/>
    <cellStyle name="Output" xfId="20" builtinId="21" customBuiltin="1"/>
    <cellStyle name="Percent" xfId="2" builtinId="5"/>
    <cellStyle name="Percent 2" xfId="8" xr:uid="{CB789C3E-741F-4464-8065-385A956411E6}"/>
    <cellStyle name="Title 2" xfId="46" xr:uid="{3F21AD8F-936B-4DFB-B4CB-549B9F2D7A8B}"/>
    <cellStyle name="Total" xfId="27" builtinId="25" customBuiltin="1"/>
    <cellStyle name="Warning Text" xfId="24" builtinId="11" customBuiltin="1"/>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808080"/>
      <color rgb="FFA6A6A6"/>
      <color rgb="FFF1EAF2"/>
      <color rgb="FFDFD1E1"/>
      <color rgb="FFEFE8F0"/>
      <color rgb="FFE3D7E5"/>
      <color rgb="FFCCCCFF"/>
      <color rgb="FF002F8E"/>
      <color rgb="FF8238BA"/>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0.15</c:v>
                </c:pt>
                <c:pt idx="1">
                  <c:v>0.15</c:v>
                </c:pt>
                <c:pt idx="2">
                  <c:v>0.15</c:v>
                </c:pt>
                <c:pt idx="3">
                  <c:v>0.15</c:v>
                </c:pt>
                <c:pt idx="4">
                  <c:v>0.15</c:v>
                </c:pt>
                <c:pt idx="5">
                  <c:v>0.2</c:v>
                </c:pt>
                <c:pt idx="6">
                  <c:v>0.3</c:v>
                </c:pt>
                <c:pt idx="7">
                  <c:v>0.66999999999999993</c:v>
                </c:pt>
                <c:pt idx="8">
                  <c:v>0.73</c:v>
                </c:pt>
                <c:pt idx="9">
                  <c:v>0.75</c:v>
                </c:pt>
                <c:pt idx="10">
                  <c:v>0.85</c:v>
                </c:pt>
                <c:pt idx="11">
                  <c:v>0.85</c:v>
                </c:pt>
                <c:pt idx="12">
                  <c:v>0.85</c:v>
                </c:pt>
                <c:pt idx="13">
                  <c:v>0.83</c:v>
                </c:pt>
                <c:pt idx="14">
                  <c:v>0.72</c:v>
                </c:pt>
                <c:pt idx="15">
                  <c:v>0.64999999999999991</c:v>
                </c:pt>
                <c:pt idx="16">
                  <c:v>0.66999999999999993</c:v>
                </c:pt>
                <c:pt idx="17">
                  <c:v>0.75</c:v>
                </c:pt>
                <c:pt idx="18">
                  <c:v>0.85</c:v>
                </c:pt>
                <c:pt idx="19">
                  <c:v>0.85</c:v>
                </c:pt>
                <c:pt idx="20">
                  <c:v>0.85</c:v>
                </c:pt>
                <c:pt idx="21">
                  <c:v>0.75</c:v>
                </c:pt>
                <c:pt idx="22">
                  <c:v>0.56999999999999995</c:v>
                </c:pt>
                <c:pt idx="23">
                  <c:v>0.3</c:v>
                </c:pt>
              </c:numCache>
            </c:numRef>
          </c:val>
          <c:smooth val="0"/>
          <c:extLst>
            <c:ext xmlns:c16="http://schemas.microsoft.com/office/drawing/2014/chart" uri="{C3380CC4-5D6E-409C-BE32-E72D297353CC}">
              <c16:uniqueId val="{00000000-2801-4868-A297-9CE8C024DA05}"/>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0.15</c:v>
                </c:pt>
                <c:pt idx="1">
                  <c:v>0.15</c:v>
                </c:pt>
                <c:pt idx="2">
                  <c:v>0.15</c:v>
                </c:pt>
                <c:pt idx="3">
                  <c:v>0.15</c:v>
                </c:pt>
                <c:pt idx="4">
                  <c:v>0.15</c:v>
                </c:pt>
                <c:pt idx="5">
                  <c:v>0.2</c:v>
                </c:pt>
                <c:pt idx="6">
                  <c:v>0.3</c:v>
                </c:pt>
                <c:pt idx="7">
                  <c:v>0.66999999999999993</c:v>
                </c:pt>
                <c:pt idx="8">
                  <c:v>0.73</c:v>
                </c:pt>
                <c:pt idx="9">
                  <c:v>0.75</c:v>
                </c:pt>
                <c:pt idx="10">
                  <c:v>0.85</c:v>
                </c:pt>
                <c:pt idx="11">
                  <c:v>0.85</c:v>
                </c:pt>
                <c:pt idx="12">
                  <c:v>0.85</c:v>
                </c:pt>
                <c:pt idx="13">
                  <c:v>0.83</c:v>
                </c:pt>
                <c:pt idx="14">
                  <c:v>0.72</c:v>
                </c:pt>
                <c:pt idx="15">
                  <c:v>0.64999999999999991</c:v>
                </c:pt>
                <c:pt idx="16">
                  <c:v>0.66999999999999993</c:v>
                </c:pt>
                <c:pt idx="17">
                  <c:v>0.75</c:v>
                </c:pt>
                <c:pt idx="18">
                  <c:v>0.85</c:v>
                </c:pt>
                <c:pt idx="19">
                  <c:v>0.85</c:v>
                </c:pt>
                <c:pt idx="20">
                  <c:v>0.85</c:v>
                </c:pt>
                <c:pt idx="21">
                  <c:v>0.75</c:v>
                </c:pt>
                <c:pt idx="22">
                  <c:v>0.56999999999999995</c:v>
                </c:pt>
                <c:pt idx="23">
                  <c:v>0.3</c:v>
                </c:pt>
              </c:numCache>
            </c:numRef>
          </c:val>
          <c:smooth val="0"/>
          <c:extLst>
            <c:ext xmlns:c16="http://schemas.microsoft.com/office/drawing/2014/chart" uri="{C3380CC4-5D6E-409C-BE32-E72D297353CC}">
              <c16:uniqueId val="{00000001-2801-4868-A297-9CE8C024DA05}"/>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0.2</c:v>
                </c:pt>
                <c:pt idx="1">
                  <c:v>0.15</c:v>
                </c:pt>
                <c:pt idx="2">
                  <c:v>0.15</c:v>
                </c:pt>
                <c:pt idx="3">
                  <c:v>0.15</c:v>
                </c:pt>
                <c:pt idx="4">
                  <c:v>0.15</c:v>
                </c:pt>
                <c:pt idx="5">
                  <c:v>0.15</c:v>
                </c:pt>
                <c:pt idx="6">
                  <c:v>0.3</c:v>
                </c:pt>
                <c:pt idx="7">
                  <c:v>0.66999999999999993</c:v>
                </c:pt>
                <c:pt idx="8">
                  <c:v>0.73</c:v>
                </c:pt>
                <c:pt idx="9">
                  <c:v>0.75</c:v>
                </c:pt>
                <c:pt idx="10">
                  <c:v>0.85</c:v>
                </c:pt>
                <c:pt idx="11">
                  <c:v>0.85</c:v>
                </c:pt>
                <c:pt idx="12">
                  <c:v>0.85</c:v>
                </c:pt>
                <c:pt idx="13">
                  <c:v>0.83</c:v>
                </c:pt>
                <c:pt idx="14">
                  <c:v>0.72</c:v>
                </c:pt>
                <c:pt idx="15">
                  <c:v>0.64999999999999991</c:v>
                </c:pt>
                <c:pt idx="16">
                  <c:v>0.66999999999999993</c:v>
                </c:pt>
                <c:pt idx="17">
                  <c:v>0.75</c:v>
                </c:pt>
                <c:pt idx="18">
                  <c:v>0.85</c:v>
                </c:pt>
                <c:pt idx="19">
                  <c:v>0.85</c:v>
                </c:pt>
                <c:pt idx="20">
                  <c:v>0.85</c:v>
                </c:pt>
                <c:pt idx="21">
                  <c:v>0.75</c:v>
                </c:pt>
                <c:pt idx="22">
                  <c:v>0.56999999999999995</c:v>
                </c:pt>
                <c:pt idx="23">
                  <c:v>0.3</c:v>
                </c:pt>
              </c:numCache>
            </c:numRef>
          </c:val>
          <c:smooth val="0"/>
          <c:extLst>
            <c:ext xmlns:c16="http://schemas.microsoft.com/office/drawing/2014/chart" uri="{C3380CC4-5D6E-409C-BE32-E72D297353CC}">
              <c16:uniqueId val="{00000002-2801-4868-A297-9CE8C024DA0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0.15</c:v>
                </c:pt>
                <c:pt idx="1">
                  <c:v>0.15</c:v>
                </c:pt>
                <c:pt idx="2">
                  <c:v>0.15</c:v>
                </c:pt>
                <c:pt idx="3">
                  <c:v>0.15</c:v>
                </c:pt>
                <c:pt idx="4">
                  <c:v>0.15</c:v>
                </c:pt>
                <c:pt idx="5">
                  <c:v>0.2</c:v>
                </c:pt>
                <c:pt idx="6">
                  <c:v>0.3</c:v>
                </c:pt>
                <c:pt idx="7">
                  <c:v>0.72</c:v>
                </c:pt>
                <c:pt idx="8">
                  <c:v>0.78</c:v>
                </c:pt>
                <c:pt idx="9">
                  <c:v>0.8</c:v>
                </c:pt>
                <c:pt idx="10">
                  <c:v>0.9</c:v>
                </c:pt>
                <c:pt idx="11">
                  <c:v>0.9</c:v>
                </c:pt>
                <c:pt idx="12">
                  <c:v>0.9</c:v>
                </c:pt>
                <c:pt idx="13">
                  <c:v>0.88</c:v>
                </c:pt>
                <c:pt idx="14">
                  <c:v>0.77</c:v>
                </c:pt>
                <c:pt idx="15">
                  <c:v>0.7</c:v>
                </c:pt>
                <c:pt idx="16">
                  <c:v>0.72</c:v>
                </c:pt>
                <c:pt idx="17">
                  <c:v>0.8</c:v>
                </c:pt>
                <c:pt idx="18">
                  <c:v>0.9</c:v>
                </c:pt>
                <c:pt idx="19">
                  <c:v>0.9</c:v>
                </c:pt>
                <c:pt idx="20">
                  <c:v>0.9</c:v>
                </c:pt>
                <c:pt idx="21">
                  <c:v>0.8</c:v>
                </c:pt>
                <c:pt idx="22">
                  <c:v>0.62</c:v>
                </c:pt>
                <c:pt idx="23">
                  <c:v>0.3</c:v>
                </c:pt>
              </c:numCache>
            </c:numRef>
          </c:val>
          <c:smooth val="0"/>
          <c:extLst>
            <c:ext xmlns:c16="http://schemas.microsoft.com/office/drawing/2014/chart" uri="{C3380CC4-5D6E-409C-BE32-E72D297353CC}">
              <c16:uniqueId val="{00000000-0748-4F4D-90B3-3FD2F8F642B0}"/>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0.15</c:v>
                </c:pt>
                <c:pt idx="1">
                  <c:v>0.15</c:v>
                </c:pt>
                <c:pt idx="2">
                  <c:v>0.15</c:v>
                </c:pt>
                <c:pt idx="3">
                  <c:v>0.15</c:v>
                </c:pt>
                <c:pt idx="4">
                  <c:v>0.15</c:v>
                </c:pt>
                <c:pt idx="5">
                  <c:v>0.2</c:v>
                </c:pt>
                <c:pt idx="6">
                  <c:v>0.3</c:v>
                </c:pt>
                <c:pt idx="7">
                  <c:v>0.72</c:v>
                </c:pt>
                <c:pt idx="8">
                  <c:v>0.78</c:v>
                </c:pt>
                <c:pt idx="9">
                  <c:v>0.8</c:v>
                </c:pt>
                <c:pt idx="10">
                  <c:v>0.9</c:v>
                </c:pt>
                <c:pt idx="11">
                  <c:v>0.9</c:v>
                </c:pt>
                <c:pt idx="12">
                  <c:v>0.9</c:v>
                </c:pt>
                <c:pt idx="13">
                  <c:v>0.88</c:v>
                </c:pt>
                <c:pt idx="14">
                  <c:v>0.77</c:v>
                </c:pt>
                <c:pt idx="15">
                  <c:v>0.7</c:v>
                </c:pt>
                <c:pt idx="16">
                  <c:v>0.72</c:v>
                </c:pt>
                <c:pt idx="17">
                  <c:v>0.8</c:v>
                </c:pt>
                <c:pt idx="18">
                  <c:v>0.9</c:v>
                </c:pt>
                <c:pt idx="19">
                  <c:v>0.9</c:v>
                </c:pt>
                <c:pt idx="20">
                  <c:v>0.9</c:v>
                </c:pt>
                <c:pt idx="21">
                  <c:v>0.8</c:v>
                </c:pt>
                <c:pt idx="22">
                  <c:v>0.62</c:v>
                </c:pt>
                <c:pt idx="23">
                  <c:v>0.3</c:v>
                </c:pt>
              </c:numCache>
            </c:numRef>
          </c:val>
          <c:smooth val="0"/>
          <c:extLst>
            <c:ext xmlns:c16="http://schemas.microsoft.com/office/drawing/2014/chart" uri="{C3380CC4-5D6E-409C-BE32-E72D297353CC}">
              <c16:uniqueId val="{00000001-0748-4F4D-90B3-3FD2F8F642B0}"/>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Schedules!$F$12:$AC$12</c:f>
              <c:numCache>
                <c:formatCode>0.00</c:formatCode>
                <c:ptCount val="24"/>
                <c:pt idx="0">
                  <c:v>0.2</c:v>
                </c:pt>
                <c:pt idx="1">
                  <c:v>0.15</c:v>
                </c:pt>
                <c:pt idx="2">
                  <c:v>0.15</c:v>
                </c:pt>
                <c:pt idx="3">
                  <c:v>0.15</c:v>
                </c:pt>
                <c:pt idx="4">
                  <c:v>0.15</c:v>
                </c:pt>
                <c:pt idx="5">
                  <c:v>0.15</c:v>
                </c:pt>
                <c:pt idx="6">
                  <c:v>0.3</c:v>
                </c:pt>
                <c:pt idx="7">
                  <c:v>0.72</c:v>
                </c:pt>
                <c:pt idx="8">
                  <c:v>0.78</c:v>
                </c:pt>
                <c:pt idx="9">
                  <c:v>0.8</c:v>
                </c:pt>
                <c:pt idx="10">
                  <c:v>0.9</c:v>
                </c:pt>
                <c:pt idx="11">
                  <c:v>0.9</c:v>
                </c:pt>
                <c:pt idx="12">
                  <c:v>0.9</c:v>
                </c:pt>
                <c:pt idx="13">
                  <c:v>0.88</c:v>
                </c:pt>
                <c:pt idx="14">
                  <c:v>0.77</c:v>
                </c:pt>
                <c:pt idx="15">
                  <c:v>0.7</c:v>
                </c:pt>
                <c:pt idx="16">
                  <c:v>0.72</c:v>
                </c:pt>
                <c:pt idx="17">
                  <c:v>0.8</c:v>
                </c:pt>
                <c:pt idx="18">
                  <c:v>0.9</c:v>
                </c:pt>
                <c:pt idx="19">
                  <c:v>0.9</c:v>
                </c:pt>
                <c:pt idx="20">
                  <c:v>0.9</c:v>
                </c:pt>
                <c:pt idx="21">
                  <c:v>0.8</c:v>
                </c:pt>
                <c:pt idx="22">
                  <c:v>0.62</c:v>
                </c:pt>
                <c:pt idx="23">
                  <c:v>0.3</c:v>
                </c:pt>
              </c:numCache>
            </c:numRef>
          </c:val>
          <c:smooth val="0"/>
          <c:extLst>
            <c:ext xmlns:c16="http://schemas.microsoft.com/office/drawing/2014/chart" uri="{C3380CC4-5D6E-409C-BE32-E72D297353CC}">
              <c16:uniqueId val="{00000002-0748-4F4D-90B3-3FD2F8F642B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Schedules!$C$35</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Schedules!$E$35</c:f>
              <c:strCache>
                <c:ptCount val="1"/>
                <c:pt idx="0">
                  <c:v>Weekday</c:v>
                </c:pt>
              </c:strCache>
            </c:strRef>
          </c:tx>
          <c:spPr>
            <a:ln w="28575" cap="rnd">
              <a:solidFill>
                <a:schemeClr val="accent1"/>
              </a:solidFill>
              <a:round/>
            </a:ln>
            <a:effectLst/>
          </c:spPr>
          <c:marker>
            <c:symbol val="none"/>
          </c:marker>
          <c:val>
            <c:numRef>
              <c:f>Schedules!$F$35:$AC$35</c:f>
              <c:numCache>
                <c:formatCode>0.00</c:formatCode>
                <c:ptCount val="24"/>
                <c:pt idx="0">
                  <c:v>0.15</c:v>
                </c:pt>
                <c:pt idx="1">
                  <c:v>0.15</c:v>
                </c:pt>
                <c:pt idx="2">
                  <c:v>0.15</c:v>
                </c:pt>
                <c:pt idx="3">
                  <c:v>0.15</c:v>
                </c:pt>
                <c:pt idx="4">
                  <c:v>0.15</c:v>
                </c:pt>
                <c:pt idx="5">
                  <c:v>0.2</c:v>
                </c:pt>
                <c:pt idx="6">
                  <c:v>0.3</c:v>
                </c:pt>
                <c:pt idx="7">
                  <c:v>0.66999999999999993</c:v>
                </c:pt>
                <c:pt idx="8">
                  <c:v>0.73</c:v>
                </c:pt>
                <c:pt idx="9">
                  <c:v>0.75</c:v>
                </c:pt>
                <c:pt idx="10">
                  <c:v>0.85</c:v>
                </c:pt>
                <c:pt idx="11">
                  <c:v>0.85</c:v>
                </c:pt>
                <c:pt idx="12">
                  <c:v>0.85</c:v>
                </c:pt>
                <c:pt idx="13">
                  <c:v>0.83</c:v>
                </c:pt>
                <c:pt idx="14">
                  <c:v>0.72</c:v>
                </c:pt>
                <c:pt idx="15">
                  <c:v>0.64999999999999991</c:v>
                </c:pt>
                <c:pt idx="16">
                  <c:v>0.66999999999999993</c:v>
                </c:pt>
                <c:pt idx="17">
                  <c:v>0.75</c:v>
                </c:pt>
                <c:pt idx="18">
                  <c:v>0.85</c:v>
                </c:pt>
                <c:pt idx="19">
                  <c:v>0.85</c:v>
                </c:pt>
                <c:pt idx="20">
                  <c:v>0.85</c:v>
                </c:pt>
                <c:pt idx="21">
                  <c:v>0.75</c:v>
                </c:pt>
                <c:pt idx="22">
                  <c:v>0.56999999999999995</c:v>
                </c:pt>
                <c:pt idx="23">
                  <c:v>0.3</c:v>
                </c:pt>
              </c:numCache>
            </c:numRef>
          </c:val>
          <c:smooth val="0"/>
          <c:extLst>
            <c:ext xmlns:c16="http://schemas.microsoft.com/office/drawing/2014/chart" uri="{C3380CC4-5D6E-409C-BE32-E72D297353CC}">
              <c16:uniqueId val="{00000000-CDA0-47AB-BB9C-56C2B9BA9FF5}"/>
            </c:ext>
          </c:extLst>
        </c:ser>
        <c:ser>
          <c:idx val="1"/>
          <c:order val="1"/>
          <c:tx>
            <c:strRef>
              <c:f>Schedules!$E$36</c:f>
              <c:strCache>
                <c:ptCount val="1"/>
                <c:pt idx="0">
                  <c:v>Saturday</c:v>
                </c:pt>
              </c:strCache>
            </c:strRef>
          </c:tx>
          <c:spPr>
            <a:ln w="28575" cap="rnd">
              <a:solidFill>
                <a:schemeClr val="accent2"/>
              </a:solidFill>
              <a:round/>
            </a:ln>
            <a:effectLst/>
          </c:spPr>
          <c:marker>
            <c:symbol val="none"/>
          </c:marker>
          <c:val>
            <c:numRef>
              <c:f>Schedules!$F$36:$AC$36</c:f>
              <c:numCache>
                <c:formatCode>0.00</c:formatCode>
                <c:ptCount val="24"/>
                <c:pt idx="0">
                  <c:v>0.15</c:v>
                </c:pt>
                <c:pt idx="1">
                  <c:v>0.15</c:v>
                </c:pt>
                <c:pt idx="2">
                  <c:v>0.15</c:v>
                </c:pt>
                <c:pt idx="3">
                  <c:v>0.15</c:v>
                </c:pt>
                <c:pt idx="4">
                  <c:v>0.15</c:v>
                </c:pt>
                <c:pt idx="5">
                  <c:v>0.2</c:v>
                </c:pt>
                <c:pt idx="6">
                  <c:v>0.3</c:v>
                </c:pt>
                <c:pt idx="7">
                  <c:v>0.66999999999999993</c:v>
                </c:pt>
                <c:pt idx="8">
                  <c:v>0.73</c:v>
                </c:pt>
                <c:pt idx="9">
                  <c:v>0.75</c:v>
                </c:pt>
                <c:pt idx="10">
                  <c:v>0.85</c:v>
                </c:pt>
                <c:pt idx="11">
                  <c:v>0.85</c:v>
                </c:pt>
                <c:pt idx="12">
                  <c:v>0.85</c:v>
                </c:pt>
                <c:pt idx="13">
                  <c:v>0.83</c:v>
                </c:pt>
                <c:pt idx="14">
                  <c:v>0.72</c:v>
                </c:pt>
                <c:pt idx="15">
                  <c:v>0.64999999999999991</c:v>
                </c:pt>
                <c:pt idx="16">
                  <c:v>0.66999999999999993</c:v>
                </c:pt>
                <c:pt idx="17">
                  <c:v>0.75</c:v>
                </c:pt>
                <c:pt idx="18">
                  <c:v>0.85</c:v>
                </c:pt>
                <c:pt idx="19">
                  <c:v>0.85</c:v>
                </c:pt>
                <c:pt idx="20">
                  <c:v>0.85</c:v>
                </c:pt>
                <c:pt idx="21">
                  <c:v>0.75</c:v>
                </c:pt>
                <c:pt idx="22">
                  <c:v>0.56999999999999995</c:v>
                </c:pt>
                <c:pt idx="23">
                  <c:v>0.3</c:v>
                </c:pt>
              </c:numCache>
            </c:numRef>
          </c:val>
          <c:smooth val="0"/>
          <c:extLst>
            <c:ext xmlns:c16="http://schemas.microsoft.com/office/drawing/2014/chart" uri="{C3380CC4-5D6E-409C-BE32-E72D297353CC}">
              <c16:uniqueId val="{00000001-CDA0-47AB-BB9C-56C2B9BA9FF5}"/>
            </c:ext>
          </c:extLst>
        </c:ser>
        <c:ser>
          <c:idx val="2"/>
          <c:order val="2"/>
          <c:tx>
            <c:strRef>
              <c:f>Schedules!$E$37</c:f>
              <c:strCache>
                <c:ptCount val="1"/>
                <c:pt idx="0">
                  <c:v>Sunday</c:v>
                </c:pt>
              </c:strCache>
            </c:strRef>
          </c:tx>
          <c:spPr>
            <a:ln w="28575" cap="rnd">
              <a:solidFill>
                <a:schemeClr val="accent3"/>
              </a:solidFill>
              <a:round/>
            </a:ln>
            <a:effectLst/>
          </c:spPr>
          <c:marker>
            <c:symbol val="none"/>
          </c:marker>
          <c:val>
            <c:numRef>
              <c:f>Schedules!$F$37:$AC$37</c:f>
              <c:numCache>
                <c:formatCode>0.00</c:formatCode>
                <c:ptCount val="24"/>
                <c:pt idx="0">
                  <c:v>0.2</c:v>
                </c:pt>
                <c:pt idx="1">
                  <c:v>0.15</c:v>
                </c:pt>
                <c:pt idx="2">
                  <c:v>0.15</c:v>
                </c:pt>
                <c:pt idx="3">
                  <c:v>0.15</c:v>
                </c:pt>
                <c:pt idx="4">
                  <c:v>0.15</c:v>
                </c:pt>
                <c:pt idx="5">
                  <c:v>0.15</c:v>
                </c:pt>
                <c:pt idx="6">
                  <c:v>0.3</c:v>
                </c:pt>
                <c:pt idx="7">
                  <c:v>0.66999999999999993</c:v>
                </c:pt>
                <c:pt idx="8">
                  <c:v>0.73</c:v>
                </c:pt>
                <c:pt idx="9">
                  <c:v>0.75</c:v>
                </c:pt>
                <c:pt idx="10">
                  <c:v>0.85</c:v>
                </c:pt>
                <c:pt idx="11">
                  <c:v>0.85</c:v>
                </c:pt>
                <c:pt idx="12">
                  <c:v>0.85</c:v>
                </c:pt>
                <c:pt idx="13">
                  <c:v>0.83</c:v>
                </c:pt>
                <c:pt idx="14">
                  <c:v>0.72</c:v>
                </c:pt>
                <c:pt idx="15">
                  <c:v>0.64999999999999991</c:v>
                </c:pt>
                <c:pt idx="16">
                  <c:v>0.66999999999999993</c:v>
                </c:pt>
                <c:pt idx="17">
                  <c:v>0.75</c:v>
                </c:pt>
                <c:pt idx="18">
                  <c:v>0.85</c:v>
                </c:pt>
                <c:pt idx="19">
                  <c:v>0.85</c:v>
                </c:pt>
                <c:pt idx="20">
                  <c:v>0.85</c:v>
                </c:pt>
                <c:pt idx="21">
                  <c:v>0.75</c:v>
                </c:pt>
                <c:pt idx="22">
                  <c:v>0.56999999999999995</c:v>
                </c:pt>
                <c:pt idx="23">
                  <c:v>0.3</c:v>
                </c:pt>
              </c:numCache>
            </c:numRef>
          </c:val>
          <c:smooth val="0"/>
          <c:extLst>
            <c:ext xmlns:c16="http://schemas.microsoft.com/office/drawing/2014/chart" uri="{C3380CC4-5D6E-409C-BE32-E72D297353CC}">
              <c16:uniqueId val="{00000002-CDA0-47AB-BB9C-56C2B9BA9FF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Infiltration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Schedules!$E$19</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0.25</c:v>
                </c:pt>
                <c:pt idx="1">
                  <c:v>0</c:v>
                </c:pt>
                <c:pt idx="2">
                  <c:v>0</c:v>
                </c:pt>
                <c:pt idx="3">
                  <c:v>1</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0-A267-4E1F-92B5-F569B6561890}"/>
            </c:ext>
          </c:extLst>
        </c:ser>
        <c:ser>
          <c:idx val="1"/>
          <c:order val="1"/>
          <c:tx>
            <c:strRef>
              <c:f>Schedules!$E$20</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0.25</c:v>
                </c:pt>
                <c:pt idx="1">
                  <c:v>0</c:v>
                </c:pt>
                <c:pt idx="2">
                  <c:v>0</c:v>
                </c:pt>
                <c:pt idx="3">
                  <c:v>1</c:v>
                </c:pt>
                <c:pt idx="4">
                  <c:v>1</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1-A267-4E1F-92B5-F569B6561890}"/>
            </c:ext>
          </c:extLst>
        </c:ser>
        <c:ser>
          <c:idx val="2"/>
          <c:order val="2"/>
          <c:tx>
            <c:strRef>
              <c:f>Schedules!$E$21</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0.25</c:v>
                </c:pt>
                <c:pt idx="1">
                  <c:v>0</c:v>
                </c:pt>
                <c:pt idx="2">
                  <c:v>0</c:v>
                </c:pt>
                <c:pt idx="3">
                  <c:v>1</c:v>
                </c:pt>
                <c:pt idx="4">
                  <c:v>1</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2-A267-4E1F-92B5-F569B656189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HVACAvail</c:v>
            </c:pt>
          </c:strCache>
        </c:strRef>
      </c:tx>
      <c:layout>
        <c:manualLayout>
          <c:xMode val="edge"/>
          <c:yMode val="edge"/>
          <c:x val="0.4052157003101885"/>
          <c:y val="4.6886614901292679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Schedules!$F$13:$AC$13</c:f>
              <c:numCache>
                <c:formatCode>0.00</c:formatCode>
                <c:ptCount val="24"/>
                <c:pt idx="0">
                  <c:v>1</c:v>
                </c:pt>
                <c:pt idx="1">
                  <c:v>0</c:v>
                </c:pt>
                <c:pt idx="2">
                  <c:v>0</c:v>
                </c:pt>
                <c:pt idx="3">
                  <c:v>0</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897E-40A6-ABDA-32B64FD7CDBB}"/>
            </c:ext>
          </c:extLst>
        </c:ser>
        <c:ser>
          <c:idx val="1"/>
          <c:order val="1"/>
          <c:tx>
            <c:strRef>
              <c:f>Schedules!$E$14</c:f>
              <c:strCache>
                <c:ptCount val="1"/>
                <c:pt idx="0">
                  <c:v>Saturday</c:v>
                </c:pt>
              </c:strCache>
            </c:strRef>
          </c:tx>
          <c:spPr>
            <a:ln w="28575" cap="rnd">
              <a:solidFill>
                <a:schemeClr val="accent2"/>
              </a:solidFill>
              <a:round/>
            </a:ln>
            <a:effectLst/>
          </c:spPr>
          <c:marker>
            <c:symbol val="none"/>
          </c:marker>
          <c:val>
            <c:numRef>
              <c:f>Schedules!$F$14:$AC$14</c:f>
              <c:numCache>
                <c:formatCode>0.00</c:formatCode>
                <c:ptCount val="24"/>
                <c:pt idx="0">
                  <c:v>1</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897E-40A6-ABDA-32B64FD7CDBB}"/>
            </c:ext>
          </c:extLst>
        </c:ser>
        <c:ser>
          <c:idx val="2"/>
          <c:order val="2"/>
          <c:tx>
            <c:strRef>
              <c:f>Schedules!$E$15</c:f>
              <c:strCache>
                <c:ptCount val="1"/>
                <c:pt idx="0">
                  <c:v>Sunday</c:v>
                </c:pt>
              </c:strCache>
            </c:strRef>
          </c:tx>
          <c:spPr>
            <a:ln w="28575" cap="rnd">
              <a:solidFill>
                <a:schemeClr val="accent3"/>
              </a:solidFill>
              <a:round/>
            </a:ln>
            <a:effectLst/>
          </c:spPr>
          <c:marker>
            <c:symbol val="none"/>
          </c:marker>
          <c:val>
            <c:numRef>
              <c:f>Schedules!$F$15:$AC$15</c:f>
              <c:numCache>
                <c:formatCode>0.00</c:formatCode>
                <c:ptCount val="24"/>
                <c:pt idx="0">
                  <c:v>1</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897E-40A6-ABDA-32B64FD7CDB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0147921451656803"/>
          <c:y val="4.561630707102851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Schedules!$E$16</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0.2</c:v>
                </c:pt>
                <c:pt idx="1">
                  <c:v>0</c:v>
                </c:pt>
                <c:pt idx="2">
                  <c:v>0</c:v>
                </c:pt>
                <c:pt idx="3">
                  <c:v>0</c:v>
                </c:pt>
                <c:pt idx="4">
                  <c:v>0</c:v>
                </c:pt>
                <c:pt idx="5">
                  <c:v>0.6</c:v>
                </c:pt>
                <c:pt idx="6">
                  <c:v>0.6</c:v>
                </c:pt>
                <c:pt idx="7">
                  <c:v>0.6</c:v>
                </c:pt>
                <c:pt idx="8">
                  <c:v>0.55000000000000004</c:v>
                </c:pt>
                <c:pt idx="9">
                  <c:v>0.45</c:v>
                </c:pt>
                <c:pt idx="10">
                  <c:v>0.4</c:v>
                </c:pt>
                <c:pt idx="11">
                  <c:v>0.45</c:v>
                </c:pt>
                <c:pt idx="12">
                  <c:v>0.4</c:v>
                </c:pt>
                <c:pt idx="13">
                  <c:v>0.35</c:v>
                </c:pt>
                <c:pt idx="14">
                  <c:v>0.3</c:v>
                </c:pt>
                <c:pt idx="15">
                  <c:v>0.3</c:v>
                </c:pt>
                <c:pt idx="16">
                  <c:v>0.3</c:v>
                </c:pt>
                <c:pt idx="17">
                  <c:v>0.4</c:v>
                </c:pt>
                <c:pt idx="18">
                  <c:v>0.55000000000000004</c:v>
                </c:pt>
                <c:pt idx="19">
                  <c:v>0.6</c:v>
                </c:pt>
                <c:pt idx="20">
                  <c:v>0.5</c:v>
                </c:pt>
                <c:pt idx="21">
                  <c:v>0.55000000000000004</c:v>
                </c:pt>
                <c:pt idx="22">
                  <c:v>0.45</c:v>
                </c:pt>
                <c:pt idx="23">
                  <c:v>0.25</c:v>
                </c:pt>
              </c:numCache>
            </c:numRef>
          </c:val>
          <c:smooth val="0"/>
          <c:extLst>
            <c:ext xmlns:c16="http://schemas.microsoft.com/office/drawing/2014/chart" uri="{C3380CC4-5D6E-409C-BE32-E72D297353CC}">
              <c16:uniqueId val="{00000000-3892-4483-86FE-254C151EC2DC}"/>
            </c:ext>
          </c:extLst>
        </c:ser>
        <c:ser>
          <c:idx val="1"/>
          <c:order val="1"/>
          <c:tx>
            <c:strRef>
              <c:f>Schedules!$E$17</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0.2</c:v>
                </c:pt>
                <c:pt idx="1">
                  <c:v>0</c:v>
                </c:pt>
                <c:pt idx="2">
                  <c:v>0</c:v>
                </c:pt>
                <c:pt idx="3">
                  <c:v>0</c:v>
                </c:pt>
                <c:pt idx="4">
                  <c:v>0</c:v>
                </c:pt>
                <c:pt idx="5">
                  <c:v>0</c:v>
                </c:pt>
                <c:pt idx="6">
                  <c:v>0.5</c:v>
                </c:pt>
                <c:pt idx="7">
                  <c:v>0.5</c:v>
                </c:pt>
                <c:pt idx="8">
                  <c:v>0.5</c:v>
                </c:pt>
                <c:pt idx="9">
                  <c:v>0.5</c:v>
                </c:pt>
                <c:pt idx="10">
                  <c:v>0.45</c:v>
                </c:pt>
                <c:pt idx="11">
                  <c:v>0.5</c:v>
                </c:pt>
                <c:pt idx="12">
                  <c:v>0.5</c:v>
                </c:pt>
                <c:pt idx="13">
                  <c:v>0.45</c:v>
                </c:pt>
                <c:pt idx="14">
                  <c:v>0.4</c:v>
                </c:pt>
                <c:pt idx="15">
                  <c:v>0.4</c:v>
                </c:pt>
                <c:pt idx="16">
                  <c:v>0.35</c:v>
                </c:pt>
                <c:pt idx="17">
                  <c:v>0.4</c:v>
                </c:pt>
                <c:pt idx="18">
                  <c:v>0.55000000000000004</c:v>
                </c:pt>
                <c:pt idx="19">
                  <c:v>0.55000000000000004</c:v>
                </c:pt>
                <c:pt idx="20">
                  <c:v>0.5</c:v>
                </c:pt>
                <c:pt idx="21">
                  <c:v>0.55000000000000004</c:v>
                </c:pt>
                <c:pt idx="22">
                  <c:v>0.4</c:v>
                </c:pt>
                <c:pt idx="23">
                  <c:v>0.3</c:v>
                </c:pt>
              </c:numCache>
            </c:numRef>
          </c:val>
          <c:smooth val="0"/>
          <c:extLst>
            <c:ext xmlns:c16="http://schemas.microsoft.com/office/drawing/2014/chart" uri="{C3380CC4-5D6E-409C-BE32-E72D297353CC}">
              <c16:uniqueId val="{00000001-3892-4483-86FE-254C151EC2DC}"/>
            </c:ext>
          </c:extLst>
        </c:ser>
        <c:ser>
          <c:idx val="2"/>
          <c:order val="2"/>
          <c:tx>
            <c:strRef>
              <c:f>Schedules!$E$18</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0.25</c:v>
                </c:pt>
                <c:pt idx="1">
                  <c:v>0</c:v>
                </c:pt>
                <c:pt idx="2">
                  <c:v>0</c:v>
                </c:pt>
                <c:pt idx="3">
                  <c:v>0</c:v>
                </c:pt>
                <c:pt idx="4">
                  <c:v>0</c:v>
                </c:pt>
                <c:pt idx="5">
                  <c:v>0</c:v>
                </c:pt>
                <c:pt idx="6">
                  <c:v>0.5</c:v>
                </c:pt>
                <c:pt idx="7">
                  <c:v>0.5</c:v>
                </c:pt>
                <c:pt idx="8">
                  <c:v>0.5</c:v>
                </c:pt>
                <c:pt idx="9">
                  <c:v>0.5</c:v>
                </c:pt>
                <c:pt idx="10">
                  <c:v>0.5</c:v>
                </c:pt>
                <c:pt idx="11">
                  <c:v>0.5</c:v>
                </c:pt>
                <c:pt idx="12">
                  <c:v>0.4</c:v>
                </c:pt>
                <c:pt idx="13">
                  <c:v>0.4</c:v>
                </c:pt>
                <c:pt idx="14">
                  <c:v>0.3</c:v>
                </c:pt>
                <c:pt idx="15">
                  <c:v>0.3</c:v>
                </c:pt>
                <c:pt idx="16">
                  <c:v>0.3</c:v>
                </c:pt>
                <c:pt idx="17">
                  <c:v>0.4</c:v>
                </c:pt>
                <c:pt idx="18">
                  <c:v>0.5</c:v>
                </c:pt>
                <c:pt idx="19">
                  <c:v>0.5</c:v>
                </c:pt>
                <c:pt idx="20">
                  <c:v>0.4</c:v>
                </c:pt>
                <c:pt idx="21">
                  <c:v>0.5</c:v>
                </c:pt>
                <c:pt idx="22">
                  <c:v>0.4</c:v>
                </c:pt>
                <c:pt idx="23">
                  <c:v>0.2</c:v>
                </c:pt>
              </c:numCache>
            </c:numRef>
          </c:val>
          <c:smooth val="0"/>
          <c:extLst>
            <c:ext xmlns:c16="http://schemas.microsoft.com/office/drawing/2014/chart" uri="{C3380CC4-5D6E-409C-BE32-E72D297353CC}">
              <c16:uniqueId val="{00000002-3892-4483-86FE-254C151EC2D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Schedules!$C$38</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Schedules!$E$38</c:f>
              <c:strCache>
                <c:ptCount val="1"/>
                <c:pt idx="0">
                  <c:v>Weekday</c:v>
                </c:pt>
              </c:strCache>
            </c:strRef>
          </c:tx>
          <c:spPr>
            <a:ln w="28575" cap="rnd">
              <a:solidFill>
                <a:schemeClr val="accent1"/>
              </a:solidFill>
              <a:round/>
            </a:ln>
            <a:effectLst/>
          </c:spPr>
          <c:marker>
            <c:symbol val="none"/>
          </c:marker>
          <c:val>
            <c:numRef>
              <c:f>Schedules!$F$38:$AC$38</c:f>
              <c:numCache>
                <c:formatCode>0.00</c:formatCode>
                <c:ptCount val="24"/>
                <c:pt idx="0">
                  <c:v>0.15</c:v>
                </c:pt>
                <c:pt idx="1">
                  <c:v>0.15</c:v>
                </c:pt>
                <c:pt idx="2">
                  <c:v>0.15</c:v>
                </c:pt>
                <c:pt idx="3">
                  <c:v>0.15</c:v>
                </c:pt>
                <c:pt idx="4">
                  <c:v>0.15</c:v>
                </c:pt>
                <c:pt idx="5">
                  <c:v>0.2</c:v>
                </c:pt>
                <c:pt idx="6">
                  <c:v>0.3</c:v>
                </c:pt>
                <c:pt idx="7">
                  <c:v>0.72</c:v>
                </c:pt>
                <c:pt idx="8">
                  <c:v>0.78</c:v>
                </c:pt>
                <c:pt idx="9">
                  <c:v>0.8</c:v>
                </c:pt>
                <c:pt idx="10">
                  <c:v>0.9</c:v>
                </c:pt>
                <c:pt idx="11">
                  <c:v>0.9</c:v>
                </c:pt>
                <c:pt idx="12">
                  <c:v>0.9</c:v>
                </c:pt>
                <c:pt idx="13">
                  <c:v>0.88</c:v>
                </c:pt>
                <c:pt idx="14">
                  <c:v>0.77</c:v>
                </c:pt>
                <c:pt idx="15">
                  <c:v>0.7</c:v>
                </c:pt>
                <c:pt idx="16">
                  <c:v>0.72</c:v>
                </c:pt>
                <c:pt idx="17">
                  <c:v>0.8</c:v>
                </c:pt>
                <c:pt idx="18">
                  <c:v>0.9</c:v>
                </c:pt>
                <c:pt idx="19">
                  <c:v>0.9</c:v>
                </c:pt>
                <c:pt idx="20">
                  <c:v>0.9</c:v>
                </c:pt>
                <c:pt idx="21">
                  <c:v>0.8</c:v>
                </c:pt>
                <c:pt idx="22">
                  <c:v>0.62</c:v>
                </c:pt>
                <c:pt idx="23">
                  <c:v>0.3</c:v>
                </c:pt>
              </c:numCache>
            </c:numRef>
          </c:val>
          <c:smooth val="0"/>
          <c:extLst>
            <c:ext xmlns:c16="http://schemas.microsoft.com/office/drawing/2014/chart" uri="{C3380CC4-5D6E-409C-BE32-E72D297353CC}">
              <c16:uniqueId val="{00000000-86AA-42FD-A8D8-F82FAF02DE65}"/>
            </c:ext>
          </c:extLst>
        </c:ser>
        <c:ser>
          <c:idx val="1"/>
          <c:order val="1"/>
          <c:tx>
            <c:strRef>
              <c:f>Schedules!$E$39</c:f>
              <c:strCache>
                <c:ptCount val="1"/>
                <c:pt idx="0">
                  <c:v>Saturday</c:v>
                </c:pt>
              </c:strCache>
            </c:strRef>
          </c:tx>
          <c:spPr>
            <a:ln w="28575" cap="rnd">
              <a:solidFill>
                <a:schemeClr val="accent2"/>
              </a:solidFill>
              <a:round/>
            </a:ln>
            <a:effectLst/>
          </c:spPr>
          <c:marker>
            <c:symbol val="none"/>
          </c:marker>
          <c:val>
            <c:numRef>
              <c:f>Schedules!$F$39:$AC$39</c:f>
              <c:numCache>
                <c:formatCode>0.00</c:formatCode>
                <c:ptCount val="24"/>
                <c:pt idx="0">
                  <c:v>0.15</c:v>
                </c:pt>
                <c:pt idx="1">
                  <c:v>0.15</c:v>
                </c:pt>
                <c:pt idx="2">
                  <c:v>0.15</c:v>
                </c:pt>
                <c:pt idx="3">
                  <c:v>0.15</c:v>
                </c:pt>
                <c:pt idx="4">
                  <c:v>0.15</c:v>
                </c:pt>
                <c:pt idx="5">
                  <c:v>0.2</c:v>
                </c:pt>
                <c:pt idx="6">
                  <c:v>0.3</c:v>
                </c:pt>
                <c:pt idx="7">
                  <c:v>0.72</c:v>
                </c:pt>
                <c:pt idx="8">
                  <c:v>0.78</c:v>
                </c:pt>
                <c:pt idx="9">
                  <c:v>0.8</c:v>
                </c:pt>
                <c:pt idx="10">
                  <c:v>0.9</c:v>
                </c:pt>
                <c:pt idx="11">
                  <c:v>0.9</c:v>
                </c:pt>
                <c:pt idx="12">
                  <c:v>0.9</c:v>
                </c:pt>
                <c:pt idx="13">
                  <c:v>0.88</c:v>
                </c:pt>
                <c:pt idx="14">
                  <c:v>0.77</c:v>
                </c:pt>
                <c:pt idx="15">
                  <c:v>0.7</c:v>
                </c:pt>
                <c:pt idx="16">
                  <c:v>0.72</c:v>
                </c:pt>
                <c:pt idx="17">
                  <c:v>0.8</c:v>
                </c:pt>
                <c:pt idx="18">
                  <c:v>0.9</c:v>
                </c:pt>
                <c:pt idx="19">
                  <c:v>0.9</c:v>
                </c:pt>
                <c:pt idx="20">
                  <c:v>0.9</c:v>
                </c:pt>
                <c:pt idx="21">
                  <c:v>0.8</c:v>
                </c:pt>
                <c:pt idx="22">
                  <c:v>0.62</c:v>
                </c:pt>
                <c:pt idx="23">
                  <c:v>0.3</c:v>
                </c:pt>
              </c:numCache>
            </c:numRef>
          </c:val>
          <c:smooth val="0"/>
          <c:extLst>
            <c:ext xmlns:c16="http://schemas.microsoft.com/office/drawing/2014/chart" uri="{C3380CC4-5D6E-409C-BE32-E72D297353CC}">
              <c16:uniqueId val="{00000001-86AA-42FD-A8D8-F82FAF02DE65}"/>
            </c:ext>
          </c:extLst>
        </c:ser>
        <c:ser>
          <c:idx val="2"/>
          <c:order val="2"/>
          <c:tx>
            <c:strRef>
              <c:f>Schedules!$E$40</c:f>
              <c:strCache>
                <c:ptCount val="1"/>
                <c:pt idx="0">
                  <c:v>Sunday</c:v>
                </c:pt>
              </c:strCache>
            </c:strRef>
          </c:tx>
          <c:spPr>
            <a:ln w="28575" cap="rnd">
              <a:solidFill>
                <a:schemeClr val="accent3"/>
              </a:solidFill>
              <a:round/>
            </a:ln>
            <a:effectLst/>
          </c:spPr>
          <c:marker>
            <c:symbol val="none"/>
          </c:marker>
          <c:val>
            <c:numRef>
              <c:f>Schedules!$F$40:$AC$40</c:f>
              <c:numCache>
                <c:formatCode>0.00</c:formatCode>
                <c:ptCount val="24"/>
                <c:pt idx="0">
                  <c:v>0.2</c:v>
                </c:pt>
                <c:pt idx="1">
                  <c:v>0.15</c:v>
                </c:pt>
                <c:pt idx="2">
                  <c:v>0.15</c:v>
                </c:pt>
                <c:pt idx="3">
                  <c:v>0.15</c:v>
                </c:pt>
                <c:pt idx="4">
                  <c:v>0.15</c:v>
                </c:pt>
                <c:pt idx="5">
                  <c:v>0.15</c:v>
                </c:pt>
                <c:pt idx="6">
                  <c:v>0.3</c:v>
                </c:pt>
                <c:pt idx="7">
                  <c:v>0.72</c:v>
                </c:pt>
                <c:pt idx="8">
                  <c:v>0.78</c:v>
                </c:pt>
                <c:pt idx="9">
                  <c:v>0.8</c:v>
                </c:pt>
                <c:pt idx="10">
                  <c:v>0.9</c:v>
                </c:pt>
                <c:pt idx="11">
                  <c:v>0.9</c:v>
                </c:pt>
                <c:pt idx="12">
                  <c:v>0.9</c:v>
                </c:pt>
                <c:pt idx="13">
                  <c:v>0.88</c:v>
                </c:pt>
                <c:pt idx="14">
                  <c:v>0.77</c:v>
                </c:pt>
                <c:pt idx="15">
                  <c:v>0.7</c:v>
                </c:pt>
                <c:pt idx="16">
                  <c:v>0.72</c:v>
                </c:pt>
                <c:pt idx="17">
                  <c:v>0.8</c:v>
                </c:pt>
                <c:pt idx="18">
                  <c:v>0.9</c:v>
                </c:pt>
                <c:pt idx="19">
                  <c:v>0.9</c:v>
                </c:pt>
                <c:pt idx="20">
                  <c:v>0.9</c:v>
                </c:pt>
                <c:pt idx="21">
                  <c:v>0.8</c:v>
                </c:pt>
                <c:pt idx="22">
                  <c:v>0.62</c:v>
                </c:pt>
                <c:pt idx="23">
                  <c:v>0.3</c:v>
                </c:pt>
              </c:numCache>
            </c:numRef>
          </c:val>
          <c:smooth val="0"/>
          <c:extLst>
            <c:ext xmlns:c16="http://schemas.microsoft.com/office/drawing/2014/chart" uri="{C3380CC4-5D6E-409C-BE32-E72D297353CC}">
              <c16:uniqueId val="{00000002-86AA-42FD-A8D8-F82FAF02DE6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Schedules!$C$44</c:f>
          <c:strCache>
            <c:ptCount val="1"/>
            <c:pt idx="0">
              <c:v>ServiceHotWater</c:v>
            </c:pt>
          </c:strCache>
        </c:strRef>
      </c:tx>
      <c:layout>
        <c:manualLayout>
          <c:xMode val="edge"/>
          <c:yMode val="edge"/>
          <c:x val="0.35116381407767783"/>
          <c:y val="4.9997826112733838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Schedules!$E$44</c:f>
              <c:strCache>
                <c:ptCount val="1"/>
                <c:pt idx="0">
                  <c:v>Weekday</c:v>
                </c:pt>
              </c:strCache>
            </c:strRef>
          </c:tx>
          <c:spPr>
            <a:ln w="28575" cap="rnd">
              <a:solidFill>
                <a:schemeClr val="accent1"/>
              </a:solidFill>
              <a:round/>
            </a:ln>
            <a:effectLst/>
          </c:spPr>
          <c:marker>
            <c:symbol val="none"/>
          </c:marker>
          <c:val>
            <c:numRef>
              <c:f>Schedules!$F$44:$AC$44</c:f>
              <c:numCache>
                <c:formatCode>0.00</c:formatCode>
                <c:ptCount val="24"/>
                <c:pt idx="0">
                  <c:v>0.2</c:v>
                </c:pt>
                <c:pt idx="1">
                  <c:v>0</c:v>
                </c:pt>
                <c:pt idx="2">
                  <c:v>0</c:v>
                </c:pt>
                <c:pt idx="3">
                  <c:v>0</c:v>
                </c:pt>
                <c:pt idx="4">
                  <c:v>0</c:v>
                </c:pt>
                <c:pt idx="5">
                  <c:v>0.2</c:v>
                </c:pt>
                <c:pt idx="6">
                  <c:v>0.2</c:v>
                </c:pt>
                <c:pt idx="7">
                  <c:v>0.3</c:v>
                </c:pt>
                <c:pt idx="8">
                  <c:v>0.3</c:v>
                </c:pt>
                <c:pt idx="9">
                  <c:v>0.3</c:v>
                </c:pt>
                <c:pt idx="10">
                  <c:v>0.4</c:v>
                </c:pt>
                <c:pt idx="11">
                  <c:v>0.45</c:v>
                </c:pt>
                <c:pt idx="12">
                  <c:v>0.4</c:v>
                </c:pt>
                <c:pt idx="13">
                  <c:v>0.35</c:v>
                </c:pt>
                <c:pt idx="14">
                  <c:v>0.3</c:v>
                </c:pt>
                <c:pt idx="15">
                  <c:v>0.3</c:v>
                </c:pt>
                <c:pt idx="16">
                  <c:v>0.3</c:v>
                </c:pt>
                <c:pt idx="17">
                  <c:v>0.4</c:v>
                </c:pt>
                <c:pt idx="18">
                  <c:v>0.55000000000000004</c:v>
                </c:pt>
                <c:pt idx="19">
                  <c:v>0.6</c:v>
                </c:pt>
                <c:pt idx="20">
                  <c:v>0.5</c:v>
                </c:pt>
                <c:pt idx="21">
                  <c:v>0.55000000000000004</c:v>
                </c:pt>
                <c:pt idx="22">
                  <c:v>0.45</c:v>
                </c:pt>
                <c:pt idx="23">
                  <c:v>0.2</c:v>
                </c:pt>
              </c:numCache>
            </c:numRef>
          </c:val>
          <c:smooth val="0"/>
          <c:extLst>
            <c:ext xmlns:c16="http://schemas.microsoft.com/office/drawing/2014/chart" uri="{C3380CC4-5D6E-409C-BE32-E72D297353CC}">
              <c16:uniqueId val="{00000000-3FD9-442E-BAED-CDBB21663685}"/>
            </c:ext>
          </c:extLst>
        </c:ser>
        <c:ser>
          <c:idx val="1"/>
          <c:order val="1"/>
          <c:tx>
            <c:strRef>
              <c:f>Schedules!$E$45</c:f>
              <c:strCache>
                <c:ptCount val="1"/>
                <c:pt idx="0">
                  <c:v>Saturday</c:v>
                </c:pt>
              </c:strCache>
            </c:strRef>
          </c:tx>
          <c:spPr>
            <a:ln w="28575" cap="rnd">
              <a:solidFill>
                <a:schemeClr val="accent2"/>
              </a:solidFill>
              <a:round/>
            </a:ln>
            <a:effectLst/>
          </c:spPr>
          <c:marker>
            <c:symbol val="none"/>
          </c:marker>
          <c:val>
            <c:numRef>
              <c:f>Schedules!$F$45:$AC$45</c:f>
              <c:numCache>
                <c:formatCode>0.00</c:formatCode>
                <c:ptCount val="24"/>
                <c:pt idx="0">
                  <c:v>0.2</c:v>
                </c:pt>
                <c:pt idx="1">
                  <c:v>0</c:v>
                </c:pt>
                <c:pt idx="2">
                  <c:v>0</c:v>
                </c:pt>
                <c:pt idx="3">
                  <c:v>0</c:v>
                </c:pt>
                <c:pt idx="4">
                  <c:v>0</c:v>
                </c:pt>
                <c:pt idx="5">
                  <c:v>0</c:v>
                </c:pt>
                <c:pt idx="6">
                  <c:v>0.2</c:v>
                </c:pt>
                <c:pt idx="7">
                  <c:v>0.2</c:v>
                </c:pt>
                <c:pt idx="8">
                  <c:v>0.3</c:v>
                </c:pt>
                <c:pt idx="9">
                  <c:v>0.3</c:v>
                </c:pt>
                <c:pt idx="10">
                  <c:v>0.45</c:v>
                </c:pt>
                <c:pt idx="11">
                  <c:v>0.5</c:v>
                </c:pt>
                <c:pt idx="12">
                  <c:v>0.5</c:v>
                </c:pt>
                <c:pt idx="13">
                  <c:v>0.45</c:v>
                </c:pt>
                <c:pt idx="14">
                  <c:v>0.4</c:v>
                </c:pt>
                <c:pt idx="15">
                  <c:v>0.4</c:v>
                </c:pt>
                <c:pt idx="16">
                  <c:v>0.35</c:v>
                </c:pt>
                <c:pt idx="17">
                  <c:v>0.4</c:v>
                </c:pt>
                <c:pt idx="18">
                  <c:v>0.55000000000000004</c:v>
                </c:pt>
                <c:pt idx="19">
                  <c:v>0.55000000000000004</c:v>
                </c:pt>
                <c:pt idx="20">
                  <c:v>0.5</c:v>
                </c:pt>
                <c:pt idx="21">
                  <c:v>0.55000000000000004</c:v>
                </c:pt>
                <c:pt idx="22">
                  <c:v>0.4</c:v>
                </c:pt>
                <c:pt idx="23">
                  <c:v>0.2</c:v>
                </c:pt>
              </c:numCache>
            </c:numRef>
          </c:val>
          <c:smooth val="0"/>
          <c:extLst>
            <c:ext xmlns:c16="http://schemas.microsoft.com/office/drawing/2014/chart" uri="{C3380CC4-5D6E-409C-BE32-E72D297353CC}">
              <c16:uniqueId val="{00000001-3FD9-442E-BAED-CDBB21663685}"/>
            </c:ext>
          </c:extLst>
        </c:ser>
        <c:ser>
          <c:idx val="2"/>
          <c:order val="2"/>
          <c:tx>
            <c:strRef>
              <c:f>Schedules!$E$46</c:f>
              <c:strCache>
                <c:ptCount val="1"/>
                <c:pt idx="0">
                  <c:v>Sunday</c:v>
                </c:pt>
              </c:strCache>
            </c:strRef>
          </c:tx>
          <c:spPr>
            <a:ln w="28575" cap="rnd">
              <a:solidFill>
                <a:schemeClr val="accent3"/>
              </a:solidFill>
              <a:round/>
            </a:ln>
            <a:effectLst/>
          </c:spPr>
          <c:marker>
            <c:symbol val="none"/>
          </c:marker>
          <c:val>
            <c:numRef>
              <c:f>Schedules!$F$46:$AC$46</c:f>
              <c:numCache>
                <c:formatCode>0.00</c:formatCode>
                <c:ptCount val="24"/>
                <c:pt idx="0">
                  <c:v>0.25</c:v>
                </c:pt>
                <c:pt idx="1">
                  <c:v>0</c:v>
                </c:pt>
                <c:pt idx="2">
                  <c:v>0</c:v>
                </c:pt>
                <c:pt idx="3">
                  <c:v>0</c:v>
                </c:pt>
                <c:pt idx="4">
                  <c:v>0</c:v>
                </c:pt>
                <c:pt idx="5">
                  <c:v>0</c:v>
                </c:pt>
                <c:pt idx="6">
                  <c:v>0.2</c:v>
                </c:pt>
                <c:pt idx="7">
                  <c:v>0.2</c:v>
                </c:pt>
                <c:pt idx="8">
                  <c:v>0.3</c:v>
                </c:pt>
                <c:pt idx="9">
                  <c:v>0.3</c:v>
                </c:pt>
                <c:pt idx="10">
                  <c:v>0.3</c:v>
                </c:pt>
                <c:pt idx="11">
                  <c:v>0.5</c:v>
                </c:pt>
                <c:pt idx="12">
                  <c:v>0.4</c:v>
                </c:pt>
                <c:pt idx="13">
                  <c:v>0.4</c:v>
                </c:pt>
                <c:pt idx="14">
                  <c:v>0.3</c:v>
                </c:pt>
                <c:pt idx="15">
                  <c:v>0.3</c:v>
                </c:pt>
                <c:pt idx="16">
                  <c:v>0.3</c:v>
                </c:pt>
                <c:pt idx="17">
                  <c:v>0.4</c:v>
                </c:pt>
                <c:pt idx="18">
                  <c:v>0.5</c:v>
                </c:pt>
                <c:pt idx="19">
                  <c:v>0.5</c:v>
                </c:pt>
                <c:pt idx="20">
                  <c:v>0.4</c:v>
                </c:pt>
                <c:pt idx="21">
                  <c:v>0.5</c:v>
                </c:pt>
                <c:pt idx="22">
                  <c:v>0.4</c:v>
                </c:pt>
                <c:pt idx="23">
                  <c:v>0.2</c:v>
                </c:pt>
              </c:numCache>
            </c:numRef>
          </c:val>
          <c:smooth val="0"/>
          <c:extLst>
            <c:ext xmlns:c16="http://schemas.microsoft.com/office/drawing/2014/chart" uri="{C3380CC4-5D6E-409C-BE32-E72D297353CC}">
              <c16:uniqueId val="{00000002-3FD9-442E-BAED-CDBB2166368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Schedules!$C$41</c:f>
          <c:strCache>
            <c:ptCount val="1"/>
            <c:pt idx="0">
              <c:v>HVACAvail</c:v>
            </c:pt>
          </c:strCache>
        </c:strRef>
      </c:tx>
      <c:layout>
        <c:manualLayout>
          <c:xMode val="edge"/>
          <c:yMode val="edge"/>
          <c:x val="0.3774897497796682"/>
          <c:y val="2.061514260876764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Schedules!$E$41</c:f>
              <c:strCache>
                <c:ptCount val="1"/>
                <c:pt idx="0">
                  <c:v>Weekday</c:v>
                </c:pt>
              </c:strCache>
            </c:strRef>
          </c:tx>
          <c:spPr>
            <a:ln w="28575" cap="rnd">
              <a:solidFill>
                <a:schemeClr val="accent1"/>
              </a:solidFill>
              <a:round/>
            </a:ln>
            <a:effectLst/>
          </c:spPr>
          <c:marker>
            <c:symbol val="none"/>
          </c:marker>
          <c:val>
            <c:numRef>
              <c:f>Schedules!$F$41:$AC$41</c:f>
              <c:numCache>
                <c:formatCode>0.00</c:formatCode>
                <c:ptCount val="24"/>
                <c:pt idx="0">
                  <c:v>1</c:v>
                </c:pt>
                <c:pt idx="1">
                  <c:v>0</c:v>
                </c:pt>
                <c:pt idx="2">
                  <c:v>0</c:v>
                </c:pt>
                <c:pt idx="3">
                  <c:v>0</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DBE9-4FC2-A522-E4ABF4CBAF32}"/>
            </c:ext>
          </c:extLst>
        </c:ser>
        <c:ser>
          <c:idx val="1"/>
          <c:order val="1"/>
          <c:tx>
            <c:strRef>
              <c:f>Schedules!$E$42</c:f>
              <c:strCache>
                <c:ptCount val="1"/>
                <c:pt idx="0">
                  <c:v>Saturday</c:v>
                </c:pt>
              </c:strCache>
            </c:strRef>
          </c:tx>
          <c:spPr>
            <a:ln w="28575" cap="rnd">
              <a:solidFill>
                <a:schemeClr val="accent2"/>
              </a:solidFill>
              <a:round/>
            </a:ln>
            <a:effectLst/>
          </c:spPr>
          <c:marker>
            <c:symbol val="none"/>
          </c:marker>
          <c:val>
            <c:numRef>
              <c:f>Schedules!$F$42:$AC$42</c:f>
              <c:numCache>
                <c:formatCode>0.00</c:formatCode>
                <c:ptCount val="24"/>
                <c:pt idx="0">
                  <c:v>1</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DBE9-4FC2-A522-E4ABF4CBAF32}"/>
            </c:ext>
          </c:extLst>
        </c:ser>
        <c:ser>
          <c:idx val="2"/>
          <c:order val="2"/>
          <c:tx>
            <c:strRef>
              <c:f>Schedules!$E$43</c:f>
              <c:strCache>
                <c:ptCount val="1"/>
                <c:pt idx="0">
                  <c:v>Sunday</c:v>
                </c:pt>
              </c:strCache>
            </c:strRef>
          </c:tx>
          <c:spPr>
            <a:ln w="28575" cap="rnd">
              <a:solidFill>
                <a:schemeClr val="accent3"/>
              </a:solidFill>
              <a:round/>
            </a:ln>
            <a:effectLst/>
          </c:spPr>
          <c:marker>
            <c:symbol val="none"/>
          </c:marker>
          <c:val>
            <c:numRef>
              <c:f>Schedules!$F$43:$AC$43</c:f>
              <c:numCache>
                <c:formatCode>0.00</c:formatCode>
                <c:ptCount val="24"/>
                <c:pt idx="0">
                  <c:v>1</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DBE9-4FC2-A522-E4ABF4CBAF3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Schedules!$C$32</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Schedules!$E$32</c:f>
              <c:strCache>
                <c:ptCount val="1"/>
                <c:pt idx="0">
                  <c:v>Weekday</c:v>
                </c:pt>
              </c:strCache>
            </c:strRef>
          </c:tx>
          <c:spPr>
            <a:ln w="28575" cap="rnd">
              <a:solidFill>
                <a:schemeClr val="accent1"/>
              </a:solidFill>
              <a:round/>
            </a:ln>
            <a:effectLst/>
          </c:spPr>
          <c:marker>
            <c:symbol val="none"/>
          </c:marker>
          <c:val>
            <c:numRef>
              <c:f>Schedules!$F$32:$AC$32</c:f>
              <c:numCache>
                <c:formatCode>0.00</c:formatCode>
                <c:ptCount val="24"/>
                <c:pt idx="0">
                  <c:v>0.05</c:v>
                </c:pt>
                <c:pt idx="1">
                  <c:v>0</c:v>
                </c:pt>
                <c:pt idx="2">
                  <c:v>0</c:v>
                </c:pt>
                <c:pt idx="3">
                  <c:v>0</c:v>
                </c:pt>
                <c:pt idx="4">
                  <c:v>0</c:v>
                </c:pt>
                <c:pt idx="5">
                  <c:v>0.05</c:v>
                </c:pt>
                <c:pt idx="6">
                  <c:v>0.1</c:v>
                </c:pt>
                <c:pt idx="7">
                  <c:v>0.4</c:v>
                </c:pt>
                <c:pt idx="8">
                  <c:v>0.4</c:v>
                </c:pt>
                <c:pt idx="9">
                  <c:v>0.4</c:v>
                </c:pt>
                <c:pt idx="10">
                  <c:v>0.2</c:v>
                </c:pt>
                <c:pt idx="11">
                  <c:v>0.5</c:v>
                </c:pt>
                <c:pt idx="12">
                  <c:v>0.8</c:v>
                </c:pt>
                <c:pt idx="13">
                  <c:v>0.7</c:v>
                </c:pt>
                <c:pt idx="14">
                  <c:v>0.4</c:v>
                </c:pt>
                <c:pt idx="15">
                  <c:v>0.2</c:v>
                </c:pt>
                <c:pt idx="16">
                  <c:v>0.25</c:v>
                </c:pt>
                <c:pt idx="17">
                  <c:v>0.5</c:v>
                </c:pt>
                <c:pt idx="18">
                  <c:v>0.8</c:v>
                </c:pt>
                <c:pt idx="19">
                  <c:v>0.8</c:v>
                </c:pt>
                <c:pt idx="20">
                  <c:v>0.8</c:v>
                </c:pt>
                <c:pt idx="21">
                  <c:v>0.5</c:v>
                </c:pt>
                <c:pt idx="22">
                  <c:v>0.35</c:v>
                </c:pt>
                <c:pt idx="23">
                  <c:v>0.2</c:v>
                </c:pt>
              </c:numCache>
            </c:numRef>
          </c:val>
          <c:smooth val="0"/>
          <c:extLst>
            <c:ext xmlns:c16="http://schemas.microsoft.com/office/drawing/2014/chart" uri="{C3380CC4-5D6E-409C-BE32-E72D297353CC}">
              <c16:uniqueId val="{00000000-37C1-4D07-80BC-CB3AE2F28BC6}"/>
            </c:ext>
          </c:extLst>
        </c:ser>
        <c:ser>
          <c:idx val="1"/>
          <c:order val="1"/>
          <c:tx>
            <c:strRef>
              <c:f>Schedules!$E$33</c:f>
              <c:strCache>
                <c:ptCount val="1"/>
                <c:pt idx="0">
                  <c:v>Saturday</c:v>
                </c:pt>
              </c:strCache>
            </c:strRef>
          </c:tx>
          <c:spPr>
            <a:ln w="28575" cap="rnd">
              <a:solidFill>
                <a:schemeClr val="accent2"/>
              </a:solidFill>
              <a:round/>
            </a:ln>
            <a:effectLst/>
          </c:spPr>
          <c:marker>
            <c:symbol val="none"/>
          </c:marker>
          <c:val>
            <c:numRef>
              <c:f>Schedules!$F$33:$AC$33</c:f>
              <c:numCache>
                <c:formatCode>0.00</c:formatCode>
                <c:ptCount val="24"/>
                <c:pt idx="0">
                  <c:v>0.05</c:v>
                </c:pt>
                <c:pt idx="1">
                  <c:v>0</c:v>
                </c:pt>
                <c:pt idx="2">
                  <c:v>0</c:v>
                </c:pt>
                <c:pt idx="3">
                  <c:v>0</c:v>
                </c:pt>
                <c:pt idx="4">
                  <c:v>0</c:v>
                </c:pt>
                <c:pt idx="5">
                  <c:v>0</c:v>
                </c:pt>
                <c:pt idx="6">
                  <c:v>0.05</c:v>
                </c:pt>
                <c:pt idx="7">
                  <c:v>0.5</c:v>
                </c:pt>
                <c:pt idx="8">
                  <c:v>0.5</c:v>
                </c:pt>
                <c:pt idx="9">
                  <c:v>0.4</c:v>
                </c:pt>
                <c:pt idx="10">
                  <c:v>0.2</c:v>
                </c:pt>
                <c:pt idx="11">
                  <c:v>0.45</c:v>
                </c:pt>
                <c:pt idx="12">
                  <c:v>0.5</c:v>
                </c:pt>
                <c:pt idx="13">
                  <c:v>0.5</c:v>
                </c:pt>
                <c:pt idx="14">
                  <c:v>0.35</c:v>
                </c:pt>
                <c:pt idx="15">
                  <c:v>0.3</c:v>
                </c:pt>
                <c:pt idx="16">
                  <c:v>0.3</c:v>
                </c:pt>
                <c:pt idx="17">
                  <c:v>0.3</c:v>
                </c:pt>
                <c:pt idx="18">
                  <c:v>0.7</c:v>
                </c:pt>
                <c:pt idx="19">
                  <c:v>0.9</c:v>
                </c:pt>
                <c:pt idx="20">
                  <c:v>0.7</c:v>
                </c:pt>
                <c:pt idx="21">
                  <c:v>0.65</c:v>
                </c:pt>
                <c:pt idx="22">
                  <c:v>0.55000000000000004</c:v>
                </c:pt>
                <c:pt idx="23">
                  <c:v>0.35</c:v>
                </c:pt>
              </c:numCache>
            </c:numRef>
          </c:val>
          <c:smooth val="0"/>
          <c:extLst>
            <c:ext xmlns:c16="http://schemas.microsoft.com/office/drawing/2014/chart" uri="{C3380CC4-5D6E-409C-BE32-E72D297353CC}">
              <c16:uniqueId val="{00000001-37C1-4D07-80BC-CB3AE2F28BC6}"/>
            </c:ext>
          </c:extLst>
        </c:ser>
        <c:ser>
          <c:idx val="2"/>
          <c:order val="2"/>
          <c:tx>
            <c:strRef>
              <c:f>Schedules!$E$34</c:f>
              <c:strCache>
                <c:ptCount val="1"/>
                <c:pt idx="0">
                  <c:v>Sunday</c:v>
                </c:pt>
              </c:strCache>
            </c:strRef>
          </c:tx>
          <c:spPr>
            <a:ln w="28575" cap="rnd">
              <a:solidFill>
                <a:schemeClr val="accent3"/>
              </a:solidFill>
              <a:round/>
            </a:ln>
            <a:effectLst/>
          </c:spPr>
          <c:marker>
            <c:symbol val="none"/>
          </c:marker>
          <c:val>
            <c:numRef>
              <c:f>Schedules!$F$34:$AC$34</c:f>
              <c:numCache>
                <c:formatCode>0.00</c:formatCode>
                <c:ptCount val="24"/>
                <c:pt idx="0">
                  <c:v>0.05</c:v>
                </c:pt>
                <c:pt idx="1">
                  <c:v>0</c:v>
                </c:pt>
                <c:pt idx="2">
                  <c:v>0</c:v>
                </c:pt>
                <c:pt idx="3">
                  <c:v>0</c:v>
                </c:pt>
                <c:pt idx="4">
                  <c:v>0</c:v>
                </c:pt>
                <c:pt idx="5">
                  <c:v>0</c:v>
                </c:pt>
                <c:pt idx="6">
                  <c:v>0.05</c:v>
                </c:pt>
                <c:pt idx="7">
                  <c:v>0.5</c:v>
                </c:pt>
                <c:pt idx="8">
                  <c:v>0.5</c:v>
                </c:pt>
                <c:pt idx="9">
                  <c:v>0.2</c:v>
                </c:pt>
                <c:pt idx="10">
                  <c:v>0.2</c:v>
                </c:pt>
                <c:pt idx="11">
                  <c:v>0.3</c:v>
                </c:pt>
                <c:pt idx="12">
                  <c:v>0.5</c:v>
                </c:pt>
                <c:pt idx="13">
                  <c:v>0.5</c:v>
                </c:pt>
                <c:pt idx="14">
                  <c:v>0.3</c:v>
                </c:pt>
                <c:pt idx="15">
                  <c:v>0.2</c:v>
                </c:pt>
                <c:pt idx="16">
                  <c:v>0.25</c:v>
                </c:pt>
                <c:pt idx="17">
                  <c:v>0.35</c:v>
                </c:pt>
                <c:pt idx="18">
                  <c:v>0.55000000000000004</c:v>
                </c:pt>
                <c:pt idx="19">
                  <c:v>0.65</c:v>
                </c:pt>
                <c:pt idx="20">
                  <c:v>0.7</c:v>
                </c:pt>
                <c:pt idx="21">
                  <c:v>0.35</c:v>
                </c:pt>
                <c:pt idx="22">
                  <c:v>0.2</c:v>
                </c:pt>
                <c:pt idx="23">
                  <c:v>0.2</c:v>
                </c:pt>
              </c:numCache>
            </c:numRef>
          </c:val>
          <c:smooth val="0"/>
          <c:extLst>
            <c:ext xmlns:c16="http://schemas.microsoft.com/office/drawing/2014/chart" uri="{C3380CC4-5D6E-409C-BE32-E72D297353CC}">
              <c16:uniqueId val="{00000002-37C1-4D07-80BC-CB3AE2F28BC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Schedules!$C$50</c:f>
          <c:strCache>
            <c:ptCount val="1"/>
            <c:pt idx="0">
              <c:v>ExhaustHoodEqualOrLessThan5000cfm</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9156953280254336E-2"/>
          <c:y val="0.22808744190056107"/>
          <c:w val="0.87403754929538657"/>
          <c:h val="0.50735088109999205"/>
        </c:manualLayout>
      </c:layout>
      <c:lineChart>
        <c:grouping val="standard"/>
        <c:varyColors val="0"/>
        <c:ser>
          <c:idx val="0"/>
          <c:order val="0"/>
          <c:tx>
            <c:strRef>
              <c:f>Schedules!$E$50</c:f>
              <c:strCache>
                <c:ptCount val="1"/>
                <c:pt idx="0">
                  <c:v>Weekday</c:v>
                </c:pt>
              </c:strCache>
            </c:strRef>
          </c:tx>
          <c:spPr>
            <a:ln w="28575" cap="rnd">
              <a:solidFill>
                <a:schemeClr val="accent1"/>
              </a:solidFill>
              <a:round/>
            </a:ln>
            <a:effectLst/>
          </c:spPr>
          <c:marker>
            <c:symbol val="none"/>
          </c:marker>
          <c:val>
            <c:numRef>
              <c:f>Schedules!$F$50:$AC$50</c:f>
              <c:numCache>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0</c:v>
                </c:pt>
                <c:pt idx="20">
                  <c:v>0</c:v>
                </c:pt>
                <c:pt idx="21">
                  <c:v>0</c:v>
                </c:pt>
                <c:pt idx="22">
                  <c:v>0</c:v>
                </c:pt>
                <c:pt idx="23">
                  <c:v>0</c:v>
                </c:pt>
              </c:numCache>
            </c:numRef>
          </c:val>
          <c:smooth val="0"/>
          <c:extLst>
            <c:ext xmlns:c16="http://schemas.microsoft.com/office/drawing/2014/chart" uri="{C3380CC4-5D6E-409C-BE32-E72D297353CC}">
              <c16:uniqueId val="{00000015-085F-4262-8FF0-B35472D6CEF4}"/>
            </c:ext>
          </c:extLst>
        </c:ser>
        <c:ser>
          <c:idx val="1"/>
          <c:order val="1"/>
          <c:tx>
            <c:strRef>
              <c:f>Schedules!$E$51</c:f>
              <c:strCache>
                <c:ptCount val="1"/>
                <c:pt idx="0">
                  <c:v>Saturday</c:v>
                </c:pt>
              </c:strCache>
            </c:strRef>
          </c:tx>
          <c:spPr>
            <a:ln w="28575" cap="rnd">
              <a:solidFill>
                <a:schemeClr val="accent2"/>
              </a:solidFill>
              <a:round/>
            </a:ln>
            <a:effectLst/>
          </c:spPr>
          <c:marker>
            <c:symbol val="none"/>
          </c:marker>
          <c:val>
            <c:numRef>
              <c:f>Schedules!$F$51:$AC$51</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0</c:v>
                </c:pt>
                <c:pt idx="20">
                  <c:v>0</c:v>
                </c:pt>
                <c:pt idx="21">
                  <c:v>0</c:v>
                </c:pt>
                <c:pt idx="22">
                  <c:v>0</c:v>
                </c:pt>
                <c:pt idx="23">
                  <c:v>0</c:v>
                </c:pt>
              </c:numCache>
            </c:numRef>
          </c:val>
          <c:smooth val="0"/>
          <c:extLst>
            <c:ext xmlns:c16="http://schemas.microsoft.com/office/drawing/2014/chart" uri="{C3380CC4-5D6E-409C-BE32-E72D297353CC}">
              <c16:uniqueId val="{00000016-085F-4262-8FF0-B35472D6CEF4}"/>
            </c:ext>
          </c:extLst>
        </c:ser>
        <c:ser>
          <c:idx val="2"/>
          <c:order val="2"/>
          <c:tx>
            <c:strRef>
              <c:f>Schedules!$E$52</c:f>
              <c:strCache>
                <c:ptCount val="1"/>
                <c:pt idx="0">
                  <c:v>Sunday</c:v>
                </c:pt>
              </c:strCache>
            </c:strRef>
          </c:tx>
          <c:spPr>
            <a:ln w="28575" cap="rnd">
              <a:solidFill>
                <a:schemeClr val="accent3"/>
              </a:solidFill>
              <a:round/>
            </a:ln>
            <a:effectLst/>
          </c:spPr>
          <c:marker>
            <c:symbol val="none"/>
          </c:marker>
          <c:val>
            <c:numRef>
              <c:f>Schedules!$F$52:$AC$52</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0</c:v>
                </c:pt>
                <c:pt idx="20">
                  <c:v>0</c:v>
                </c:pt>
                <c:pt idx="21">
                  <c:v>0</c:v>
                </c:pt>
                <c:pt idx="22">
                  <c:v>0</c:v>
                </c:pt>
                <c:pt idx="23">
                  <c:v>0</c:v>
                </c:pt>
              </c:numCache>
            </c:numRef>
          </c:val>
          <c:smooth val="0"/>
          <c:extLst>
            <c:ext xmlns:c16="http://schemas.microsoft.com/office/drawing/2014/chart" uri="{C3380CC4-5D6E-409C-BE32-E72D297353CC}">
              <c16:uniqueId val="{00000017-085F-4262-8FF0-B35472D6CEF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r"/>
      <c:layout>
        <c:manualLayout>
          <c:xMode val="edge"/>
          <c:yMode val="edge"/>
          <c:x val="0.77520614866267623"/>
          <c:y val="0.13592305371369456"/>
          <c:w val="0.20367658900866684"/>
          <c:h val="0.443043692214854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Schedules!$C$47</c:f>
          <c:strCache>
            <c:ptCount val="1"/>
            <c:pt idx="0">
              <c:v>Infiltration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Schedules!$E$47</c:f>
              <c:strCache>
                <c:ptCount val="1"/>
                <c:pt idx="0">
                  <c:v>Weekday</c:v>
                </c:pt>
              </c:strCache>
            </c:strRef>
          </c:tx>
          <c:spPr>
            <a:ln w="28575" cap="rnd">
              <a:solidFill>
                <a:schemeClr val="accent1"/>
              </a:solidFill>
              <a:round/>
            </a:ln>
            <a:effectLst/>
          </c:spPr>
          <c:marker>
            <c:symbol val="none"/>
          </c:marker>
          <c:val>
            <c:numRef>
              <c:f>Schedules!$F$47:$AC$47</c:f>
              <c:numCache>
                <c:formatCode>0.00</c:formatCode>
                <c:ptCount val="24"/>
                <c:pt idx="0">
                  <c:v>0.25</c:v>
                </c:pt>
                <c:pt idx="1">
                  <c:v>0</c:v>
                </c:pt>
                <c:pt idx="2">
                  <c:v>0</c:v>
                </c:pt>
                <c:pt idx="3">
                  <c:v>1</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0-12AC-4F55-879C-80C92EF74F31}"/>
            </c:ext>
          </c:extLst>
        </c:ser>
        <c:ser>
          <c:idx val="1"/>
          <c:order val="1"/>
          <c:tx>
            <c:strRef>
              <c:f>Schedules!$E$48</c:f>
              <c:strCache>
                <c:ptCount val="1"/>
                <c:pt idx="0">
                  <c:v>Saturday</c:v>
                </c:pt>
              </c:strCache>
            </c:strRef>
          </c:tx>
          <c:spPr>
            <a:ln w="28575" cap="rnd">
              <a:solidFill>
                <a:schemeClr val="accent2"/>
              </a:solidFill>
              <a:round/>
            </a:ln>
            <a:effectLst/>
          </c:spPr>
          <c:marker>
            <c:symbol val="none"/>
          </c:marker>
          <c:val>
            <c:numRef>
              <c:f>Schedules!$F$48:$AC$48</c:f>
              <c:numCache>
                <c:formatCode>0.00</c:formatCode>
                <c:ptCount val="24"/>
                <c:pt idx="0">
                  <c:v>0.25</c:v>
                </c:pt>
                <c:pt idx="1">
                  <c:v>0</c:v>
                </c:pt>
                <c:pt idx="2">
                  <c:v>0</c:v>
                </c:pt>
                <c:pt idx="3">
                  <c:v>1</c:v>
                </c:pt>
                <c:pt idx="4">
                  <c:v>1</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1-12AC-4F55-879C-80C92EF74F31}"/>
            </c:ext>
          </c:extLst>
        </c:ser>
        <c:ser>
          <c:idx val="2"/>
          <c:order val="2"/>
          <c:tx>
            <c:strRef>
              <c:f>Schedules!$E$49</c:f>
              <c:strCache>
                <c:ptCount val="1"/>
                <c:pt idx="0">
                  <c:v>Sunday</c:v>
                </c:pt>
              </c:strCache>
            </c:strRef>
          </c:tx>
          <c:spPr>
            <a:ln w="28575" cap="rnd">
              <a:solidFill>
                <a:schemeClr val="accent3"/>
              </a:solidFill>
              <a:round/>
            </a:ln>
            <a:effectLst/>
          </c:spPr>
          <c:marker>
            <c:symbol val="none"/>
          </c:marker>
          <c:val>
            <c:numRef>
              <c:f>Schedules!$F$49:$AC$49</c:f>
              <c:numCache>
                <c:formatCode>0.00</c:formatCode>
                <c:ptCount val="24"/>
                <c:pt idx="0">
                  <c:v>0.25</c:v>
                </c:pt>
                <c:pt idx="1">
                  <c:v>0</c:v>
                </c:pt>
                <c:pt idx="2">
                  <c:v>0</c:v>
                </c:pt>
                <c:pt idx="3">
                  <c:v>1</c:v>
                </c:pt>
                <c:pt idx="4">
                  <c:v>1</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2-12AC-4F55-879C-80C92EF74F3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Assembly Elevator</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01DF-4F16-99AF-01E1B8DDB62F}"/>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01DF-4F16-99AF-01E1B8DDB62F}"/>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01DF-4F16-99AF-01E1B8DDB62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layout>
        <c:manualLayout>
          <c:xMode val="edge"/>
          <c:yMode val="edge"/>
          <c:x val="0.43100676426761531"/>
          <c:y val="1.5526224945522018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0.05</c:v>
                </c:pt>
                <c:pt idx="1">
                  <c:v>0</c:v>
                </c:pt>
                <c:pt idx="2">
                  <c:v>0</c:v>
                </c:pt>
                <c:pt idx="3">
                  <c:v>0</c:v>
                </c:pt>
                <c:pt idx="4">
                  <c:v>0</c:v>
                </c:pt>
                <c:pt idx="5">
                  <c:v>0.05</c:v>
                </c:pt>
                <c:pt idx="6">
                  <c:v>0.1</c:v>
                </c:pt>
                <c:pt idx="7">
                  <c:v>0.4</c:v>
                </c:pt>
                <c:pt idx="8">
                  <c:v>0.4</c:v>
                </c:pt>
                <c:pt idx="9">
                  <c:v>0.4</c:v>
                </c:pt>
                <c:pt idx="10">
                  <c:v>0.2</c:v>
                </c:pt>
                <c:pt idx="11">
                  <c:v>0.5</c:v>
                </c:pt>
                <c:pt idx="12">
                  <c:v>0.8</c:v>
                </c:pt>
                <c:pt idx="13">
                  <c:v>0.7</c:v>
                </c:pt>
                <c:pt idx="14">
                  <c:v>0.4</c:v>
                </c:pt>
                <c:pt idx="15">
                  <c:v>0.2</c:v>
                </c:pt>
                <c:pt idx="16">
                  <c:v>0.25</c:v>
                </c:pt>
                <c:pt idx="17">
                  <c:v>0.5</c:v>
                </c:pt>
                <c:pt idx="18">
                  <c:v>0.8</c:v>
                </c:pt>
                <c:pt idx="19">
                  <c:v>0.8</c:v>
                </c:pt>
                <c:pt idx="20">
                  <c:v>0.8</c:v>
                </c:pt>
                <c:pt idx="21">
                  <c:v>0.5</c:v>
                </c:pt>
                <c:pt idx="22">
                  <c:v>0.35</c:v>
                </c:pt>
                <c:pt idx="23">
                  <c:v>0.2</c:v>
                </c:pt>
              </c:numCache>
            </c:numRef>
          </c:val>
          <c:smooth val="0"/>
          <c:extLst>
            <c:ext xmlns:c16="http://schemas.microsoft.com/office/drawing/2014/chart" uri="{C3380CC4-5D6E-409C-BE32-E72D297353CC}">
              <c16:uniqueId val="{00000000-3883-423A-9D30-BCCF0FB1CCB4}"/>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0.05</c:v>
                </c:pt>
                <c:pt idx="1">
                  <c:v>0</c:v>
                </c:pt>
                <c:pt idx="2">
                  <c:v>0</c:v>
                </c:pt>
                <c:pt idx="3">
                  <c:v>0</c:v>
                </c:pt>
                <c:pt idx="4">
                  <c:v>0</c:v>
                </c:pt>
                <c:pt idx="5">
                  <c:v>0</c:v>
                </c:pt>
                <c:pt idx="6">
                  <c:v>0.05</c:v>
                </c:pt>
                <c:pt idx="7">
                  <c:v>0.5</c:v>
                </c:pt>
                <c:pt idx="8">
                  <c:v>0.5</c:v>
                </c:pt>
                <c:pt idx="9">
                  <c:v>0.4</c:v>
                </c:pt>
                <c:pt idx="10">
                  <c:v>0.2</c:v>
                </c:pt>
                <c:pt idx="11">
                  <c:v>0.45</c:v>
                </c:pt>
                <c:pt idx="12">
                  <c:v>0.5</c:v>
                </c:pt>
                <c:pt idx="13">
                  <c:v>0.5</c:v>
                </c:pt>
                <c:pt idx="14">
                  <c:v>0.35</c:v>
                </c:pt>
                <c:pt idx="15">
                  <c:v>0.3</c:v>
                </c:pt>
                <c:pt idx="16">
                  <c:v>0.3</c:v>
                </c:pt>
                <c:pt idx="17">
                  <c:v>0.3</c:v>
                </c:pt>
                <c:pt idx="18">
                  <c:v>0.7</c:v>
                </c:pt>
                <c:pt idx="19">
                  <c:v>0.9</c:v>
                </c:pt>
                <c:pt idx="20">
                  <c:v>0.7</c:v>
                </c:pt>
                <c:pt idx="21">
                  <c:v>0.65</c:v>
                </c:pt>
                <c:pt idx="22">
                  <c:v>0.55000000000000004</c:v>
                </c:pt>
                <c:pt idx="23">
                  <c:v>0.35</c:v>
                </c:pt>
              </c:numCache>
            </c:numRef>
          </c:val>
          <c:smooth val="0"/>
          <c:extLst>
            <c:ext xmlns:c16="http://schemas.microsoft.com/office/drawing/2014/chart" uri="{C3380CC4-5D6E-409C-BE32-E72D297353CC}">
              <c16:uniqueId val="{00000001-3883-423A-9D30-BCCF0FB1CCB4}"/>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0.05</c:v>
                </c:pt>
                <c:pt idx="1">
                  <c:v>0</c:v>
                </c:pt>
                <c:pt idx="2">
                  <c:v>0</c:v>
                </c:pt>
                <c:pt idx="3">
                  <c:v>0</c:v>
                </c:pt>
                <c:pt idx="4">
                  <c:v>0</c:v>
                </c:pt>
                <c:pt idx="5">
                  <c:v>0</c:v>
                </c:pt>
                <c:pt idx="6">
                  <c:v>0.05</c:v>
                </c:pt>
                <c:pt idx="7">
                  <c:v>0.5</c:v>
                </c:pt>
                <c:pt idx="8">
                  <c:v>0.5</c:v>
                </c:pt>
                <c:pt idx="9">
                  <c:v>0.2</c:v>
                </c:pt>
                <c:pt idx="10">
                  <c:v>0.2</c:v>
                </c:pt>
                <c:pt idx="11">
                  <c:v>0.3</c:v>
                </c:pt>
                <c:pt idx="12">
                  <c:v>0.5</c:v>
                </c:pt>
                <c:pt idx="13">
                  <c:v>0.5</c:v>
                </c:pt>
                <c:pt idx="14">
                  <c:v>0.3</c:v>
                </c:pt>
                <c:pt idx="15">
                  <c:v>0.2</c:v>
                </c:pt>
                <c:pt idx="16">
                  <c:v>0.25</c:v>
                </c:pt>
                <c:pt idx="17">
                  <c:v>0.35</c:v>
                </c:pt>
                <c:pt idx="18">
                  <c:v>0.55000000000000004</c:v>
                </c:pt>
                <c:pt idx="19">
                  <c:v>0.65</c:v>
                </c:pt>
                <c:pt idx="20">
                  <c:v>0.7</c:v>
                </c:pt>
                <c:pt idx="21">
                  <c:v>0.35</c:v>
                </c:pt>
                <c:pt idx="22">
                  <c:v>0.2</c:v>
                </c:pt>
                <c:pt idx="23">
                  <c:v>0.2</c:v>
                </c:pt>
              </c:numCache>
            </c:numRef>
          </c:val>
          <c:smooth val="0"/>
          <c:extLst>
            <c:ext xmlns:c16="http://schemas.microsoft.com/office/drawing/2014/chart" uri="{C3380CC4-5D6E-409C-BE32-E72D297353CC}">
              <c16:uniqueId val="{00000002-3883-423A-9D30-BCCF0FB1CCB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Schedules!$C$53</c:f>
          <c:strCache>
            <c:ptCount val="1"/>
            <c:pt idx="0">
              <c:v>ExhaustHoodGreaterThan 5000cfm</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9336457077718955E-2"/>
          <c:y val="0.27580859828497228"/>
          <c:w val="0.8918934619209431"/>
          <c:h val="0.45734763849155685"/>
        </c:manualLayout>
      </c:layout>
      <c:lineChart>
        <c:grouping val="standard"/>
        <c:varyColors val="0"/>
        <c:ser>
          <c:idx val="0"/>
          <c:order val="0"/>
          <c:tx>
            <c:strRef>
              <c:f>Schedules!$E$53</c:f>
              <c:strCache>
                <c:ptCount val="1"/>
                <c:pt idx="0">
                  <c:v>Weekday</c:v>
                </c:pt>
              </c:strCache>
            </c:strRef>
          </c:tx>
          <c:spPr>
            <a:ln w="28575" cap="rnd">
              <a:solidFill>
                <a:schemeClr val="accent1"/>
              </a:solidFill>
              <a:round/>
            </a:ln>
            <a:effectLst/>
          </c:spPr>
          <c:marker>
            <c:symbol val="none"/>
          </c:marker>
          <c:val>
            <c:numRef>
              <c:f>Schedules!$F$53:$AC$53</c:f>
              <c:numCache>
                <c:formatCode>0.00</c:formatCode>
                <c:ptCount val="24"/>
                <c:pt idx="0">
                  <c:v>0</c:v>
                </c:pt>
                <c:pt idx="1">
                  <c:v>0</c:v>
                </c:pt>
                <c:pt idx="2">
                  <c:v>0</c:v>
                </c:pt>
                <c:pt idx="3">
                  <c:v>0</c:v>
                </c:pt>
                <c:pt idx="4">
                  <c:v>0</c:v>
                </c:pt>
                <c:pt idx="5">
                  <c:v>1</c:v>
                </c:pt>
                <c:pt idx="6">
                  <c:v>0.5</c:v>
                </c:pt>
                <c:pt idx="7">
                  <c:v>1</c:v>
                </c:pt>
                <c:pt idx="8">
                  <c:v>0.5</c:v>
                </c:pt>
                <c:pt idx="9">
                  <c:v>1</c:v>
                </c:pt>
                <c:pt idx="10">
                  <c:v>0.5</c:v>
                </c:pt>
                <c:pt idx="11">
                  <c:v>1</c:v>
                </c:pt>
                <c:pt idx="12">
                  <c:v>0.5</c:v>
                </c:pt>
                <c:pt idx="13">
                  <c:v>1</c:v>
                </c:pt>
                <c:pt idx="14">
                  <c:v>0.5</c:v>
                </c:pt>
                <c:pt idx="15">
                  <c:v>1</c:v>
                </c:pt>
                <c:pt idx="16">
                  <c:v>0.5</c:v>
                </c:pt>
                <c:pt idx="17">
                  <c:v>1</c:v>
                </c:pt>
                <c:pt idx="18">
                  <c:v>0.5</c:v>
                </c:pt>
                <c:pt idx="19">
                  <c:v>0</c:v>
                </c:pt>
                <c:pt idx="20">
                  <c:v>0</c:v>
                </c:pt>
                <c:pt idx="21">
                  <c:v>0</c:v>
                </c:pt>
                <c:pt idx="22">
                  <c:v>0</c:v>
                </c:pt>
                <c:pt idx="23">
                  <c:v>0</c:v>
                </c:pt>
              </c:numCache>
            </c:numRef>
          </c:val>
          <c:smooth val="0"/>
          <c:extLst>
            <c:ext xmlns:c16="http://schemas.microsoft.com/office/drawing/2014/chart" uri="{C3380CC4-5D6E-409C-BE32-E72D297353CC}">
              <c16:uniqueId val="{00000000-E963-4AF0-92E5-5ED07C5C4C9E}"/>
            </c:ext>
          </c:extLst>
        </c:ser>
        <c:ser>
          <c:idx val="1"/>
          <c:order val="1"/>
          <c:tx>
            <c:strRef>
              <c:f>Schedules!$E$54</c:f>
              <c:strCache>
                <c:ptCount val="1"/>
                <c:pt idx="0">
                  <c:v>Saturday</c:v>
                </c:pt>
              </c:strCache>
            </c:strRef>
          </c:tx>
          <c:spPr>
            <a:ln w="28575" cap="rnd">
              <a:solidFill>
                <a:schemeClr val="accent2"/>
              </a:solidFill>
              <a:round/>
            </a:ln>
            <a:effectLst/>
          </c:spPr>
          <c:marker>
            <c:symbol val="none"/>
          </c:marker>
          <c:val>
            <c:numRef>
              <c:f>Schedules!$F$54:$AC$54</c:f>
              <c:numCache>
                <c:formatCode>0.00</c:formatCode>
                <c:ptCount val="24"/>
                <c:pt idx="0">
                  <c:v>0</c:v>
                </c:pt>
                <c:pt idx="1">
                  <c:v>0</c:v>
                </c:pt>
                <c:pt idx="2">
                  <c:v>0</c:v>
                </c:pt>
                <c:pt idx="3">
                  <c:v>0</c:v>
                </c:pt>
                <c:pt idx="4">
                  <c:v>0</c:v>
                </c:pt>
                <c:pt idx="5">
                  <c:v>0</c:v>
                </c:pt>
                <c:pt idx="6">
                  <c:v>0.5</c:v>
                </c:pt>
                <c:pt idx="7">
                  <c:v>1</c:v>
                </c:pt>
                <c:pt idx="8">
                  <c:v>0.5</c:v>
                </c:pt>
                <c:pt idx="9">
                  <c:v>1</c:v>
                </c:pt>
                <c:pt idx="10">
                  <c:v>0.5</c:v>
                </c:pt>
                <c:pt idx="11">
                  <c:v>1</c:v>
                </c:pt>
                <c:pt idx="12">
                  <c:v>0.5</c:v>
                </c:pt>
                <c:pt idx="13">
                  <c:v>1</c:v>
                </c:pt>
                <c:pt idx="14">
                  <c:v>0.5</c:v>
                </c:pt>
                <c:pt idx="15">
                  <c:v>1</c:v>
                </c:pt>
                <c:pt idx="16">
                  <c:v>0.5</c:v>
                </c:pt>
                <c:pt idx="17">
                  <c:v>1</c:v>
                </c:pt>
                <c:pt idx="18">
                  <c:v>0.5</c:v>
                </c:pt>
                <c:pt idx="19">
                  <c:v>0</c:v>
                </c:pt>
                <c:pt idx="20">
                  <c:v>0</c:v>
                </c:pt>
                <c:pt idx="21">
                  <c:v>0</c:v>
                </c:pt>
                <c:pt idx="22">
                  <c:v>0</c:v>
                </c:pt>
                <c:pt idx="23">
                  <c:v>0</c:v>
                </c:pt>
              </c:numCache>
            </c:numRef>
          </c:val>
          <c:smooth val="0"/>
          <c:extLst>
            <c:ext xmlns:c16="http://schemas.microsoft.com/office/drawing/2014/chart" uri="{C3380CC4-5D6E-409C-BE32-E72D297353CC}">
              <c16:uniqueId val="{00000001-E963-4AF0-92E5-5ED07C5C4C9E}"/>
            </c:ext>
          </c:extLst>
        </c:ser>
        <c:ser>
          <c:idx val="2"/>
          <c:order val="2"/>
          <c:tx>
            <c:strRef>
              <c:f>Schedules!$E$55</c:f>
              <c:strCache>
                <c:ptCount val="1"/>
                <c:pt idx="0">
                  <c:v>Sunday</c:v>
                </c:pt>
              </c:strCache>
            </c:strRef>
          </c:tx>
          <c:spPr>
            <a:ln w="28575" cap="rnd">
              <a:solidFill>
                <a:schemeClr val="accent3"/>
              </a:solidFill>
              <a:round/>
            </a:ln>
            <a:effectLst/>
          </c:spPr>
          <c:marker>
            <c:symbol val="none"/>
          </c:marker>
          <c:val>
            <c:numRef>
              <c:f>Schedules!$F$55:$AC$55</c:f>
              <c:numCache>
                <c:formatCode>0.00</c:formatCode>
                <c:ptCount val="24"/>
                <c:pt idx="0">
                  <c:v>0</c:v>
                </c:pt>
                <c:pt idx="1">
                  <c:v>0</c:v>
                </c:pt>
                <c:pt idx="2">
                  <c:v>0</c:v>
                </c:pt>
                <c:pt idx="3">
                  <c:v>0</c:v>
                </c:pt>
                <c:pt idx="4">
                  <c:v>0</c:v>
                </c:pt>
                <c:pt idx="5">
                  <c:v>0</c:v>
                </c:pt>
                <c:pt idx="6">
                  <c:v>0.5</c:v>
                </c:pt>
                <c:pt idx="7">
                  <c:v>1</c:v>
                </c:pt>
                <c:pt idx="8">
                  <c:v>0.5</c:v>
                </c:pt>
                <c:pt idx="9">
                  <c:v>1</c:v>
                </c:pt>
                <c:pt idx="10">
                  <c:v>0.5</c:v>
                </c:pt>
                <c:pt idx="11">
                  <c:v>1</c:v>
                </c:pt>
                <c:pt idx="12">
                  <c:v>0.5</c:v>
                </c:pt>
                <c:pt idx="13">
                  <c:v>1</c:v>
                </c:pt>
                <c:pt idx="14">
                  <c:v>0.5</c:v>
                </c:pt>
                <c:pt idx="15">
                  <c:v>1</c:v>
                </c:pt>
                <c:pt idx="16">
                  <c:v>0.5</c:v>
                </c:pt>
                <c:pt idx="17">
                  <c:v>1</c:v>
                </c:pt>
                <c:pt idx="18">
                  <c:v>0.5</c:v>
                </c:pt>
                <c:pt idx="19">
                  <c:v>0</c:v>
                </c:pt>
                <c:pt idx="20">
                  <c:v>0</c:v>
                </c:pt>
                <c:pt idx="21">
                  <c:v>0</c:v>
                </c:pt>
                <c:pt idx="22">
                  <c:v>0</c:v>
                </c:pt>
                <c:pt idx="23">
                  <c:v>0</c:v>
                </c:pt>
              </c:numCache>
            </c:numRef>
          </c:val>
          <c:smooth val="0"/>
          <c:extLst>
            <c:ext xmlns:c16="http://schemas.microsoft.com/office/drawing/2014/chart" uri="{C3380CC4-5D6E-409C-BE32-E72D297353CC}">
              <c16:uniqueId val="{00000002-E963-4AF0-92E5-5ED07C5C4C9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r"/>
      <c:layout>
        <c:manualLayout>
          <c:xMode val="edge"/>
          <c:yMode val="edge"/>
          <c:x val="0.77771997768731327"/>
          <c:y val="8.6771556123950835E-2"/>
          <c:w val="0.20413846531474766"/>
          <c:h val="0.458249999095831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RestaurantFastFood</a:t>
            </a:r>
            <a:r>
              <a:rPr lang="en-US" baseline="0"/>
              <a:t> </a:t>
            </a:r>
            <a:r>
              <a:rPr lang="en-US"/>
              <a:t>CalBEM Prototype vs. CEUS 2022</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Usage'!$U$2</c:f>
              <c:strCache>
                <c:ptCount val="1"/>
                <c:pt idx="0">
                  <c:v>Acceptable Range (25% Lower)</c:v>
                </c:pt>
              </c:strCache>
            </c:strRef>
          </c:tx>
          <c:spPr>
            <a:noFill/>
            <a:ln>
              <a:noFill/>
            </a:ln>
            <a:effectLst/>
          </c:spPr>
          <c:invertIfNegative val="0"/>
          <c:val>
            <c:numRef>
              <c:f>'Energy Usage'!$U$3:$U$18</c:f>
              <c:numCache>
                <c:formatCode>0.0</c:formatCode>
                <c:ptCount val="16"/>
                <c:pt idx="0">
                  <c:v>246.45760872702002</c:v>
                </c:pt>
                <c:pt idx="1">
                  <c:v>220.52276347213933</c:v>
                </c:pt>
                <c:pt idx="2">
                  <c:v>224.5108983857213</c:v>
                </c:pt>
                <c:pt idx="3">
                  <c:v>224.18194940063478</c:v>
                </c:pt>
                <c:pt idx="4">
                  <c:v>224.68278436156663</c:v>
                </c:pt>
                <c:pt idx="5">
                  <c:v>243.87767064893626</c:v>
                </c:pt>
                <c:pt idx="6">
                  <c:v>276.14819481777937</c:v>
                </c:pt>
                <c:pt idx="7">
                  <c:v>262.58350973340777</c:v>
                </c:pt>
                <c:pt idx="8">
                  <c:v>247.38313105186069</c:v>
                </c:pt>
                <c:pt idx="9">
                  <c:v>270.75566139567621</c:v>
                </c:pt>
                <c:pt idx="10">
                  <c:v>235.14753442028919</c:v>
                </c:pt>
                <c:pt idx="11">
                  <c:v>252.94664522247081</c:v>
                </c:pt>
                <c:pt idx="12">
                  <c:v>256.58799286800985</c:v>
                </c:pt>
                <c:pt idx="13">
                  <c:v>251.31841996543454</c:v>
                </c:pt>
                <c:pt idx="14">
                  <c:v>299.99140315973068</c:v>
                </c:pt>
                <c:pt idx="15">
                  <c:v>244.72604766701858</c:v>
                </c:pt>
              </c:numCache>
            </c:numRef>
          </c:val>
          <c:extLst>
            <c:ext xmlns:c16="http://schemas.microsoft.com/office/drawing/2014/chart" uri="{C3380CC4-5D6E-409C-BE32-E72D297353CC}">
              <c16:uniqueId val="{00000000-858E-4C7B-A470-667B40492FA6}"/>
            </c:ext>
          </c:extLst>
        </c:ser>
        <c:ser>
          <c:idx val="2"/>
          <c:order val="1"/>
          <c:tx>
            <c:strRef>
              <c:f>'Energy Usage'!$V$2</c:f>
              <c:strCache>
                <c:ptCount val="1"/>
                <c:pt idx="0">
                  <c:v>CEUS 2022 Acceptable EUI Range </c:v>
                </c:pt>
              </c:strCache>
            </c:strRef>
          </c:tx>
          <c:spPr>
            <a:solidFill>
              <a:schemeClr val="accent4">
                <a:lumMod val="40000"/>
                <a:lumOff val="60000"/>
              </a:schemeClr>
            </a:solidFill>
            <a:ln>
              <a:solidFill>
                <a:schemeClr val="accent4">
                  <a:lumMod val="75000"/>
                </a:schemeClr>
              </a:solidFill>
            </a:ln>
            <a:effectLst/>
          </c:spPr>
          <c:invertIfNegative val="0"/>
          <c:val>
            <c:numRef>
              <c:f>'Energy Usage'!$V$3:$V$18</c:f>
              <c:numCache>
                <c:formatCode>0.0</c:formatCode>
                <c:ptCount val="16"/>
                <c:pt idx="0">
                  <c:v>164.30507248468004</c:v>
                </c:pt>
                <c:pt idx="1">
                  <c:v>147.01517564809285</c:v>
                </c:pt>
                <c:pt idx="2">
                  <c:v>149.6739322571475</c:v>
                </c:pt>
                <c:pt idx="3">
                  <c:v>149.45463293375656</c:v>
                </c:pt>
                <c:pt idx="4">
                  <c:v>149.78852290771113</c:v>
                </c:pt>
                <c:pt idx="5">
                  <c:v>162.58511376595754</c:v>
                </c:pt>
                <c:pt idx="6">
                  <c:v>184.09879654518625</c:v>
                </c:pt>
                <c:pt idx="7">
                  <c:v>175.05567315560518</c:v>
                </c:pt>
                <c:pt idx="8">
                  <c:v>164.92208736790712</c:v>
                </c:pt>
                <c:pt idx="9">
                  <c:v>180.50377426378418</c:v>
                </c:pt>
                <c:pt idx="10">
                  <c:v>156.76502294685949</c:v>
                </c:pt>
                <c:pt idx="11">
                  <c:v>168.63109681498054</c:v>
                </c:pt>
                <c:pt idx="12">
                  <c:v>171.05866191200653</c:v>
                </c:pt>
                <c:pt idx="13">
                  <c:v>167.5456133102897</c:v>
                </c:pt>
                <c:pt idx="14">
                  <c:v>199.99426877315375</c:v>
                </c:pt>
                <c:pt idx="15">
                  <c:v>163.15069844467905</c:v>
                </c:pt>
              </c:numCache>
            </c:numRef>
          </c:val>
          <c:extLst>
            <c:ext xmlns:c16="http://schemas.microsoft.com/office/drawing/2014/chart" uri="{C3380CC4-5D6E-409C-BE32-E72D297353CC}">
              <c16:uniqueId val="{00000001-858E-4C7B-A470-667B40492FA6}"/>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858E-4C7B-A470-667B40492FA6}"/>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0.0</c:formatCode>
                <c:ptCount val="16"/>
              </c:numCache>
            </c:numRef>
          </c:yVal>
          <c:smooth val="0"/>
          <c:extLst>
            <c:ext xmlns:c16="http://schemas.microsoft.com/office/drawing/2014/chart" uri="{C3380CC4-5D6E-409C-BE32-E72D297353CC}">
              <c16:uniqueId val="{00000003-858E-4C7B-A470-667B40492FA6}"/>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RestaurantFastFood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General</c:formatCode>
                <c:ptCount val="16"/>
                <c:pt idx="0">
                  <c:v>331.95000000000005</c:v>
                </c:pt>
                <c:pt idx="1">
                  <c:v>331.95000000000005</c:v>
                </c:pt>
                <c:pt idx="2">
                  <c:v>331.95000000000005</c:v>
                </c:pt>
                <c:pt idx="3">
                  <c:v>331.95000000000005</c:v>
                </c:pt>
                <c:pt idx="4">
                  <c:v>331.95000000000005</c:v>
                </c:pt>
                <c:pt idx="5">
                  <c:v>331.95000000000005</c:v>
                </c:pt>
                <c:pt idx="6">
                  <c:v>331.95000000000005</c:v>
                </c:pt>
                <c:pt idx="7">
                  <c:v>331.95000000000005</c:v>
                </c:pt>
                <c:pt idx="8">
                  <c:v>331.95000000000005</c:v>
                </c:pt>
                <c:pt idx="9">
                  <c:v>331.95000000000005</c:v>
                </c:pt>
                <c:pt idx="10">
                  <c:v>331.95000000000005</c:v>
                </c:pt>
                <c:pt idx="11">
                  <c:v>331.95000000000005</c:v>
                </c:pt>
                <c:pt idx="12">
                  <c:v>331.95000000000005</c:v>
                </c:pt>
                <c:pt idx="13">
                  <c:v>331.95000000000005</c:v>
                </c:pt>
                <c:pt idx="14">
                  <c:v>331.95000000000005</c:v>
                </c:pt>
                <c:pt idx="15">
                  <c:v>331.95000000000005</c:v>
                </c:pt>
              </c:numCache>
            </c:numRef>
          </c:val>
          <c:extLst>
            <c:ext xmlns:c16="http://schemas.microsoft.com/office/drawing/2014/chart" uri="{C3380CC4-5D6E-409C-BE32-E72D297353CC}">
              <c16:uniqueId val="{00000000-0A43-4978-ACB4-6DC038DA3856}"/>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221.29999999999995</c:v>
                </c:pt>
                <c:pt idx="1">
                  <c:v>221.29999999999995</c:v>
                </c:pt>
                <c:pt idx="2">
                  <c:v>221.29999999999995</c:v>
                </c:pt>
                <c:pt idx="3">
                  <c:v>221.29999999999995</c:v>
                </c:pt>
                <c:pt idx="4">
                  <c:v>221.29999999999995</c:v>
                </c:pt>
                <c:pt idx="5">
                  <c:v>221.29999999999995</c:v>
                </c:pt>
                <c:pt idx="6">
                  <c:v>221.29999999999995</c:v>
                </c:pt>
                <c:pt idx="7">
                  <c:v>221.29999999999995</c:v>
                </c:pt>
                <c:pt idx="8">
                  <c:v>221.29999999999995</c:v>
                </c:pt>
                <c:pt idx="9">
                  <c:v>221.29999999999995</c:v>
                </c:pt>
                <c:pt idx="10">
                  <c:v>221.29999999999995</c:v>
                </c:pt>
                <c:pt idx="11">
                  <c:v>221.29999999999995</c:v>
                </c:pt>
                <c:pt idx="12">
                  <c:v>221.29999999999995</c:v>
                </c:pt>
                <c:pt idx="13">
                  <c:v>221.29999999999995</c:v>
                </c:pt>
                <c:pt idx="14">
                  <c:v>221.29999999999995</c:v>
                </c:pt>
                <c:pt idx="15">
                  <c:v>221.29999999999995</c:v>
                </c:pt>
              </c:numCache>
            </c:numRef>
          </c:val>
          <c:extLst>
            <c:ext xmlns:c16="http://schemas.microsoft.com/office/drawing/2014/chart" uri="{C3380CC4-5D6E-409C-BE32-E72D297353CC}">
              <c16:uniqueId val="{00000001-0A43-4978-ACB4-6DC038DA3856}"/>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0A43-4978-ACB4-6DC038DA3856}"/>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0.0</c:formatCode>
                <c:ptCount val="16"/>
              </c:numCache>
            </c:numRef>
          </c:yVal>
          <c:smooth val="0"/>
          <c:extLst>
            <c:ext xmlns:c16="http://schemas.microsoft.com/office/drawing/2014/chart" uri="{C3380CC4-5D6E-409C-BE32-E72D297353CC}">
              <c16:uniqueId val="{00000003-0A43-4978-ACB4-6DC038DA3856}"/>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6.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 Id="rId6" Type="http://schemas.openxmlformats.org/officeDocument/2006/relationships/image" Target="../media/image19.png"/><Relationship Id="rId5" Type="http://schemas.openxmlformats.org/officeDocument/2006/relationships/image" Target="../media/image18.png"/><Relationship Id="rId4" Type="http://schemas.openxmlformats.org/officeDocument/2006/relationships/image" Target="../media/image17.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6.xml"/><Relationship Id="rId7" Type="http://schemas.openxmlformats.org/officeDocument/2006/relationships/image" Target="../media/image24.png"/><Relationship Id="rId2" Type="http://schemas.openxmlformats.org/officeDocument/2006/relationships/image" Target="../media/image21.png"/><Relationship Id="rId1" Type="http://schemas.openxmlformats.org/officeDocument/2006/relationships/image" Target="../media/image20.png"/><Relationship Id="rId6" Type="http://schemas.openxmlformats.org/officeDocument/2006/relationships/image" Target="../media/image23.png"/><Relationship Id="rId5" Type="http://schemas.openxmlformats.org/officeDocument/2006/relationships/image" Target="../media/image22.png"/><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64</xdr:row>
      <xdr:rowOff>10870</xdr:rowOff>
    </xdr:from>
    <xdr:to>
      <xdr:col>1</xdr:col>
      <xdr:colOff>3488616</xdr:colOff>
      <xdr:row>77</xdr:row>
      <xdr:rowOff>97297</xdr:rowOff>
    </xdr:to>
    <xdr:pic>
      <xdr:nvPicPr>
        <xdr:cNvPr id="2" name="Picture 1">
          <a:extLst>
            <a:ext uri="{FF2B5EF4-FFF2-40B4-BE49-F238E27FC236}">
              <a16:creationId xmlns:a16="http://schemas.microsoft.com/office/drawing/2014/main" id="{FF2A6076-ECB6-5C8F-9DEA-AC9097BE495E}"/>
            </a:ext>
          </a:extLst>
        </xdr:cNvPr>
        <xdr:cNvPicPr>
          <a:picLocks noChangeAspect="1"/>
        </xdr:cNvPicPr>
      </xdr:nvPicPr>
      <xdr:blipFill>
        <a:blip xmlns:r="http://schemas.openxmlformats.org/officeDocument/2006/relationships" r:embed="rId1"/>
        <a:stretch>
          <a:fillRect/>
        </a:stretch>
      </xdr:blipFill>
      <xdr:spPr>
        <a:xfrm>
          <a:off x="0" y="10286664"/>
          <a:ext cx="4885765" cy="2275384"/>
        </a:xfrm>
        <a:prstGeom prst="rect">
          <a:avLst/>
        </a:prstGeom>
      </xdr:spPr>
    </xdr:pic>
    <xdr:clientData/>
  </xdr:twoCellAnchor>
  <xdr:twoCellAnchor editAs="oneCell">
    <xdr:from>
      <xdr:col>0</xdr:col>
      <xdr:colOff>67236</xdr:colOff>
      <xdr:row>50</xdr:row>
      <xdr:rowOff>67234</xdr:rowOff>
    </xdr:from>
    <xdr:to>
      <xdr:col>1</xdr:col>
      <xdr:colOff>3864350</xdr:colOff>
      <xdr:row>61</xdr:row>
      <xdr:rowOff>131315</xdr:rowOff>
    </xdr:to>
    <xdr:pic>
      <xdr:nvPicPr>
        <xdr:cNvPr id="3" name="Picture 2">
          <a:extLst>
            <a:ext uri="{FF2B5EF4-FFF2-40B4-BE49-F238E27FC236}">
              <a16:creationId xmlns:a16="http://schemas.microsoft.com/office/drawing/2014/main" id="{372B956A-3B22-E259-C525-BFBCC16C9804}"/>
            </a:ext>
          </a:extLst>
        </xdr:cNvPr>
        <xdr:cNvPicPr>
          <a:picLocks noChangeAspect="1"/>
        </xdr:cNvPicPr>
      </xdr:nvPicPr>
      <xdr:blipFill>
        <a:blip xmlns:r="http://schemas.openxmlformats.org/officeDocument/2006/relationships" r:embed="rId2"/>
        <a:stretch>
          <a:fillRect/>
        </a:stretch>
      </xdr:blipFill>
      <xdr:spPr>
        <a:xfrm>
          <a:off x="67236" y="7821705"/>
          <a:ext cx="5177118" cy="1903526"/>
        </a:xfrm>
        <a:prstGeom prst="rect">
          <a:avLst/>
        </a:prstGeom>
      </xdr:spPr>
    </xdr:pic>
    <xdr:clientData/>
  </xdr:twoCellAnchor>
  <xdr:twoCellAnchor editAs="oneCell">
    <xdr:from>
      <xdr:col>1</xdr:col>
      <xdr:colOff>4133963</xdr:colOff>
      <xdr:row>50</xdr:row>
      <xdr:rowOff>40005</xdr:rowOff>
    </xdr:from>
    <xdr:to>
      <xdr:col>2</xdr:col>
      <xdr:colOff>2419911</xdr:colOff>
      <xdr:row>62</xdr:row>
      <xdr:rowOff>369</xdr:rowOff>
    </xdr:to>
    <xdr:pic>
      <xdr:nvPicPr>
        <xdr:cNvPr id="5" name="Picture 4">
          <a:extLst>
            <a:ext uri="{FF2B5EF4-FFF2-40B4-BE49-F238E27FC236}">
              <a16:creationId xmlns:a16="http://schemas.microsoft.com/office/drawing/2014/main" id="{0BCE216C-EA04-2336-0BB5-38183735B94E}"/>
            </a:ext>
          </a:extLst>
        </xdr:cNvPr>
        <xdr:cNvPicPr>
          <a:picLocks noChangeAspect="1"/>
        </xdr:cNvPicPr>
      </xdr:nvPicPr>
      <xdr:blipFill>
        <a:blip xmlns:r="http://schemas.openxmlformats.org/officeDocument/2006/relationships" r:embed="rId3"/>
        <a:stretch>
          <a:fillRect/>
        </a:stretch>
      </xdr:blipFill>
      <xdr:spPr>
        <a:xfrm>
          <a:off x="5523492" y="7962564"/>
          <a:ext cx="5066068" cy="1971707"/>
        </a:xfrm>
        <a:prstGeom prst="rect">
          <a:avLst/>
        </a:prstGeom>
      </xdr:spPr>
    </xdr:pic>
    <xdr:clientData/>
  </xdr:twoCellAnchor>
  <xdr:twoCellAnchor editAs="oneCell">
    <xdr:from>
      <xdr:col>1</xdr:col>
      <xdr:colOff>4049470</xdr:colOff>
      <xdr:row>63</xdr:row>
      <xdr:rowOff>77208</xdr:rowOff>
    </xdr:from>
    <xdr:to>
      <xdr:col>3</xdr:col>
      <xdr:colOff>212687</xdr:colOff>
      <xdr:row>70</xdr:row>
      <xdr:rowOff>21997</xdr:rowOff>
    </xdr:to>
    <xdr:pic>
      <xdr:nvPicPr>
        <xdr:cNvPr id="6" name="Picture 5">
          <a:extLst>
            <a:ext uri="{FF2B5EF4-FFF2-40B4-BE49-F238E27FC236}">
              <a16:creationId xmlns:a16="http://schemas.microsoft.com/office/drawing/2014/main" id="{C9300F47-0C2B-F783-8706-9BAE28179F8F}"/>
            </a:ext>
          </a:extLst>
        </xdr:cNvPr>
        <xdr:cNvPicPr>
          <a:picLocks noChangeAspect="1"/>
        </xdr:cNvPicPr>
      </xdr:nvPicPr>
      <xdr:blipFill>
        <a:blip xmlns:r="http://schemas.openxmlformats.org/officeDocument/2006/relationships" r:embed="rId4"/>
        <a:stretch>
          <a:fillRect/>
        </a:stretch>
      </xdr:blipFill>
      <xdr:spPr>
        <a:xfrm>
          <a:off x="5438999" y="10184914"/>
          <a:ext cx="5686537" cy="1132836"/>
        </a:xfrm>
        <a:prstGeom prst="rect">
          <a:avLst/>
        </a:prstGeom>
      </xdr:spPr>
    </xdr:pic>
    <xdr:clientData/>
  </xdr:twoCellAnchor>
  <xdr:twoCellAnchor editAs="oneCell">
    <xdr:from>
      <xdr:col>1</xdr:col>
      <xdr:colOff>22970</xdr:colOff>
      <xdr:row>32</xdr:row>
      <xdr:rowOff>18994</xdr:rowOff>
    </xdr:from>
    <xdr:to>
      <xdr:col>2</xdr:col>
      <xdr:colOff>1313889</xdr:colOff>
      <xdr:row>42</xdr:row>
      <xdr:rowOff>17032</xdr:rowOff>
    </xdr:to>
    <xdr:pic>
      <xdr:nvPicPr>
        <xdr:cNvPr id="7" name="Picture 6">
          <a:extLst>
            <a:ext uri="{FF2B5EF4-FFF2-40B4-BE49-F238E27FC236}">
              <a16:creationId xmlns:a16="http://schemas.microsoft.com/office/drawing/2014/main" id="{21507765-A4C7-2FFB-B22A-BBFE069400B2}"/>
            </a:ext>
            <a:ext uri="{147F2762-F138-4A5C-976F-8EAC2B608ADB}">
              <a16:predDERef xmlns:a16="http://schemas.microsoft.com/office/drawing/2014/main" pred="{C9300F47-0C2B-F783-8706-9BAE28179F8F}"/>
            </a:ext>
          </a:extLst>
        </xdr:cNvPr>
        <xdr:cNvPicPr>
          <a:picLocks noChangeAspect="1"/>
        </xdr:cNvPicPr>
      </xdr:nvPicPr>
      <xdr:blipFill>
        <a:blip xmlns:r="http://schemas.openxmlformats.org/officeDocument/2006/relationships" r:embed="rId5"/>
        <a:stretch>
          <a:fillRect/>
        </a:stretch>
      </xdr:blipFill>
      <xdr:spPr>
        <a:xfrm>
          <a:off x="1375520" y="6067369"/>
          <a:ext cx="7901269" cy="1798263"/>
        </a:xfrm>
        <a:prstGeom prst="rect">
          <a:avLst/>
        </a:prstGeom>
      </xdr:spPr>
    </xdr:pic>
    <xdr:clientData/>
  </xdr:twoCellAnchor>
  <xdr:twoCellAnchor editAs="oneCell">
    <xdr:from>
      <xdr:col>0</xdr:col>
      <xdr:colOff>63425</xdr:colOff>
      <xdr:row>142</xdr:row>
      <xdr:rowOff>46729</xdr:rowOff>
    </xdr:from>
    <xdr:to>
      <xdr:col>1</xdr:col>
      <xdr:colOff>2531857</xdr:colOff>
      <xdr:row>155</xdr:row>
      <xdr:rowOff>20895</xdr:rowOff>
    </xdr:to>
    <xdr:pic>
      <xdr:nvPicPr>
        <xdr:cNvPr id="11" name="Picture 10">
          <a:extLst>
            <a:ext uri="{FF2B5EF4-FFF2-40B4-BE49-F238E27FC236}">
              <a16:creationId xmlns:a16="http://schemas.microsoft.com/office/drawing/2014/main" id="{760C4082-1E7E-A189-1A34-91C8623BCCB4}"/>
            </a:ext>
          </a:extLst>
        </xdr:cNvPr>
        <xdr:cNvPicPr>
          <a:picLocks noChangeAspect="1"/>
        </xdr:cNvPicPr>
      </xdr:nvPicPr>
      <xdr:blipFill>
        <a:blip xmlns:r="http://schemas.openxmlformats.org/officeDocument/2006/relationships" r:embed="rId6"/>
        <a:stretch>
          <a:fillRect/>
        </a:stretch>
      </xdr:blipFill>
      <xdr:spPr>
        <a:xfrm>
          <a:off x="63425" y="13180023"/>
          <a:ext cx="3873201" cy="21516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74296</xdr:colOff>
      <xdr:row>31</xdr:row>
      <xdr:rowOff>226696</xdr:rowOff>
    </xdr:from>
    <xdr:to>
      <xdr:col>2</xdr:col>
      <xdr:colOff>2854676</xdr:colOff>
      <xdr:row>31</xdr:row>
      <xdr:rowOff>1426846</xdr:rowOff>
    </xdr:to>
    <xdr:pic>
      <xdr:nvPicPr>
        <xdr:cNvPr id="9" name="Picture 8">
          <a:extLst>
            <a:ext uri="{FF2B5EF4-FFF2-40B4-BE49-F238E27FC236}">
              <a16:creationId xmlns:a16="http://schemas.microsoft.com/office/drawing/2014/main" id="{359DFBDE-2E53-3850-5645-B688BD833559}"/>
            </a:ext>
          </a:extLst>
        </xdr:cNvPr>
        <xdr:cNvPicPr>
          <a:picLocks noChangeAspect="1"/>
        </xdr:cNvPicPr>
      </xdr:nvPicPr>
      <xdr:blipFill rotWithShape="1">
        <a:blip xmlns:r="http://schemas.openxmlformats.org/officeDocument/2006/relationships" r:embed="rId1"/>
        <a:srcRect b="18839"/>
        <a:stretch>
          <a:fillRect/>
        </a:stretch>
      </xdr:blipFill>
      <xdr:spPr>
        <a:xfrm>
          <a:off x="5160646" y="8627746"/>
          <a:ext cx="2780380" cy="1200150"/>
        </a:xfrm>
        <a:prstGeom prst="rect">
          <a:avLst/>
        </a:prstGeom>
      </xdr:spPr>
    </xdr:pic>
    <xdr:clientData/>
  </xdr:twoCellAnchor>
  <xdr:twoCellAnchor>
    <xdr:from>
      <xdr:col>3</xdr:col>
      <xdr:colOff>257174</xdr:colOff>
      <xdr:row>31</xdr:row>
      <xdr:rowOff>180165</xdr:rowOff>
    </xdr:from>
    <xdr:to>
      <xdr:col>3</xdr:col>
      <xdr:colOff>3030895</xdr:colOff>
      <xdr:row>31</xdr:row>
      <xdr:rowOff>1323976</xdr:rowOff>
    </xdr:to>
    <xdr:pic>
      <xdr:nvPicPr>
        <xdr:cNvPr id="10" name="Picture 9">
          <a:extLst>
            <a:ext uri="{FF2B5EF4-FFF2-40B4-BE49-F238E27FC236}">
              <a16:creationId xmlns:a16="http://schemas.microsoft.com/office/drawing/2014/main" id="{DD5D94E7-F3C0-5D34-1E83-A4DD7D5AF500}"/>
            </a:ext>
            <a:ext uri="{147F2762-F138-4A5C-976F-8EAC2B608ADB}">
              <a16:predDERef xmlns:a16="http://schemas.microsoft.com/office/drawing/2014/main" pred="{359DFBDE-2E53-3850-5645-B688BD833559}"/>
            </a:ext>
          </a:extLst>
        </xdr:cNvPr>
        <xdr:cNvPicPr>
          <a:picLocks noChangeAspect="1"/>
        </xdr:cNvPicPr>
      </xdr:nvPicPr>
      <xdr:blipFill>
        <a:blip xmlns:r="http://schemas.openxmlformats.org/officeDocument/2006/relationships" r:embed="rId2"/>
        <a:stretch>
          <a:fillRect/>
        </a:stretch>
      </xdr:blipFill>
      <xdr:spPr>
        <a:xfrm>
          <a:off x="8658224" y="8581215"/>
          <a:ext cx="2773721" cy="1143811"/>
        </a:xfrm>
        <a:prstGeom prst="rect">
          <a:avLst/>
        </a:prstGeom>
      </xdr:spPr>
    </xdr:pic>
    <xdr:clientData/>
  </xdr:twoCellAnchor>
  <xdr:twoCellAnchor>
    <xdr:from>
      <xdr:col>2</xdr:col>
      <xdr:colOff>2543175</xdr:colOff>
      <xdr:row>31</xdr:row>
      <xdr:rowOff>1276350</xdr:rowOff>
    </xdr:from>
    <xdr:to>
      <xdr:col>2</xdr:col>
      <xdr:colOff>2838450</xdr:colOff>
      <xdr:row>31</xdr:row>
      <xdr:rowOff>1504950</xdr:rowOff>
    </xdr:to>
    <xdr:pic>
      <xdr:nvPicPr>
        <xdr:cNvPr id="11" name="Picture 4">
          <a:extLst>
            <a:ext uri="{FF2B5EF4-FFF2-40B4-BE49-F238E27FC236}">
              <a16:creationId xmlns:a16="http://schemas.microsoft.com/office/drawing/2014/main" id="{40EAE10F-93BC-4010-93B5-C33094C75085}"/>
            </a:ext>
            <a:ext uri="{147F2762-F138-4A5C-976F-8EAC2B608ADB}">
              <a16:predDERef xmlns:a16="http://schemas.microsoft.com/office/drawing/2014/main" pred="{DD5D94E7-F3C0-5D34-1E83-A4DD7D5AF5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51637" t="77070" r="34578" b="14797"/>
        <a:stretch>
          <a:fillRect/>
        </a:stretch>
      </xdr:blipFill>
      <xdr:spPr bwMode="auto">
        <a:xfrm>
          <a:off x="7629525" y="9677400"/>
          <a:ext cx="29527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390525</xdr:colOff>
      <xdr:row>7</xdr:row>
      <xdr:rowOff>85725</xdr:rowOff>
    </xdr:from>
    <xdr:to>
      <xdr:col>1</xdr:col>
      <xdr:colOff>2992755</xdr:colOff>
      <xdr:row>7</xdr:row>
      <xdr:rowOff>1161940</xdr:rowOff>
    </xdr:to>
    <xdr:pic>
      <xdr:nvPicPr>
        <xdr:cNvPr id="4" name="Picture 3">
          <a:extLst>
            <a:ext uri="{FF2B5EF4-FFF2-40B4-BE49-F238E27FC236}">
              <a16:creationId xmlns:a16="http://schemas.microsoft.com/office/drawing/2014/main" id="{005A3C41-776F-473D-9292-4DD497DE19E3}"/>
            </a:ext>
          </a:extLst>
        </xdr:cNvPr>
        <xdr:cNvPicPr>
          <a:picLocks noChangeAspect="1"/>
        </xdr:cNvPicPr>
      </xdr:nvPicPr>
      <xdr:blipFill rotWithShape="1">
        <a:blip xmlns:r="http://schemas.openxmlformats.org/officeDocument/2006/relationships" r:embed="rId1"/>
        <a:srcRect b="18839"/>
        <a:stretch>
          <a:fillRect/>
        </a:stretch>
      </xdr:blipFill>
      <xdr:spPr>
        <a:xfrm>
          <a:off x="2105025" y="1666875"/>
          <a:ext cx="2598420" cy="1089550"/>
        </a:xfrm>
        <a:prstGeom prst="rect">
          <a:avLst/>
        </a:prstGeom>
      </xdr:spPr>
    </xdr:pic>
    <xdr:clientData/>
  </xdr:twoCellAnchor>
  <xdr:twoCellAnchor>
    <xdr:from>
      <xdr:col>0</xdr:col>
      <xdr:colOff>869576</xdr:colOff>
      <xdr:row>74</xdr:row>
      <xdr:rowOff>8966</xdr:rowOff>
    </xdr:from>
    <xdr:to>
      <xdr:col>2</xdr:col>
      <xdr:colOff>2133600</xdr:colOff>
      <xdr:row>90</xdr:row>
      <xdr:rowOff>8966</xdr:rowOff>
    </xdr:to>
    <xdr:pic>
      <xdr:nvPicPr>
        <xdr:cNvPr id="5" name="Picture 4">
          <a:extLst>
            <a:ext uri="{FF2B5EF4-FFF2-40B4-BE49-F238E27FC236}">
              <a16:creationId xmlns:a16="http://schemas.microsoft.com/office/drawing/2014/main" id="{682A912B-8347-4292-931A-E0F5CA0CE4C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69576" y="18081813"/>
          <a:ext cx="6499412" cy="2868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676052</xdr:colOff>
      <xdr:row>89</xdr:row>
      <xdr:rowOff>142090</xdr:rowOff>
    </xdr:from>
    <xdr:to>
      <xdr:col>2</xdr:col>
      <xdr:colOff>2140997</xdr:colOff>
      <xdr:row>106</xdr:row>
      <xdr:rowOff>51994</xdr:rowOff>
    </xdr:to>
    <xdr:pic>
      <xdr:nvPicPr>
        <xdr:cNvPr id="6" name="Picture 5">
          <a:extLst>
            <a:ext uri="{FF2B5EF4-FFF2-40B4-BE49-F238E27FC236}">
              <a16:creationId xmlns:a16="http://schemas.microsoft.com/office/drawing/2014/main" id="{CFE1CD5E-1239-4E69-BC6A-3454CA1A8D83}"/>
            </a:ext>
          </a:extLst>
        </xdr:cNvPr>
        <xdr:cNvPicPr>
          <a:picLocks noChangeAspect="1"/>
        </xdr:cNvPicPr>
      </xdr:nvPicPr>
      <xdr:blipFill>
        <a:blip xmlns:r="http://schemas.openxmlformats.org/officeDocument/2006/relationships" r:embed="rId5"/>
        <a:stretch>
          <a:fillRect/>
        </a:stretch>
      </xdr:blipFill>
      <xdr:spPr>
        <a:xfrm>
          <a:off x="676052" y="20368708"/>
          <a:ext cx="6709298" cy="2901874"/>
        </a:xfrm>
        <a:prstGeom prst="rect">
          <a:avLst/>
        </a:prstGeom>
      </xdr:spPr>
    </xdr:pic>
    <xdr:clientData/>
  </xdr:twoCellAnchor>
  <xdr:twoCellAnchor>
    <xdr:from>
      <xdr:col>4</xdr:col>
      <xdr:colOff>154305</xdr:colOff>
      <xdr:row>31</xdr:row>
      <xdr:rowOff>173355</xdr:rowOff>
    </xdr:from>
    <xdr:to>
      <xdr:col>4</xdr:col>
      <xdr:colOff>2783205</xdr:colOff>
      <xdr:row>31</xdr:row>
      <xdr:rowOff>1426845</xdr:rowOff>
    </xdr:to>
    <xdr:pic>
      <xdr:nvPicPr>
        <xdr:cNvPr id="2" name="Picture 1">
          <a:extLst>
            <a:ext uri="{FF2B5EF4-FFF2-40B4-BE49-F238E27FC236}">
              <a16:creationId xmlns:a16="http://schemas.microsoft.com/office/drawing/2014/main" id="{1E83DF02-717D-C0DD-FF88-69AADAB52609}"/>
            </a:ext>
            <a:ext uri="{147F2762-F138-4A5C-976F-8EAC2B608ADB}">
              <a16:predDERef xmlns:a16="http://schemas.microsoft.com/office/drawing/2014/main" pred="{01F86F7E-9609-4A37-9518-B503FE6437B5}"/>
            </a:ext>
          </a:extLst>
        </xdr:cNvPr>
        <xdr:cNvPicPr>
          <a:picLocks noChangeAspect="1"/>
        </xdr:cNvPicPr>
      </xdr:nvPicPr>
      <xdr:blipFill>
        <a:blip xmlns:r="http://schemas.openxmlformats.org/officeDocument/2006/relationships" r:embed="rId6"/>
        <a:stretch>
          <a:fillRect/>
        </a:stretch>
      </xdr:blipFill>
      <xdr:spPr>
        <a:xfrm>
          <a:off x="11517630" y="8755380"/>
          <a:ext cx="2628900" cy="1253490"/>
        </a:xfrm>
        <a:prstGeom prst="rect">
          <a:avLst/>
        </a:prstGeom>
      </xdr:spPr>
    </xdr:pic>
    <xdr:clientData/>
  </xdr:twoCellAnchor>
  <xdr:twoCellAnchor>
    <xdr:from>
      <xdr:col>1</xdr:col>
      <xdr:colOff>152400</xdr:colOff>
      <xdr:row>113</xdr:row>
      <xdr:rowOff>133350</xdr:rowOff>
    </xdr:from>
    <xdr:to>
      <xdr:col>1</xdr:col>
      <xdr:colOff>3103245</xdr:colOff>
      <xdr:row>113</xdr:row>
      <xdr:rowOff>1352550</xdr:rowOff>
    </xdr:to>
    <xdr:pic>
      <xdr:nvPicPr>
        <xdr:cNvPr id="3" name="Picture 2">
          <a:extLst>
            <a:ext uri="{FF2B5EF4-FFF2-40B4-BE49-F238E27FC236}">
              <a16:creationId xmlns:a16="http://schemas.microsoft.com/office/drawing/2014/main" id="{C72E54FD-9E6E-43A3-AEF0-547F8EB4AE01}"/>
            </a:ext>
            <a:ext uri="{147F2762-F138-4A5C-976F-8EAC2B608ADB}">
              <a16:predDERef xmlns:a16="http://schemas.microsoft.com/office/drawing/2014/main" pred="{1E83DF02-717D-C0DD-FF88-69AADAB52609}"/>
            </a:ext>
          </a:extLst>
        </xdr:cNvPr>
        <xdr:cNvPicPr>
          <a:picLocks noChangeAspect="1"/>
        </xdr:cNvPicPr>
      </xdr:nvPicPr>
      <xdr:blipFill rotWithShape="1">
        <a:blip xmlns:r="http://schemas.openxmlformats.org/officeDocument/2006/relationships" r:embed="rId1"/>
        <a:srcRect b="18839"/>
        <a:stretch>
          <a:fillRect/>
        </a:stretch>
      </xdr:blipFill>
      <xdr:spPr>
        <a:xfrm>
          <a:off x="2295525" y="8591550"/>
          <a:ext cx="2962275" cy="1228725"/>
        </a:xfrm>
        <a:prstGeom prst="rect">
          <a:avLst/>
        </a:prstGeom>
      </xdr:spPr>
    </xdr:pic>
    <xdr:clientData/>
  </xdr:twoCellAnchor>
  <xdr:twoCellAnchor>
    <xdr:from>
      <xdr:col>2</xdr:col>
      <xdr:colOff>152400</xdr:colOff>
      <xdr:row>113</xdr:row>
      <xdr:rowOff>104775</xdr:rowOff>
    </xdr:from>
    <xdr:to>
      <xdr:col>2</xdr:col>
      <xdr:colOff>3200400</xdr:colOff>
      <xdr:row>113</xdr:row>
      <xdr:rowOff>1350645</xdr:rowOff>
    </xdr:to>
    <xdr:pic>
      <xdr:nvPicPr>
        <xdr:cNvPr id="7" name="Picture 6">
          <a:extLst>
            <a:ext uri="{FF2B5EF4-FFF2-40B4-BE49-F238E27FC236}">
              <a16:creationId xmlns:a16="http://schemas.microsoft.com/office/drawing/2014/main" id="{C6B4F3BC-2C64-4F44-B491-02C97B5466C5}"/>
            </a:ext>
            <a:ext uri="{147F2762-F138-4A5C-976F-8EAC2B608ADB}">
              <a16:predDERef xmlns:a16="http://schemas.microsoft.com/office/drawing/2014/main" pred="{C72E54FD-9E6E-43A3-AEF0-547F8EB4AE01}"/>
            </a:ext>
          </a:extLst>
        </xdr:cNvPr>
        <xdr:cNvPicPr>
          <a:picLocks noChangeAspect="1"/>
        </xdr:cNvPicPr>
      </xdr:nvPicPr>
      <xdr:blipFill>
        <a:blip xmlns:r="http://schemas.openxmlformats.org/officeDocument/2006/relationships" r:embed="rId2"/>
        <a:stretch>
          <a:fillRect/>
        </a:stretch>
      </xdr:blipFill>
      <xdr:spPr>
        <a:xfrm>
          <a:off x="5572125" y="8562975"/>
          <a:ext cx="3048000" cy="1257300"/>
        </a:xfrm>
        <a:prstGeom prst="rect">
          <a:avLst/>
        </a:prstGeom>
      </xdr:spPr>
    </xdr:pic>
    <xdr:clientData/>
  </xdr:twoCellAnchor>
  <xdr:twoCellAnchor>
    <xdr:from>
      <xdr:col>3</xdr:col>
      <xdr:colOff>276225</xdr:colOff>
      <xdr:row>113</xdr:row>
      <xdr:rowOff>85725</xdr:rowOff>
    </xdr:from>
    <xdr:to>
      <xdr:col>3</xdr:col>
      <xdr:colOff>3063240</xdr:colOff>
      <xdr:row>113</xdr:row>
      <xdr:rowOff>1413510</xdr:rowOff>
    </xdr:to>
    <xdr:pic>
      <xdr:nvPicPr>
        <xdr:cNvPr id="8" name="Picture 7">
          <a:extLst>
            <a:ext uri="{FF2B5EF4-FFF2-40B4-BE49-F238E27FC236}">
              <a16:creationId xmlns:a16="http://schemas.microsoft.com/office/drawing/2014/main" id="{3DFD2005-0971-49D3-8AE5-BDEE5CA45226}"/>
            </a:ext>
            <a:ext uri="{147F2762-F138-4A5C-976F-8EAC2B608ADB}">
              <a16:predDERef xmlns:a16="http://schemas.microsoft.com/office/drawing/2014/main" pred="{C6B4F3BC-2C64-4F44-B491-02C97B5466C5}"/>
            </a:ext>
          </a:extLst>
        </xdr:cNvPr>
        <xdr:cNvPicPr>
          <a:picLocks noChangeAspect="1"/>
        </xdr:cNvPicPr>
      </xdr:nvPicPr>
      <xdr:blipFill>
        <a:blip xmlns:r="http://schemas.openxmlformats.org/officeDocument/2006/relationships" r:embed="rId6"/>
        <a:stretch>
          <a:fillRect/>
        </a:stretch>
      </xdr:blipFill>
      <xdr:spPr>
        <a:xfrm>
          <a:off x="8972550" y="8543925"/>
          <a:ext cx="2781300" cy="1323975"/>
        </a:xfrm>
        <a:prstGeom prst="rect">
          <a:avLst/>
        </a:prstGeom>
      </xdr:spPr>
    </xdr:pic>
    <xdr:clientData/>
  </xdr:twoCellAnchor>
  <xdr:twoCellAnchor>
    <xdr:from>
      <xdr:col>4</xdr:col>
      <xdr:colOff>76200</xdr:colOff>
      <xdr:row>113</xdr:row>
      <xdr:rowOff>114300</xdr:rowOff>
    </xdr:from>
    <xdr:to>
      <xdr:col>4</xdr:col>
      <xdr:colOff>3177540</xdr:colOff>
      <xdr:row>113</xdr:row>
      <xdr:rowOff>1394460</xdr:rowOff>
    </xdr:to>
    <xdr:pic>
      <xdr:nvPicPr>
        <xdr:cNvPr id="12" name="Picture 11">
          <a:extLst>
            <a:ext uri="{FF2B5EF4-FFF2-40B4-BE49-F238E27FC236}">
              <a16:creationId xmlns:a16="http://schemas.microsoft.com/office/drawing/2014/main" id="{A845172A-A830-458F-9DF6-2C52457B2AEE}"/>
            </a:ext>
            <a:ext uri="{147F2762-F138-4A5C-976F-8EAC2B608ADB}">
              <a16:predDERef xmlns:a16="http://schemas.microsoft.com/office/drawing/2014/main" pred="{3DFD2005-0971-49D3-8AE5-BDEE5CA45226}"/>
            </a:ext>
          </a:extLst>
        </xdr:cNvPr>
        <xdr:cNvPicPr>
          <a:picLocks noChangeAspect="1"/>
        </xdr:cNvPicPr>
      </xdr:nvPicPr>
      <xdr:blipFill rotWithShape="1">
        <a:blip xmlns:r="http://schemas.openxmlformats.org/officeDocument/2006/relationships" r:embed="rId1"/>
        <a:srcRect b="18839"/>
        <a:stretch>
          <a:fillRect/>
        </a:stretch>
      </xdr:blipFill>
      <xdr:spPr>
        <a:xfrm>
          <a:off x="12049125" y="8572500"/>
          <a:ext cx="3095625" cy="12858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15</xdr:col>
      <xdr:colOff>1282561</xdr:colOff>
      <xdr:row>0</xdr:row>
      <xdr:rowOff>35035</xdr:rowOff>
    </xdr:from>
    <xdr:to>
      <xdr:col>15</xdr:col>
      <xdr:colOff>1282561</xdr:colOff>
      <xdr:row>0</xdr:row>
      <xdr:rowOff>321779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12000257"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1306168</xdr:colOff>
      <xdr:row>0</xdr:row>
      <xdr:rowOff>830</xdr:rowOff>
    </xdr:from>
    <xdr:to>
      <xdr:col>15</xdr:col>
      <xdr:colOff>1546362</xdr:colOff>
      <xdr:row>1</xdr:row>
      <xdr:rowOff>36528</xdr:rowOff>
    </xdr:to>
    <xdr:sp macro="" textlink="">
      <xdr:nvSpPr>
        <xdr:cNvPr id="8" name="TextBox 7">
          <a:extLst>
            <a:ext uri="{FF2B5EF4-FFF2-40B4-BE49-F238E27FC236}">
              <a16:creationId xmlns:a16="http://schemas.microsoft.com/office/drawing/2014/main" id="{1DDDC35D-79DC-FE8D-E36B-A215903DCB00}"/>
            </a:ext>
            <a:ext uri="{147F2762-F138-4A5C-976F-8EAC2B608ADB}">
              <a16:predDERef xmlns:a16="http://schemas.microsoft.com/office/drawing/2014/main" pred="{BB0EC946-BDB6-09C9-DB60-21B21720AE71}"/>
            </a:ext>
          </a:extLst>
        </xdr:cNvPr>
        <xdr:cNvSpPr txBox="1"/>
      </xdr:nvSpPr>
      <xdr:spPr>
        <a:xfrm>
          <a:off x="13183843" y="830"/>
          <a:ext cx="240194" cy="35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absolute">
    <xdr:from>
      <xdr:col>14</xdr:col>
      <xdr:colOff>268662</xdr:colOff>
      <xdr:row>1</xdr:row>
      <xdr:rowOff>161630</xdr:rowOff>
    </xdr:from>
    <xdr:to>
      <xdr:col>15</xdr:col>
      <xdr:colOff>1267817</xdr:colOff>
      <xdr:row>9</xdr:row>
      <xdr:rowOff>124172</xdr:rowOff>
    </xdr:to>
    <xdr:pic>
      <xdr:nvPicPr>
        <xdr:cNvPr id="2" name="Picture 1">
          <a:extLst>
            <a:ext uri="{FF2B5EF4-FFF2-40B4-BE49-F238E27FC236}">
              <a16:creationId xmlns:a16="http://schemas.microsoft.com/office/drawing/2014/main" id="{41FBD27B-82A3-6032-5BB1-B60E1DA57CA8}"/>
            </a:ext>
            <a:ext uri="{147F2762-F138-4A5C-976F-8EAC2B608ADB}">
              <a16:predDERef xmlns:a16="http://schemas.microsoft.com/office/drawing/2014/main" pred="{1DDDC35D-79DC-FE8D-E36B-A215903DCB00}"/>
            </a:ext>
          </a:extLst>
        </xdr:cNvPr>
        <xdr:cNvPicPr>
          <a:picLocks noChangeAspect="1"/>
        </xdr:cNvPicPr>
      </xdr:nvPicPr>
      <xdr:blipFill>
        <a:blip xmlns:r="http://schemas.openxmlformats.org/officeDocument/2006/relationships" r:embed="rId1"/>
        <a:stretch>
          <a:fillRect/>
        </a:stretch>
      </xdr:blipFill>
      <xdr:spPr>
        <a:xfrm flipH="1">
          <a:off x="20937912" y="485480"/>
          <a:ext cx="1989755" cy="2077092"/>
        </a:xfrm>
        <a:prstGeom prst="rect">
          <a:avLst/>
        </a:prstGeom>
      </xdr:spPr>
    </xdr:pic>
    <xdr:clientData/>
  </xdr:twoCellAnchor>
  <xdr:twoCellAnchor>
    <xdr:from>
      <xdr:col>15</xdr:col>
      <xdr:colOff>104775</xdr:colOff>
      <xdr:row>2</xdr:row>
      <xdr:rowOff>38100</xdr:rowOff>
    </xdr:from>
    <xdr:to>
      <xdr:col>15</xdr:col>
      <xdr:colOff>790575</xdr:colOff>
      <xdr:row>3</xdr:row>
      <xdr:rowOff>123825</xdr:rowOff>
    </xdr:to>
    <xdr:sp macro="" textlink="">
      <xdr:nvSpPr>
        <xdr:cNvPr id="3" name="TextBox 2">
          <a:extLst>
            <a:ext uri="{FF2B5EF4-FFF2-40B4-BE49-F238E27FC236}">
              <a16:creationId xmlns:a16="http://schemas.microsoft.com/office/drawing/2014/main" id="{2ADACA2D-CEAD-52EC-7EF6-BED6F5B146DD}"/>
            </a:ext>
          </a:extLst>
        </xdr:cNvPr>
        <xdr:cNvSpPr txBox="1"/>
      </xdr:nvSpPr>
      <xdr:spPr>
        <a:xfrm>
          <a:off x="16002000" y="866775"/>
          <a:ext cx="6858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Kitchen</a:t>
          </a:r>
        </a:p>
      </xdr:txBody>
    </xdr:sp>
    <xdr:clientData/>
  </xdr:twoCellAnchor>
  <xdr:twoCellAnchor>
    <xdr:from>
      <xdr:col>15</xdr:col>
      <xdr:colOff>104775</xdr:colOff>
      <xdr:row>2</xdr:row>
      <xdr:rowOff>38100</xdr:rowOff>
    </xdr:from>
    <xdr:to>
      <xdr:col>15</xdr:col>
      <xdr:colOff>790575</xdr:colOff>
      <xdr:row>3</xdr:row>
      <xdr:rowOff>125730</xdr:rowOff>
    </xdr:to>
    <xdr:sp macro="" textlink="">
      <xdr:nvSpPr>
        <xdr:cNvPr id="5" name="TextBox 4">
          <a:extLst>
            <a:ext uri="{FF2B5EF4-FFF2-40B4-BE49-F238E27FC236}">
              <a16:creationId xmlns:a16="http://schemas.microsoft.com/office/drawing/2014/main" id="{068F2441-C157-4CF6-A47F-98AAFACAD768}"/>
            </a:ext>
          </a:extLst>
        </xdr:cNvPr>
        <xdr:cNvSpPr txBox="1"/>
      </xdr:nvSpPr>
      <xdr:spPr>
        <a:xfrm>
          <a:off x="16002000" y="866775"/>
          <a:ext cx="685800" cy="30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Kitchen</a:t>
          </a:r>
        </a:p>
      </xdr:txBody>
    </xdr:sp>
    <xdr:clientData/>
  </xdr:twoCellAnchor>
  <xdr:twoCellAnchor>
    <xdr:from>
      <xdr:col>15</xdr:col>
      <xdr:colOff>133350</xdr:colOff>
      <xdr:row>6</xdr:row>
      <xdr:rowOff>0</xdr:rowOff>
    </xdr:from>
    <xdr:to>
      <xdr:col>15</xdr:col>
      <xdr:colOff>819150</xdr:colOff>
      <xdr:row>7</xdr:row>
      <xdr:rowOff>116205</xdr:rowOff>
    </xdr:to>
    <xdr:sp macro="" textlink="">
      <xdr:nvSpPr>
        <xdr:cNvPr id="6" name="TextBox 5">
          <a:extLst>
            <a:ext uri="{FF2B5EF4-FFF2-40B4-BE49-F238E27FC236}">
              <a16:creationId xmlns:a16="http://schemas.microsoft.com/office/drawing/2014/main" id="{60DDC083-3647-4217-A767-B244934C39A3}"/>
            </a:ext>
            <a:ext uri="{147F2762-F138-4A5C-976F-8EAC2B608ADB}">
              <a16:predDERef xmlns:a16="http://schemas.microsoft.com/office/drawing/2014/main" pred="{068F2441-C157-4CF6-A47F-98AAFACAD768}"/>
            </a:ext>
          </a:extLst>
        </xdr:cNvPr>
        <xdr:cNvSpPr txBox="1"/>
      </xdr:nvSpPr>
      <xdr:spPr>
        <a:xfrm>
          <a:off x="16030575" y="1885950"/>
          <a:ext cx="685800" cy="30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dk1"/>
              </a:solidFill>
              <a:latin typeface="+mn-lt"/>
              <a:ea typeface="+mn-lt"/>
              <a:cs typeface="+mn-lt"/>
            </a:rPr>
            <a:t>Dining</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0</xdr:col>
      <xdr:colOff>14063</xdr:colOff>
      <xdr:row>44</xdr:row>
      <xdr:rowOff>69575</xdr:rowOff>
    </xdr:from>
    <xdr:ext cx="2486193" cy="365678"/>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3D05F620-046C-442D-8C97-4A9AC823E10F}"/>
                </a:ext>
              </a:extLst>
            </xdr:cNvPr>
            <xdr:cNvSpPr txBox="1">
              <a:spLocks/>
            </xdr:cNvSpPr>
          </xdr:nvSpPr>
          <xdr:spPr>
            <a:xfrm>
              <a:off x="14063" y="14726869"/>
              <a:ext cx="2486193" cy="36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𝐹𝑎𝑛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𝑝𝑜𝑤𝑒𝑟</m:t>
                        </m:r>
                      </m:e>
                      <m:sub>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𝑐𝑓𝑚</m:t>
                        </m:r>
                      </m:sub>
                    </m:sSub>
                    <m:r>
                      <a:rPr lang="en-US" sz="1100" b="0" i="1">
                        <a:solidFill>
                          <a:srgbClr val="000000"/>
                        </a:solidFill>
                        <a:latin typeface="Cambria Math" panose="02040503050406030204" pitchFamily="18" charset="0"/>
                      </a:rPr>
                      <m:t>=</m:t>
                    </m:r>
                    <m:f>
                      <m:fPr>
                        <m:ctrlPr>
                          <a:rPr lang="en-US" sz="1100" b="0" i="1">
                            <a:solidFill>
                              <a:srgbClr val="000000"/>
                            </a:solidFill>
                            <a:latin typeface="Cambria Math" panose="02040503050406030204" pitchFamily="18" charset="0"/>
                          </a:rPr>
                        </m:ctrlPr>
                      </m:fPr>
                      <m:num>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𝑇𝑆𝑃</m:t>
                            </m:r>
                          </m:e>
                          <m:sub>
                            <m:r>
                              <a:rPr lang="en-US" sz="1100" b="0" i="1">
                                <a:solidFill>
                                  <a:srgbClr val="000000"/>
                                </a:solidFill>
                                <a:latin typeface="Cambria Math" panose="02040503050406030204" pitchFamily="18" charset="0"/>
                              </a:rPr>
                              <m:t>𝑖𝑛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m:t>
                            </m:r>
                          </m:sub>
                        </m:sSub>
                        <m:r>
                          <a:rPr lang="en-US" sz="1100" b="0" i="1">
                            <a:solidFill>
                              <a:srgbClr val="000000"/>
                            </a:solidFill>
                            <a:latin typeface="Cambria Math" panose="02040503050406030204" pitchFamily="18" charset="0"/>
                          </a:rPr>
                          <m:t>∗746</m:t>
                        </m:r>
                      </m:num>
                      <m:den>
                        <m:r>
                          <a:rPr lang="en-US" sz="1100" b="0" i="1">
                            <a:solidFill>
                              <a:srgbClr val="000000"/>
                            </a:solidFill>
                            <a:latin typeface="Cambria Math" panose="02040503050406030204" pitchFamily="18" charset="0"/>
                          </a:rPr>
                          <m:t>6356∗</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𝑓𝑎𝑛</m:t>
                            </m:r>
                          </m:sub>
                        </m:sSub>
                        <m:r>
                          <a:rPr lang="en-US" sz="1100" b="0" i="1">
                            <a:solidFill>
                              <a:srgbClr val="000000"/>
                            </a:solidFill>
                            <a:latin typeface="Cambria Math" panose="02040503050406030204" pitchFamily="18" charset="0"/>
                          </a:rPr>
                          <m:t>∗</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𝑚𝑜𝑡𝑜𝑟</m:t>
                            </m:r>
                          </m:sub>
                        </m:sSub>
                      </m:den>
                    </m:f>
                  </m:oMath>
                </m:oMathPara>
              </a14:m>
              <a:endParaRPr lang="en-US" sz="1100">
                <a:solidFill>
                  <a:srgbClr val="000000"/>
                </a:solidFill>
              </a:endParaRPr>
            </a:p>
          </xdr:txBody>
        </xdr:sp>
      </mc:Choice>
      <mc:Fallback xmlns="">
        <xdr:sp macro="" textlink="">
          <xdr:nvSpPr>
            <xdr:cNvPr id="12" name="TextBox 11">
              <a:extLst>
                <a:ext uri="{FF2B5EF4-FFF2-40B4-BE49-F238E27FC236}">
                  <a16:creationId xmlns:a16="http://schemas.microsoft.com/office/drawing/2014/main" id="{3D05F620-046C-442D-8C97-4A9AC823E10F}"/>
                </a:ext>
              </a:extLst>
            </xdr:cNvPr>
            <xdr:cNvSpPr txBox="1">
              <a:spLocks/>
            </xdr:cNvSpPr>
          </xdr:nvSpPr>
          <xdr:spPr>
            <a:xfrm>
              <a:off x="14063" y="14726869"/>
              <a:ext cx="2486193" cy="36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〖𝐹𝑎𝑛 𝑝𝑜𝑤𝑒𝑟〗_(𝑤/𝑐𝑓𝑚)=(〖𝑇𝑆𝑃〗_(𝑖𝑛 𝑤.𝑐)∗746)/(6356∗</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𝑓𝑎𝑛∗</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𝑚𝑜𝑡𝑜𝑟 )</a:t>
              </a:r>
              <a:endParaRPr lang="en-US" sz="1100">
                <a:solidFill>
                  <a:srgbClr val="000000"/>
                </a:solidFill>
              </a:endParaRPr>
            </a:p>
          </xdr:txBody>
        </xdr:sp>
      </mc:Fallback>
    </mc:AlternateContent>
    <xdr:clientData/>
  </xdr:oneCellAnchor>
  <xdr:oneCellAnchor>
    <xdr:from>
      <xdr:col>0</xdr:col>
      <xdr:colOff>41518</xdr:colOff>
      <xdr:row>33</xdr:row>
      <xdr:rowOff>20731</xdr:rowOff>
    </xdr:from>
    <xdr:ext cx="1369028" cy="372025"/>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0A19E6F0-EC97-4224-8024-9060C070E35B}"/>
                </a:ext>
              </a:extLst>
            </xdr:cNvPr>
            <xdr:cNvSpPr txBox="1">
              <a:spLocks/>
            </xdr:cNvSpPr>
          </xdr:nvSpPr>
          <xdr:spPr>
            <a:xfrm>
              <a:off x="41518" y="12201525"/>
              <a:ext cx="1369028" cy="372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m:t>
                    </m:r>
                    <m:f>
                      <m:fPr>
                        <m:ctrlPr>
                          <a:rPr lang="en-US" sz="1100" b="0" i="1">
                            <a:solidFill>
                              <a:srgbClr val="000000"/>
                            </a:solidFill>
                            <a:effectLst/>
                            <a:latin typeface="Cambria Math" panose="02040503050406030204" pitchFamily="18" charset="0"/>
                            <a:ea typeface="+mn-ea"/>
                            <a:cs typeface="+mn-cs"/>
                          </a:rPr>
                        </m:ctrlPr>
                      </m:fPr>
                      <m:num>
                        <m:r>
                          <a:rPr lang="en-US" sz="1100" b="0" i="1">
                            <a:solidFill>
                              <a:srgbClr val="000000"/>
                            </a:solidFill>
                            <a:effectLst/>
                            <a:latin typeface="Cambria Math" panose="02040503050406030204" pitchFamily="18" charset="0"/>
                            <a:ea typeface="+mn-ea"/>
                            <a:cs typeface="+mn-cs"/>
                          </a:rPr>
                          <m:t>𝑐𝑓𝑚</m:t>
                        </m:r>
                        <m:r>
                          <a:rPr lang="en-US" sz="1100" b="0" i="1">
                            <a:solidFill>
                              <a:srgbClr val="000000"/>
                            </a:solidFill>
                            <a:effectLst/>
                            <a:latin typeface="Cambria Math" panose="02040503050406030204" pitchFamily="18" charset="0"/>
                            <a:ea typeface="+mn-ea"/>
                            <a:cs typeface="+mn-cs"/>
                          </a:rPr>
                          <m:t>∗</m:t>
                        </m:r>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𝑇𝑆𝑃</m:t>
                            </m:r>
                          </m:e>
                          <m:sub>
                            <m:r>
                              <a:rPr lang="en-US" sz="1100" b="0" i="1">
                                <a:solidFill>
                                  <a:srgbClr val="000000"/>
                                </a:solidFill>
                                <a:effectLst/>
                                <a:latin typeface="Cambria Math" panose="02040503050406030204" pitchFamily="18" charset="0"/>
                                <a:ea typeface="+mn-ea"/>
                                <a:cs typeface="+mn-cs"/>
                              </a:rPr>
                              <m:t>𝑖𝑛</m:t>
                            </m:r>
                            <m:r>
                              <a:rPr lang="en-US" sz="1100" b="0" i="1">
                                <a:solidFill>
                                  <a:srgbClr val="000000"/>
                                </a:solidFill>
                                <a:effectLst/>
                                <a:latin typeface="Cambria Math" panose="02040503050406030204" pitchFamily="18" charset="0"/>
                                <a:ea typeface="+mn-ea"/>
                                <a:cs typeface="+mn-cs"/>
                              </a:rPr>
                              <m:t> </m:t>
                            </m:r>
                            <m:r>
                              <a:rPr lang="en-US" sz="1100" b="0" i="1">
                                <a:solidFill>
                                  <a:srgbClr val="000000"/>
                                </a:solidFill>
                                <a:effectLst/>
                                <a:latin typeface="Cambria Math" panose="02040503050406030204" pitchFamily="18" charset="0"/>
                                <a:ea typeface="+mn-ea"/>
                                <a:cs typeface="+mn-cs"/>
                              </a:rPr>
                              <m:t>𝑤</m:t>
                            </m:r>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m:t>
                            </m:r>
                            <m:r>
                              <a:rPr lang="en-US" sz="1100" b="0" i="1">
                                <a:solidFill>
                                  <a:srgbClr val="000000"/>
                                </a:solidFill>
                                <a:effectLst/>
                                <a:latin typeface="Cambria Math" panose="02040503050406030204" pitchFamily="18" charset="0"/>
                                <a:ea typeface="+mn-ea"/>
                                <a:cs typeface="+mn-cs"/>
                              </a:rPr>
                              <m:t>.</m:t>
                            </m:r>
                          </m:sub>
                        </m:sSub>
                      </m:num>
                      <m:den>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6356∗</m:t>
                            </m:r>
                            <m:r>
                              <a:rPr lang="en-US" sz="1100" b="0" i="1">
                                <a:solidFill>
                                  <a:srgbClr val="000000"/>
                                </a:solidFill>
                                <a:effectLst/>
                                <a:latin typeface="Cambria Math" panose="02040503050406030204" pitchFamily="18" charset="0"/>
                                <a:ea typeface="+mn-ea"/>
                                <a:cs typeface="+mn-cs"/>
                              </a:rPr>
                              <m:t>𝜇</m:t>
                            </m:r>
                          </m:e>
                          <m:sub>
                            <m:r>
                              <a:rPr lang="en-US" sz="1100" b="0" i="1">
                                <a:solidFill>
                                  <a:srgbClr val="000000"/>
                                </a:solidFill>
                                <a:effectLst/>
                                <a:latin typeface="Cambria Math" panose="02040503050406030204" pitchFamily="18" charset="0"/>
                                <a:ea typeface="+mn-ea"/>
                                <a:cs typeface="+mn-cs"/>
                              </a:rPr>
                              <m:t>𝑓𝑎𝑛</m:t>
                            </m:r>
                          </m:sub>
                        </m:sSub>
                      </m:den>
                    </m:f>
                  </m:oMath>
                </m:oMathPara>
              </a14:m>
              <a:endParaRPr lang="en-US" sz="1100">
                <a:solidFill>
                  <a:srgbClr val="000000"/>
                </a:solidFill>
              </a:endParaRPr>
            </a:p>
          </xdr:txBody>
        </xdr:sp>
      </mc:Choice>
      <mc:Fallback xmlns="">
        <xdr:sp macro="" textlink="">
          <xdr:nvSpPr>
            <xdr:cNvPr id="13" name="TextBox 12">
              <a:extLst>
                <a:ext uri="{FF2B5EF4-FFF2-40B4-BE49-F238E27FC236}">
                  <a16:creationId xmlns:a16="http://schemas.microsoft.com/office/drawing/2014/main" id="{0A19E6F0-EC97-4224-8024-9060C070E35B}"/>
                </a:ext>
              </a:extLst>
            </xdr:cNvPr>
            <xdr:cNvSpPr txBox="1">
              <a:spLocks/>
            </xdr:cNvSpPr>
          </xdr:nvSpPr>
          <xdr:spPr>
            <a:xfrm>
              <a:off x="41518" y="12201525"/>
              <a:ext cx="1369028" cy="372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𝑏ℎ𝑝=</a:t>
              </a:r>
              <a:r>
                <a:rPr lang="en-US" sz="1100" b="0" i="0">
                  <a:solidFill>
                    <a:srgbClr val="000000"/>
                  </a:solidFill>
                  <a:effectLst/>
                  <a:latin typeface="Cambria Math" panose="02040503050406030204" pitchFamily="18" charset="0"/>
                  <a:ea typeface="+mn-ea"/>
                  <a:cs typeface="+mn-cs"/>
                </a:rPr>
                <a:t>(𝑐𝑓𝑚∗〖𝑇𝑆𝑃〗_(𝑖𝑛 𝑤.𝑐.))/〖6356∗𝜇〗_𝑓𝑎𝑛 </a:t>
              </a:r>
              <a:endParaRPr lang="en-US" sz="1100">
                <a:solidFill>
                  <a:srgbClr val="000000"/>
                </a:solidFill>
              </a:endParaRPr>
            </a:p>
          </xdr:txBody>
        </xdr:sp>
      </mc:Fallback>
    </mc:AlternateContent>
    <xdr:clientData/>
  </xdr:oneCellAnchor>
  <xdr:oneCellAnchor>
    <xdr:from>
      <xdr:col>0</xdr:col>
      <xdr:colOff>6279</xdr:colOff>
      <xdr:row>36</xdr:row>
      <xdr:rowOff>88809</xdr:rowOff>
    </xdr:from>
    <xdr:ext cx="2027222" cy="351058"/>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16775A84-91B7-40FD-B82B-2C2016B8F40B}"/>
                </a:ext>
              </a:extLst>
            </xdr:cNvPr>
            <xdr:cNvSpPr txBox="1">
              <a:spLocks/>
            </xdr:cNvSpPr>
          </xdr:nvSpPr>
          <xdr:spPr>
            <a:xfrm>
              <a:off x="6279" y="13401397"/>
              <a:ext cx="2027222" cy="351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𝐹𝑎𝑛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𝑝𝑜𝑤𝑒𝑟</m:t>
                        </m:r>
                      </m:e>
                      <m:sub>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𝑐𝑓𝑚</m:t>
                        </m:r>
                      </m:sub>
                    </m:sSub>
                    <m:r>
                      <a:rPr lang="en-US" sz="1100" b="0" i="1">
                        <a:solidFill>
                          <a:srgbClr val="000000"/>
                        </a:solidFill>
                        <a:latin typeface="Cambria Math" panose="02040503050406030204" pitchFamily="18" charset="0"/>
                      </a:rPr>
                      <m:t>=</m:t>
                    </m:r>
                    <m:f>
                      <m:fPr>
                        <m:ctrlPr>
                          <a:rPr lang="en-US" sz="1100" b="0" i="1">
                            <a:solidFill>
                              <a:srgbClr val="000000"/>
                            </a:solidFill>
                            <a:latin typeface="Cambria Math" panose="02040503050406030204" pitchFamily="18" charset="0"/>
                          </a:rPr>
                        </m:ctrlPr>
                      </m:fPr>
                      <m:num>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∗746</m:t>
                        </m:r>
                      </m:num>
                      <m:den>
                        <m:r>
                          <a:rPr lang="en-US" sz="1100" b="0" i="1">
                            <a:solidFill>
                              <a:srgbClr val="000000"/>
                            </a:solidFill>
                            <a:latin typeface="Cambria Math" panose="02040503050406030204" pitchFamily="18" charset="0"/>
                          </a:rPr>
                          <m:t>𝑐𝑓𝑚</m:t>
                        </m:r>
                        <m:r>
                          <a:rPr lang="en-US" sz="1100" b="0" i="1">
                            <a:solidFill>
                              <a:srgbClr val="000000"/>
                            </a:solidFill>
                            <a:latin typeface="Cambria Math" panose="02040503050406030204" pitchFamily="18" charset="0"/>
                          </a:rPr>
                          <m:t>∗</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𝑚𝑜𝑡𝑜𝑟</m:t>
                            </m:r>
                          </m:sub>
                        </m:sSub>
                      </m:den>
                    </m:f>
                  </m:oMath>
                </m:oMathPara>
              </a14:m>
              <a:endParaRPr lang="en-US" sz="1100">
                <a:solidFill>
                  <a:srgbClr val="000000"/>
                </a:solidFill>
              </a:endParaRPr>
            </a:p>
          </xdr:txBody>
        </xdr:sp>
      </mc:Choice>
      <mc:Fallback xmlns="">
        <xdr:sp macro="" textlink="">
          <xdr:nvSpPr>
            <xdr:cNvPr id="14" name="TextBox 13">
              <a:extLst>
                <a:ext uri="{FF2B5EF4-FFF2-40B4-BE49-F238E27FC236}">
                  <a16:creationId xmlns:a16="http://schemas.microsoft.com/office/drawing/2014/main" id="{16775A84-91B7-40FD-B82B-2C2016B8F40B}"/>
                </a:ext>
              </a:extLst>
            </xdr:cNvPr>
            <xdr:cNvSpPr txBox="1">
              <a:spLocks/>
            </xdr:cNvSpPr>
          </xdr:nvSpPr>
          <xdr:spPr>
            <a:xfrm>
              <a:off x="6279" y="13401397"/>
              <a:ext cx="2027222" cy="351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〖𝐹𝑎𝑛 𝑝𝑜𝑤𝑒𝑟〗_(𝑤/𝑐𝑓𝑚)=(𝑏ℎ𝑝∗746)/(𝑐𝑓𝑚∗</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𝑚𝑜𝑡𝑜𝑟 )</a:t>
              </a:r>
              <a:endParaRPr lang="en-US" sz="1100">
                <a:solidFill>
                  <a:srgbClr val="000000"/>
                </a:solidFill>
              </a:endParaRPr>
            </a:p>
          </xdr:txBody>
        </xdr:sp>
      </mc:Fallback>
    </mc:AlternateContent>
    <xdr:clientData/>
  </xdr:oneCellAnchor>
  <xdr:oneCellAnchor>
    <xdr:from>
      <xdr:col>0</xdr:col>
      <xdr:colOff>0</xdr:colOff>
      <xdr:row>40</xdr:row>
      <xdr:rowOff>124399</xdr:rowOff>
    </xdr:from>
    <xdr:ext cx="2360967" cy="32823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4E2C6008-F823-45A1-8967-6501DB7453E2}"/>
                </a:ext>
              </a:extLst>
            </xdr:cNvPr>
            <xdr:cNvSpPr txBox="1">
              <a:spLocks/>
            </xdr:cNvSpPr>
          </xdr:nvSpPr>
          <xdr:spPr>
            <a:xfrm>
              <a:off x="0" y="14109340"/>
              <a:ext cx="2360967"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m:t>
                    </m:r>
                    <m:f>
                      <m:fPr>
                        <m:ctrlPr>
                          <a:rPr lang="en-US" sz="1100" b="0" i="1">
                            <a:solidFill>
                              <a:srgbClr val="000000"/>
                            </a:solidFill>
                            <a:effectLst/>
                            <a:latin typeface="Cambria Math" panose="02040503050406030204" pitchFamily="18" charset="0"/>
                            <a:ea typeface="+mn-ea"/>
                            <a:cs typeface="+mn-cs"/>
                          </a:rPr>
                        </m:ctrlPr>
                      </m:fPr>
                      <m:num>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𝐹𝑎𝑛</m:t>
                            </m:r>
                            <m:r>
                              <a:rPr lang="en-US" sz="1100" b="0" i="1">
                                <a:solidFill>
                                  <a:srgbClr val="000000"/>
                                </a:solidFill>
                                <a:effectLst/>
                                <a:latin typeface="Cambria Math" panose="02040503050406030204" pitchFamily="18" charset="0"/>
                                <a:ea typeface="+mn-ea"/>
                                <a:cs typeface="+mn-cs"/>
                              </a:rPr>
                              <m:t> </m:t>
                            </m:r>
                            <m:r>
                              <a:rPr lang="en-US" sz="1100" b="0" i="1">
                                <a:solidFill>
                                  <a:srgbClr val="000000"/>
                                </a:solidFill>
                                <a:effectLst/>
                                <a:latin typeface="Cambria Math" panose="02040503050406030204" pitchFamily="18" charset="0"/>
                                <a:ea typeface="+mn-ea"/>
                                <a:cs typeface="+mn-cs"/>
                              </a:rPr>
                              <m:t>𝑝𝑜𝑤𝑒𝑟</m:t>
                            </m:r>
                          </m:e>
                          <m:sub>
                            <m:r>
                              <a:rPr lang="en-US" sz="1100" b="0" i="1">
                                <a:solidFill>
                                  <a:srgbClr val="000000"/>
                                </a:solidFill>
                                <a:effectLst/>
                                <a:latin typeface="Cambria Math" panose="02040503050406030204" pitchFamily="18" charset="0"/>
                                <a:ea typeface="+mn-ea"/>
                                <a:cs typeface="+mn-cs"/>
                              </a:rPr>
                              <m:t>𝑤</m:t>
                            </m:r>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𝑐𝑓𝑚</m:t>
                            </m:r>
                          </m:sub>
                        </m:sSub>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𝑐𝑓𝑚</m:t>
                        </m:r>
                        <m:r>
                          <a:rPr lang="en-US" sz="1100" b="0" i="1">
                            <a:solidFill>
                              <a:srgbClr val="000000"/>
                            </a:solidFill>
                            <a:effectLst/>
                            <a:latin typeface="Cambria Math" panose="02040503050406030204" pitchFamily="18" charset="0"/>
                            <a:ea typeface="+mn-ea"/>
                            <a:cs typeface="+mn-cs"/>
                          </a:rPr>
                          <m:t>∗</m:t>
                        </m:r>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𝜇</m:t>
                            </m:r>
                          </m:e>
                          <m:sub>
                            <m:r>
                              <a:rPr lang="en-US" sz="1100" b="0" i="1">
                                <a:solidFill>
                                  <a:srgbClr val="000000"/>
                                </a:solidFill>
                                <a:effectLst/>
                                <a:latin typeface="Cambria Math" panose="02040503050406030204" pitchFamily="18" charset="0"/>
                                <a:ea typeface="+mn-ea"/>
                                <a:cs typeface="+mn-cs"/>
                              </a:rPr>
                              <m:t>𝑚𝑜𝑡𝑜𝑟</m:t>
                            </m:r>
                          </m:sub>
                        </m:sSub>
                      </m:num>
                      <m:den>
                        <m:r>
                          <a:rPr lang="en-US" sz="1100" b="0" i="1">
                            <a:solidFill>
                              <a:srgbClr val="000000"/>
                            </a:solidFill>
                            <a:effectLst/>
                            <a:latin typeface="Cambria Math" panose="02040503050406030204" pitchFamily="18" charset="0"/>
                            <a:ea typeface="+mn-ea"/>
                            <a:cs typeface="+mn-cs"/>
                          </a:rPr>
                          <m:t>746</m:t>
                        </m:r>
                      </m:den>
                    </m:f>
                  </m:oMath>
                </m:oMathPara>
              </a14:m>
              <a:endParaRPr lang="en-US" sz="1100">
                <a:solidFill>
                  <a:srgbClr val="000000"/>
                </a:solidFill>
              </a:endParaRPr>
            </a:p>
          </xdr:txBody>
        </xdr:sp>
      </mc:Choice>
      <mc:Fallback xmlns="">
        <xdr:sp macro="" textlink="">
          <xdr:nvSpPr>
            <xdr:cNvPr id="15" name="TextBox 14">
              <a:extLst>
                <a:ext uri="{FF2B5EF4-FFF2-40B4-BE49-F238E27FC236}">
                  <a16:creationId xmlns:a16="http://schemas.microsoft.com/office/drawing/2014/main" id="{4E2C6008-F823-45A1-8967-6501DB7453E2}"/>
                </a:ext>
              </a:extLst>
            </xdr:cNvPr>
            <xdr:cNvSpPr txBox="1">
              <a:spLocks/>
            </xdr:cNvSpPr>
          </xdr:nvSpPr>
          <xdr:spPr>
            <a:xfrm>
              <a:off x="0" y="14109340"/>
              <a:ext cx="2360967"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𝑏ℎ𝑝=</a:t>
              </a:r>
              <a:r>
                <a:rPr lang="en-US" sz="1100" b="0" i="0">
                  <a:solidFill>
                    <a:srgbClr val="000000"/>
                  </a:solidFill>
                  <a:effectLst/>
                  <a:latin typeface="Cambria Math" panose="02040503050406030204" pitchFamily="18" charset="0"/>
                  <a:ea typeface="+mn-ea"/>
                  <a:cs typeface="+mn-cs"/>
                </a:rPr>
                <a:t>(〖𝐹𝑎𝑛 𝑝𝑜𝑤𝑒𝑟〗_(𝑤/𝑐𝑓𝑚)∗𝑐𝑓𝑚∗𝜇_𝑚𝑜𝑡𝑜𝑟)/746</a:t>
              </a:r>
              <a:endParaRPr lang="en-US" sz="1100">
                <a:solidFill>
                  <a:srgbClr val="000000"/>
                </a:solidFill>
              </a:endParaRPr>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29</xdr:row>
      <xdr:rowOff>0</xdr:rowOff>
    </xdr:from>
    <xdr:to>
      <xdr:col>0</xdr:col>
      <xdr:colOff>304800</xdr:colOff>
      <xdr:row>30</xdr:row>
      <xdr:rowOff>140970</xdr:rowOff>
    </xdr:to>
    <xdr:sp macro="" textlink="">
      <xdr:nvSpPr>
        <xdr:cNvPr id="7169" name="AutoShape 1" descr="Hot Sale Industrial Fast Food Kitchen Equipment KFC Full Set - Electric Gas">
          <a:extLst>
            <a:ext uri="{FF2B5EF4-FFF2-40B4-BE49-F238E27FC236}">
              <a16:creationId xmlns:a16="http://schemas.microsoft.com/office/drawing/2014/main" id="{A5204988-3122-52CE-2FE9-E3CDD8AF4C9A}"/>
            </a:ext>
          </a:extLst>
        </xdr:cNvPr>
        <xdr:cNvSpPr>
          <a:spLocks noChangeAspect="1" noChangeArrowheads="1"/>
        </xdr:cNvSpPr>
      </xdr:nvSpPr>
      <xdr:spPr bwMode="auto">
        <a:xfrm>
          <a:off x="0" y="14485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29</xdr:row>
      <xdr:rowOff>0</xdr:rowOff>
    </xdr:from>
    <xdr:to>
      <xdr:col>0</xdr:col>
      <xdr:colOff>304800</xdr:colOff>
      <xdr:row>30</xdr:row>
      <xdr:rowOff>140970</xdr:rowOff>
    </xdr:to>
    <xdr:sp macro="" textlink="">
      <xdr:nvSpPr>
        <xdr:cNvPr id="7170" name="AutoShape 2" descr="Hot Sale Industrial Fast Food Kitchen Equipment KFC Full Set - Electric Gas">
          <a:extLst>
            <a:ext uri="{FF2B5EF4-FFF2-40B4-BE49-F238E27FC236}">
              <a16:creationId xmlns:a16="http://schemas.microsoft.com/office/drawing/2014/main" id="{7E0E2C31-A1A0-CC43-0907-5629DAD17BE6}"/>
            </a:ext>
            <a:ext uri="{147F2762-F138-4A5C-976F-8EAC2B608ADB}">
              <a16:predDERef xmlns:a16="http://schemas.microsoft.com/office/drawing/2014/main" pred="{A5204988-3122-52CE-2FE9-E3CDD8AF4C9A}"/>
            </a:ext>
          </a:extLst>
        </xdr:cNvPr>
        <xdr:cNvSpPr>
          <a:spLocks noChangeAspect="1" noChangeArrowheads="1"/>
        </xdr:cNvSpPr>
      </xdr:nvSpPr>
      <xdr:spPr bwMode="auto">
        <a:xfrm>
          <a:off x="0" y="13609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117</xdr:row>
      <xdr:rowOff>0</xdr:rowOff>
    </xdr:from>
    <xdr:to>
      <xdr:col>3</xdr:col>
      <xdr:colOff>510194</xdr:colOff>
      <xdr:row>150</xdr:row>
      <xdr:rowOff>11943</xdr:rowOff>
    </xdr:to>
    <xdr:pic>
      <xdr:nvPicPr>
        <xdr:cNvPr id="2" name="Picture 2">
          <a:extLst>
            <a:ext uri="{FF2B5EF4-FFF2-40B4-BE49-F238E27FC236}">
              <a16:creationId xmlns:a16="http://schemas.microsoft.com/office/drawing/2014/main" id="{A800F097-2E2D-4E4E-89AA-D45EA66603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0031075"/>
          <a:ext cx="6425219" cy="0"/>
        </a:xfrm>
        <a:prstGeom prst="rect">
          <a:avLst/>
        </a:prstGeom>
      </xdr:spPr>
    </xdr:pic>
    <xdr:clientData/>
  </xdr:twoCellAnchor>
  <xdr:twoCellAnchor>
    <xdr:from>
      <xdr:col>3</xdr:col>
      <xdr:colOff>2076449</xdr:colOff>
      <xdr:row>121</xdr:row>
      <xdr:rowOff>140140</xdr:rowOff>
    </xdr:from>
    <xdr:to>
      <xdr:col>8</xdr:col>
      <xdr:colOff>869692</xdr:colOff>
      <xdr:row>148</xdr:row>
      <xdr:rowOff>76199</xdr:rowOff>
    </xdr:to>
    <xdr:pic>
      <xdr:nvPicPr>
        <xdr:cNvPr id="3" name="Picture 2">
          <a:extLst>
            <a:ext uri="{FF2B5EF4-FFF2-40B4-BE49-F238E27FC236}">
              <a16:creationId xmlns:a16="http://schemas.microsoft.com/office/drawing/2014/main" id="{990B7DB6-810D-43F4-BDAC-0170FE79CD05}"/>
            </a:ext>
          </a:extLst>
        </xdr:cNvPr>
        <xdr:cNvPicPr>
          <a:picLocks noChangeAspect="1"/>
        </xdr:cNvPicPr>
      </xdr:nvPicPr>
      <xdr:blipFill>
        <a:blip xmlns:r="http://schemas.openxmlformats.org/officeDocument/2006/relationships" r:embed="rId2"/>
        <a:stretch>
          <a:fillRect/>
        </a:stretch>
      </xdr:blipFill>
      <xdr:spPr>
        <a:xfrm>
          <a:off x="7991474" y="20031075"/>
          <a:ext cx="8222993" cy="0"/>
        </a:xfrm>
        <a:prstGeom prst="rect">
          <a:avLst/>
        </a:prstGeom>
      </xdr:spPr>
    </xdr:pic>
    <xdr:clientData/>
  </xdr:twoCellAnchor>
  <xdr:twoCellAnchor>
    <xdr:from>
      <xdr:col>0</xdr:col>
      <xdr:colOff>363856</xdr:colOff>
      <xdr:row>154</xdr:row>
      <xdr:rowOff>110491</xdr:rowOff>
    </xdr:from>
    <xdr:to>
      <xdr:col>2</xdr:col>
      <xdr:colOff>556226</xdr:colOff>
      <xdr:row>175</xdr:row>
      <xdr:rowOff>91441</xdr:rowOff>
    </xdr:to>
    <xdr:pic>
      <xdr:nvPicPr>
        <xdr:cNvPr id="4" name="Picture 3">
          <a:extLst>
            <a:ext uri="{FF2B5EF4-FFF2-40B4-BE49-F238E27FC236}">
              <a16:creationId xmlns:a16="http://schemas.microsoft.com/office/drawing/2014/main" id="{A593E897-F7C2-4ED5-AABB-56C365E11F2E}"/>
            </a:ext>
          </a:extLst>
        </xdr:cNvPr>
        <xdr:cNvPicPr>
          <a:picLocks noChangeAspect="1"/>
        </xdr:cNvPicPr>
      </xdr:nvPicPr>
      <xdr:blipFill>
        <a:blip xmlns:r="http://schemas.openxmlformats.org/officeDocument/2006/relationships" r:embed="rId3"/>
        <a:stretch>
          <a:fillRect/>
        </a:stretch>
      </xdr:blipFill>
      <xdr:spPr>
        <a:xfrm>
          <a:off x="363856" y="20031075"/>
          <a:ext cx="4564345" cy="0"/>
        </a:xfrm>
        <a:prstGeom prst="rect">
          <a:avLst/>
        </a:prstGeom>
      </xdr:spPr>
    </xdr:pic>
    <xdr:clientData/>
  </xdr:twoCellAnchor>
  <xdr:twoCellAnchor editAs="oneCell">
    <xdr:from>
      <xdr:col>7</xdr:col>
      <xdr:colOff>0</xdr:colOff>
      <xdr:row>17</xdr:row>
      <xdr:rowOff>0</xdr:rowOff>
    </xdr:from>
    <xdr:to>
      <xdr:col>7</xdr:col>
      <xdr:colOff>304800</xdr:colOff>
      <xdr:row>17</xdr:row>
      <xdr:rowOff>304800</xdr:rowOff>
    </xdr:to>
    <xdr:sp macro="" textlink="">
      <xdr:nvSpPr>
        <xdr:cNvPr id="7169" name="AutoShape 1">
          <a:extLst>
            <a:ext uri="{FF2B5EF4-FFF2-40B4-BE49-F238E27FC236}">
              <a16:creationId xmlns:a16="http://schemas.microsoft.com/office/drawing/2014/main" id="{198CA843-11C1-5904-BD88-EEB260404A43}"/>
            </a:ext>
          </a:extLst>
        </xdr:cNvPr>
        <xdr:cNvSpPr>
          <a:spLocks noChangeAspect="1" noChangeArrowheads="1"/>
        </xdr:cNvSpPr>
      </xdr:nvSpPr>
      <xdr:spPr bwMode="auto">
        <a:xfrm>
          <a:off x="1389888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17</xdr:row>
      <xdr:rowOff>0</xdr:rowOff>
    </xdr:from>
    <xdr:to>
      <xdr:col>7</xdr:col>
      <xdr:colOff>304800</xdr:colOff>
      <xdr:row>17</xdr:row>
      <xdr:rowOff>304800</xdr:rowOff>
    </xdr:to>
    <xdr:sp macro="" textlink="">
      <xdr:nvSpPr>
        <xdr:cNvPr id="7170" name="AutoShape 2">
          <a:extLst>
            <a:ext uri="{FF2B5EF4-FFF2-40B4-BE49-F238E27FC236}">
              <a16:creationId xmlns:a16="http://schemas.microsoft.com/office/drawing/2014/main" id="{3DE546B5-F8FC-851C-0A29-D5B998C0C267}"/>
            </a:ext>
          </a:extLst>
        </xdr:cNvPr>
        <xdr:cNvSpPr>
          <a:spLocks noChangeAspect="1" noChangeArrowheads="1"/>
        </xdr:cNvSpPr>
      </xdr:nvSpPr>
      <xdr:spPr bwMode="auto">
        <a:xfrm>
          <a:off x="1389888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17</xdr:row>
      <xdr:rowOff>0</xdr:rowOff>
    </xdr:from>
    <xdr:to>
      <xdr:col>7</xdr:col>
      <xdr:colOff>304800</xdr:colOff>
      <xdr:row>17</xdr:row>
      <xdr:rowOff>304800</xdr:rowOff>
    </xdr:to>
    <xdr:sp macro="" textlink="">
      <xdr:nvSpPr>
        <xdr:cNvPr id="7171" name="AutoShape 3">
          <a:extLst>
            <a:ext uri="{FF2B5EF4-FFF2-40B4-BE49-F238E27FC236}">
              <a16:creationId xmlns:a16="http://schemas.microsoft.com/office/drawing/2014/main" id="{5FCD80E2-4116-C229-362C-6DD9B22D33CC}"/>
            </a:ext>
          </a:extLst>
        </xdr:cNvPr>
        <xdr:cNvSpPr>
          <a:spLocks noChangeAspect="1" noChangeArrowheads="1"/>
        </xdr:cNvSpPr>
      </xdr:nvSpPr>
      <xdr:spPr bwMode="auto">
        <a:xfrm>
          <a:off x="1389888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17</xdr:row>
      <xdr:rowOff>0</xdr:rowOff>
    </xdr:from>
    <xdr:to>
      <xdr:col>7</xdr:col>
      <xdr:colOff>304800</xdr:colOff>
      <xdr:row>17</xdr:row>
      <xdr:rowOff>304800</xdr:rowOff>
    </xdr:to>
    <xdr:sp macro="" textlink="">
      <xdr:nvSpPr>
        <xdr:cNvPr id="7172" name="AutoShape 4">
          <a:extLst>
            <a:ext uri="{FF2B5EF4-FFF2-40B4-BE49-F238E27FC236}">
              <a16:creationId xmlns:a16="http://schemas.microsoft.com/office/drawing/2014/main" id="{6CC1EC1F-4553-040E-AEDC-0555D3AC45B2}"/>
            </a:ext>
          </a:extLst>
        </xdr:cNvPr>
        <xdr:cNvSpPr>
          <a:spLocks noChangeAspect="1" noChangeArrowheads="1"/>
        </xdr:cNvSpPr>
      </xdr:nvSpPr>
      <xdr:spPr bwMode="auto">
        <a:xfrm>
          <a:off x="1389888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17</xdr:row>
      <xdr:rowOff>0</xdr:rowOff>
    </xdr:from>
    <xdr:to>
      <xdr:col>7</xdr:col>
      <xdr:colOff>304800</xdr:colOff>
      <xdr:row>17</xdr:row>
      <xdr:rowOff>304800</xdr:rowOff>
    </xdr:to>
    <xdr:sp macro="" textlink="">
      <xdr:nvSpPr>
        <xdr:cNvPr id="7173" name="AutoShape 5">
          <a:extLst>
            <a:ext uri="{FF2B5EF4-FFF2-40B4-BE49-F238E27FC236}">
              <a16:creationId xmlns:a16="http://schemas.microsoft.com/office/drawing/2014/main" id="{AF32786F-34E6-6E2E-A254-022B531525DA}"/>
            </a:ext>
          </a:extLst>
        </xdr:cNvPr>
        <xdr:cNvSpPr>
          <a:spLocks noChangeAspect="1" noChangeArrowheads="1"/>
        </xdr:cNvSpPr>
      </xdr:nvSpPr>
      <xdr:spPr bwMode="auto">
        <a:xfrm>
          <a:off x="1389888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17</xdr:row>
      <xdr:rowOff>0</xdr:rowOff>
    </xdr:from>
    <xdr:to>
      <xdr:col>7</xdr:col>
      <xdr:colOff>304800</xdr:colOff>
      <xdr:row>17</xdr:row>
      <xdr:rowOff>304800</xdr:rowOff>
    </xdr:to>
    <xdr:sp macro="" textlink="">
      <xdr:nvSpPr>
        <xdr:cNvPr id="7174" name="AutoShape 6">
          <a:extLst>
            <a:ext uri="{FF2B5EF4-FFF2-40B4-BE49-F238E27FC236}">
              <a16:creationId xmlns:a16="http://schemas.microsoft.com/office/drawing/2014/main" id="{7A8CEE41-A8EA-7951-1C40-395C8B8A5FD5}"/>
            </a:ext>
          </a:extLst>
        </xdr:cNvPr>
        <xdr:cNvSpPr>
          <a:spLocks noChangeAspect="1" noChangeArrowheads="1"/>
        </xdr:cNvSpPr>
      </xdr:nvSpPr>
      <xdr:spPr bwMode="auto">
        <a:xfrm>
          <a:off x="1389888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1665767</xdr:colOff>
      <xdr:row>15</xdr:row>
      <xdr:rowOff>118934</xdr:rowOff>
    </xdr:from>
    <xdr:to>
      <xdr:col>8</xdr:col>
      <xdr:colOff>464621</xdr:colOff>
      <xdr:row>30</xdr:row>
      <xdr:rowOff>283395</xdr:rowOff>
    </xdr:to>
    <xdr:pic>
      <xdr:nvPicPr>
        <xdr:cNvPr id="5" name="Picture 4">
          <a:extLst>
            <a:ext uri="{FF2B5EF4-FFF2-40B4-BE49-F238E27FC236}">
              <a16:creationId xmlns:a16="http://schemas.microsoft.com/office/drawing/2014/main" id="{BC631EA6-EBD6-EC2B-682E-9ADAF0EC242C}"/>
            </a:ext>
          </a:extLst>
        </xdr:cNvPr>
        <xdr:cNvPicPr>
          <a:picLocks noChangeAspect="1"/>
        </xdr:cNvPicPr>
      </xdr:nvPicPr>
      <xdr:blipFill>
        <a:blip xmlns:r="http://schemas.openxmlformats.org/officeDocument/2006/relationships" r:embed="rId4"/>
        <a:stretch>
          <a:fillRect/>
        </a:stretch>
      </xdr:blipFill>
      <xdr:spPr>
        <a:xfrm>
          <a:off x="12519837" y="6595934"/>
          <a:ext cx="4708784" cy="4607099"/>
        </a:xfrm>
        <a:prstGeom prst="rect">
          <a:avLst/>
        </a:prstGeom>
      </xdr:spPr>
    </xdr:pic>
    <xdr:clientData/>
  </xdr:twoCellAnchor>
  <xdr:twoCellAnchor editAs="oneCell">
    <xdr:from>
      <xdr:col>8</xdr:col>
      <xdr:colOff>1479912</xdr:colOff>
      <xdr:row>15</xdr:row>
      <xdr:rowOff>115186</xdr:rowOff>
    </xdr:from>
    <xdr:to>
      <xdr:col>14</xdr:col>
      <xdr:colOff>269879</xdr:colOff>
      <xdr:row>30</xdr:row>
      <xdr:rowOff>332524</xdr:rowOff>
    </xdr:to>
    <xdr:pic>
      <xdr:nvPicPr>
        <xdr:cNvPr id="6" name="Picture 5">
          <a:extLst>
            <a:ext uri="{FF2B5EF4-FFF2-40B4-BE49-F238E27FC236}">
              <a16:creationId xmlns:a16="http://schemas.microsoft.com/office/drawing/2014/main" id="{CC74C98F-03AB-57A2-F44A-7BE204994905}"/>
            </a:ext>
          </a:extLst>
        </xdr:cNvPr>
        <xdr:cNvPicPr>
          <a:picLocks noChangeAspect="1"/>
        </xdr:cNvPicPr>
      </xdr:nvPicPr>
      <xdr:blipFill>
        <a:blip xmlns:r="http://schemas.openxmlformats.org/officeDocument/2006/relationships" r:embed="rId5"/>
        <a:stretch>
          <a:fillRect/>
        </a:stretch>
      </xdr:blipFill>
      <xdr:spPr>
        <a:xfrm>
          <a:off x="18243912" y="6592186"/>
          <a:ext cx="5594804" cy="4659976"/>
        </a:xfrm>
        <a:prstGeom prst="rect">
          <a:avLst/>
        </a:prstGeom>
      </xdr:spPr>
    </xdr:pic>
    <xdr:clientData/>
  </xdr:twoCellAnchor>
  <xdr:twoCellAnchor editAs="oneCell">
    <xdr:from>
      <xdr:col>14</xdr:col>
      <xdr:colOff>531627</xdr:colOff>
      <xdr:row>23</xdr:row>
      <xdr:rowOff>88605</xdr:rowOff>
    </xdr:from>
    <xdr:to>
      <xdr:col>38</xdr:col>
      <xdr:colOff>420143</xdr:colOff>
      <xdr:row>30</xdr:row>
      <xdr:rowOff>537420</xdr:rowOff>
    </xdr:to>
    <xdr:pic>
      <xdr:nvPicPr>
        <xdr:cNvPr id="7" name="Picture 6">
          <a:extLst>
            <a:ext uri="{FF2B5EF4-FFF2-40B4-BE49-F238E27FC236}">
              <a16:creationId xmlns:a16="http://schemas.microsoft.com/office/drawing/2014/main" id="{EEF02126-B6A3-BE66-920A-799F12F10CE1}"/>
            </a:ext>
          </a:extLst>
        </xdr:cNvPr>
        <xdr:cNvPicPr>
          <a:picLocks noChangeAspect="1"/>
        </xdr:cNvPicPr>
      </xdr:nvPicPr>
      <xdr:blipFill>
        <a:blip xmlns:r="http://schemas.openxmlformats.org/officeDocument/2006/relationships" r:embed="rId6"/>
        <a:stretch>
          <a:fillRect/>
        </a:stretch>
      </xdr:blipFill>
      <xdr:spPr>
        <a:xfrm>
          <a:off x="24100464" y="8435163"/>
          <a:ext cx="5913632" cy="293395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29</xdr:col>
      <xdr:colOff>268943</xdr:colOff>
      <xdr:row>6</xdr:row>
      <xdr:rowOff>22412</xdr:rowOff>
    </xdr:from>
    <xdr:to>
      <xdr:col>35</xdr:col>
      <xdr:colOff>620471</xdr:colOff>
      <xdr:row>8</xdr:row>
      <xdr:rowOff>429092</xdr:rowOff>
    </xdr:to>
    <xdr:graphicFrame macro="">
      <xdr:nvGraphicFramePr>
        <xdr:cNvPr id="79" name="Chart 5">
          <a:extLst>
            <a:ext uri="{FF2B5EF4-FFF2-40B4-BE49-F238E27FC236}">
              <a16:creationId xmlns:a16="http://schemas.microsoft.com/office/drawing/2014/main" id="{7F887ED4-EF83-451C-B1B7-74B19AE4617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289560</xdr:colOff>
      <xdr:row>9</xdr:row>
      <xdr:rowOff>0</xdr:rowOff>
    </xdr:from>
    <xdr:to>
      <xdr:col>36</xdr:col>
      <xdr:colOff>0</xdr:colOff>
      <xdr:row>11</xdr:row>
      <xdr:rowOff>391886</xdr:rowOff>
    </xdr:to>
    <xdr:graphicFrame macro="">
      <xdr:nvGraphicFramePr>
        <xdr:cNvPr id="78" name="Chart 5">
          <a:extLst>
            <a:ext uri="{FF2B5EF4-FFF2-40B4-BE49-F238E27FC236}">
              <a16:creationId xmlns:a16="http://schemas.microsoft.com/office/drawing/2014/main" id="{562C7D60-D222-45AF-9013-A79B918CAA5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289560</xdr:colOff>
      <xdr:row>34</xdr:row>
      <xdr:rowOff>0</xdr:rowOff>
    </xdr:from>
    <xdr:to>
      <xdr:col>36</xdr:col>
      <xdr:colOff>0</xdr:colOff>
      <xdr:row>36</xdr:row>
      <xdr:rowOff>391886</xdr:rowOff>
    </xdr:to>
    <xdr:graphicFrame macro="">
      <xdr:nvGraphicFramePr>
        <xdr:cNvPr id="72" name="Chart 5">
          <a:extLst>
            <a:ext uri="{FF2B5EF4-FFF2-40B4-BE49-F238E27FC236}">
              <a16:creationId xmlns:a16="http://schemas.microsoft.com/office/drawing/2014/main" id="{F8649B1F-C1B4-4ACF-B5FC-61526761CFE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289560</xdr:colOff>
      <xdr:row>18</xdr:row>
      <xdr:rowOff>0</xdr:rowOff>
    </xdr:from>
    <xdr:to>
      <xdr:col>36</xdr:col>
      <xdr:colOff>0</xdr:colOff>
      <xdr:row>20</xdr:row>
      <xdr:rowOff>391886</xdr:rowOff>
    </xdr:to>
    <xdr:graphicFrame macro="">
      <xdr:nvGraphicFramePr>
        <xdr:cNvPr id="74" name="Chart 5">
          <a:extLst>
            <a:ext uri="{FF2B5EF4-FFF2-40B4-BE49-F238E27FC236}">
              <a16:creationId xmlns:a16="http://schemas.microsoft.com/office/drawing/2014/main" id="{3829B692-84CA-4F11-A572-28334A0337A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289560</xdr:colOff>
      <xdr:row>12</xdr:row>
      <xdr:rowOff>0</xdr:rowOff>
    </xdr:from>
    <xdr:to>
      <xdr:col>36</xdr:col>
      <xdr:colOff>0</xdr:colOff>
      <xdr:row>14</xdr:row>
      <xdr:rowOff>391886</xdr:rowOff>
    </xdr:to>
    <xdr:graphicFrame macro="">
      <xdr:nvGraphicFramePr>
        <xdr:cNvPr id="77" name="Chart 5">
          <a:extLst>
            <a:ext uri="{FF2B5EF4-FFF2-40B4-BE49-F238E27FC236}">
              <a16:creationId xmlns:a16="http://schemas.microsoft.com/office/drawing/2014/main" id="{44729C12-D2A0-4BBC-B561-E4199A740F8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289560</xdr:colOff>
      <xdr:row>15</xdr:row>
      <xdr:rowOff>0</xdr:rowOff>
    </xdr:from>
    <xdr:to>
      <xdr:col>36</xdr:col>
      <xdr:colOff>0</xdr:colOff>
      <xdr:row>17</xdr:row>
      <xdr:rowOff>391886</xdr:rowOff>
    </xdr:to>
    <xdr:graphicFrame macro="">
      <xdr:nvGraphicFramePr>
        <xdr:cNvPr id="75" name="Chart 7">
          <a:extLst>
            <a:ext uri="{FF2B5EF4-FFF2-40B4-BE49-F238E27FC236}">
              <a16:creationId xmlns:a16="http://schemas.microsoft.com/office/drawing/2014/main" id="{64306D0B-239D-466F-B383-D93A0723FCC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319368</xdr:colOff>
      <xdr:row>37</xdr:row>
      <xdr:rowOff>33617</xdr:rowOff>
    </xdr:from>
    <xdr:to>
      <xdr:col>36</xdr:col>
      <xdr:colOff>33618</xdr:colOff>
      <xdr:row>39</xdr:row>
      <xdr:rowOff>427408</xdr:rowOff>
    </xdr:to>
    <xdr:graphicFrame macro="">
      <xdr:nvGraphicFramePr>
        <xdr:cNvPr id="70" name="Chart 5">
          <a:extLst>
            <a:ext uri="{FF2B5EF4-FFF2-40B4-BE49-F238E27FC236}">
              <a16:creationId xmlns:a16="http://schemas.microsoft.com/office/drawing/2014/main" id="{C48C3029-B5F1-4B32-B1A3-D5B22C5C63C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277233</xdr:colOff>
      <xdr:row>42</xdr:row>
      <xdr:rowOff>468407</xdr:rowOff>
    </xdr:from>
    <xdr:to>
      <xdr:col>35</xdr:col>
      <xdr:colOff>609600</xdr:colOff>
      <xdr:row>45</xdr:row>
      <xdr:rowOff>376518</xdr:rowOff>
    </xdr:to>
    <xdr:graphicFrame macro="">
      <xdr:nvGraphicFramePr>
        <xdr:cNvPr id="66" name="Chart 5">
          <a:extLst>
            <a:ext uri="{FF2B5EF4-FFF2-40B4-BE49-F238E27FC236}">
              <a16:creationId xmlns:a16="http://schemas.microsoft.com/office/drawing/2014/main" id="{AD13ECEB-16E4-4AFF-8E89-282EEAAE886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278355</xdr:colOff>
      <xdr:row>40</xdr:row>
      <xdr:rowOff>75079</xdr:rowOff>
    </xdr:from>
    <xdr:to>
      <xdr:col>35</xdr:col>
      <xdr:colOff>618566</xdr:colOff>
      <xdr:row>42</xdr:row>
      <xdr:rowOff>349624</xdr:rowOff>
    </xdr:to>
    <xdr:graphicFrame macro="">
      <xdr:nvGraphicFramePr>
        <xdr:cNvPr id="71" name="Chart 5">
          <a:extLst>
            <a:ext uri="{FF2B5EF4-FFF2-40B4-BE49-F238E27FC236}">
              <a16:creationId xmlns:a16="http://schemas.microsoft.com/office/drawing/2014/main" id="{C5525377-4094-49D7-A558-50BC6FA52BB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281940</xdr:colOff>
      <xdr:row>31</xdr:row>
      <xdr:rowOff>0</xdr:rowOff>
    </xdr:from>
    <xdr:to>
      <xdr:col>35</xdr:col>
      <xdr:colOff>634365</xdr:colOff>
      <xdr:row>33</xdr:row>
      <xdr:rowOff>332831</xdr:rowOff>
    </xdr:to>
    <xdr:graphicFrame macro="">
      <xdr:nvGraphicFramePr>
        <xdr:cNvPr id="73" name="Chart 5">
          <a:extLst>
            <a:ext uri="{FF2B5EF4-FFF2-40B4-BE49-F238E27FC236}">
              <a16:creationId xmlns:a16="http://schemas.microsoft.com/office/drawing/2014/main" id="{5D80E14B-9B99-49BA-A8A8-57450D8BBB6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278913</xdr:colOff>
      <xdr:row>48</xdr:row>
      <xdr:rowOff>487952</xdr:rowOff>
    </xdr:from>
    <xdr:to>
      <xdr:col>36</xdr:col>
      <xdr:colOff>11989</xdr:colOff>
      <xdr:row>51</xdr:row>
      <xdr:rowOff>316773</xdr:rowOff>
    </xdr:to>
    <xdr:graphicFrame macro="">
      <xdr:nvGraphicFramePr>
        <xdr:cNvPr id="69" name="Chart 5">
          <a:extLst>
            <a:ext uri="{FF2B5EF4-FFF2-40B4-BE49-F238E27FC236}">
              <a16:creationId xmlns:a16="http://schemas.microsoft.com/office/drawing/2014/main" id="{2ED0622F-48A9-48EC-BE0A-FCEF3C51A4B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278354</xdr:colOff>
      <xdr:row>46</xdr:row>
      <xdr:rowOff>57150</xdr:rowOff>
    </xdr:from>
    <xdr:to>
      <xdr:col>36</xdr:col>
      <xdr:colOff>0</xdr:colOff>
      <xdr:row>48</xdr:row>
      <xdr:rowOff>449036</xdr:rowOff>
    </xdr:to>
    <xdr:graphicFrame macro="">
      <xdr:nvGraphicFramePr>
        <xdr:cNvPr id="18" name="Chart 5">
          <a:extLst>
            <a:ext uri="{FF2B5EF4-FFF2-40B4-BE49-F238E27FC236}">
              <a16:creationId xmlns:a16="http://schemas.microsoft.com/office/drawing/2014/main" id="{4CF35C84-2205-461F-BE9D-DE7A96498FA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286870</xdr:colOff>
      <xdr:row>17</xdr:row>
      <xdr:rowOff>466165</xdr:rowOff>
    </xdr:from>
    <xdr:to>
      <xdr:col>35</xdr:col>
      <xdr:colOff>633804</xdr:colOff>
      <xdr:row>18</xdr:row>
      <xdr:rowOff>0</xdr:rowOff>
    </xdr:to>
    <xdr:graphicFrame macro="">
      <xdr:nvGraphicFramePr>
        <xdr:cNvPr id="27" name="Chart 5">
          <a:extLst>
            <a:ext uri="{FF2B5EF4-FFF2-40B4-BE49-F238E27FC236}">
              <a16:creationId xmlns:a16="http://schemas.microsoft.com/office/drawing/2014/main" id="{B2EDD7BD-9E89-4747-92BE-83BD9B7BB81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272751</xdr:colOff>
      <xdr:row>3</xdr:row>
      <xdr:rowOff>53340</xdr:rowOff>
    </xdr:from>
    <xdr:to>
      <xdr:col>35</xdr:col>
      <xdr:colOff>620469</xdr:colOff>
      <xdr:row>5</xdr:row>
      <xdr:rowOff>351193</xdr:rowOff>
    </xdr:to>
    <xdr:graphicFrame macro="">
      <xdr:nvGraphicFramePr>
        <xdr:cNvPr id="81" name="Chart 5">
          <a:extLst>
            <a:ext uri="{FF2B5EF4-FFF2-40B4-BE49-F238E27FC236}">
              <a16:creationId xmlns:a16="http://schemas.microsoft.com/office/drawing/2014/main" id="{BFB5E6CE-1DC8-43BD-AB76-7B507BEB194C}"/>
            </a:ext>
            <a:ext uri="{147F2762-F138-4A5C-976F-8EAC2B608ADB}">
              <a16:predDERef xmlns:a16="http://schemas.microsoft.com/office/drawing/2014/main" pred="{B2EDD7BD-9E89-4747-92BE-83BD9B7BB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285750</xdr:colOff>
      <xdr:row>52</xdr:row>
      <xdr:rowOff>60145</xdr:rowOff>
    </xdr:from>
    <xdr:to>
      <xdr:col>36</xdr:col>
      <xdr:colOff>9301</xdr:colOff>
      <xdr:row>54</xdr:row>
      <xdr:rowOff>375014</xdr:rowOff>
    </xdr:to>
    <xdr:graphicFrame macro="">
      <xdr:nvGraphicFramePr>
        <xdr:cNvPr id="68" name="Chart 5">
          <a:extLst>
            <a:ext uri="{FF2B5EF4-FFF2-40B4-BE49-F238E27FC236}">
              <a16:creationId xmlns:a16="http://schemas.microsoft.com/office/drawing/2014/main" id="{5452FA6B-7528-434C-89C6-38BDEC95559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13</xdr:col>
      <xdr:colOff>0</xdr:colOff>
      <xdr:row>52</xdr:row>
      <xdr:rowOff>137160</xdr:rowOff>
    </xdr:from>
    <xdr:to>
      <xdr:col>17</xdr:col>
      <xdr:colOff>762920</xdr:colOff>
      <xdr:row>77</xdr:row>
      <xdr:rowOff>48197</xdr:rowOff>
    </xdr:to>
    <xdr:pic>
      <xdr:nvPicPr>
        <xdr:cNvPr id="3" name="Picture 2">
          <a:extLst>
            <a:ext uri="{FF2B5EF4-FFF2-40B4-BE49-F238E27FC236}">
              <a16:creationId xmlns:a16="http://schemas.microsoft.com/office/drawing/2014/main" id="{126E17D4-DBF9-19F2-BB49-4E3381566922}"/>
            </a:ext>
          </a:extLst>
        </xdr:cNvPr>
        <xdr:cNvPicPr>
          <a:picLocks noChangeAspect="1"/>
        </xdr:cNvPicPr>
      </xdr:nvPicPr>
      <xdr:blipFill>
        <a:blip xmlns:r="http://schemas.openxmlformats.org/officeDocument/2006/relationships" r:embed="rId1"/>
        <a:stretch>
          <a:fillRect/>
        </a:stretch>
      </xdr:blipFill>
      <xdr:spPr>
        <a:xfrm>
          <a:off x="0" y="5905500"/>
          <a:ext cx="6592220" cy="4096322"/>
        </a:xfrm>
        <a:prstGeom prst="rect">
          <a:avLst/>
        </a:prstGeom>
      </xdr:spPr>
    </xdr:pic>
    <xdr:clientData/>
  </xdr:twoCellAnchor>
  <xdr:twoCellAnchor>
    <xdr:from>
      <xdr:col>17</xdr:col>
      <xdr:colOff>748393</xdr:colOff>
      <xdr:row>53</xdr:row>
      <xdr:rowOff>78921</xdr:rowOff>
    </xdr:from>
    <xdr:to>
      <xdr:col>24</xdr:col>
      <xdr:colOff>516047</xdr:colOff>
      <xdr:row>76</xdr:row>
      <xdr:rowOff>100417</xdr:rowOff>
    </xdr:to>
    <xdr:pic>
      <xdr:nvPicPr>
        <xdr:cNvPr id="4" name="Picture 3">
          <a:extLst>
            <a:ext uri="{FF2B5EF4-FFF2-40B4-BE49-F238E27FC236}">
              <a16:creationId xmlns:a16="http://schemas.microsoft.com/office/drawing/2014/main" id="{7984C760-6552-D76D-D5BE-6414038A3BFB}"/>
            </a:ext>
          </a:extLst>
        </xdr:cNvPr>
        <xdr:cNvPicPr>
          <a:picLocks noChangeAspect="1"/>
        </xdr:cNvPicPr>
      </xdr:nvPicPr>
      <xdr:blipFill>
        <a:blip xmlns:r="http://schemas.openxmlformats.org/officeDocument/2006/relationships" r:embed="rId2"/>
        <a:stretch>
          <a:fillRect/>
        </a:stretch>
      </xdr:blipFill>
      <xdr:spPr>
        <a:xfrm>
          <a:off x="16015607" y="11032671"/>
          <a:ext cx="6952226" cy="4090032"/>
        </a:xfrm>
        <a:prstGeom prst="rect">
          <a:avLst/>
        </a:prstGeom>
      </xdr:spPr>
    </xdr:pic>
    <xdr:clientData/>
  </xdr:twoCellAnchor>
  <xdr:twoCellAnchor>
    <xdr:from>
      <xdr:col>24</xdr:col>
      <xdr:colOff>0</xdr:colOff>
      <xdr:row>1</xdr:row>
      <xdr:rowOff>0</xdr:rowOff>
    </xdr:from>
    <xdr:to>
      <xdr:col>39</xdr:col>
      <xdr:colOff>361740</xdr:colOff>
      <xdr:row>17</xdr:row>
      <xdr:rowOff>99695</xdr:rowOff>
    </xdr:to>
    <xdr:graphicFrame macro="">
      <xdr:nvGraphicFramePr>
        <xdr:cNvPr id="2" name="Chart 1">
          <a:extLst>
            <a:ext uri="{FF2B5EF4-FFF2-40B4-BE49-F238E27FC236}">
              <a16:creationId xmlns:a16="http://schemas.microsoft.com/office/drawing/2014/main" id="{425933D4-9F6B-4C73-AE08-2257EC330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904875</xdr:colOff>
      <xdr:row>19</xdr:row>
      <xdr:rowOff>0</xdr:rowOff>
    </xdr:from>
    <xdr:to>
      <xdr:col>39</xdr:col>
      <xdr:colOff>342900</xdr:colOff>
      <xdr:row>45</xdr:row>
      <xdr:rowOff>66675</xdr:rowOff>
    </xdr:to>
    <xdr:graphicFrame macro="">
      <xdr:nvGraphicFramePr>
        <xdr:cNvPr id="26" name="Chart 2">
          <a:extLst>
            <a:ext uri="{FF2B5EF4-FFF2-40B4-BE49-F238E27FC236}">
              <a16:creationId xmlns:a16="http://schemas.microsoft.com/office/drawing/2014/main" id="{ABAB2591-8C19-4BF8-8F8C-249982396124}"/>
            </a:ext>
            <a:ext uri="{147F2762-F138-4A5C-976F-8EAC2B608ADB}">
              <a16:predDERef xmlns:a16="http://schemas.microsoft.com/office/drawing/2014/main" pred="{425933D4-9F6B-4C73-AE08-2257EC330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561431</xdr:colOff>
      <xdr:row>53</xdr:row>
      <xdr:rowOff>57150</xdr:rowOff>
    </xdr:from>
    <xdr:to>
      <xdr:col>5</xdr:col>
      <xdr:colOff>936716</xdr:colOff>
      <xdr:row>80</xdr:row>
      <xdr:rowOff>93344</xdr:rowOff>
    </xdr:to>
    <xdr:pic>
      <xdr:nvPicPr>
        <xdr:cNvPr id="10" name="Picture 5">
          <a:extLst>
            <a:ext uri="{FF2B5EF4-FFF2-40B4-BE49-F238E27FC236}">
              <a16:creationId xmlns:a16="http://schemas.microsoft.com/office/drawing/2014/main" id="{4BB641ED-98CE-623B-E1EC-6238AEF71BCF}"/>
            </a:ext>
            <a:ext uri="{147F2762-F138-4A5C-976F-8EAC2B608ADB}">
              <a16:predDERef xmlns:a16="http://schemas.microsoft.com/office/drawing/2014/main" pred="{ABAB2591-8C19-4BF8-8F8C-249982396124}"/>
            </a:ext>
          </a:extLst>
        </xdr:cNvPr>
        <xdr:cNvPicPr>
          <a:picLocks noChangeAspect="1"/>
        </xdr:cNvPicPr>
      </xdr:nvPicPr>
      <xdr:blipFill>
        <a:blip xmlns:r="http://schemas.openxmlformats.org/officeDocument/2006/relationships" r:embed="rId5"/>
        <a:stretch>
          <a:fillRect/>
        </a:stretch>
      </xdr:blipFill>
      <xdr:spPr>
        <a:xfrm>
          <a:off x="561431" y="11010900"/>
          <a:ext cx="4239714" cy="4812301"/>
        </a:xfrm>
        <a:prstGeom prst="rect">
          <a:avLst/>
        </a:prstGeom>
      </xdr:spPr>
    </xdr:pic>
    <xdr:clientData/>
  </xdr:twoCellAnchor>
  <xdr:twoCellAnchor>
    <xdr:from>
      <xdr:col>0</xdr:col>
      <xdr:colOff>66675</xdr:colOff>
      <xdr:row>80</xdr:row>
      <xdr:rowOff>19050</xdr:rowOff>
    </xdr:from>
    <xdr:to>
      <xdr:col>7</xdr:col>
      <xdr:colOff>45720</xdr:colOff>
      <xdr:row>102</xdr:row>
      <xdr:rowOff>150495</xdr:rowOff>
    </xdr:to>
    <xdr:pic>
      <xdr:nvPicPr>
        <xdr:cNvPr id="12" name="Picture 6">
          <a:extLst>
            <a:ext uri="{FF2B5EF4-FFF2-40B4-BE49-F238E27FC236}">
              <a16:creationId xmlns:a16="http://schemas.microsoft.com/office/drawing/2014/main" id="{4737DF0F-51E8-4479-F976-B3D412388C7A}"/>
            </a:ext>
            <a:ext uri="{147F2762-F138-4A5C-976F-8EAC2B608ADB}">
              <a16:predDERef xmlns:a16="http://schemas.microsoft.com/office/drawing/2014/main" pred="{4BB641ED-98CE-623B-E1EC-6238AEF71BCF}"/>
            </a:ext>
          </a:extLst>
        </xdr:cNvPr>
        <xdr:cNvPicPr>
          <a:picLocks noChangeAspect="1"/>
        </xdr:cNvPicPr>
      </xdr:nvPicPr>
      <xdr:blipFill>
        <a:blip xmlns:r="http://schemas.openxmlformats.org/officeDocument/2006/relationships" r:embed="rId6"/>
        <a:stretch>
          <a:fillRect/>
        </a:stretch>
      </xdr:blipFill>
      <xdr:spPr>
        <a:xfrm>
          <a:off x="66675" y="11496675"/>
          <a:ext cx="6105525" cy="3819525"/>
        </a:xfrm>
        <a:prstGeom prst="rect">
          <a:avLst/>
        </a:prstGeom>
      </xdr:spPr>
    </xdr:pic>
    <xdr:clientData/>
  </xdr:twoCellAnchor>
  <xdr:twoCellAnchor>
    <xdr:from>
      <xdr:col>0</xdr:col>
      <xdr:colOff>152400</xdr:colOff>
      <xdr:row>104</xdr:row>
      <xdr:rowOff>104775</xdr:rowOff>
    </xdr:from>
    <xdr:to>
      <xdr:col>5</xdr:col>
      <xdr:colOff>390525</xdr:colOff>
      <xdr:row>131</xdr:row>
      <xdr:rowOff>150494</xdr:rowOff>
    </xdr:to>
    <xdr:pic>
      <xdr:nvPicPr>
        <xdr:cNvPr id="13" name="Picture 7">
          <a:extLst>
            <a:ext uri="{FF2B5EF4-FFF2-40B4-BE49-F238E27FC236}">
              <a16:creationId xmlns:a16="http://schemas.microsoft.com/office/drawing/2014/main" id="{980A6779-A463-26D1-B88C-3AC5F874FC64}"/>
            </a:ext>
            <a:ext uri="{147F2762-F138-4A5C-976F-8EAC2B608ADB}">
              <a16:predDERef xmlns:a16="http://schemas.microsoft.com/office/drawing/2014/main" pred="{4737DF0F-51E8-4479-F976-B3D412388C7A}"/>
            </a:ext>
          </a:extLst>
        </xdr:cNvPr>
        <xdr:cNvPicPr>
          <a:picLocks noChangeAspect="1"/>
        </xdr:cNvPicPr>
      </xdr:nvPicPr>
      <xdr:blipFill>
        <a:blip xmlns:r="http://schemas.openxmlformats.org/officeDocument/2006/relationships" r:embed="rId7"/>
        <a:stretch>
          <a:fillRect/>
        </a:stretch>
      </xdr:blipFill>
      <xdr:spPr>
        <a:xfrm>
          <a:off x="152400" y="15468600"/>
          <a:ext cx="4124325" cy="45720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govinfo.gov/content/pkg/FR-2009-03-23/pdf/FR-2009-03-23.pdf" TargetMode="External"/><Relationship Id="rId13" Type="http://schemas.openxmlformats.org/officeDocument/2006/relationships/hyperlink" Target="https://www.streivor.com/wp-content/uploads/2020/11/CKV-Design-Guide-1-Selecting-and-Sizing-Exhaust-Hoods.pdf" TargetMode="External"/><Relationship Id="rId18" Type="http://schemas.openxmlformats.org/officeDocument/2006/relationships/hyperlink" Target="https://www.grainger.com/category/plumbing/water-heaters/electric-tank-water-heaters" TargetMode="External"/><Relationship Id="rId3" Type="http://schemas.openxmlformats.org/officeDocument/2006/relationships/hyperlink" Target="https://github.com/sound-data/DEER-Prototypes-EnergyPlus" TargetMode="External"/><Relationship Id="rId7" Type="http://schemas.openxmlformats.org/officeDocument/2006/relationships/hyperlink" Target="https://2050partners.sharepoint.com/:w:/r/sites/CalBEMCollaborativeEfforts/_layouts/15/Doc.aspx?sourcedoc=%7B3BEF8F74-7FAC-44F2-A70C-D76617660066%7D&amp;file=Infiltration_rate_report_14May2025-Short-Version.docx&amp;action=default&amp;mobileredirect=true" TargetMode="External"/><Relationship Id="rId12" Type="http://schemas.openxmlformats.org/officeDocument/2006/relationships/hyperlink" Target="https://www.eia.gov/consumption/commercial/pba/food-service.php" TargetMode="External"/><Relationship Id="rId17" Type="http://schemas.openxmlformats.org/officeDocument/2006/relationships/hyperlink" Target="https://www.grainger.com/category/plumbing/water-heaters/gas-tank-water-heaters" TargetMode="External"/><Relationship Id="rId2" Type="http://schemas.openxmlformats.org/officeDocument/2006/relationships/hyperlink" Target="https://www.energycodes.gov/prototype-building-models" TargetMode="External"/><Relationship Id="rId16" Type="http://schemas.openxmlformats.org/officeDocument/2006/relationships/hyperlink" Target="https://www.energystar.gov/productfinder/product/certified-commercial-water-heaters/results?fuel_filter=Gas&amp;markets_filter=United+States" TargetMode="External"/><Relationship Id="rId20" Type="http://schemas.openxmlformats.org/officeDocument/2006/relationships/drawing" Target="../drawings/drawing1.xml"/><Relationship Id="rId1" Type="http://schemas.openxmlformats.org/officeDocument/2006/relationships/hyperlink" Target="https://bees.noresco.com/software2022.html" TargetMode="External"/><Relationship Id="rId6" Type="http://schemas.openxmlformats.org/officeDocument/2006/relationships/hyperlink" Target="https://www.pnnl.gov/main/publications/external/technical_reports/PNNL-20405.pdf" TargetMode="External"/><Relationship Id="rId11" Type="http://schemas.openxmlformats.org/officeDocument/2006/relationships/hyperlink" Target="https://title24stakeholders.com/wp-content/uploads/2016/10/T24-2019-CASE-Study-Results-Report-Outdoor-Sources_Final_with-Attachments.pdf" TargetMode="External"/><Relationship Id="rId5" Type="http://schemas.openxmlformats.org/officeDocument/2006/relationships/hyperlink" Target="https://title24stakeholders.com/wp-content/uploads/2020/10/2022-T24-Final-CASE-Report_Reduce-Infiltration.pdf" TargetMode="External"/><Relationship Id="rId15" Type="http://schemas.openxmlformats.org/officeDocument/2006/relationships/hyperlink" Target="https://caenergywise.com/design-guides/hot-water/Technical_Design_Guide.pdf" TargetMode="External"/><Relationship Id="rId10" Type="http://schemas.openxmlformats.org/officeDocument/2006/relationships/hyperlink" Target="https://www.govinfo.gov/content/pkg/CFR-2013-title10-vol3/pdf/CFR-2013-title10-vol3-part431.pdf" TargetMode="External"/><Relationship Id="rId19" Type="http://schemas.openxmlformats.org/officeDocument/2006/relationships/hyperlink" Target="https://www.thefreelibrary.com/Determining+Vintage+Bins+for+Prototype+Development%3a+An+Analysis+of...-a0879271125" TargetMode="External"/><Relationship Id="rId4" Type="http://schemas.openxmlformats.org/officeDocument/2006/relationships/hyperlink" Target="https://www.energy.ca.gov/publications/2022/2022-nonresidential-and-multifamily-alternative-calculation-method-reference" TargetMode="External"/><Relationship Id="rId9" Type="http://schemas.openxmlformats.org/officeDocument/2006/relationships/hyperlink" Target="https://www.govinfo.gov/content/pkg/CFR-2024-title10-vol3/pdf/CFR-2024-title10-vol3-part431-subpartF.pdf" TargetMode="External"/><Relationship Id="rId14" Type="http://schemas.openxmlformats.org/officeDocument/2006/relationships/hyperlink" Target="https://efiling.energy.ca.gov/GetDocument.aspx?tn=265693&amp;DocumentContentId=102545"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thefreelibrary.com/Determining+Vintage+Bins+for+Prototype+Development%3a+An+Analysis+of...-a0879271125" TargetMode="External"/><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onRes-Vintage%20bins-Draft%20Report-30Nov2023-Final.docx?d=w8560be34ea9744e086bccf7767b0a3cf&amp;csf=1&amp;web=1&amp;e=tpxacv"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2050partners.sharepoint.com/:w:/r/sites/CalBEMCollaborativeEfforts/_layouts/15/Doc.aspx?sourcedoc=%7B3BEF8F74-7FAC-44F2-A70C-D76617660066%7D&amp;file=Infiltration_rate_report_14May2025-Short-Version.docx&amp;action=default&amp;mobileredirect=true&amp;wdLOR=c37D90580-1DC7-4CAF-9995-F2723497E773" TargetMode="External"/><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title24stakeholders.com/wp-content/uploads/2020/10/2022-T24-Final-CASE-Report_Reduce-Infiltration.pdf"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4.bin"/><Relationship Id="rId1" Type="http://schemas.openxmlformats.org/officeDocument/2006/relationships/hyperlink" Target="https://caenergywise.com/design-guides/hot-water/Technical_Design_Guide.pdf"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https://portfoliomanager.energystar.gov/pm/targetFinder?execution=e1s1" TargetMode="External"/><Relationship Id="rId1" Type="http://schemas.openxmlformats.org/officeDocument/2006/relationships/hyperlink" Target="https://www.eia.gov/consumption/commercial/pba/food-service.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E142"/>
  <sheetViews>
    <sheetView zoomScaleNormal="100" workbookViewId="0">
      <selection sqref="A1:C1"/>
    </sheetView>
  </sheetViews>
  <sheetFormatPr defaultColWidth="9.33203125" defaultRowHeight="13.2" x14ac:dyDescent="0.25"/>
  <cols>
    <col min="1" max="1" width="20.33203125" style="4" customWidth="1"/>
    <col min="2" max="2" width="99.109375" style="4" customWidth="1"/>
    <col min="3" max="3" width="39.6640625" style="4" customWidth="1"/>
    <col min="4" max="4" width="9.33203125" style="4"/>
    <col min="5" max="5" width="21.6640625" style="4" customWidth="1"/>
    <col min="6" max="6" width="10.6640625" style="4" customWidth="1"/>
    <col min="7" max="7" width="9.6640625" style="4" customWidth="1"/>
    <col min="8" max="8" width="9.6640625" style="4" bestFit="1" customWidth="1"/>
    <col min="9" max="9" width="12.44140625" style="4" customWidth="1"/>
    <col min="10" max="10" width="9.33203125" style="4"/>
    <col min="11" max="11" width="12.5546875" style="4" customWidth="1"/>
    <col min="12" max="16384" width="9.33203125" style="4"/>
  </cols>
  <sheetData>
    <row r="1" spans="1:4" ht="20.399999999999999" customHeight="1" x14ac:dyDescent="0.25">
      <c r="A1" s="657" t="s">
        <v>0</v>
      </c>
      <c r="B1" s="657"/>
      <c r="C1" s="657"/>
    </row>
    <row r="2" spans="1:4" x14ac:dyDescent="0.25">
      <c r="A2" s="656" t="s">
        <v>1</v>
      </c>
      <c r="B2" s="4" t="s">
        <v>2</v>
      </c>
      <c r="C2" s="527"/>
      <c r="D2" s="4" t="s">
        <v>3</v>
      </c>
    </row>
    <row r="3" spans="1:4" x14ac:dyDescent="0.25">
      <c r="A3" s="656"/>
      <c r="B3" s="4" t="s">
        <v>4</v>
      </c>
      <c r="C3" s="527"/>
      <c r="D3" s="4" t="s">
        <v>3</v>
      </c>
    </row>
    <row r="4" spans="1:4" x14ac:dyDescent="0.25">
      <c r="A4" s="656"/>
      <c r="B4" s="4" t="s">
        <v>5</v>
      </c>
      <c r="C4" s="527"/>
      <c r="D4" s="4" t="s">
        <v>3</v>
      </c>
    </row>
    <row r="5" spans="1:4" x14ac:dyDescent="0.25">
      <c r="A5" s="656"/>
      <c r="B5" s="4" t="s">
        <v>6</v>
      </c>
      <c r="C5" s="527"/>
      <c r="D5" s="4" t="s">
        <v>3</v>
      </c>
    </row>
    <row r="6" spans="1:4" ht="14.4" x14ac:dyDescent="0.3">
      <c r="A6" s="656" t="s">
        <v>7</v>
      </c>
      <c r="B6" s="4" t="s">
        <v>8</v>
      </c>
      <c r="C6" s="146" t="s">
        <v>9</v>
      </c>
      <c r="D6" s="4" t="s">
        <v>3</v>
      </c>
    </row>
    <row r="7" spans="1:4" ht="14.4" x14ac:dyDescent="0.3">
      <c r="A7" s="656"/>
      <c r="B7" s="4" t="s">
        <v>10</v>
      </c>
      <c r="C7" s="146" t="s">
        <v>11</v>
      </c>
      <c r="D7" s="4" t="s">
        <v>3</v>
      </c>
    </row>
    <row r="8" spans="1:4" ht="14.4" x14ac:dyDescent="0.3">
      <c r="A8" s="656"/>
      <c r="B8" s="4" t="s">
        <v>12</v>
      </c>
      <c r="C8" s="146" t="s">
        <v>13</v>
      </c>
      <c r="D8" s="4" t="s">
        <v>3</v>
      </c>
    </row>
    <row r="9" spans="1:4" ht="14.4" x14ac:dyDescent="0.3">
      <c r="A9" s="656"/>
      <c r="C9" s="146"/>
      <c r="D9" s="4" t="s">
        <v>3</v>
      </c>
    </row>
    <row r="10" spans="1:4" x14ac:dyDescent="0.25">
      <c r="A10" s="656" t="s">
        <v>14</v>
      </c>
      <c r="B10" s="4" t="s">
        <v>15</v>
      </c>
      <c r="C10" s="527"/>
      <c r="D10" s="4" t="s">
        <v>3</v>
      </c>
    </row>
    <row r="11" spans="1:4" x14ac:dyDescent="0.25">
      <c r="A11" s="656"/>
      <c r="B11" s="4" t="s">
        <v>16</v>
      </c>
      <c r="C11" s="527"/>
      <c r="D11" s="4" t="s">
        <v>3</v>
      </c>
    </row>
    <row r="12" spans="1:4" ht="14.4" x14ac:dyDescent="0.3">
      <c r="A12" s="656"/>
      <c r="B12" s="79" t="s">
        <v>17</v>
      </c>
      <c r="C12" s="146" t="s">
        <v>18</v>
      </c>
      <c r="D12" s="4" t="s">
        <v>3</v>
      </c>
    </row>
    <row r="13" spans="1:4" ht="14.4" x14ac:dyDescent="0.3">
      <c r="A13" s="656"/>
      <c r="B13" s="79" t="s">
        <v>19</v>
      </c>
      <c r="C13" s="146" t="s">
        <v>20</v>
      </c>
      <c r="D13" s="4" t="s">
        <v>3</v>
      </c>
    </row>
    <row r="14" spans="1:4" ht="14.4" x14ac:dyDescent="0.3">
      <c r="A14" s="656"/>
      <c r="B14" s="79" t="s">
        <v>21</v>
      </c>
      <c r="C14" s="146" t="s">
        <v>22</v>
      </c>
      <c r="D14" s="4" t="s">
        <v>3</v>
      </c>
    </row>
    <row r="15" spans="1:4" x14ac:dyDescent="0.25">
      <c r="A15" s="656"/>
      <c r="C15" s="527"/>
      <c r="D15" s="4" t="s">
        <v>3</v>
      </c>
    </row>
    <row r="16" spans="1:4" ht="12.75" customHeight="1" x14ac:dyDescent="0.25">
      <c r="A16" s="656" t="s">
        <v>23</v>
      </c>
      <c r="B16" s="72" t="s">
        <v>24</v>
      </c>
      <c r="C16" s="72"/>
      <c r="D16" s="4" t="s">
        <v>3</v>
      </c>
    </row>
    <row r="17" spans="1:5" ht="14.4" x14ac:dyDescent="0.3">
      <c r="A17" s="656"/>
      <c r="B17" s="72" t="s">
        <v>25</v>
      </c>
      <c r="C17" s="146" t="s">
        <v>26</v>
      </c>
      <c r="D17" s="4" t="s">
        <v>3</v>
      </c>
    </row>
    <row r="18" spans="1:5" ht="12.75" customHeight="1" x14ac:dyDescent="0.3">
      <c r="A18" s="656"/>
      <c r="B18" s="150" t="s">
        <v>27</v>
      </c>
      <c r="C18" s="146" t="s">
        <v>28</v>
      </c>
      <c r="D18" s="4" t="s">
        <v>3</v>
      </c>
    </row>
    <row r="19" spans="1:5" ht="12.75" customHeight="1" x14ac:dyDescent="0.3">
      <c r="A19" s="656"/>
      <c r="B19" s="4" t="s">
        <v>29</v>
      </c>
      <c r="C19" s="146" t="s">
        <v>30</v>
      </c>
      <c r="D19" s="4" t="s">
        <v>3</v>
      </c>
    </row>
    <row r="20" spans="1:5" ht="12.75" customHeight="1" x14ac:dyDescent="0.3">
      <c r="A20" s="656"/>
      <c r="B20" s="4" t="s">
        <v>31</v>
      </c>
      <c r="C20" s="146" t="s">
        <v>32</v>
      </c>
      <c r="D20" s="4" t="s">
        <v>3</v>
      </c>
    </row>
    <row r="21" spans="1:5" ht="12.75" customHeight="1" x14ac:dyDescent="0.3">
      <c r="A21" s="656"/>
      <c r="B21" s="4" t="s">
        <v>33</v>
      </c>
      <c r="C21" s="147" t="s">
        <v>34</v>
      </c>
      <c r="D21" s="4" t="s">
        <v>3</v>
      </c>
    </row>
    <row r="22" spans="1:5" ht="28.2" customHeight="1" x14ac:dyDescent="0.25">
      <c r="A22" s="656"/>
      <c r="B22" s="450" t="s">
        <v>35</v>
      </c>
      <c r="C22" s="451" t="s">
        <v>36</v>
      </c>
      <c r="D22" s="4" t="s">
        <v>3</v>
      </c>
    </row>
    <row r="23" spans="1:5" ht="31.95" customHeight="1" x14ac:dyDescent="0.25">
      <c r="A23" s="656"/>
      <c r="B23" s="9" t="s">
        <v>37</v>
      </c>
      <c r="C23" s="403" t="s">
        <v>38</v>
      </c>
      <c r="D23" s="7" t="s">
        <v>3</v>
      </c>
    </row>
    <row r="24" spans="1:5" ht="29.4" customHeight="1" x14ac:dyDescent="0.25">
      <c r="A24" s="656"/>
      <c r="B24" s="9" t="s">
        <v>39</v>
      </c>
      <c r="C24" s="51" t="s">
        <v>40</v>
      </c>
      <c r="D24" s="7" t="s">
        <v>3</v>
      </c>
    </row>
    <row r="25" spans="1:5" ht="29.4" customHeight="1" x14ac:dyDescent="0.25">
      <c r="A25" s="656"/>
      <c r="B25" s="9" t="s">
        <v>41</v>
      </c>
      <c r="C25" s="51" t="s">
        <v>42</v>
      </c>
      <c r="D25" s="7" t="s">
        <v>3</v>
      </c>
    </row>
    <row r="26" spans="1:5" x14ac:dyDescent="0.25">
      <c r="A26" s="656"/>
      <c r="B26" s="72" t="s">
        <v>43</v>
      </c>
      <c r="C26" s="449" t="s">
        <v>44</v>
      </c>
      <c r="D26" s="449" t="s">
        <v>3</v>
      </c>
      <c r="E26" s="449"/>
    </row>
    <row r="27" spans="1:5" x14ac:dyDescent="0.25">
      <c r="A27" s="656"/>
      <c r="B27" s="72" t="s">
        <v>45</v>
      </c>
      <c r="C27" s="449" t="s">
        <v>46</v>
      </c>
      <c r="D27" s="449" t="s">
        <v>3</v>
      </c>
      <c r="E27" s="449"/>
    </row>
    <row r="28" spans="1:5" x14ac:dyDescent="0.25">
      <c r="A28" s="656"/>
      <c r="B28" s="72" t="s">
        <v>47</v>
      </c>
      <c r="C28" s="449" t="s">
        <v>48</v>
      </c>
      <c r="D28" s="449" t="s">
        <v>3</v>
      </c>
      <c r="E28" s="449"/>
    </row>
    <row r="29" spans="1:5" ht="13.8" x14ac:dyDescent="0.3">
      <c r="A29" s="533"/>
      <c r="C29" s="438"/>
      <c r="D29" s="4" t="s">
        <v>3</v>
      </c>
    </row>
    <row r="30" spans="1:5" ht="13.8" x14ac:dyDescent="0.3">
      <c r="A30" s="533"/>
      <c r="C30" s="438"/>
    </row>
    <row r="31" spans="1:5" ht="13.8" x14ac:dyDescent="0.3">
      <c r="A31" s="533"/>
      <c r="C31" s="438"/>
    </row>
    <row r="32" spans="1:5" ht="16.8" x14ac:dyDescent="0.3">
      <c r="A32" s="437"/>
      <c r="C32" s="438"/>
    </row>
    <row r="33" spans="1:5" ht="16.8" x14ac:dyDescent="0.3">
      <c r="A33" s="437"/>
      <c r="C33" s="438"/>
    </row>
    <row r="34" spans="1:5" ht="16.8" x14ac:dyDescent="0.3">
      <c r="A34" s="437"/>
      <c r="C34" s="438"/>
    </row>
    <row r="35" spans="1:5" ht="16.8" x14ac:dyDescent="0.3">
      <c r="A35" s="437"/>
      <c r="C35" s="438"/>
    </row>
    <row r="36" spans="1:5" ht="16.8" x14ac:dyDescent="0.3">
      <c r="A36" s="437"/>
      <c r="C36" s="438"/>
    </row>
    <row r="37" spans="1:5" x14ac:dyDescent="0.25">
      <c r="C37" s="527"/>
    </row>
    <row r="38" spans="1:5" x14ac:dyDescent="0.25">
      <c r="C38" s="527"/>
    </row>
    <row r="39" spans="1:5" x14ac:dyDescent="0.25">
      <c r="C39" s="527"/>
    </row>
    <row r="40" spans="1:5" x14ac:dyDescent="0.25">
      <c r="C40" s="527"/>
    </row>
    <row r="41" spans="1:5" x14ac:dyDescent="0.25">
      <c r="C41" s="527"/>
    </row>
    <row r="42" spans="1:5" x14ac:dyDescent="0.25">
      <c r="C42" s="527"/>
    </row>
    <row r="43" spans="1:5" x14ac:dyDescent="0.25">
      <c r="C43" s="527"/>
    </row>
    <row r="44" spans="1:5" x14ac:dyDescent="0.25">
      <c r="C44" s="527"/>
    </row>
    <row r="45" spans="1:5" ht="19.2" customHeight="1" x14ac:dyDescent="0.25">
      <c r="A45" s="657" t="s">
        <v>49</v>
      </c>
      <c r="B45" s="657"/>
      <c r="C45" s="657"/>
    </row>
    <row r="46" spans="1:5" ht="34.200000000000003" customHeight="1" x14ac:dyDescent="0.25">
      <c r="A46" s="7" t="s">
        <v>50</v>
      </c>
      <c r="B46" s="659" t="s">
        <v>51</v>
      </c>
      <c r="C46" s="659"/>
      <c r="E46" s="533"/>
    </row>
    <row r="47" spans="1:5" x14ac:dyDescent="0.25">
      <c r="A47" s="8"/>
      <c r="B47" s="658"/>
      <c r="C47" s="658"/>
      <c r="E47" s="533"/>
    </row>
    <row r="49" spans="1:2" ht="14.4" x14ac:dyDescent="0.3">
      <c r="A49" s="4" t="s">
        <v>52</v>
      </c>
      <c r="B49" s="114" t="s">
        <v>53</v>
      </c>
    </row>
    <row r="80" spans="2:3" hidden="1" x14ac:dyDescent="0.25">
      <c r="B80" s="655" t="s">
        <v>54</v>
      </c>
      <c r="C80" s="655"/>
    </row>
    <row r="81" spans="1:3" hidden="1" x14ac:dyDescent="0.25">
      <c r="A81" s="56" t="s">
        <v>55</v>
      </c>
      <c r="B81" s="64" t="s">
        <v>56</v>
      </c>
      <c r="C81" s="64" t="s">
        <v>57</v>
      </c>
    </row>
    <row r="82" spans="1:3" hidden="1" x14ac:dyDescent="0.25">
      <c r="A82" s="65">
        <v>1967</v>
      </c>
      <c r="B82" s="62">
        <v>5361.9</v>
      </c>
      <c r="C82" s="4">
        <v>152</v>
      </c>
    </row>
    <row r="83" spans="1:3" hidden="1" x14ac:dyDescent="0.25">
      <c r="A83" s="65">
        <v>1968</v>
      </c>
      <c r="B83" s="62">
        <v>8270.9999999999982</v>
      </c>
      <c r="C83" s="4">
        <v>452</v>
      </c>
    </row>
    <row r="84" spans="1:3" hidden="1" x14ac:dyDescent="0.25">
      <c r="A84" s="65">
        <v>1969</v>
      </c>
      <c r="B84" s="62">
        <v>13593.6</v>
      </c>
      <c r="C84" s="4">
        <v>655</v>
      </c>
    </row>
    <row r="85" spans="1:3" hidden="1" x14ac:dyDescent="0.25">
      <c r="A85" s="65">
        <v>1970</v>
      </c>
      <c r="B85" s="62">
        <v>14323.700000000006</v>
      </c>
      <c r="C85" s="4">
        <v>601</v>
      </c>
    </row>
    <row r="86" spans="1:3" hidden="1" x14ac:dyDescent="0.25">
      <c r="A86" s="65">
        <v>1971</v>
      </c>
      <c r="B86" s="62">
        <v>13719.800000000003</v>
      </c>
      <c r="C86" s="4">
        <v>592</v>
      </c>
    </row>
    <row r="87" spans="1:3" hidden="1" x14ac:dyDescent="0.25">
      <c r="A87" s="65">
        <v>1972</v>
      </c>
      <c r="B87" s="62">
        <v>16513.900000000001</v>
      </c>
      <c r="C87" s="4">
        <v>687</v>
      </c>
    </row>
    <row r="88" spans="1:3" hidden="1" x14ac:dyDescent="0.25">
      <c r="A88" s="65">
        <v>1973</v>
      </c>
      <c r="B88" s="62">
        <v>27619.599999999988</v>
      </c>
      <c r="C88" s="4">
        <v>920</v>
      </c>
    </row>
    <row r="89" spans="1:3" hidden="1" x14ac:dyDescent="0.25">
      <c r="A89" s="65">
        <v>1974</v>
      </c>
      <c r="B89" s="62">
        <v>26732.000000000015</v>
      </c>
      <c r="C89" s="4">
        <v>804</v>
      </c>
    </row>
    <row r="90" spans="1:3" hidden="1" x14ac:dyDescent="0.25">
      <c r="A90" s="65">
        <v>1975</v>
      </c>
      <c r="B90" s="62">
        <v>13654.600000000019</v>
      </c>
      <c r="C90" s="4">
        <v>710</v>
      </c>
    </row>
    <row r="91" spans="1:3" hidden="1" x14ac:dyDescent="0.25">
      <c r="A91" s="65">
        <v>1976</v>
      </c>
      <c r="B91" s="62">
        <v>19608.399999999991</v>
      </c>
      <c r="C91" s="4">
        <v>853</v>
      </c>
    </row>
    <row r="92" spans="1:3" hidden="1" x14ac:dyDescent="0.25">
      <c r="A92" s="66">
        <v>1977</v>
      </c>
      <c r="B92" s="63">
        <v>29745.300000000007</v>
      </c>
      <c r="C92" s="61">
        <v>1055</v>
      </c>
    </row>
    <row r="93" spans="1:3" hidden="1" x14ac:dyDescent="0.25">
      <c r="A93" s="65">
        <v>1978</v>
      </c>
      <c r="B93" s="62">
        <v>40044.400000000052</v>
      </c>
      <c r="C93" s="4">
        <v>1359</v>
      </c>
    </row>
    <row r="94" spans="1:3" hidden="1" x14ac:dyDescent="0.25">
      <c r="A94" s="67">
        <v>1979</v>
      </c>
      <c r="B94" s="62">
        <v>40268.500000000015</v>
      </c>
      <c r="C94" s="4">
        <v>1053</v>
      </c>
    </row>
    <row r="95" spans="1:3" hidden="1" x14ac:dyDescent="0.25">
      <c r="A95" s="67">
        <v>1980</v>
      </c>
      <c r="B95" s="62">
        <v>26862.200000000019</v>
      </c>
      <c r="C95" s="4">
        <v>851</v>
      </c>
    </row>
    <row r="96" spans="1:3" hidden="1" x14ac:dyDescent="0.25">
      <c r="A96" s="65">
        <v>1981</v>
      </c>
      <c r="B96" s="62">
        <v>21498.200000000004</v>
      </c>
      <c r="C96" s="4">
        <v>812</v>
      </c>
    </row>
    <row r="97" spans="1:3" hidden="1" x14ac:dyDescent="0.25">
      <c r="A97" s="65">
        <v>1982</v>
      </c>
      <c r="B97" s="62">
        <v>14017.9</v>
      </c>
      <c r="C97" s="4">
        <v>606</v>
      </c>
    </row>
    <row r="98" spans="1:3" hidden="1" x14ac:dyDescent="0.25">
      <c r="A98" s="65">
        <v>1983</v>
      </c>
      <c r="B98" s="62">
        <v>19364.400000000012</v>
      </c>
      <c r="C98" s="4">
        <v>880</v>
      </c>
    </row>
    <row r="99" spans="1:3" hidden="1" x14ac:dyDescent="0.25">
      <c r="A99" s="65">
        <v>1984</v>
      </c>
      <c r="B99" s="62">
        <v>31271.700000000041</v>
      </c>
      <c r="C99" s="4">
        <v>1271</v>
      </c>
    </row>
    <row r="100" spans="1:3" hidden="1" x14ac:dyDescent="0.25">
      <c r="A100" s="65">
        <v>1985</v>
      </c>
      <c r="B100" s="62">
        <v>44833.100000000057</v>
      </c>
      <c r="C100" s="4">
        <v>1461</v>
      </c>
    </row>
    <row r="101" spans="1:3" hidden="1" x14ac:dyDescent="0.25">
      <c r="A101" s="65">
        <v>1986</v>
      </c>
      <c r="B101" s="62">
        <v>46291.200000000019</v>
      </c>
      <c r="C101" s="4">
        <v>1382</v>
      </c>
    </row>
    <row r="102" spans="1:3" hidden="1" x14ac:dyDescent="0.25">
      <c r="A102" s="65">
        <v>1987</v>
      </c>
      <c r="B102" s="62">
        <v>46613.600000000064</v>
      </c>
      <c r="C102" s="4">
        <v>1265</v>
      </c>
    </row>
    <row r="103" spans="1:3" hidden="1" x14ac:dyDescent="0.25">
      <c r="A103" s="65">
        <v>1988</v>
      </c>
      <c r="B103" s="62">
        <v>50555.200000000048</v>
      </c>
      <c r="C103" s="4">
        <v>1237</v>
      </c>
    </row>
    <row r="104" spans="1:3" hidden="1" x14ac:dyDescent="0.25">
      <c r="A104" s="65">
        <v>1989</v>
      </c>
      <c r="B104" s="62">
        <v>48019.100000000035</v>
      </c>
      <c r="C104" s="4">
        <v>1233</v>
      </c>
    </row>
    <row r="105" spans="1:3" hidden="1" x14ac:dyDescent="0.25">
      <c r="A105" s="65">
        <v>1990</v>
      </c>
      <c r="B105" s="62">
        <v>37809.799999999996</v>
      </c>
      <c r="C105" s="4">
        <v>1111</v>
      </c>
    </row>
    <row r="106" spans="1:3" hidden="1" x14ac:dyDescent="0.25">
      <c r="A106" s="65">
        <v>1991</v>
      </c>
      <c r="B106" s="62">
        <v>20082.399999999983</v>
      </c>
      <c r="C106" s="4">
        <v>768</v>
      </c>
    </row>
    <row r="107" spans="1:3" hidden="1" x14ac:dyDescent="0.25">
      <c r="A107" s="65">
        <v>1992</v>
      </c>
      <c r="B107" s="62">
        <v>11010.900000000014</v>
      </c>
      <c r="C107" s="4">
        <v>426</v>
      </c>
    </row>
    <row r="108" spans="1:3" hidden="1" x14ac:dyDescent="0.25">
      <c r="A108" s="65">
        <v>1993</v>
      </c>
      <c r="B108" s="62">
        <v>7511.1999999999962</v>
      </c>
      <c r="C108" s="4">
        <v>470</v>
      </c>
    </row>
    <row r="109" spans="1:3" hidden="1" x14ac:dyDescent="0.25">
      <c r="A109" s="65">
        <v>1994</v>
      </c>
      <c r="B109" s="62">
        <v>11961.3</v>
      </c>
      <c r="C109" s="4">
        <v>465</v>
      </c>
    </row>
    <row r="110" spans="1:3" hidden="1" x14ac:dyDescent="0.25">
      <c r="A110" s="65">
        <v>1995</v>
      </c>
      <c r="B110" s="62">
        <v>13270.899999999998</v>
      </c>
      <c r="C110" s="4">
        <v>521</v>
      </c>
    </row>
    <row r="111" spans="1:3" hidden="1" x14ac:dyDescent="0.25">
      <c r="A111" s="65">
        <v>1996</v>
      </c>
      <c r="B111" s="62">
        <v>20653.800000000003</v>
      </c>
      <c r="C111" s="4">
        <v>570</v>
      </c>
    </row>
    <row r="112" spans="1:3" hidden="1" x14ac:dyDescent="0.25">
      <c r="A112" s="66">
        <v>1997</v>
      </c>
      <c r="B112" s="63">
        <v>27588.899999999998</v>
      </c>
      <c r="C112" s="61">
        <v>407</v>
      </c>
    </row>
    <row r="113" spans="1:3" hidden="1" x14ac:dyDescent="0.25">
      <c r="A113" s="65">
        <v>1998</v>
      </c>
      <c r="B113" s="62">
        <v>41631.299999999974</v>
      </c>
      <c r="C113" s="4">
        <v>476</v>
      </c>
    </row>
    <row r="114" spans="1:3" hidden="1" x14ac:dyDescent="0.25">
      <c r="A114" s="65">
        <v>1999</v>
      </c>
      <c r="B114" s="62">
        <v>48039.599999999969</v>
      </c>
      <c r="C114" s="4">
        <v>533</v>
      </c>
    </row>
    <row r="115" spans="1:3" hidden="1" x14ac:dyDescent="0.25">
      <c r="A115" s="65">
        <v>2000</v>
      </c>
      <c r="B115" s="62">
        <v>52612.199999999968</v>
      </c>
      <c r="C115" s="4">
        <v>500</v>
      </c>
    </row>
    <row r="116" spans="1:3" hidden="1" x14ac:dyDescent="0.25">
      <c r="A116" s="65">
        <v>2001</v>
      </c>
      <c r="B116" s="62">
        <v>40337.200000000026</v>
      </c>
      <c r="C116" s="4">
        <v>432</v>
      </c>
    </row>
    <row r="117" spans="1:3" hidden="1" x14ac:dyDescent="0.25">
      <c r="A117" s="65">
        <v>2002</v>
      </c>
      <c r="B117" s="62">
        <v>33147.200000000004</v>
      </c>
      <c r="C117" s="4">
        <v>399</v>
      </c>
    </row>
    <row r="118" spans="1:3" hidden="1" x14ac:dyDescent="0.25">
      <c r="A118" s="65">
        <v>2003</v>
      </c>
      <c r="B118" s="62">
        <v>30982.799999999977</v>
      </c>
      <c r="C118" s="4">
        <v>398</v>
      </c>
    </row>
    <row r="119" spans="1:3" hidden="1" x14ac:dyDescent="0.25">
      <c r="A119" s="65">
        <v>2004</v>
      </c>
      <c r="B119" s="62">
        <v>29560.799999999985</v>
      </c>
      <c r="C119" s="4">
        <v>417</v>
      </c>
    </row>
    <row r="120" spans="1:3" hidden="1" x14ac:dyDescent="0.25">
      <c r="A120" s="65">
        <v>2005</v>
      </c>
      <c r="B120" s="62">
        <v>27484.099999999995</v>
      </c>
      <c r="C120" s="4">
        <v>347</v>
      </c>
    </row>
    <row r="121" spans="1:3" hidden="1" x14ac:dyDescent="0.25">
      <c r="A121" s="65">
        <v>2006</v>
      </c>
      <c r="B121" s="62">
        <v>25891.899999999983</v>
      </c>
      <c r="C121" s="4">
        <v>299</v>
      </c>
    </row>
    <row r="122" spans="1:3" hidden="1" x14ac:dyDescent="0.25">
      <c r="A122" s="66">
        <v>2007</v>
      </c>
      <c r="B122" s="63">
        <v>25769.199999999993</v>
      </c>
      <c r="C122" s="61">
        <v>248</v>
      </c>
    </row>
    <row r="123" spans="1:3" hidden="1" x14ac:dyDescent="0.25">
      <c r="A123" s="65">
        <v>2008</v>
      </c>
      <c r="B123" s="62">
        <v>20632.600000000006</v>
      </c>
      <c r="C123" s="4">
        <v>236</v>
      </c>
    </row>
    <row r="124" spans="1:3" hidden="1" x14ac:dyDescent="0.25">
      <c r="A124" s="65">
        <v>2009</v>
      </c>
      <c r="B124" s="62">
        <v>5608</v>
      </c>
      <c r="C124" s="4">
        <v>122</v>
      </c>
    </row>
    <row r="125" spans="1:3" hidden="1" x14ac:dyDescent="0.25">
      <c r="A125" s="65">
        <v>2010</v>
      </c>
      <c r="B125" s="62">
        <v>2602.9</v>
      </c>
      <c r="C125" s="4">
        <v>47</v>
      </c>
    </row>
    <row r="126" spans="1:3" hidden="1" x14ac:dyDescent="0.25">
      <c r="A126" s="65">
        <v>2011</v>
      </c>
      <c r="B126" s="62">
        <v>3617.8999999999996</v>
      </c>
      <c r="C126" s="4">
        <v>36</v>
      </c>
    </row>
    <row r="127" spans="1:3" hidden="1" x14ac:dyDescent="0.25">
      <c r="A127" s="65">
        <v>2012</v>
      </c>
      <c r="B127" s="62">
        <v>8233.2000000000007</v>
      </c>
      <c r="C127" s="4">
        <v>63</v>
      </c>
    </row>
    <row r="128" spans="1:3" hidden="1" x14ac:dyDescent="0.25">
      <c r="A128" s="65">
        <v>2013</v>
      </c>
      <c r="B128" s="62">
        <v>17625.900000000009</v>
      </c>
      <c r="C128" s="4">
        <v>46</v>
      </c>
    </row>
    <row r="129" spans="1:3" hidden="1" x14ac:dyDescent="0.25">
      <c r="A129" s="65">
        <v>2014</v>
      </c>
      <c r="B129" s="62">
        <v>13973.900000000001</v>
      </c>
      <c r="C129" s="4">
        <v>72</v>
      </c>
    </row>
    <row r="130" spans="1:3" hidden="1" x14ac:dyDescent="0.25">
      <c r="A130" s="65">
        <v>2015</v>
      </c>
      <c r="B130" s="62">
        <v>29759.5</v>
      </c>
      <c r="C130" s="4">
        <v>104</v>
      </c>
    </row>
    <row r="131" spans="1:3" hidden="1" x14ac:dyDescent="0.25">
      <c r="A131" s="65">
        <v>2016</v>
      </c>
      <c r="B131" s="62">
        <v>25538.800000000003</v>
      </c>
      <c r="C131" s="4">
        <v>152</v>
      </c>
    </row>
    <row r="132" spans="1:3" hidden="1" x14ac:dyDescent="0.25">
      <c r="A132" s="65">
        <v>2017</v>
      </c>
      <c r="B132" s="62">
        <v>27796.899999999994</v>
      </c>
      <c r="C132" s="4">
        <v>105</v>
      </c>
    </row>
    <row r="133" spans="1:3" hidden="1" x14ac:dyDescent="0.25">
      <c r="A133" s="66">
        <v>2018</v>
      </c>
      <c r="B133" s="63">
        <v>32684.699999999997</v>
      </c>
      <c r="C133" s="61">
        <v>117</v>
      </c>
    </row>
    <row r="134" spans="1:3" hidden="1" x14ac:dyDescent="0.25">
      <c r="A134" s="65">
        <v>2019</v>
      </c>
      <c r="B134" s="62">
        <v>30948.5</v>
      </c>
      <c r="C134" s="4">
        <v>141</v>
      </c>
    </row>
    <row r="135" spans="1:3" hidden="1" x14ac:dyDescent="0.25">
      <c r="A135" s="65">
        <v>2020</v>
      </c>
      <c r="B135" s="62">
        <v>34022.899999999994</v>
      </c>
      <c r="C135" s="4">
        <v>162</v>
      </c>
    </row>
    <row r="136" spans="1:3" hidden="1" x14ac:dyDescent="0.25">
      <c r="A136" s="65">
        <v>2021</v>
      </c>
      <c r="B136" s="62">
        <v>53815</v>
      </c>
      <c r="C136" s="4">
        <v>225</v>
      </c>
    </row>
    <row r="137" spans="1:3" hidden="1" x14ac:dyDescent="0.25">
      <c r="A137" s="65">
        <v>2022</v>
      </c>
      <c r="B137" s="62">
        <v>41442.099999999991</v>
      </c>
      <c r="C137" s="4">
        <v>218</v>
      </c>
    </row>
    <row r="138" spans="1:3" hidden="1" x14ac:dyDescent="0.25">
      <c r="A138" s="66">
        <v>2023</v>
      </c>
      <c r="B138" s="63">
        <v>10975.699999999997</v>
      </c>
      <c r="C138" s="61">
        <v>44</v>
      </c>
    </row>
    <row r="139" spans="1:3" hidden="1" x14ac:dyDescent="0.25"/>
    <row r="142" spans="1:3" x14ac:dyDescent="0.25">
      <c r="A142" s="5" t="s">
        <v>58</v>
      </c>
    </row>
  </sheetData>
  <mergeCells count="9">
    <mergeCell ref="B80:C80"/>
    <mergeCell ref="A2:A5"/>
    <mergeCell ref="A6:A9"/>
    <mergeCell ref="A1:C1"/>
    <mergeCell ref="B47:C47"/>
    <mergeCell ref="A45:C45"/>
    <mergeCell ref="A10:A15"/>
    <mergeCell ref="B46:C46"/>
    <mergeCell ref="A16:A28"/>
  </mergeCells>
  <hyperlinks>
    <hyperlink ref="C6" r:id="rId1" xr:uid="{BE11EEF8-3AF7-48F0-A38B-7309CE5A9491}"/>
    <hyperlink ref="C7" r:id="rId2" location="Commercial" xr:uid="{626A4776-C2FA-489E-88C0-BC9C7C8EA36F}"/>
    <hyperlink ref="C8" r:id="rId3" xr:uid="{0DEB00BB-3A26-4527-9ED4-40D17F93A579}"/>
    <hyperlink ref="C17" r:id="rId4" xr:uid="{C101F69F-EDD8-471F-98DF-28BD71BFA34E}"/>
    <hyperlink ref="C18" r:id="rId5" xr:uid="{C21443C5-174B-48CB-B5FC-BB95D3C23A8F}"/>
    <hyperlink ref="C20" r:id="rId6" xr:uid="{4E61207C-6D7D-460C-9DCB-0AE5748B3693}"/>
    <hyperlink ref="C21" r:id="rId7" xr:uid="{5BC370BB-1BDD-4FB0-B79E-B506D3A772A4}"/>
    <hyperlink ref="C12" r:id="rId8" xr:uid="{4C0AD932-1417-4F37-8CE6-5428F9E95D4D}"/>
    <hyperlink ref="C14" r:id="rId9" xr:uid="{01E16CA6-DE8D-459D-AD1C-DBAD9C8825B5}"/>
    <hyperlink ref="C13" r:id="rId10" xr:uid="{F3B96E39-7573-49D7-89DD-B71DAC94F1EC}"/>
    <hyperlink ref="C19" r:id="rId11" xr:uid="{69576B2E-A9A2-478E-A000-014A867874A5}"/>
    <hyperlink ref="B49" r:id="rId12" display="https://www.eia.gov/consumption/commercial/pba/food-service.php" xr:uid="{775440FD-5C1E-46FB-84FC-8D3732AECB8F}"/>
    <hyperlink ref="C24" r:id="rId13" xr:uid="{D668C4E4-9D9B-4EE5-8E56-7890087F99C8}"/>
    <hyperlink ref="C25" r:id="rId14" xr:uid="{E3024A45-D41A-4512-A67B-89729DACF69E}"/>
    <hyperlink ref="C23" r:id="rId15" xr:uid="{81EADB5F-BA5C-4030-99E4-F8937F748734}"/>
    <hyperlink ref="C26" r:id="rId16" xr:uid="{65519F30-869D-4A70-A09A-7F2548346A57}"/>
    <hyperlink ref="C27" r:id="rId17" xr:uid="{43919B56-8BA2-47E1-8450-55AD68EFD0A6}"/>
    <hyperlink ref="C28" r:id="rId18" xr:uid="{1F5D8D76-AB69-4014-8C93-3ECA455BEA2A}"/>
    <hyperlink ref="C22" r:id="rId19" xr:uid="{018B20AC-0C81-454D-8921-32810662B30D}"/>
  </hyperlinks>
  <pageMargins left="0.7" right="0.7" top="0.75" bottom="0.75" header="0.3" footer="0.3"/>
  <drawing r:id="rId2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BG142"/>
  <sheetViews>
    <sheetView tabSelected="1" zoomScale="85" zoomScaleNormal="85" workbookViewId="0">
      <selection sqref="A1:C1"/>
    </sheetView>
  </sheetViews>
  <sheetFormatPr defaultColWidth="9.33203125" defaultRowHeight="13.8" x14ac:dyDescent="0.25"/>
  <cols>
    <col min="1" max="1" width="32.109375" style="2" customWidth="1"/>
    <col min="2" max="5" width="49.109375" style="2" customWidth="1"/>
    <col min="6" max="6" width="45.88671875" style="2" customWidth="1"/>
    <col min="7" max="7" width="44.88671875" style="2" customWidth="1"/>
    <col min="8" max="8" width="48.33203125" style="2" customWidth="1"/>
    <col min="9" max="9" width="8.6640625" style="2" customWidth="1"/>
    <col min="10" max="16384" width="9.33203125" style="2"/>
  </cols>
  <sheetData>
    <row r="1" spans="1:9" ht="17.399999999999999" x14ac:dyDescent="0.25">
      <c r="A1" s="652" t="s">
        <v>59</v>
      </c>
      <c r="B1" s="652"/>
      <c r="C1" s="652"/>
      <c r="D1" s="10"/>
      <c r="E1" s="10"/>
      <c r="F1" s="10"/>
    </row>
    <row r="2" spans="1:9" ht="25.2" customHeight="1" x14ac:dyDescent="0.25">
      <c r="A2" s="653" t="s">
        <v>50</v>
      </c>
      <c r="B2" s="654"/>
      <c r="C2" s="654"/>
      <c r="D2" s="10"/>
      <c r="E2" s="10"/>
      <c r="F2" s="10"/>
    </row>
    <row r="3" spans="1:9" ht="20.399999999999999" customHeight="1" x14ac:dyDescent="0.25">
      <c r="A3" s="12" t="s">
        <v>60</v>
      </c>
      <c r="B3" s="548" t="s">
        <v>61</v>
      </c>
      <c r="C3" s="13" t="s">
        <v>0</v>
      </c>
    </row>
    <row r="4" spans="1:9" ht="16.2" customHeight="1" x14ac:dyDescent="0.25">
      <c r="A4" s="11" t="s">
        <v>62</v>
      </c>
      <c r="B4" s="531" t="s">
        <v>63</v>
      </c>
      <c r="C4" s="11"/>
    </row>
    <row r="5" spans="1:9" ht="16.2" customHeight="1" x14ac:dyDescent="0.25">
      <c r="A5" s="11" t="s">
        <v>64</v>
      </c>
      <c r="B5" s="531" t="s">
        <v>65</v>
      </c>
      <c r="C5" s="11"/>
    </row>
    <row r="6" spans="1:9" ht="16.2" customHeight="1" x14ac:dyDescent="0.25">
      <c r="A6" s="11" t="s">
        <v>66</v>
      </c>
      <c r="B6" s="536" t="s">
        <v>67</v>
      </c>
      <c r="C6" s="11"/>
    </row>
    <row r="7" spans="1:9" ht="82.2" customHeight="1" x14ac:dyDescent="0.25">
      <c r="A7" s="11" t="s">
        <v>68</v>
      </c>
      <c r="B7" s="534" t="s">
        <v>69</v>
      </c>
      <c r="C7" s="454" t="s">
        <v>70</v>
      </c>
      <c r="D7" s="452" t="s">
        <v>36</v>
      </c>
      <c r="E7" s="51" t="s">
        <v>71</v>
      </c>
    </row>
    <row r="8" spans="1:9" ht="97.2" customHeight="1" x14ac:dyDescent="0.25">
      <c r="A8" s="266" t="s">
        <v>72</v>
      </c>
      <c r="B8" s="539"/>
      <c r="C8" s="556" t="s">
        <v>73</v>
      </c>
      <c r="D8" s="60"/>
      <c r="I8" s="3"/>
    </row>
    <row r="9" spans="1:9" ht="19.2" customHeight="1" x14ac:dyDescent="0.25">
      <c r="A9" s="267" t="s">
        <v>74</v>
      </c>
      <c r="B9" s="261" t="s">
        <v>75</v>
      </c>
      <c r="C9" s="556" t="s">
        <v>73</v>
      </c>
    </row>
    <row r="10" spans="1:9" ht="16.2" customHeight="1" x14ac:dyDescent="0.25">
      <c r="A10" s="267" t="s">
        <v>76</v>
      </c>
      <c r="B10" s="262">
        <v>1</v>
      </c>
      <c r="C10" s="556" t="s">
        <v>73</v>
      </c>
    </row>
    <row r="11" spans="1:9" ht="17.399999999999999" customHeight="1" x14ac:dyDescent="0.25">
      <c r="A11" s="268" t="s">
        <v>77</v>
      </c>
      <c r="B11" s="263">
        <v>1</v>
      </c>
      <c r="C11" s="556" t="s">
        <v>73</v>
      </c>
    </row>
    <row r="12" spans="1:9" ht="17.399999999999999" customHeight="1" x14ac:dyDescent="0.25">
      <c r="A12" s="268" t="s">
        <v>78</v>
      </c>
      <c r="B12" s="263" t="s">
        <v>79</v>
      </c>
      <c r="C12" s="556" t="s">
        <v>73</v>
      </c>
      <c r="F12" s="557"/>
    </row>
    <row r="13" spans="1:9" ht="26.4" x14ac:dyDescent="0.25">
      <c r="A13" s="268" t="s">
        <v>80</v>
      </c>
      <c r="B13" s="264" t="s">
        <v>81</v>
      </c>
      <c r="C13" s="556" t="s">
        <v>73</v>
      </c>
      <c r="F13" s="557"/>
    </row>
    <row r="14" spans="1:9" ht="14.7" customHeight="1" x14ac:dyDescent="0.25">
      <c r="A14" s="267" t="s">
        <v>82</v>
      </c>
      <c r="B14" s="265" t="s">
        <v>83</v>
      </c>
      <c r="C14" s="556" t="s">
        <v>73</v>
      </c>
      <c r="F14" s="557"/>
    </row>
    <row r="15" spans="1:9" ht="14.7" customHeight="1" x14ac:dyDescent="0.25">
      <c r="A15" s="267" t="s">
        <v>84</v>
      </c>
      <c r="B15" s="263" t="s">
        <v>85</v>
      </c>
      <c r="C15" s="556" t="s">
        <v>73</v>
      </c>
      <c r="F15" s="557"/>
    </row>
    <row r="16" spans="1:9" ht="16.2" customHeight="1" x14ac:dyDescent="0.25">
      <c r="A16" s="267" t="s">
        <v>86</v>
      </c>
      <c r="B16" s="263">
        <v>10</v>
      </c>
      <c r="C16" s="556" t="s">
        <v>73</v>
      </c>
      <c r="F16" s="557"/>
    </row>
    <row r="17" spans="1:59" x14ac:dyDescent="0.25">
      <c r="A17" s="267" t="s">
        <v>87</v>
      </c>
      <c r="B17" s="538" t="s">
        <v>88</v>
      </c>
      <c r="C17" s="556" t="s">
        <v>73</v>
      </c>
      <c r="F17" s="557"/>
    </row>
    <row r="18" spans="1:59" x14ac:dyDescent="0.25">
      <c r="D18" s="557"/>
      <c r="E18" s="557"/>
      <c r="F18" s="557"/>
    </row>
    <row r="20" spans="1:59" ht="14.7" customHeight="1" x14ac:dyDescent="0.25"/>
    <row r="21" spans="1:59" ht="14.7" customHeight="1" x14ac:dyDescent="0.25"/>
    <row r="22" spans="1:59" ht="14.7" customHeight="1" x14ac:dyDescent="0.25"/>
    <row r="23" spans="1:59" ht="14.7" customHeight="1" x14ac:dyDescent="0.25"/>
    <row r="24" spans="1:59" ht="14.7" customHeight="1" x14ac:dyDescent="0.25"/>
    <row r="25" spans="1:59" ht="14.7" customHeight="1" x14ac:dyDescent="0.25"/>
    <row r="26" spans="1:59" ht="14.7" customHeight="1" x14ac:dyDescent="0.25"/>
    <row r="27" spans="1:59" s="112" customFormat="1" ht="16.95" customHeight="1" x14ac:dyDescent="0.3">
      <c r="A27" s="112" t="s">
        <v>89</v>
      </c>
    </row>
    <row r="28" spans="1:59" s="4" customFormat="1" ht="12.6" customHeight="1" x14ac:dyDescent="0.25">
      <c r="T28" s="26"/>
      <c r="U28" s="42"/>
      <c r="V28" s="43"/>
      <c r="W28" s="43"/>
      <c r="X28" s="43"/>
      <c r="Y28" s="43"/>
      <c r="Z28" s="43"/>
      <c r="AA28" s="43"/>
      <c r="AB28" s="43"/>
      <c r="AC28" s="43"/>
      <c r="AD28" s="43"/>
      <c r="AE28" s="43"/>
      <c r="AF28" s="43"/>
      <c r="AG28" s="43"/>
      <c r="AH28" s="43"/>
      <c r="AI28" s="43"/>
      <c r="AJ28" s="43"/>
      <c r="AK28" s="43"/>
    </row>
    <row r="29" spans="1:59" s="4" customFormat="1" ht="12.6" customHeight="1" x14ac:dyDescent="0.3">
      <c r="A29" s="247"/>
      <c r="B29" s="557"/>
      <c r="T29" s="26"/>
      <c r="U29" s="42"/>
      <c r="V29" s="43"/>
      <c r="W29" s="43"/>
      <c r="X29" s="43"/>
      <c r="Y29" s="43"/>
      <c r="Z29" s="43"/>
      <c r="AA29" s="43"/>
      <c r="AB29" s="43"/>
      <c r="AC29" s="43"/>
      <c r="AD29" s="43"/>
      <c r="AE29" s="43"/>
      <c r="AF29" s="43"/>
      <c r="AG29" s="43"/>
      <c r="AH29" s="43"/>
      <c r="AI29" s="43"/>
      <c r="AJ29" s="43"/>
      <c r="AK29" s="43"/>
    </row>
    <row r="30" spans="1:59" s="47" customFormat="1" ht="26.4" customHeight="1" x14ac:dyDescent="0.25">
      <c r="A30" s="453"/>
      <c r="B30" s="2"/>
      <c r="C30" s="111"/>
      <c r="D30" s="45"/>
      <c r="E30" s="45"/>
      <c r="F30" s="2"/>
      <c r="G30" s="45"/>
      <c r="H30" s="45"/>
      <c r="I30" s="45"/>
      <c r="J30" s="45"/>
      <c r="K30" s="45"/>
      <c r="L30" s="45"/>
      <c r="M30" s="45"/>
      <c r="N30" s="45"/>
      <c r="O30" s="45"/>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row>
    <row r="31" spans="1:59" s="47" customFormat="1" ht="14.4" customHeight="1" x14ac:dyDescent="0.25">
      <c r="A31" s="269"/>
      <c r="B31" s="270" t="s">
        <v>90</v>
      </c>
      <c r="C31" s="271" t="s">
        <v>91</v>
      </c>
      <c r="D31" s="272" t="s">
        <v>92</v>
      </c>
      <c r="E31" s="273" t="s">
        <v>93</v>
      </c>
      <c r="F31" s="184"/>
      <c r="G31" s="184"/>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row>
    <row r="32" spans="1:59" s="47" customFormat="1" ht="127.2" customHeight="1" x14ac:dyDescent="0.25">
      <c r="A32" s="558" t="s">
        <v>94</v>
      </c>
      <c r="B32" s="559" t="s">
        <v>95</v>
      </c>
      <c r="C32" s="559" t="s">
        <v>90</v>
      </c>
      <c r="D32" s="559" t="s">
        <v>90</v>
      </c>
      <c r="E32" s="559"/>
      <c r="F32" s="185"/>
      <c r="G32" s="4"/>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row>
    <row r="33" spans="1:59" s="47" customFormat="1" ht="19.2" customHeight="1" x14ac:dyDescent="0.25">
      <c r="A33" s="560" t="s">
        <v>96</v>
      </c>
      <c r="B33" s="561" t="s">
        <v>97</v>
      </c>
      <c r="C33" s="282">
        <v>2500</v>
      </c>
      <c r="D33" s="282">
        <v>2500</v>
      </c>
      <c r="E33" s="282">
        <v>1998</v>
      </c>
      <c r="F33" s="186"/>
      <c r="G33" s="187"/>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row>
    <row r="34" spans="1:59" s="47" customFormat="1" ht="18" customHeight="1" x14ac:dyDescent="0.25">
      <c r="A34" s="562" t="s">
        <v>98</v>
      </c>
      <c r="B34" s="563" t="s">
        <v>99</v>
      </c>
      <c r="C34" s="283">
        <v>10</v>
      </c>
      <c r="D34" s="564">
        <v>10</v>
      </c>
      <c r="E34" s="283">
        <v>10</v>
      </c>
      <c r="F34" s="188"/>
      <c r="G34" s="189"/>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row>
    <row r="35" spans="1:59" s="49" customFormat="1" ht="26.4" x14ac:dyDescent="0.25">
      <c r="A35" s="565" t="s">
        <v>100</v>
      </c>
      <c r="B35" s="566" t="s">
        <v>90</v>
      </c>
      <c r="C35" s="284" t="s">
        <v>101</v>
      </c>
      <c r="D35" s="284" t="s">
        <v>102</v>
      </c>
      <c r="E35" s="284" t="s">
        <v>103</v>
      </c>
      <c r="F35" s="190"/>
      <c r="G35" s="191"/>
      <c r="H35" s="77"/>
      <c r="I35" s="77"/>
      <c r="J35" s="77"/>
      <c r="K35" s="77"/>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c r="AK35" s="77"/>
      <c r="AL35" s="77"/>
      <c r="AM35" s="77"/>
      <c r="AN35" s="77"/>
      <c r="AO35" s="77"/>
      <c r="AP35" s="77"/>
      <c r="AQ35" s="77"/>
      <c r="AR35" s="77"/>
      <c r="AS35" s="77"/>
      <c r="AT35" s="77"/>
      <c r="AU35" s="77"/>
      <c r="AV35" s="77"/>
      <c r="AW35" s="77"/>
      <c r="AX35" s="77"/>
      <c r="AY35" s="77"/>
      <c r="AZ35" s="77"/>
      <c r="BA35" s="77"/>
      <c r="BB35" s="77"/>
      <c r="BC35" s="77"/>
      <c r="BD35" s="77"/>
      <c r="BE35" s="77"/>
      <c r="BF35" s="77"/>
      <c r="BG35" s="77"/>
    </row>
    <row r="36" spans="1:59" ht="14.25" customHeight="1" x14ac:dyDescent="0.25">
      <c r="A36" s="635" t="s">
        <v>104</v>
      </c>
      <c r="B36" s="635"/>
      <c r="C36" s="635"/>
      <c r="D36" s="635"/>
      <c r="E36" s="635"/>
    </row>
    <row r="37" spans="1:59" x14ac:dyDescent="0.25">
      <c r="A37" s="636" t="s">
        <v>105</v>
      </c>
      <c r="B37" s="274" t="s">
        <v>106</v>
      </c>
      <c r="C37" s="567">
        <v>7.0000000000000007E-2</v>
      </c>
      <c r="D37" s="567">
        <v>3.3000000000000002E-2</v>
      </c>
      <c r="E37" s="567">
        <v>3.3000000000000002E-2</v>
      </c>
      <c r="F37" s="192"/>
      <c r="G37" s="192"/>
      <c r="H37" s="646"/>
      <c r="I37" s="646"/>
      <c r="J37" s="646"/>
      <c r="K37" s="646"/>
      <c r="L37" s="646"/>
      <c r="M37" s="646"/>
      <c r="N37" s="646"/>
      <c r="O37" s="646"/>
      <c r="P37" s="646"/>
      <c r="Q37" s="646"/>
      <c r="R37" s="646"/>
      <c r="S37" s="646"/>
      <c r="T37" s="646"/>
      <c r="U37" s="646"/>
      <c r="V37" s="646"/>
      <c r="W37" s="646"/>
      <c r="X37" s="646"/>
      <c r="Y37" s="646"/>
      <c r="Z37" s="646"/>
      <c r="AA37" s="646"/>
      <c r="AB37" s="646"/>
      <c r="AC37" s="646"/>
      <c r="AD37" s="646"/>
      <c r="AE37" s="646"/>
      <c r="AF37" s="646"/>
      <c r="AG37" s="646"/>
      <c r="AH37" s="646"/>
      <c r="AI37" s="646"/>
      <c r="AJ37" s="646"/>
      <c r="AK37" s="646"/>
      <c r="AL37" s="646"/>
      <c r="AM37" s="646"/>
      <c r="AN37" s="646"/>
      <c r="AO37" s="646"/>
      <c r="AP37" s="646"/>
      <c r="AQ37" s="646"/>
      <c r="AR37" s="646"/>
      <c r="AS37" s="646"/>
      <c r="AT37" s="646"/>
      <c r="AU37" s="646"/>
      <c r="AV37" s="646"/>
      <c r="AW37" s="646"/>
      <c r="AX37" s="646"/>
      <c r="AY37" s="646"/>
      <c r="AZ37" s="646"/>
      <c r="BA37" s="646"/>
      <c r="BB37" s="646"/>
      <c r="BC37" s="646"/>
      <c r="BD37" s="646"/>
      <c r="BE37" s="646"/>
      <c r="BF37" s="646"/>
      <c r="BG37" s="646"/>
    </row>
    <row r="38" spans="1:59" ht="14.25" customHeight="1" x14ac:dyDescent="0.25">
      <c r="A38" s="636"/>
      <c r="B38" s="274" t="s">
        <v>107</v>
      </c>
      <c r="C38" s="567" t="s">
        <v>108</v>
      </c>
      <c r="D38" s="567">
        <v>2.5000000000000001E-3</v>
      </c>
      <c r="E38" s="567">
        <v>2.5000000000000001E-3</v>
      </c>
      <c r="F38" s="192"/>
      <c r="G38" s="192"/>
      <c r="H38" s="646"/>
      <c r="I38" s="646"/>
      <c r="J38" s="646"/>
      <c r="K38" s="646"/>
      <c r="L38" s="646"/>
      <c r="M38" s="646"/>
      <c r="N38" s="646"/>
      <c r="O38" s="646"/>
      <c r="P38" s="646"/>
      <c r="Q38" s="646"/>
      <c r="R38" s="646"/>
      <c r="S38" s="646"/>
      <c r="T38" s="646"/>
      <c r="U38" s="646"/>
      <c r="V38" s="646"/>
      <c r="W38" s="646"/>
      <c r="X38" s="646"/>
      <c r="Y38" s="646"/>
      <c r="Z38" s="646"/>
      <c r="AA38" s="646"/>
      <c r="AB38" s="646"/>
      <c r="AC38" s="646"/>
      <c r="AD38" s="646"/>
      <c r="AE38" s="646"/>
      <c r="AF38" s="646"/>
      <c r="AG38" s="646"/>
      <c r="AH38" s="646"/>
      <c r="AI38" s="646"/>
      <c r="AJ38" s="646"/>
      <c r="AK38" s="646"/>
      <c r="AL38" s="646"/>
      <c r="AM38" s="646"/>
      <c r="AN38" s="646"/>
      <c r="AO38" s="646"/>
      <c r="AP38" s="646"/>
      <c r="AQ38" s="646"/>
      <c r="AR38" s="646"/>
      <c r="AS38" s="646"/>
      <c r="AT38" s="646"/>
      <c r="AU38" s="646"/>
      <c r="AV38" s="646"/>
      <c r="AW38" s="646"/>
      <c r="AX38" s="646"/>
      <c r="AY38" s="646"/>
      <c r="AZ38" s="646"/>
      <c r="BA38" s="646"/>
      <c r="BB38" s="646"/>
      <c r="BC38" s="646"/>
      <c r="BD38" s="646"/>
      <c r="BE38" s="646"/>
      <c r="BF38" s="646"/>
      <c r="BG38" s="646"/>
    </row>
    <row r="39" spans="1:59" ht="14.25" customHeight="1" x14ac:dyDescent="0.25">
      <c r="A39" s="637"/>
      <c r="B39" s="274" t="s">
        <v>109</v>
      </c>
      <c r="C39" s="568" t="s">
        <v>110</v>
      </c>
      <c r="D39" s="568" t="s">
        <v>110</v>
      </c>
      <c r="E39" s="567" t="s">
        <v>111</v>
      </c>
      <c r="F39" s="192"/>
      <c r="G39" s="192"/>
      <c r="H39" s="646"/>
      <c r="I39" s="646"/>
      <c r="J39" s="646"/>
      <c r="K39" s="646"/>
      <c r="L39" s="646"/>
      <c r="M39" s="646"/>
      <c r="N39" s="646"/>
      <c r="O39" s="646"/>
      <c r="P39" s="646"/>
      <c r="Q39" s="646"/>
      <c r="R39" s="646"/>
      <c r="S39" s="646"/>
      <c r="T39" s="646"/>
      <c r="U39" s="646"/>
      <c r="V39" s="646"/>
      <c r="W39" s="646"/>
      <c r="X39" s="646"/>
      <c r="Y39" s="646"/>
      <c r="Z39" s="646"/>
      <c r="AA39" s="646"/>
      <c r="AB39" s="646"/>
      <c r="AC39" s="646"/>
      <c r="AD39" s="646"/>
      <c r="AE39" s="646"/>
      <c r="AF39" s="646"/>
      <c r="AG39" s="646"/>
      <c r="AH39" s="646"/>
      <c r="AI39" s="646"/>
      <c r="AJ39" s="646"/>
      <c r="AK39" s="646"/>
      <c r="AL39" s="646"/>
      <c r="AM39" s="646"/>
      <c r="AN39" s="646"/>
      <c r="AO39" s="646"/>
      <c r="AP39" s="646"/>
      <c r="AQ39" s="646"/>
      <c r="AR39" s="646"/>
      <c r="AS39" s="646"/>
      <c r="AT39" s="646"/>
      <c r="AU39" s="646"/>
      <c r="AV39" s="646"/>
      <c r="AW39" s="646"/>
      <c r="AX39" s="646"/>
      <c r="AY39" s="646"/>
      <c r="AZ39" s="646"/>
      <c r="BA39" s="646"/>
      <c r="BB39" s="646"/>
      <c r="BC39" s="646"/>
      <c r="BD39" s="646"/>
      <c r="BE39" s="646"/>
      <c r="BF39" s="646"/>
      <c r="BG39" s="646"/>
    </row>
    <row r="40" spans="1:59" x14ac:dyDescent="0.25">
      <c r="A40" s="638" t="s">
        <v>112</v>
      </c>
      <c r="B40" s="569" t="s">
        <v>106</v>
      </c>
      <c r="C40" s="570">
        <v>0.38</v>
      </c>
      <c r="D40" s="570">
        <v>0.45</v>
      </c>
      <c r="E40" s="570">
        <v>0.45</v>
      </c>
      <c r="F40" s="192"/>
      <c r="G40" s="192"/>
      <c r="H40" s="646"/>
      <c r="I40" s="646"/>
      <c r="J40" s="646"/>
      <c r="K40" s="646"/>
      <c r="L40" s="646"/>
      <c r="M40" s="646"/>
      <c r="N40" s="646"/>
      <c r="O40" s="646"/>
      <c r="P40" s="646"/>
      <c r="Q40" s="646"/>
      <c r="R40" s="646"/>
      <c r="S40" s="646"/>
      <c r="T40" s="646"/>
      <c r="U40" s="646"/>
      <c r="V40" s="646"/>
      <c r="W40" s="646"/>
      <c r="X40" s="646"/>
      <c r="Y40" s="646"/>
      <c r="Z40" s="646"/>
      <c r="AA40" s="646"/>
      <c r="AB40" s="646"/>
      <c r="AC40" s="646"/>
      <c r="AD40" s="646"/>
      <c r="AE40" s="646"/>
      <c r="AF40" s="646"/>
      <c r="AG40" s="646"/>
      <c r="AH40" s="646"/>
      <c r="AI40" s="646"/>
      <c r="AJ40" s="646"/>
      <c r="AK40" s="646"/>
      <c r="AL40" s="646"/>
      <c r="AM40" s="646"/>
      <c r="AN40" s="646"/>
      <c r="AO40" s="646"/>
      <c r="AP40" s="646"/>
      <c r="AQ40" s="646"/>
      <c r="AR40" s="646"/>
      <c r="AS40" s="646"/>
      <c r="AT40" s="646"/>
      <c r="AU40" s="646"/>
      <c r="AV40" s="646"/>
      <c r="AW40" s="646"/>
      <c r="AX40" s="646"/>
      <c r="AY40" s="646"/>
      <c r="AZ40" s="646"/>
      <c r="BA40" s="646"/>
      <c r="BB40" s="646"/>
      <c r="BC40" s="646"/>
      <c r="BD40" s="646"/>
      <c r="BE40" s="646"/>
      <c r="BF40" s="646"/>
      <c r="BG40" s="646"/>
    </row>
    <row r="41" spans="1:59" ht="14.25" customHeight="1" x14ac:dyDescent="0.25">
      <c r="A41" s="638"/>
      <c r="B41" s="569" t="s">
        <v>107</v>
      </c>
      <c r="C41" s="570">
        <v>0.89</v>
      </c>
      <c r="D41" s="570">
        <v>0.95</v>
      </c>
      <c r="E41" s="570">
        <v>0.95</v>
      </c>
      <c r="F41" s="192"/>
      <c r="G41" s="192"/>
      <c r="H41" s="646"/>
      <c r="I41" s="646"/>
      <c r="J41" s="646"/>
      <c r="K41" s="646"/>
      <c r="L41" s="646"/>
      <c r="M41" s="646"/>
      <c r="N41" s="646"/>
      <c r="O41" s="646"/>
      <c r="P41" s="646"/>
      <c r="Q41" s="646"/>
      <c r="R41" s="646"/>
      <c r="S41" s="646"/>
      <c r="T41" s="646"/>
      <c r="U41" s="646"/>
      <c r="V41" s="646"/>
      <c r="W41" s="646"/>
      <c r="X41" s="646"/>
      <c r="Y41" s="646"/>
      <c r="Z41" s="646"/>
      <c r="AA41" s="646"/>
      <c r="AB41" s="646"/>
      <c r="AC41" s="646"/>
      <c r="AD41" s="646"/>
      <c r="AE41" s="646"/>
      <c r="AF41" s="646"/>
      <c r="AG41" s="646"/>
      <c r="AH41" s="646"/>
      <c r="AI41" s="646"/>
      <c r="AJ41" s="646"/>
      <c r="AK41" s="646"/>
      <c r="AL41" s="646"/>
      <c r="AM41" s="646"/>
      <c r="AN41" s="646"/>
      <c r="AO41" s="646"/>
      <c r="AP41" s="646"/>
      <c r="AQ41" s="646"/>
      <c r="AR41" s="646"/>
      <c r="AS41" s="646"/>
      <c r="AT41" s="646"/>
      <c r="AU41" s="646"/>
      <c r="AV41" s="646"/>
      <c r="AW41" s="646"/>
      <c r="AX41" s="646"/>
      <c r="AY41" s="646"/>
      <c r="AZ41" s="646"/>
      <c r="BA41" s="646"/>
      <c r="BB41" s="646"/>
      <c r="BC41" s="646"/>
      <c r="BD41" s="646"/>
      <c r="BE41" s="646"/>
      <c r="BF41" s="646"/>
      <c r="BG41" s="646"/>
    </row>
    <row r="42" spans="1:59" ht="14.25" customHeight="1" x14ac:dyDescent="0.25">
      <c r="A42" s="639"/>
      <c r="B42" s="569" t="s">
        <v>109</v>
      </c>
      <c r="C42" s="570" t="s">
        <v>90</v>
      </c>
      <c r="D42" s="570" t="s">
        <v>90</v>
      </c>
      <c r="E42" s="570" t="s">
        <v>113</v>
      </c>
      <c r="F42" s="192"/>
      <c r="G42" s="192"/>
      <c r="H42" s="646"/>
      <c r="I42" s="646"/>
      <c r="J42" s="646"/>
      <c r="K42" s="646"/>
      <c r="L42" s="646"/>
      <c r="M42" s="646"/>
      <c r="N42" s="646"/>
      <c r="O42" s="646"/>
      <c r="P42" s="646"/>
      <c r="Q42" s="646"/>
      <c r="R42" s="646"/>
      <c r="S42" s="646"/>
      <c r="T42" s="646"/>
      <c r="U42" s="646"/>
      <c r="V42" s="646"/>
      <c r="W42" s="646"/>
      <c r="X42" s="646"/>
      <c r="Y42" s="646"/>
      <c r="Z42" s="646"/>
      <c r="AA42" s="646"/>
      <c r="AB42" s="646"/>
      <c r="AC42" s="646"/>
      <c r="AD42" s="646"/>
      <c r="AE42" s="646"/>
      <c r="AF42" s="646"/>
      <c r="AG42" s="646"/>
      <c r="AH42" s="646"/>
      <c r="AI42" s="646"/>
      <c r="AJ42" s="646"/>
      <c r="AK42" s="646"/>
      <c r="AL42" s="646"/>
      <c r="AM42" s="646"/>
      <c r="AN42" s="646"/>
      <c r="AO42" s="646"/>
      <c r="AP42" s="646"/>
      <c r="AQ42" s="646"/>
      <c r="AR42" s="646"/>
      <c r="AS42" s="646"/>
      <c r="AT42" s="646"/>
      <c r="AU42" s="646"/>
      <c r="AV42" s="646"/>
      <c r="AW42" s="646"/>
      <c r="AX42" s="646"/>
      <c r="AY42" s="646"/>
      <c r="AZ42" s="646"/>
      <c r="BA42" s="646"/>
      <c r="BB42" s="646"/>
      <c r="BC42" s="646"/>
      <c r="BD42" s="646"/>
      <c r="BE42" s="646"/>
      <c r="BF42" s="646"/>
      <c r="BG42" s="646"/>
    </row>
    <row r="43" spans="1:59" x14ac:dyDescent="0.25">
      <c r="A43" s="572" t="s">
        <v>114</v>
      </c>
      <c r="B43" s="573" t="s">
        <v>95</v>
      </c>
      <c r="C43" s="574" t="s">
        <v>115</v>
      </c>
      <c r="D43" s="575" t="s">
        <v>110</v>
      </c>
      <c r="E43" s="576" t="s">
        <v>110</v>
      </c>
      <c r="F43" s="192"/>
      <c r="G43" s="192"/>
      <c r="H43" s="646"/>
      <c r="I43" s="646"/>
      <c r="J43" s="646"/>
      <c r="K43" s="646"/>
      <c r="L43" s="646"/>
      <c r="M43" s="646"/>
      <c r="N43" s="646"/>
      <c r="O43" s="646"/>
      <c r="P43" s="646"/>
      <c r="Q43" s="646"/>
      <c r="R43" s="646"/>
      <c r="S43" s="646"/>
      <c r="T43" s="646"/>
      <c r="U43" s="646"/>
      <c r="V43" s="646"/>
      <c r="W43" s="646"/>
      <c r="X43" s="646"/>
      <c r="Y43" s="646"/>
      <c r="Z43" s="646"/>
      <c r="AA43" s="646"/>
      <c r="AB43" s="646"/>
      <c r="AC43" s="646"/>
      <c r="AD43" s="646"/>
      <c r="AE43" s="646"/>
      <c r="AF43" s="646"/>
      <c r="AG43" s="646"/>
      <c r="AH43" s="646"/>
      <c r="AI43" s="646"/>
      <c r="AJ43" s="646"/>
      <c r="AK43" s="646"/>
      <c r="AL43" s="646"/>
      <c r="AM43" s="646"/>
      <c r="AN43" s="646"/>
      <c r="AO43" s="646"/>
      <c r="AP43" s="646"/>
      <c r="AQ43" s="646"/>
      <c r="AR43" s="646"/>
      <c r="AS43" s="646"/>
      <c r="AT43" s="646"/>
      <c r="AU43" s="646"/>
      <c r="AV43" s="646"/>
      <c r="AW43" s="646"/>
      <c r="AX43" s="646"/>
      <c r="AY43" s="646"/>
      <c r="AZ43" s="646"/>
      <c r="BA43" s="646"/>
      <c r="BB43" s="646"/>
      <c r="BC43" s="646"/>
      <c r="BD43" s="646"/>
      <c r="BE43" s="646"/>
      <c r="BF43" s="646"/>
      <c r="BG43" s="646"/>
    </row>
    <row r="44" spans="1:59" x14ac:dyDescent="0.25">
      <c r="A44" s="577" t="s">
        <v>116</v>
      </c>
      <c r="B44" s="578" t="s">
        <v>107</v>
      </c>
      <c r="C44" s="281" t="s">
        <v>117</v>
      </c>
      <c r="D44" s="281">
        <v>32.4</v>
      </c>
      <c r="E44" s="281">
        <v>17.5</v>
      </c>
      <c r="F44" s="192"/>
      <c r="G44" s="192"/>
      <c r="H44" s="646"/>
      <c r="I44" s="646"/>
      <c r="J44" s="646"/>
      <c r="K44" s="646"/>
      <c r="L44" s="646"/>
      <c r="M44" s="646"/>
      <c r="N44" s="646"/>
      <c r="O44" s="646"/>
      <c r="P44" s="646"/>
      <c r="Q44" s="646"/>
      <c r="R44" s="646"/>
      <c r="S44" s="646"/>
      <c r="T44" s="646"/>
      <c r="U44" s="646"/>
      <c r="V44" s="646"/>
      <c r="W44" s="646"/>
      <c r="X44" s="646"/>
      <c r="Y44" s="646"/>
      <c r="Z44" s="646"/>
      <c r="AA44" s="646"/>
      <c r="AB44" s="646"/>
      <c r="AC44" s="646"/>
      <c r="AD44" s="646"/>
      <c r="AE44" s="646"/>
      <c r="AF44" s="646"/>
      <c r="AG44" s="646"/>
      <c r="AH44" s="646"/>
      <c r="AI44" s="646"/>
      <c r="AJ44" s="646"/>
      <c r="AK44" s="646"/>
      <c r="AL44" s="646"/>
      <c r="AM44" s="646"/>
      <c r="AN44" s="646"/>
      <c r="AO44" s="646"/>
      <c r="AP44" s="646"/>
      <c r="AQ44" s="646"/>
      <c r="AR44" s="646"/>
      <c r="AS44" s="646"/>
      <c r="AT44" s="646"/>
      <c r="AU44" s="646"/>
      <c r="AV44" s="646"/>
      <c r="AW44" s="646"/>
      <c r="AX44" s="646"/>
      <c r="AY44" s="646"/>
      <c r="AZ44" s="646"/>
      <c r="BA44" s="646"/>
      <c r="BB44" s="646"/>
      <c r="BC44" s="646"/>
      <c r="BD44" s="646"/>
      <c r="BE44" s="646"/>
      <c r="BF44" s="646"/>
      <c r="BG44" s="646"/>
    </row>
    <row r="45" spans="1:59" ht="14.25" customHeight="1" x14ac:dyDescent="0.25">
      <c r="A45" s="636" t="s">
        <v>118</v>
      </c>
      <c r="B45" s="274" t="s">
        <v>106</v>
      </c>
      <c r="C45" s="274" t="s">
        <v>119</v>
      </c>
      <c r="D45" s="274" t="s">
        <v>120</v>
      </c>
      <c r="E45" s="275" t="s">
        <v>121</v>
      </c>
      <c r="F45" s="192"/>
      <c r="G45" s="192"/>
      <c r="H45" s="557"/>
      <c r="I45" s="557"/>
      <c r="J45" s="557"/>
      <c r="K45" s="557"/>
      <c r="L45" s="557"/>
      <c r="M45" s="557"/>
      <c r="N45" s="557"/>
      <c r="O45" s="557"/>
      <c r="P45" s="557"/>
      <c r="Q45" s="557"/>
      <c r="R45" s="557"/>
      <c r="S45" s="557"/>
      <c r="T45" s="557"/>
      <c r="U45" s="557"/>
      <c r="V45" s="557"/>
      <c r="W45" s="557"/>
      <c r="X45" s="557"/>
      <c r="Y45" s="557"/>
      <c r="Z45" s="557"/>
      <c r="AA45" s="557"/>
      <c r="AB45" s="557"/>
      <c r="AC45" s="557"/>
      <c r="AD45" s="557"/>
      <c r="AE45" s="557"/>
      <c r="AF45" s="557"/>
      <c r="AG45" s="557"/>
      <c r="AH45" s="557"/>
      <c r="AI45" s="557"/>
      <c r="AJ45" s="557"/>
      <c r="AK45" s="557"/>
      <c r="AL45" s="557"/>
      <c r="AM45" s="557"/>
      <c r="AN45" s="557"/>
      <c r="AO45" s="557"/>
      <c r="AP45" s="557"/>
      <c r="AQ45" s="557"/>
      <c r="AR45" s="557"/>
      <c r="AS45" s="557"/>
      <c r="AT45" s="557"/>
      <c r="AU45" s="557"/>
      <c r="AV45" s="557"/>
      <c r="AW45" s="557"/>
      <c r="AX45" s="557"/>
      <c r="AY45" s="557"/>
      <c r="AZ45" s="557"/>
      <c r="BA45" s="557"/>
      <c r="BB45" s="557"/>
      <c r="BC45" s="557"/>
      <c r="BD45" s="557"/>
      <c r="BE45" s="557"/>
      <c r="BF45" s="557"/>
      <c r="BG45" s="557"/>
    </row>
    <row r="46" spans="1:59" ht="31.95" customHeight="1" x14ac:dyDescent="0.25">
      <c r="A46" s="636"/>
      <c r="B46" s="274" t="s">
        <v>107</v>
      </c>
      <c r="C46" s="275" t="s">
        <v>122</v>
      </c>
      <c r="D46" s="274" t="s">
        <v>123</v>
      </c>
      <c r="E46" s="275" t="s">
        <v>124</v>
      </c>
      <c r="F46" s="192"/>
      <c r="G46" s="192"/>
      <c r="H46" s="557"/>
      <c r="I46" s="557"/>
      <c r="J46" s="557"/>
      <c r="K46" s="557"/>
      <c r="L46" s="557"/>
      <c r="M46" s="557"/>
      <c r="N46" s="557"/>
      <c r="O46" s="557"/>
      <c r="P46" s="557"/>
      <c r="Q46" s="557"/>
      <c r="R46" s="557"/>
      <c r="S46" s="557"/>
      <c r="T46" s="557"/>
      <c r="U46" s="557"/>
      <c r="V46" s="557"/>
      <c r="W46" s="557"/>
      <c r="X46" s="557"/>
      <c r="Y46" s="557"/>
      <c r="Z46" s="557"/>
      <c r="AA46" s="557"/>
      <c r="AB46" s="557"/>
      <c r="AC46" s="557"/>
      <c r="AD46" s="557"/>
      <c r="AE46" s="557"/>
      <c r="AF46" s="557"/>
      <c r="AG46" s="557"/>
      <c r="AH46" s="557"/>
      <c r="AI46" s="557"/>
      <c r="AJ46" s="557"/>
      <c r="AK46" s="557"/>
      <c r="AL46" s="557"/>
      <c r="AM46" s="557"/>
      <c r="AN46" s="557"/>
      <c r="AO46" s="557"/>
      <c r="AP46" s="557"/>
      <c r="AQ46" s="557"/>
      <c r="AR46" s="557"/>
      <c r="AS46" s="557"/>
      <c r="AT46" s="557"/>
      <c r="AU46" s="557"/>
      <c r="AV46" s="557"/>
      <c r="AW46" s="557"/>
      <c r="AX46" s="557"/>
      <c r="AY46" s="557"/>
      <c r="AZ46" s="557"/>
      <c r="BA46" s="557"/>
      <c r="BB46" s="557"/>
      <c r="BC46" s="557"/>
      <c r="BD46" s="557"/>
      <c r="BE46" s="557"/>
      <c r="BF46" s="557"/>
      <c r="BG46" s="557"/>
    </row>
    <row r="47" spans="1:59" ht="23.25" customHeight="1" x14ac:dyDescent="0.25">
      <c r="A47" s="637"/>
      <c r="B47" s="274" t="s">
        <v>109</v>
      </c>
      <c r="C47" s="579" t="s">
        <v>110</v>
      </c>
      <c r="D47" s="579" t="s">
        <v>110</v>
      </c>
      <c r="E47" s="274" t="s">
        <v>125</v>
      </c>
      <c r="F47" s="150"/>
      <c r="G47" s="150"/>
      <c r="H47" s="646"/>
      <c r="I47" s="646"/>
      <c r="J47" s="646"/>
      <c r="K47" s="646"/>
      <c r="L47" s="646"/>
      <c r="M47" s="646"/>
      <c r="N47" s="646"/>
      <c r="O47" s="646"/>
      <c r="P47" s="646"/>
      <c r="Q47" s="646"/>
      <c r="R47" s="646"/>
      <c r="S47" s="646"/>
      <c r="T47" s="646"/>
      <c r="U47" s="646"/>
      <c r="V47" s="646"/>
      <c r="W47" s="646"/>
      <c r="X47" s="646"/>
      <c r="Y47" s="646"/>
      <c r="Z47" s="646"/>
      <c r="AA47" s="646"/>
      <c r="AB47" s="646"/>
      <c r="AC47" s="646"/>
      <c r="AD47" s="646"/>
      <c r="AE47" s="646"/>
      <c r="AF47" s="646"/>
      <c r="AG47" s="646"/>
      <c r="AH47" s="646"/>
      <c r="AI47" s="646"/>
      <c r="AJ47" s="646"/>
      <c r="AK47" s="646"/>
      <c r="AL47" s="646"/>
      <c r="AM47" s="646"/>
      <c r="AN47" s="646"/>
      <c r="AO47" s="646"/>
      <c r="AP47" s="646"/>
      <c r="AQ47" s="646"/>
      <c r="AR47" s="646"/>
      <c r="AS47" s="646"/>
      <c r="AT47" s="646"/>
      <c r="AU47" s="646"/>
      <c r="AV47" s="646"/>
      <c r="AW47" s="646"/>
      <c r="AX47" s="646"/>
      <c r="AY47" s="646"/>
      <c r="AZ47" s="646"/>
      <c r="BA47" s="646"/>
      <c r="BB47" s="646"/>
      <c r="BC47" s="646"/>
      <c r="BD47" s="646"/>
      <c r="BE47" s="646"/>
      <c r="BF47" s="646"/>
      <c r="BG47" s="646"/>
    </row>
    <row r="48" spans="1:59" ht="83.4" customHeight="1" x14ac:dyDescent="0.25">
      <c r="A48" s="571" t="s">
        <v>126</v>
      </c>
      <c r="B48" s="569" t="s">
        <v>107</v>
      </c>
      <c r="C48" s="580" t="s">
        <v>127</v>
      </c>
      <c r="D48" s="580" t="s">
        <v>128</v>
      </c>
      <c r="E48" s="580" t="s">
        <v>129</v>
      </c>
      <c r="F48" s="150"/>
      <c r="G48" s="150"/>
      <c r="H48" s="646"/>
      <c r="I48" s="646"/>
      <c r="J48" s="646"/>
      <c r="K48" s="646"/>
      <c r="L48" s="646"/>
      <c r="M48" s="646"/>
      <c r="N48" s="646"/>
      <c r="O48" s="646"/>
      <c r="P48" s="646"/>
      <c r="Q48" s="646"/>
      <c r="R48" s="646"/>
      <c r="S48" s="646"/>
      <c r="T48" s="646"/>
      <c r="U48" s="646"/>
      <c r="V48" s="646"/>
      <c r="W48" s="646"/>
      <c r="X48" s="646"/>
      <c r="Y48" s="646"/>
      <c r="Z48" s="646"/>
      <c r="AA48" s="646"/>
      <c r="AB48" s="646"/>
      <c r="AC48" s="646"/>
      <c r="AD48" s="646"/>
      <c r="AE48" s="646"/>
      <c r="AF48" s="646"/>
      <c r="AG48" s="646"/>
      <c r="AH48" s="646"/>
      <c r="AI48" s="646"/>
      <c r="AJ48" s="646"/>
      <c r="AK48" s="646"/>
      <c r="AL48" s="646"/>
      <c r="AM48" s="646"/>
      <c r="AN48" s="646"/>
      <c r="AO48" s="646"/>
      <c r="AP48" s="646"/>
      <c r="AQ48" s="646"/>
      <c r="AR48" s="646"/>
      <c r="AS48" s="646"/>
      <c r="AT48" s="646"/>
      <c r="AU48" s="646"/>
      <c r="AV48" s="646"/>
      <c r="AW48" s="646"/>
      <c r="AX48" s="646"/>
      <c r="AY48" s="646"/>
      <c r="AZ48" s="646"/>
      <c r="BA48" s="646"/>
      <c r="BB48" s="646"/>
      <c r="BC48" s="646"/>
      <c r="BD48" s="646"/>
      <c r="BE48" s="646"/>
      <c r="BF48" s="646"/>
      <c r="BG48" s="646"/>
    </row>
    <row r="49" spans="1:59" ht="19.2" customHeight="1" x14ac:dyDescent="0.25">
      <c r="A49" s="635" t="s">
        <v>130</v>
      </c>
      <c r="B49" s="635"/>
      <c r="C49" s="635"/>
      <c r="D49" s="635"/>
      <c r="E49" s="635"/>
      <c r="F49" s="150"/>
      <c r="G49" s="150"/>
      <c r="H49" s="646"/>
      <c r="I49" s="646"/>
      <c r="J49" s="646"/>
      <c r="K49" s="646"/>
      <c r="L49" s="646"/>
      <c r="M49" s="646"/>
      <c r="N49" s="646"/>
      <c r="O49" s="646"/>
      <c r="P49" s="646"/>
      <c r="Q49" s="646"/>
      <c r="R49" s="646"/>
      <c r="S49" s="646"/>
      <c r="T49" s="646"/>
      <c r="U49" s="646"/>
      <c r="V49" s="646"/>
      <c r="W49" s="646"/>
      <c r="X49" s="646"/>
      <c r="Y49" s="646"/>
      <c r="Z49" s="646"/>
      <c r="AA49" s="646"/>
      <c r="AB49" s="646"/>
      <c r="AC49" s="646"/>
      <c r="AD49" s="646"/>
      <c r="AE49" s="646"/>
      <c r="AF49" s="646"/>
      <c r="AG49" s="646"/>
      <c r="AH49" s="646"/>
      <c r="AI49" s="646"/>
      <c r="AJ49" s="646"/>
      <c r="AK49" s="646"/>
      <c r="AL49" s="646"/>
      <c r="AM49" s="646"/>
      <c r="AN49" s="646"/>
      <c r="AO49" s="646"/>
      <c r="AP49" s="646"/>
      <c r="AQ49" s="646"/>
      <c r="AR49" s="646"/>
      <c r="AS49" s="646"/>
      <c r="AT49" s="646"/>
      <c r="AU49" s="646"/>
      <c r="AV49" s="646"/>
      <c r="AW49" s="646"/>
      <c r="AX49" s="646"/>
      <c r="AY49" s="646"/>
      <c r="AZ49" s="646"/>
      <c r="BA49" s="646"/>
      <c r="BB49" s="646"/>
      <c r="BC49" s="646"/>
      <c r="BD49" s="646"/>
      <c r="BE49" s="646"/>
      <c r="BF49" s="646"/>
      <c r="BG49" s="646"/>
    </row>
    <row r="50" spans="1:59" ht="18.600000000000001" customHeight="1" x14ac:dyDescent="0.25">
      <c r="A50" s="581" t="s">
        <v>131</v>
      </c>
      <c r="B50" s="582" t="s">
        <v>132</v>
      </c>
      <c r="C50" s="276" t="s">
        <v>133</v>
      </c>
      <c r="D50" s="276" t="s">
        <v>134</v>
      </c>
      <c r="E50" s="276" t="s">
        <v>135</v>
      </c>
      <c r="F50" s="150"/>
      <c r="G50" s="150"/>
      <c r="H50" s="557"/>
      <c r="I50" s="557"/>
      <c r="J50" s="557"/>
      <c r="K50" s="557"/>
      <c r="L50" s="557"/>
      <c r="M50" s="557"/>
      <c r="N50" s="557"/>
      <c r="O50" s="557"/>
      <c r="P50" s="557"/>
      <c r="Q50" s="557"/>
      <c r="R50" s="557"/>
      <c r="S50" s="557"/>
      <c r="T50" s="557"/>
      <c r="U50" s="557"/>
      <c r="V50" s="557"/>
      <c r="W50" s="557"/>
      <c r="X50" s="557"/>
      <c r="Y50" s="557"/>
      <c r="Z50" s="557"/>
      <c r="AA50" s="557"/>
      <c r="AB50" s="557"/>
      <c r="AC50" s="557"/>
      <c r="AD50" s="557"/>
      <c r="AE50" s="557"/>
      <c r="AF50" s="557"/>
      <c r="AG50" s="557"/>
      <c r="AH50" s="557"/>
      <c r="AI50" s="557"/>
      <c r="AJ50" s="557"/>
      <c r="AK50" s="557"/>
      <c r="AL50" s="557"/>
      <c r="AM50" s="557"/>
      <c r="AN50" s="557"/>
      <c r="AO50" s="557"/>
      <c r="AP50" s="557"/>
      <c r="AQ50" s="557"/>
      <c r="AR50" s="557"/>
      <c r="AS50" s="557"/>
      <c r="AT50" s="557"/>
      <c r="AU50" s="557"/>
      <c r="AV50" s="557"/>
      <c r="AW50" s="557"/>
      <c r="AX50" s="557"/>
      <c r="AY50" s="557"/>
      <c r="AZ50" s="557"/>
      <c r="BA50" s="557"/>
      <c r="BB50" s="557"/>
      <c r="BC50" s="557"/>
      <c r="BD50" s="557"/>
      <c r="BE50" s="557"/>
      <c r="BF50" s="557"/>
      <c r="BG50" s="557"/>
    </row>
    <row r="51" spans="1:59" ht="29.25" customHeight="1" x14ac:dyDescent="0.25">
      <c r="A51" s="647" t="s">
        <v>136</v>
      </c>
      <c r="B51" s="280" t="s">
        <v>106</v>
      </c>
      <c r="C51" s="277" t="s">
        <v>137</v>
      </c>
      <c r="D51" s="277" t="s">
        <v>138</v>
      </c>
      <c r="E51" s="277" t="s">
        <v>139</v>
      </c>
      <c r="F51" s="150"/>
      <c r="G51" s="150"/>
      <c r="H51" s="557"/>
      <c r="I51" s="557"/>
      <c r="J51" s="557"/>
      <c r="K51" s="557"/>
      <c r="L51" s="557"/>
      <c r="M51" s="557"/>
      <c r="N51" s="557"/>
      <c r="O51" s="557"/>
      <c r="P51" s="557"/>
      <c r="Q51" s="557"/>
      <c r="R51" s="557"/>
      <c r="S51" s="557"/>
      <c r="T51" s="557"/>
      <c r="U51" s="557"/>
      <c r="V51" s="557"/>
      <c r="W51" s="557"/>
      <c r="X51" s="557"/>
      <c r="Y51" s="557"/>
      <c r="Z51" s="557"/>
      <c r="AA51" s="557"/>
      <c r="AB51" s="557"/>
      <c r="AC51" s="557"/>
      <c r="AD51" s="557"/>
      <c r="AE51" s="557"/>
      <c r="AF51" s="557"/>
      <c r="AG51" s="557"/>
      <c r="AH51" s="557"/>
      <c r="AI51" s="557"/>
      <c r="AJ51" s="557"/>
      <c r="AK51" s="557"/>
      <c r="AL51" s="557"/>
      <c r="AM51" s="557"/>
      <c r="AN51" s="557"/>
      <c r="AO51" s="557"/>
      <c r="AP51" s="557"/>
      <c r="AQ51" s="557"/>
      <c r="AR51" s="557"/>
      <c r="AS51" s="557"/>
      <c r="AT51" s="557"/>
      <c r="AU51" s="557"/>
      <c r="AV51" s="557"/>
      <c r="AW51" s="557"/>
      <c r="AX51" s="557"/>
      <c r="AY51" s="557"/>
      <c r="AZ51" s="557"/>
      <c r="BA51" s="557"/>
      <c r="BB51" s="557"/>
      <c r="BC51" s="557"/>
      <c r="BD51" s="557"/>
      <c r="BE51" s="557"/>
      <c r="BF51" s="557"/>
      <c r="BG51" s="557"/>
    </row>
    <row r="52" spans="1:59" ht="27" customHeight="1" x14ac:dyDescent="0.25">
      <c r="A52" s="647"/>
      <c r="B52" s="280" t="s">
        <v>107</v>
      </c>
      <c r="C52" s="277" t="s">
        <v>140</v>
      </c>
      <c r="D52" s="277" t="s">
        <v>141</v>
      </c>
      <c r="E52" s="277" t="s">
        <v>142</v>
      </c>
      <c r="F52" s="150"/>
      <c r="G52" s="150"/>
      <c r="H52" s="557"/>
      <c r="I52" s="557"/>
      <c r="J52" s="557"/>
      <c r="K52" s="557"/>
      <c r="L52" s="557"/>
      <c r="M52" s="557"/>
      <c r="N52" s="557"/>
      <c r="O52" s="557"/>
      <c r="P52" s="557"/>
      <c r="Q52" s="557"/>
      <c r="R52" s="557"/>
      <c r="S52" s="557"/>
      <c r="T52" s="557"/>
      <c r="U52" s="557"/>
      <c r="V52" s="557"/>
      <c r="W52" s="557"/>
      <c r="X52" s="557"/>
      <c r="Y52" s="557"/>
      <c r="Z52" s="557"/>
      <c r="AA52" s="557"/>
      <c r="AB52" s="557"/>
      <c r="AC52" s="557"/>
      <c r="AD52" s="557"/>
      <c r="AE52" s="557"/>
      <c r="AF52" s="557"/>
      <c r="AG52" s="557"/>
      <c r="AH52" s="557"/>
      <c r="AI52" s="557"/>
      <c r="AJ52" s="557"/>
      <c r="AK52" s="557"/>
      <c r="AL52" s="557"/>
      <c r="AM52" s="557"/>
      <c r="AN52" s="557"/>
      <c r="AO52" s="557"/>
      <c r="AP52" s="557"/>
      <c r="AQ52" s="557"/>
      <c r="AR52" s="557"/>
      <c r="AS52" s="557"/>
      <c r="AT52" s="557"/>
      <c r="AU52" s="557"/>
      <c r="AV52" s="557"/>
      <c r="AW52" s="557"/>
      <c r="AX52" s="557"/>
      <c r="AY52" s="557"/>
      <c r="AZ52" s="557"/>
      <c r="BA52" s="557"/>
      <c r="BB52" s="557"/>
      <c r="BC52" s="557"/>
      <c r="BD52" s="557"/>
      <c r="BE52" s="557"/>
      <c r="BF52" s="557"/>
      <c r="BG52" s="557"/>
    </row>
    <row r="53" spans="1:59" ht="36" customHeight="1" x14ac:dyDescent="0.25">
      <c r="A53" s="648"/>
      <c r="B53" s="280" t="s">
        <v>109</v>
      </c>
      <c r="C53" s="278" t="s">
        <v>110</v>
      </c>
      <c r="D53" s="278" t="s">
        <v>110</v>
      </c>
      <c r="E53" s="277" t="s">
        <v>143</v>
      </c>
      <c r="F53" s="150"/>
      <c r="G53" s="150"/>
      <c r="H53" s="557"/>
      <c r="I53" s="557"/>
      <c r="J53" s="557"/>
      <c r="K53" s="557"/>
      <c r="L53" s="557"/>
      <c r="M53" s="557"/>
      <c r="N53" s="557"/>
      <c r="O53" s="557"/>
      <c r="P53" s="557"/>
      <c r="Q53" s="557"/>
      <c r="R53" s="557"/>
      <c r="S53" s="557"/>
      <c r="T53" s="557"/>
      <c r="U53" s="557"/>
      <c r="V53" s="557"/>
      <c r="W53" s="557"/>
      <c r="X53" s="557"/>
      <c r="Y53" s="557"/>
      <c r="Z53" s="557"/>
      <c r="AA53" s="557"/>
      <c r="AB53" s="557"/>
      <c r="AC53" s="557"/>
      <c r="AD53" s="557"/>
      <c r="AE53" s="557"/>
      <c r="AF53" s="557"/>
      <c r="AG53" s="557"/>
      <c r="AH53" s="557"/>
      <c r="AI53" s="557"/>
      <c r="AJ53" s="557"/>
      <c r="AK53" s="557"/>
      <c r="AL53" s="557"/>
      <c r="AM53" s="557"/>
      <c r="AN53" s="557"/>
      <c r="AO53" s="557"/>
      <c r="AP53" s="557"/>
      <c r="AQ53" s="557"/>
      <c r="AR53" s="557"/>
      <c r="AS53" s="557"/>
      <c r="AT53" s="557"/>
      <c r="AU53" s="557"/>
      <c r="AV53" s="557"/>
      <c r="AW53" s="557"/>
      <c r="AX53" s="557"/>
      <c r="AY53" s="557"/>
      <c r="AZ53" s="557"/>
      <c r="BA53" s="557"/>
      <c r="BB53" s="557"/>
      <c r="BC53" s="557"/>
      <c r="BD53" s="557"/>
      <c r="BE53" s="557"/>
      <c r="BF53" s="557"/>
      <c r="BG53" s="557"/>
    </row>
    <row r="54" spans="1:59" x14ac:dyDescent="0.25">
      <c r="A54" s="640" t="s">
        <v>144</v>
      </c>
      <c r="B54" s="583" t="s">
        <v>106</v>
      </c>
      <c r="C54" s="276" t="s">
        <v>145</v>
      </c>
      <c r="D54" s="276" t="s">
        <v>90</v>
      </c>
      <c r="E54" s="279" t="s">
        <v>90</v>
      </c>
      <c r="F54" s="150"/>
      <c r="G54" s="557"/>
      <c r="H54" s="557"/>
      <c r="I54" s="557"/>
      <c r="J54" s="557"/>
      <c r="K54" s="557"/>
      <c r="L54" s="557"/>
      <c r="M54" s="557"/>
      <c r="N54" s="557"/>
      <c r="O54" s="557"/>
      <c r="P54" s="557"/>
      <c r="Q54" s="557"/>
      <c r="R54" s="557"/>
      <c r="S54" s="557"/>
      <c r="T54" s="557"/>
      <c r="U54" s="557"/>
      <c r="V54" s="557"/>
      <c r="W54" s="557"/>
      <c r="X54" s="557"/>
      <c r="Y54" s="557"/>
      <c r="Z54" s="557"/>
      <c r="AA54" s="557"/>
      <c r="AB54" s="557"/>
      <c r="AC54" s="557"/>
      <c r="AD54" s="557"/>
      <c r="AE54" s="557"/>
      <c r="AF54" s="557"/>
      <c r="AG54" s="557"/>
      <c r="AH54" s="557"/>
      <c r="AI54" s="557"/>
      <c r="AJ54" s="557"/>
      <c r="AK54" s="557"/>
      <c r="AL54" s="557"/>
      <c r="AM54" s="557"/>
      <c r="AN54" s="557"/>
      <c r="AO54" s="557"/>
      <c r="AP54" s="557"/>
      <c r="AQ54" s="557"/>
      <c r="AR54" s="557"/>
      <c r="AS54" s="557"/>
      <c r="AT54" s="557"/>
      <c r="AU54" s="557"/>
      <c r="AV54" s="557"/>
      <c r="AW54" s="557"/>
      <c r="AX54" s="557"/>
      <c r="AY54" s="557"/>
      <c r="AZ54" s="557"/>
      <c r="BA54" s="557"/>
      <c r="BB54" s="557"/>
      <c r="BC54" s="557"/>
      <c r="BD54" s="557"/>
      <c r="BE54" s="557"/>
      <c r="BF54" s="557"/>
      <c r="BG54" s="557"/>
    </row>
    <row r="55" spans="1:59" ht="14.25" customHeight="1" x14ac:dyDescent="0.25">
      <c r="A55" s="641"/>
      <c r="B55" s="583" t="s">
        <v>107</v>
      </c>
      <c r="C55" s="276" t="s">
        <v>146</v>
      </c>
      <c r="D55" s="276" t="s">
        <v>147</v>
      </c>
      <c r="E55" s="279" t="s">
        <v>90</v>
      </c>
      <c r="F55" s="72"/>
      <c r="G55" s="72"/>
      <c r="H55" s="557"/>
      <c r="I55" s="557"/>
      <c r="J55" s="557"/>
      <c r="K55" s="557"/>
      <c r="L55" s="557"/>
      <c r="M55" s="557"/>
      <c r="N55" s="557"/>
      <c r="O55" s="557"/>
      <c r="P55" s="557"/>
      <c r="Q55" s="557"/>
      <c r="R55" s="557"/>
      <c r="S55" s="557"/>
      <c r="T55" s="557"/>
      <c r="U55" s="557"/>
      <c r="V55" s="557"/>
      <c r="W55" s="557"/>
      <c r="X55" s="557"/>
      <c r="Y55" s="557"/>
      <c r="Z55" s="557"/>
      <c r="AA55" s="557"/>
      <c r="AB55" s="557"/>
      <c r="AC55" s="557"/>
      <c r="AD55" s="557"/>
      <c r="AE55" s="557"/>
      <c r="AF55" s="557"/>
      <c r="AG55" s="557"/>
      <c r="AH55" s="557"/>
      <c r="AI55" s="557"/>
      <c r="AJ55" s="557"/>
      <c r="AK55" s="557"/>
      <c r="AL55" s="557"/>
      <c r="AM55" s="557"/>
      <c r="AN55" s="557"/>
      <c r="AO55" s="557"/>
      <c r="AP55" s="557"/>
      <c r="AQ55" s="557"/>
      <c r="AR55" s="557"/>
      <c r="AS55" s="557"/>
      <c r="AT55" s="557"/>
      <c r="AU55" s="557"/>
      <c r="AV55" s="557"/>
      <c r="AW55" s="557"/>
      <c r="AX55" s="557"/>
      <c r="AY55" s="557"/>
      <c r="AZ55" s="557"/>
      <c r="BA55" s="557"/>
      <c r="BB55" s="557"/>
      <c r="BC55" s="557"/>
      <c r="BD55" s="557"/>
      <c r="BE55" s="557"/>
      <c r="BF55" s="557"/>
      <c r="BG55" s="557"/>
    </row>
    <row r="56" spans="1:59" ht="23.25" customHeight="1" x14ac:dyDescent="0.25">
      <c r="A56" s="642" t="s">
        <v>148</v>
      </c>
      <c r="B56" s="280" t="s">
        <v>149</v>
      </c>
      <c r="C56" s="280" t="s">
        <v>150</v>
      </c>
      <c r="D56" s="280" t="s">
        <v>150</v>
      </c>
      <c r="E56" s="280" t="s">
        <v>150</v>
      </c>
      <c r="F56" s="192"/>
      <c r="G56" s="192"/>
      <c r="H56" s="646"/>
      <c r="I56" s="646"/>
      <c r="J56" s="646"/>
      <c r="K56" s="646"/>
      <c r="L56" s="646"/>
      <c r="M56" s="646"/>
      <c r="N56" s="646"/>
      <c r="O56" s="646"/>
      <c r="P56" s="646"/>
      <c r="Q56" s="646"/>
      <c r="R56" s="646"/>
      <c r="S56" s="646"/>
      <c r="T56" s="646"/>
      <c r="U56" s="646"/>
      <c r="V56" s="646"/>
      <c r="W56" s="646"/>
      <c r="X56" s="646"/>
      <c r="Y56" s="646"/>
      <c r="Z56" s="646"/>
      <c r="AA56" s="646"/>
      <c r="AB56" s="646"/>
      <c r="AC56" s="646"/>
      <c r="AD56" s="646"/>
      <c r="AE56" s="646"/>
      <c r="AF56" s="646"/>
      <c r="AG56" s="646"/>
      <c r="AH56" s="646"/>
      <c r="AI56" s="646"/>
      <c r="AJ56" s="646"/>
      <c r="AK56" s="646"/>
      <c r="AL56" s="646"/>
      <c r="AM56" s="646"/>
      <c r="AN56" s="646"/>
      <c r="AO56" s="646"/>
      <c r="AP56" s="646"/>
      <c r="AQ56" s="646"/>
      <c r="AR56" s="646"/>
      <c r="AS56" s="646"/>
      <c r="AT56" s="646"/>
      <c r="AU56" s="646"/>
      <c r="AV56" s="646"/>
      <c r="AW56" s="646"/>
      <c r="AX56" s="646"/>
      <c r="AY56" s="646"/>
      <c r="AZ56" s="646"/>
      <c r="BA56" s="646"/>
      <c r="BB56" s="646"/>
      <c r="BC56" s="646"/>
      <c r="BD56" s="646"/>
      <c r="BE56" s="646"/>
      <c r="BF56" s="646"/>
      <c r="BG56" s="646"/>
    </row>
    <row r="57" spans="1:59" ht="14.25" customHeight="1" x14ac:dyDescent="0.25">
      <c r="A57" s="642"/>
      <c r="B57" s="280" t="s">
        <v>151</v>
      </c>
      <c r="C57" s="280" t="s">
        <v>152</v>
      </c>
      <c r="D57" s="280" t="s">
        <v>153</v>
      </c>
      <c r="E57" s="280" t="s">
        <v>153</v>
      </c>
      <c r="F57" s="192"/>
      <c r="G57" s="192"/>
      <c r="H57" s="646"/>
      <c r="I57" s="646"/>
      <c r="J57" s="646"/>
      <c r="K57" s="646"/>
      <c r="L57" s="646"/>
      <c r="M57" s="646"/>
      <c r="N57" s="646"/>
      <c r="O57" s="646"/>
      <c r="P57" s="646"/>
      <c r="Q57" s="646"/>
      <c r="R57" s="646"/>
      <c r="S57" s="646"/>
      <c r="T57" s="646"/>
      <c r="U57" s="646"/>
      <c r="V57" s="646"/>
      <c r="W57" s="646"/>
      <c r="X57" s="646"/>
      <c r="Y57" s="646"/>
      <c r="Z57" s="646"/>
      <c r="AA57" s="646"/>
      <c r="AB57" s="646"/>
      <c r="AC57" s="646"/>
      <c r="AD57" s="646"/>
      <c r="AE57" s="646"/>
      <c r="AF57" s="646"/>
      <c r="AG57" s="646"/>
      <c r="AH57" s="646"/>
      <c r="AI57" s="646"/>
      <c r="AJ57" s="646"/>
      <c r="AK57" s="646"/>
      <c r="AL57" s="646"/>
      <c r="AM57" s="646"/>
      <c r="AN57" s="646"/>
      <c r="AO57" s="646"/>
      <c r="AP57" s="646"/>
      <c r="AQ57" s="646"/>
      <c r="AR57" s="646"/>
      <c r="AS57" s="646"/>
      <c r="AT57" s="646"/>
      <c r="AU57" s="646"/>
      <c r="AV57" s="646"/>
      <c r="AW57" s="646"/>
      <c r="AX57" s="646"/>
      <c r="AY57" s="646"/>
      <c r="AZ57" s="646"/>
      <c r="BA57" s="646"/>
      <c r="BB57" s="646"/>
      <c r="BC57" s="646"/>
      <c r="BD57" s="646"/>
      <c r="BE57" s="646"/>
      <c r="BF57" s="646"/>
      <c r="BG57" s="646"/>
    </row>
    <row r="58" spans="1:59" ht="23.25" customHeight="1" x14ac:dyDescent="0.25">
      <c r="A58" s="642"/>
      <c r="B58" s="280" t="s">
        <v>154</v>
      </c>
      <c r="C58" s="280" t="s">
        <v>155</v>
      </c>
      <c r="D58" s="280" t="s">
        <v>150</v>
      </c>
      <c r="E58" s="280" t="s">
        <v>150</v>
      </c>
      <c r="F58" s="192"/>
      <c r="G58" s="192"/>
      <c r="H58" s="646"/>
      <c r="I58" s="646"/>
      <c r="J58" s="646"/>
      <c r="K58" s="646"/>
      <c r="L58" s="646"/>
      <c r="M58" s="646"/>
      <c r="N58" s="646"/>
      <c r="O58" s="646"/>
      <c r="P58" s="646"/>
      <c r="Q58" s="646"/>
      <c r="R58" s="646"/>
      <c r="S58" s="646"/>
      <c r="T58" s="646"/>
      <c r="U58" s="646"/>
      <c r="V58" s="646"/>
      <c r="W58" s="646"/>
      <c r="X58" s="646"/>
      <c r="Y58" s="646"/>
      <c r="Z58" s="646"/>
      <c r="AA58" s="646"/>
      <c r="AB58" s="646"/>
      <c r="AC58" s="646"/>
      <c r="AD58" s="646"/>
      <c r="AE58" s="646"/>
      <c r="AF58" s="646"/>
      <c r="AG58" s="646"/>
      <c r="AH58" s="646"/>
      <c r="AI58" s="646"/>
      <c r="AJ58" s="646"/>
      <c r="AK58" s="646"/>
      <c r="AL58" s="646"/>
      <c r="AM58" s="646"/>
      <c r="AN58" s="646"/>
      <c r="AO58" s="646"/>
      <c r="AP58" s="646"/>
      <c r="AQ58" s="646"/>
      <c r="AR58" s="646"/>
      <c r="AS58" s="646"/>
      <c r="AT58" s="646"/>
      <c r="AU58" s="646"/>
      <c r="AV58" s="646"/>
      <c r="AW58" s="646"/>
      <c r="AX58" s="646"/>
      <c r="AY58" s="646"/>
      <c r="AZ58" s="646"/>
      <c r="BA58" s="646"/>
      <c r="BB58" s="646"/>
      <c r="BC58" s="646"/>
      <c r="BD58" s="646"/>
      <c r="BE58" s="646"/>
      <c r="BF58" s="646"/>
      <c r="BG58" s="646"/>
    </row>
    <row r="59" spans="1:59" ht="14.4" customHeight="1" x14ac:dyDescent="0.25">
      <c r="A59" s="643"/>
      <c r="B59" s="280" t="s">
        <v>156</v>
      </c>
      <c r="C59" s="280" t="s">
        <v>157</v>
      </c>
      <c r="D59" s="280" t="s">
        <v>153</v>
      </c>
      <c r="E59" s="280" t="s">
        <v>153</v>
      </c>
      <c r="F59" s="150"/>
      <c r="G59" s="150"/>
      <c r="H59" s="557"/>
      <c r="I59" s="557"/>
      <c r="J59" s="557"/>
      <c r="K59" s="557"/>
      <c r="L59" s="557"/>
      <c r="M59" s="557"/>
      <c r="N59" s="557"/>
      <c r="O59" s="557"/>
      <c r="P59" s="557"/>
      <c r="Q59" s="557"/>
      <c r="R59" s="557"/>
      <c r="S59" s="557"/>
      <c r="T59" s="557"/>
      <c r="U59" s="557"/>
      <c r="V59" s="557"/>
      <c r="W59" s="557"/>
      <c r="X59" s="557"/>
      <c r="Y59" s="557"/>
      <c r="Z59" s="557"/>
      <c r="AA59" s="557"/>
      <c r="AB59" s="557"/>
      <c r="AC59" s="557"/>
      <c r="AD59" s="557"/>
      <c r="AE59" s="557"/>
      <c r="AF59" s="557"/>
      <c r="AG59" s="557"/>
      <c r="AH59" s="557"/>
      <c r="AI59" s="557"/>
      <c r="AJ59" s="557"/>
      <c r="AK59" s="557"/>
      <c r="AL59" s="557"/>
      <c r="AM59" s="557"/>
      <c r="AN59" s="557"/>
      <c r="AO59" s="557"/>
      <c r="AP59" s="557"/>
      <c r="AQ59" s="557"/>
      <c r="AR59" s="557"/>
      <c r="AS59" s="557"/>
      <c r="AT59" s="557"/>
      <c r="AU59" s="557"/>
      <c r="AV59" s="557"/>
      <c r="AW59" s="557"/>
      <c r="AX59" s="557"/>
      <c r="AY59" s="557"/>
      <c r="AZ59" s="557"/>
      <c r="BA59" s="557"/>
      <c r="BB59" s="557"/>
      <c r="BC59" s="557"/>
      <c r="BD59" s="557"/>
      <c r="BE59" s="557"/>
      <c r="BF59" s="557"/>
      <c r="BG59" s="557"/>
    </row>
    <row r="60" spans="1:59" ht="18.600000000000001" customHeight="1" x14ac:dyDescent="0.25">
      <c r="A60" s="635" t="s">
        <v>158</v>
      </c>
      <c r="B60" s="635"/>
      <c r="C60" s="635"/>
      <c r="D60" s="635"/>
      <c r="E60" s="635"/>
      <c r="F60" s="72"/>
      <c r="G60" s="557"/>
      <c r="H60" s="557"/>
      <c r="I60" s="557"/>
      <c r="J60" s="557"/>
      <c r="K60" s="557"/>
      <c r="L60" s="557"/>
      <c r="M60" s="557"/>
      <c r="N60" s="557"/>
      <c r="O60" s="557"/>
      <c r="P60" s="557"/>
      <c r="Q60" s="557"/>
      <c r="R60" s="557"/>
      <c r="S60" s="557"/>
      <c r="T60" s="557"/>
      <c r="U60" s="557"/>
      <c r="V60" s="557"/>
      <c r="W60" s="557"/>
      <c r="X60" s="557"/>
      <c r="Y60" s="557"/>
      <c r="Z60" s="557"/>
      <c r="AA60" s="557"/>
      <c r="AB60" s="557"/>
      <c r="AC60" s="557"/>
      <c r="AD60" s="557"/>
      <c r="AE60" s="557"/>
      <c r="AF60" s="557"/>
      <c r="AG60" s="557"/>
      <c r="AH60" s="557"/>
      <c r="AI60" s="557"/>
      <c r="AJ60" s="557"/>
      <c r="AK60" s="557"/>
      <c r="AL60" s="557"/>
      <c r="AM60" s="557"/>
      <c r="AN60" s="557"/>
      <c r="AO60" s="557"/>
      <c r="AP60" s="557"/>
      <c r="AQ60" s="557"/>
      <c r="AR60" s="557"/>
      <c r="AS60" s="557"/>
      <c r="AT60" s="557"/>
      <c r="AU60" s="557"/>
      <c r="AV60" s="557"/>
      <c r="AW60" s="557"/>
      <c r="AX60" s="557"/>
      <c r="AY60" s="557"/>
      <c r="AZ60" s="557"/>
      <c r="BA60" s="557"/>
      <c r="BB60" s="557"/>
      <c r="BC60" s="557"/>
      <c r="BD60" s="557"/>
      <c r="BE60" s="557"/>
      <c r="BF60" s="557"/>
      <c r="BG60" s="557"/>
    </row>
    <row r="61" spans="1:59" ht="34.950000000000003" customHeight="1" x14ac:dyDescent="0.25">
      <c r="A61" s="293" t="s">
        <v>159</v>
      </c>
      <c r="B61" s="293"/>
      <c r="C61" s="294">
        <v>100</v>
      </c>
      <c r="D61" s="295">
        <v>30</v>
      </c>
      <c r="E61" s="292" t="s">
        <v>160</v>
      </c>
      <c r="F61" s="73"/>
    </row>
    <row r="62" spans="1:59" x14ac:dyDescent="0.25">
      <c r="A62" s="649" t="s">
        <v>161</v>
      </c>
      <c r="B62" s="302" t="s">
        <v>106</v>
      </c>
      <c r="C62" s="296" t="s">
        <v>110</v>
      </c>
      <c r="D62" s="297">
        <v>0.4</v>
      </c>
      <c r="E62" s="286">
        <v>0.51</v>
      </c>
    </row>
    <row r="63" spans="1:59" x14ac:dyDescent="0.25">
      <c r="A63" s="650"/>
      <c r="B63" s="298" t="s">
        <v>107</v>
      </c>
      <c r="C63" s="299">
        <v>1.52</v>
      </c>
      <c r="D63" s="300">
        <v>0.03</v>
      </c>
      <c r="E63" s="289">
        <v>0.04</v>
      </c>
    </row>
    <row r="64" spans="1:59" x14ac:dyDescent="0.25">
      <c r="A64" s="651"/>
      <c r="B64" s="298" t="s">
        <v>109</v>
      </c>
      <c r="C64" s="298"/>
      <c r="D64" s="298"/>
      <c r="E64" s="287" t="s">
        <v>162</v>
      </c>
    </row>
    <row r="65" spans="1:21" x14ac:dyDescent="0.25">
      <c r="A65" s="285" t="s">
        <v>163</v>
      </c>
      <c r="B65" s="285"/>
      <c r="C65" s="290" t="s">
        <v>164</v>
      </c>
      <c r="D65" s="285" t="s">
        <v>165</v>
      </c>
      <c r="E65" s="285" t="s">
        <v>166</v>
      </c>
    </row>
    <row r="66" spans="1:21" x14ac:dyDescent="0.25">
      <c r="A66" s="289" t="s">
        <v>167</v>
      </c>
      <c r="B66" s="289"/>
      <c r="C66" s="289">
        <v>180</v>
      </c>
      <c r="D66" s="289">
        <v>180</v>
      </c>
      <c r="E66" s="288">
        <v>212</v>
      </c>
    </row>
    <row r="67" spans="1:21" x14ac:dyDescent="0.25">
      <c r="A67" s="115"/>
      <c r="B67" s="115"/>
      <c r="C67" s="115"/>
      <c r="D67" s="115"/>
      <c r="E67" s="149"/>
    </row>
    <row r="68" spans="1:21" ht="26.4" x14ac:dyDescent="0.25">
      <c r="A68" s="141" t="s">
        <v>168</v>
      </c>
      <c r="B68" s="253"/>
      <c r="C68" s="303">
        <f>775*264.17</f>
        <v>204731.75</v>
      </c>
      <c r="D68" s="304">
        <v>71224</v>
      </c>
      <c r="E68" s="305">
        <f>363.28*264.17</f>
        <v>95967.677599999995</v>
      </c>
    </row>
    <row r="69" spans="1:21" x14ac:dyDescent="0.25">
      <c r="A69" s="115"/>
      <c r="B69" s="115"/>
      <c r="E69" s="149"/>
    </row>
    <row r="70" spans="1:21" x14ac:dyDescent="0.25">
      <c r="A70" s="115"/>
      <c r="B70" s="115"/>
      <c r="D70" s="301"/>
      <c r="E70" s="149"/>
    </row>
    <row r="71" spans="1:21" x14ac:dyDescent="0.25">
      <c r="A71" s="115"/>
      <c r="B71" s="115"/>
      <c r="D71" s="301"/>
      <c r="E71" s="149"/>
    </row>
    <row r="72" spans="1:21" x14ac:dyDescent="0.25">
      <c r="A72" s="644" t="s">
        <v>169</v>
      </c>
      <c r="B72" s="645"/>
      <c r="C72" s="645"/>
      <c r="E72" s="291"/>
    </row>
    <row r="73" spans="1:21" ht="14.4" x14ac:dyDescent="0.3">
      <c r="A73" t="s">
        <v>170</v>
      </c>
      <c r="B73"/>
      <c r="C73"/>
      <c r="D73"/>
      <c r="E73"/>
      <c r="F73"/>
      <c r="G73"/>
      <c r="H73"/>
      <c r="I73"/>
      <c r="J73"/>
      <c r="K73"/>
      <c r="M73"/>
      <c r="N73"/>
      <c r="O73"/>
      <c r="P73"/>
      <c r="Q73"/>
      <c r="R73"/>
      <c r="S73"/>
    </row>
    <row r="74" spans="1:21" ht="14.4" x14ac:dyDescent="0.3">
      <c r="A74"/>
      <c r="B74"/>
      <c r="C74"/>
      <c r="D74"/>
      <c r="E74"/>
      <c r="F74"/>
      <c r="G74"/>
      <c r="H74"/>
      <c r="I74"/>
      <c r="J74"/>
      <c r="K74"/>
      <c r="L74"/>
      <c r="M74"/>
      <c r="O74"/>
      <c r="P74"/>
      <c r="Q74"/>
      <c r="R74"/>
      <c r="S74"/>
      <c r="T74"/>
      <c r="U74"/>
    </row>
    <row r="75" spans="1:21" ht="14.4" x14ac:dyDescent="0.3">
      <c r="A75"/>
      <c r="B75"/>
      <c r="C75"/>
      <c r="D75"/>
      <c r="E75"/>
      <c r="F75"/>
      <c r="G75"/>
      <c r="H75"/>
      <c r="I75"/>
      <c r="J75"/>
      <c r="K75"/>
      <c r="L75"/>
      <c r="M75"/>
      <c r="N75"/>
      <c r="O75"/>
      <c r="P75"/>
      <c r="Q75"/>
      <c r="R75"/>
      <c r="S75"/>
      <c r="T75"/>
      <c r="U75"/>
    </row>
    <row r="76" spans="1:21" ht="14.4" x14ac:dyDescent="0.3">
      <c r="A76"/>
      <c r="B76"/>
      <c r="C76"/>
      <c r="D76"/>
      <c r="E76"/>
      <c r="F76"/>
      <c r="G76"/>
      <c r="H76"/>
      <c r="I76"/>
      <c r="J76"/>
      <c r="K76"/>
      <c r="L76"/>
      <c r="M76"/>
      <c r="N76"/>
      <c r="O76"/>
      <c r="P76"/>
      <c r="Q76"/>
      <c r="R76"/>
      <c r="S76"/>
      <c r="T76"/>
      <c r="U76"/>
    </row>
    <row r="77" spans="1:21" ht="14.4" x14ac:dyDescent="0.3">
      <c r="A77"/>
      <c r="B77"/>
      <c r="C77"/>
      <c r="D77"/>
      <c r="E77"/>
      <c r="F77"/>
      <c r="G77"/>
      <c r="H77"/>
      <c r="I77"/>
      <c r="J77"/>
      <c r="K77"/>
      <c r="L77"/>
      <c r="M77"/>
      <c r="N77"/>
      <c r="O77"/>
      <c r="P77"/>
      <c r="Q77"/>
      <c r="R77"/>
      <c r="S77"/>
      <c r="T77"/>
      <c r="U77"/>
    </row>
    <row r="78" spans="1:21" ht="14.4" x14ac:dyDescent="0.3">
      <c r="A78"/>
      <c r="B78"/>
      <c r="C78"/>
      <c r="D78"/>
      <c r="E78"/>
      <c r="F78"/>
      <c r="G78"/>
      <c r="H78"/>
      <c r="I78"/>
      <c r="J78"/>
      <c r="K78"/>
      <c r="L78"/>
      <c r="M78"/>
      <c r="N78"/>
      <c r="O78"/>
      <c r="P78"/>
      <c r="Q78"/>
      <c r="R78"/>
      <c r="S78"/>
      <c r="T78"/>
      <c r="U78"/>
    </row>
    <row r="79" spans="1:21" ht="14.4" x14ac:dyDescent="0.3">
      <c r="A79"/>
      <c r="B79"/>
      <c r="C79"/>
      <c r="D79"/>
      <c r="E79"/>
      <c r="F79"/>
      <c r="G79"/>
      <c r="H79"/>
      <c r="I79"/>
      <c r="J79"/>
      <c r="K79"/>
      <c r="L79"/>
      <c r="M79"/>
      <c r="N79"/>
      <c r="O79"/>
      <c r="P79"/>
      <c r="Q79"/>
      <c r="R79"/>
      <c r="S79"/>
      <c r="T79"/>
      <c r="U79"/>
    </row>
    <row r="80" spans="1:21" ht="14.4" x14ac:dyDescent="0.3">
      <c r="A80"/>
      <c r="B80"/>
      <c r="C80"/>
      <c r="D80"/>
      <c r="E80"/>
      <c r="F80"/>
      <c r="G80"/>
      <c r="H80"/>
      <c r="I80"/>
      <c r="J80"/>
      <c r="K80"/>
      <c r="L80"/>
      <c r="M80"/>
      <c r="N80"/>
      <c r="O80"/>
      <c r="P80"/>
      <c r="Q80"/>
      <c r="R80"/>
      <c r="S80"/>
      <c r="T80"/>
      <c r="U80"/>
    </row>
    <row r="81" spans="1:21" ht="14.4" x14ac:dyDescent="0.3">
      <c r="A81"/>
      <c r="B81"/>
      <c r="C81"/>
      <c r="D81"/>
      <c r="E81"/>
      <c r="F81"/>
      <c r="G81"/>
      <c r="H81"/>
      <c r="I81"/>
      <c r="J81"/>
      <c r="K81"/>
      <c r="L81"/>
      <c r="M81"/>
      <c r="N81"/>
      <c r="O81"/>
      <c r="P81"/>
      <c r="Q81"/>
      <c r="R81"/>
      <c r="S81"/>
      <c r="T81"/>
      <c r="U81"/>
    </row>
    <row r="82" spans="1:21" ht="14.4" x14ac:dyDescent="0.3">
      <c r="A82"/>
      <c r="B82"/>
      <c r="C82"/>
      <c r="D82"/>
      <c r="E82"/>
      <c r="F82"/>
      <c r="G82"/>
      <c r="H82"/>
      <c r="I82"/>
      <c r="J82"/>
      <c r="K82"/>
      <c r="L82"/>
      <c r="M82"/>
      <c r="N82"/>
      <c r="O82"/>
      <c r="P82"/>
      <c r="Q82"/>
      <c r="R82"/>
      <c r="S82"/>
      <c r="T82"/>
      <c r="U82"/>
    </row>
    <row r="83" spans="1:21" ht="14.4" x14ac:dyDescent="0.3">
      <c r="A83"/>
      <c r="B83"/>
      <c r="C83"/>
      <c r="D83"/>
      <c r="E83"/>
      <c r="F83"/>
      <c r="G83"/>
      <c r="H83"/>
      <c r="I83"/>
      <c r="J83"/>
      <c r="K83"/>
      <c r="L83"/>
      <c r="M83"/>
      <c r="N83"/>
      <c r="O83"/>
      <c r="P83"/>
      <c r="Q83"/>
      <c r="R83"/>
      <c r="S83"/>
      <c r="T83"/>
      <c r="U83"/>
    </row>
    <row r="84" spans="1:21" ht="14.4" x14ac:dyDescent="0.3">
      <c r="A84"/>
      <c r="B84"/>
      <c r="C84"/>
      <c r="D84"/>
      <c r="E84"/>
      <c r="F84"/>
      <c r="G84"/>
      <c r="H84"/>
      <c r="I84"/>
      <c r="J84"/>
      <c r="K84"/>
      <c r="L84"/>
      <c r="M84"/>
      <c r="N84"/>
      <c r="O84"/>
      <c r="P84"/>
      <c r="Q84"/>
      <c r="R84"/>
      <c r="S84"/>
      <c r="T84"/>
      <c r="U84"/>
    </row>
    <row r="85" spans="1:21" ht="14.4" x14ac:dyDescent="0.3">
      <c r="A85"/>
      <c r="B85"/>
      <c r="C85"/>
      <c r="D85"/>
      <c r="E85"/>
      <c r="F85"/>
      <c r="G85"/>
      <c r="H85"/>
      <c r="I85"/>
      <c r="J85"/>
      <c r="K85"/>
      <c r="L85"/>
      <c r="M85"/>
      <c r="N85"/>
      <c r="O85"/>
      <c r="P85"/>
      <c r="Q85"/>
      <c r="R85"/>
      <c r="S85"/>
      <c r="T85"/>
      <c r="U85"/>
    </row>
    <row r="86" spans="1:21" ht="14.4" x14ac:dyDescent="0.3">
      <c r="A86"/>
      <c r="B86"/>
      <c r="C86"/>
      <c r="D86"/>
      <c r="E86"/>
      <c r="F86"/>
      <c r="G86"/>
      <c r="H86"/>
      <c r="I86"/>
      <c r="J86"/>
      <c r="K86"/>
      <c r="L86"/>
      <c r="M86"/>
      <c r="N86"/>
      <c r="O86"/>
      <c r="P86"/>
      <c r="Q86"/>
      <c r="R86"/>
      <c r="S86"/>
      <c r="T86"/>
      <c r="U86"/>
    </row>
    <row r="87" spans="1:21" ht="14.4" x14ac:dyDescent="0.3">
      <c r="A87"/>
      <c r="B87"/>
      <c r="C87"/>
      <c r="D87"/>
      <c r="E87"/>
      <c r="F87"/>
      <c r="G87"/>
      <c r="H87"/>
      <c r="I87"/>
      <c r="J87"/>
      <c r="K87"/>
      <c r="L87"/>
      <c r="M87"/>
      <c r="N87"/>
      <c r="O87"/>
      <c r="P87"/>
      <c r="Q87"/>
      <c r="R87"/>
      <c r="S87"/>
      <c r="T87"/>
      <c r="U87"/>
    </row>
    <row r="88" spans="1:21" ht="14.4" x14ac:dyDescent="0.3">
      <c r="A88"/>
      <c r="B88"/>
      <c r="C88"/>
      <c r="D88"/>
      <c r="E88"/>
      <c r="F88"/>
      <c r="G88"/>
      <c r="H88"/>
      <c r="I88"/>
      <c r="J88"/>
      <c r="K88"/>
      <c r="L88"/>
      <c r="M88"/>
      <c r="N88"/>
      <c r="O88"/>
      <c r="P88"/>
      <c r="Q88"/>
      <c r="R88"/>
      <c r="S88"/>
      <c r="T88"/>
      <c r="U88"/>
    </row>
    <row r="89" spans="1:21" ht="14.4" x14ac:dyDescent="0.3">
      <c r="A89"/>
      <c r="B89"/>
      <c r="C89"/>
      <c r="D89"/>
      <c r="E89"/>
      <c r="F89"/>
      <c r="G89"/>
      <c r="H89"/>
      <c r="I89"/>
      <c r="J89"/>
      <c r="K89"/>
      <c r="L89"/>
      <c r="M89"/>
      <c r="N89"/>
      <c r="O89"/>
      <c r="P89"/>
      <c r="Q89"/>
      <c r="R89"/>
      <c r="S89"/>
      <c r="T89"/>
      <c r="U89"/>
    </row>
    <row r="90" spans="1:21" ht="14.4" x14ac:dyDescent="0.3">
      <c r="A90"/>
      <c r="B90"/>
      <c r="C90"/>
      <c r="D90"/>
      <c r="E90"/>
      <c r="F90"/>
      <c r="G90"/>
      <c r="H90"/>
      <c r="I90"/>
      <c r="J90"/>
      <c r="K90"/>
      <c r="L90"/>
      <c r="M90"/>
      <c r="N90"/>
      <c r="O90"/>
      <c r="P90"/>
      <c r="Q90"/>
      <c r="R90"/>
      <c r="S90"/>
      <c r="T90"/>
      <c r="U90"/>
    </row>
    <row r="91" spans="1:21" ht="14.4" x14ac:dyDescent="0.3">
      <c r="A91"/>
      <c r="B91"/>
      <c r="C91"/>
      <c r="D91"/>
      <c r="E91"/>
      <c r="F91"/>
      <c r="G91"/>
      <c r="H91"/>
      <c r="I91"/>
      <c r="J91"/>
      <c r="K91"/>
      <c r="L91"/>
      <c r="M91"/>
      <c r="N91"/>
      <c r="O91"/>
      <c r="P91"/>
      <c r="Q91"/>
      <c r="R91"/>
      <c r="S91"/>
      <c r="T91"/>
      <c r="U91"/>
    </row>
    <row r="92" spans="1:21" ht="14.4" x14ac:dyDescent="0.3">
      <c r="A92"/>
      <c r="B92"/>
      <c r="C92"/>
      <c r="D92"/>
      <c r="E92"/>
      <c r="F92"/>
      <c r="G92"/>
      <c r="H92"/>
      <c r="I92"/>
      <c r="J92"/>
      <c r="K92"/>
      <c r="L92"/>
      <c r="M92"/>
      <c r="N92"/>
      <c r="O92"/>
      <c r="P92"/>
      <c r="Q92"/>
      <c r="R92"/>
      <c r="S92"/>
      <c r="T92"/>
      <c r="U92"/>
    </row>
    <row r="93" spans="1:21" ht="14.4" x14ac:dyDescent="0.3">
      <c r="A93"/>
      <c r="B93"/>
      <c r="C93"/>
      <c r="D93"/>
      <c r="E93"/>
      <c r="F93"/>
      <c r="G93"/>
      <c r="H93"/>
      <c r="I93"/>
      <c r="J93"/>
      <c r="K93"/>
      <c r="L93"/>
      <c r="M93"/>
      <c r="N93"/>
      <c r="O93"/>
      <c r="P93"/>
      <c r="Q93"/>
      <c r="R93"/>
      <c r="S93"/>
      <c r="T93"/>
      <c r="U93"/>
    </row>
    <row r="94" spans="1:21" ht="14.4" x14ac:dyDescent="0.3">
      <c r="A94"/>
      <c r="B94"/>
      <c r="C94"/>
      <c r="D94"/>
      <c r="E94"/>
      <c r="F94"/>
      <c r="G94"/>
      <c r="H94"/>
      <c r="I94"/>
      <c r="J94"/>
      <c r="K94"/>
      <c r="L94"/>
      <c r="M94"/>
      <c r="N94"/>
      <c r="O94"/>
      <c r="P94"/>
      <c r="Q94"/>
      <c r="R94"/>
      <c r="S94"/>
      <c r="T94"/>
      <c r="U94"/>
    </row>
    <row r="95" spans="1:21" ht="14.4" x14ac:dyDescent="0.3">
      <c r="A95"/>
      <c r="B95"/>
      <c r="C95"/>
      <c r="D95"/>
      <c r="E95"/>
      <c r="F95"/>
      <c r="G95"/>
      <c r="H95"/>
      <c r="I95"/>
      <c r="J95"/>
      <c r="K95"/>
      <c r="L95"/>
      <c r="M95"/>
      <c r="N95"/>
      <c r="O95"/>
      <c r="P95"/>
      <c r="Q95"/>
      <c r="R95"/>
      <c r="S95"/>
      <c r="T95"/>
      <c r="U95"/>
    </row>
    <row r="96" spans="1:21" ht="14.4" x14ac:dyDescent="0.3">
      <c r="A96"/>
      <c r="B96"/>
      <c r="C96"/>
      <c r="D96"/>
      <c r="E96"/>
      <c r="F96"/>
      <c r="G96"/>
      <c r="H96"/>
      <c r="I96"/>
      <c r="J96"/>
      <c r="K96"/>
      <c r="L96"/>
      <c r="M96"/>
      <c r="N96"/>
      <c r="O96"/>
      <c r="P96"/>
      <c r="Q96"/>
      <c r="R96"/>
      <c r="S96"/>
      <c r="T96"/>
      <c r="U96"/>
    </row>
    <row r="97" spans="1:37" ht="14.4" x14ac:dyDescent="0.3">
      <c r="A97"/>
      <c r="B97"/>
      <c r="C97"/>
      <c r="D97"/>
      <c r="E97"/>
      <c r="F97"/>
      <c r="G97"/>
      <c r="H97"/>
      <c r="I97"/>
      <c r="J97"/>
      <c r="K97"/>
      <c r="L97"/>
      <c r="M97"/>
      <c r="N97"/>
      <c r="O97"/>
      <c r="P97"/>
      <c r="Q97"/>
      <c r="R97"/>
      <c r="S97"/>
      <c r="T97"/>
      <c r="U97"/>
    </row>
    <row r="98" spans="1:37" ht="14.4" x14ac:dyDescent="0.3">
      <c r="A98"/>
      <c r="B98"/>
      <c r="C98"/>
      <c r="D98"/>
      <c r="E98"/>
      <c r="F98"/>
      <c r="G98"/>
      <c r="H98"/>
      <c r="I98"/>
      <c r="J98"/>
      <c r="K98"/>
      <c r="L98"/>
      <c r="M98"/>
      <c r="N98"/>
      <c r="O98"/>
      <c r="P98"/>
      <c r="Q98"/>
      <c r="R98"/>
      <c r="S98"/>
      <c r="T98"/>
      <c r="U98"/>
    </row>
    <row r="99" spans="1:37" ht="14.4" x14ac:dyDescent="0.3">
      <c r="A99"/>
      <c r="B99"/>
      <c r="C99"/>
      <c r="D99"/>
      <c r="E99"/>
      <c r="F99"/>
      <c r="G99"/>
      <c r="H99"/>
      <c r="I99"/>
      <c r="J99"/>
      <c r="K99"/>
      <c r="L99"/>
      <c r="M99"/>
      <c r="N99"/>
      <c r="O99"/>
      <c r="P99"/>
      <c r="Q99"/>
      <c r="R99"/>
      <c r="S99"/>
      <c r="T99"/>
      <c r="U99"/>
    </row>
    <row r="100" spans="1:37" ht="14.4" x14ac:dyDescent="0.3">
      <c r="A100"/>
      <c r="B100"/>
      <c r="C100"/>
      <c r="D100"/>
      <c r="E100"/>
      <c r="F100"/>
      <c r="G100"/>
      <c r="H100"/>
      <c r="I100"/>
      <c r="J100"/>
      <c r="K100"/>
      <c r="L100"/>
      <c r="M100"/>
      <c r="N100"/>
      <c r="O100"/>
      <c r="P100"/>
      <c r="Q100"/>
      <c r="R100"/>
      <c r="S100"/>
      <c r="T100"/>
      <c r="U100"/>
    </row>
    <row r="101" spans="1:37" ht="14.4" x14ac:dyDescent="0.3">
      <c r="A101"/>
      <c r="B101"/>
      <c r="C101"/>
      <c r="D101"/>
      <c r="E101"/>
      <c r="F101"/>
      <c r="G101"/>
      <c r="H101"/>
      <c r="I101"/>
      <c r="J101"/>
      <c r="K101"/>
      <c r="L101"/>
      <c r="M101"/>
      <c r="N101"/>
      <c r="O101"/>
      <c r="P101"/>
      <c r="Q101"/>
      <c r="R101"/>
      <c r="S101"/>
      <c r="T101"/>
      <c r="U101"/>
    </row>
    <row r="111" spans="1:37" ht="14.4" hidden="1" thickBot="1" x14ac:dyDescent="0.3"/>
    <row r="112" spans="1:37" s="4" customFormat="1" ht="18.75" hidden="1" customHeight="1" x14ac:dyDescent="0.25">
      <c r="A112" s="632" t="s">
        <v>171</v>
      </c>
      <c r="B112" s="633"/>
      <c r="C112" s="633"/>
      <c r="D112" s="633"/>
      <c r="E112" s="634"/>
      <c r="T112" s="26"/>
      <c r="U112" s="42"/>
      <c r="V112" s="43"/>
      <c r="W112" s="43"/>
      <c r="X112" s="43"/>
      <c r="Y112" s="43"/>
      <c r="Z112" s="43"/>
      <c r="AA112" s="43"/>
      <c r="AB112" s="43"/>
      <c r="AC112" s="43"/>
      <c r="AD112" s="43"/>
      <c r="AE112" s="43"/>
      <c r="AF112" s="43"/>
      <c r="AG112" s="43"/>
      <c r="AH112" s="43"/>
      <c r="AI112" s="43"/>
      <c r="AJ112" s="43"/>
      <c r="AK112" s="43"/>
    </row>
    <row r="113" spans="1:37" s="4" customFormat="1" ht="12.6" hidden="1" customHeight="1" x14ac:dyDescent="0.25">
      <c r="A113" s="410" t="s">
        <v>172</v>
      </c>
      <c r="B113" s="411" t="s">
        <v>173</v>
      </c>
      <c r="C113" s="411" t="s">
        <v>174</v>
      </c>
      <c r="D113" s="411" t="s">
        <v>175</v>
      </c>
      <c r="E113" s="412" t="s">
        <v>176</v>
      </c>
      <c r="T113" s="26"/>
      <c r="U113" s="42"/>
      <c r="V113" s="43"/>
      <c r="W113" s="43"/>
      <c r="X113" s="43"/>
      <c r="Y113" s="43"/>
      <c r="Z113" s="43"/>
      <c r="AA113" s="43"/>
      <c r="AB113" s="43"/>
      <c r="AC113" s="43"/>
      <c r="AD113" s="43"/>
      <c r="AE113" s="43"/>
      <c r="AF113" s="43"/>
      <c r="AG113" s="43"/>
      <c r="AH113" s="43"/>
      <c r="AI113" s="43"/>
      <c r="AJ113" s="43"/>
      <c r="AK113" s="43"/>
    </row>
    <row r="114" spans="1:37" s="4" customFormat="1" ht="121.5" hidden="1" customHeight="1" x14ac:dyDescent="0.25">
      <c r="A114" s="413" t="s">
        <v>94</v>
      </c>
      <c r="B114" s="404"/>
      <c r="C114" s="404"/>
      <c r="D114" s="404"/>
      <c r="E114" s="414"/>
      <c r="T114" s="26"/>
      <c r="U114" s="42"/>
      <c r="V114" s="43"/>
      <c r="W114" s="43"/>
      <c r="X114" s="43"/>
      <c r="Y114" s="43"/>
      <c r="Z114" s="43"/>
      <c r="AA114" s="43"/>
      <c r="AB114" s="43"/>
      <c r="AC114" s="43"/>
      <c r="AD114" s="43"/>
      <c r="AE114" s="43"/>
      <c r="AF114" s="43"/>
      <c r="AG114" s="43"/>
      <c r="AH114" s="43"/>
      <c r="AI114" s="43"/>
      <c r="AJ114" s="43"/>
      <c r="AK114" s="43"/>
    </row>
    <row r="115" spans="1:37" s="4" customFormat="1" ht="12.6" hidden="1" customHeight="1" x14ac:dyDescent="0.25">
      <c r="A115" s="413" t="s">
        <v>77</v>
      </c>
      <c r="B115" s="404">
        <v>1</v>
      </c>
      <c r="C115" s="404">
        <v>1</v>
      </c>
      <c r="D115" s="404">
        <v>1</v>
      </c>
      <c r="E115" s="414">
        <v>1</v>
      </c>
      <c r="T115" s="26"/>
      <c r="U115" s="42"/>
      <c r="V115" s="43"/>
      <c r="W115" s="43"/>
      <c r="X115" s="43"/>
      <c r="Y115" s="43"/>
      <c r="Z115" s="43"/>
      <c r="AA115" s="43"/>
      <c r="AB115" s="43"/>
      <c r="AC115" s="43"/>
      <c r="AD115" s="43"/>
      <c r="AE115" s="43"/>
      <c r="AF115" s="43"/>
      <c r="AG115" s="43"/>
      <c r="AH115" s="43"/>
      <c r="AI115" s="43"/>
      <c r="AJ115" s="43"/>
      <c r="AK115" s="43"/>
    </row>
    <row r="116" spans="1:37" s="4" customFormat="1" ht="12.6" hidden="1" customHeight="1" x14ac:dyDescent="0.25">
      <c r="A116" s="415" t="s">
        <v>177</v>
      </c>
      <c r="B116" s="416"/>
      <c r="C116" s="416"/>
      <c r="D116" s="416"/>
      <c r="E116" s="417"/>
      <c r="T116" s="26"/>
      <c r="U116" s="42"/>
      <c r="V116" s="43"/>
      <c r="W116" s="43"/>
      <c r="X116" s="43"/>
      <c r="Y116" s="43"/>
      <c r="Z116" s="43"/>
      <c r="AA116" s="43"/>
      <c r="AB116" s="43"/>
      <c r="AC116" s="43"/>
      <c r="AD116" s="43"/>
      <c r="AE116" s="43"/>
      <c r="AF116" s="43"/>
      <c r="AG116" s="43"/>
      <c r="AH116" s="43"/>
      <c r="AI116" s="43"/>
      <c r="AJ116" s="43"/>
      <c r="AK116" s="43"/>
    </row>
    <row r="117" spans="1:37" s="4" customFormat="1" ht="12.6" hidden="1" customHeight="1" x14ac:dyDescent="0.25">
      <c r="A117" s="418" t="s">
        <v>178</v>
      </c>
      <c r="B117" s="435">
        <v>2500.2399999999998</v>
      </c>
      <c r="C117" s="419">
        <v>5002.33</v>
      </c>
      <c r="D117" s="419">
        <v>3996.2094000000002</v>
      </c>
      <c r="E117" s="436">
        <v>2500.8869</v>
      </c>
      <c r="T117" s="26"/>
      <c r="U117" s="42"/>
      <c r="V117" s="43"/>
      <c r="W117" s="43"/>
      <c r="X117" s="43"/>
      <c r="Y117" s="43"/>
      <c r="Z117" s="43"/>
      <c r="AA117" s="43"/>
      <c r="AB117" s="43"/>
      <c r="AC117" s="43"/>
      <c r="AD117" s="43"/>
      <c r="AE117" s="43"/>
      <c r="AF117" s="43"/>
      <c r="AG117" s="43"/>
      <c r="AH117" s="43"/>
      <c r="AI117" s="43"/>
      <c r="AJ117" s="43"/>
      <c r="AK117" s="43"/>
    </row>
    <row r="118" spans="1:37" s="4" customFormat="1" ht="12.6" hidden="1" customHeight="1" x14ac:dyDescent="0.25">
      <c r="A118" s="418" t="s">
        <v>179</v>
      </c>
      <c r="B118" s="419">
        <v>2786.59</v>
      </c>
      <c r="C118" s="419">
        <v>2786.59</v>
      </c>
      <c r="D118" s="419">
        <v>1998.1047000000001</v>
      </c>
      <c r="E118" s="420">
        <v>2786.3458999999998</v>
      </c>
      <c r="T118" s="26"/>
      <c r="U118" s="42"/>
      <c r="V118" s="43"/>
      <c r="W118" s="43"/>
      <c r="X118" s="43"/>
      <c r="Y118" s="43"/>
      <c r="Z118" s="43"/>
      <c r="AA118" s="43"/>
      <c r="AB118" s="43"/>
      <c r="AC118" s="43"/>
      <c r="AD118" s="43"/>
      <c r="AE118" s="43"/>
      <c r="AF118" s="43"/>
      <c r="AG118" s="43"/>
      <c r="AH118" s="43"/>
      <c r="AI118" s="43"/>
      <c r="AJ118" s="43"/>
      <c r="AK118" s="43"/>
    </row>
    <row r="119" spans="1:37" s="4" customFormat="1" ht="12.6" hidden="1" customHeight="1" x14ac:dyDescent="0.25">
      <c r="A119" s="418" t="s">
        <v>180</v>
      </c>
      <c r="B119" s="419">
        <v>2001.08</v>
      </c>
      <c r="C119" s="419">
        <v>2001.08</v>
      </c>
      <c r="D119" s="419">
        <v>2324.3588</v>
      </c>
      <c r="E119" s="420">
        <v>2000.9032999999999</v>
      </c>
      <c r="T119" s="26"/>
      <c r="U119" s="42"/>
      <c r="V119" s="43"/>
      <c r="W119" s="43"/>
      <c r="X119" s="43"/>
      <c r="Y119" s="43"/>
      <c r="Z119" s="43"/>
      <c r="AA119" s="43"/>
      <c r="AB119" s="43"/>
      <c r="AC119" s="43"/>
      <c r="AD119" s="43"/>
      <c r="AE119" s="43"/>
      <c r="AF119" s="43"/>
      <c r="AG119" s="43"/>
      <c r="AH119" s="43"/>
      <c r="AI119" s="43"/>
      <c r="AJ119" s="43"/>
      <c r="AK119" s="43"/>
    </row>
    <row r="120" spans="1:37" s="4" customFormat="1" ht="12.6" hidden="1" customHeight="1" x14ac:dyDescent="0.25">
      <c r="A120" s="418" t="s">
        <v>181</v>
      </c>
      <c r="B120" s="419">
        <v>280.14</v>
      </c>
      <c r="C120" s="419">
        <v>280.14</v>
      </c>
      <c r="D120" s="419">
        <v>580.82060000000001</v>
      </c>
      <c r="E120" s="420">
        <v>280.07690000000002</v>
      </c>
      <c r="T120" s="26"/>
      <c r="U120" s="42"/>
      <c r="V120" s="43"/>
      <c r="W120" s="43"/>
      <c r="X120" s="43"/>
      <c r="Y120" s="43"/>
      <c r="Z120" s="43"/>
      <c r="AA120" s="43"/>
      <c r="AB120" s="43"/>
      <c r="AC120" s="43"/>
      <c r="AD120" s="43"/>
      <c r="AE120" s="43"/>
      <c r="AF120" s="43"/>
      <c r="AG120" s="43"/>
      <c r="AH120" s="43"/>
      <c r="AI120" s="43"/>
      <c r="AJ120" s="43"/>
      <c r="AK120" s="43"/>
    </row>
    <row r="121" spans="1:37" s="4" customFormat="1" ht="12.6" hidden="1" customHeight="1" x14ac:dyDescent="0.25">
      <c r="A121" s="418" t="s">
        <v>182</v>
      </c>
      <c r="B121" s="419">
        <v>0</v>
      </c>
      <c r="C121" s="419">
        <v>0</v>
      </c>
      <c r="D121" s="419">
        <v>0</v>
      </c>
      <c r="E121" s="420">
        <v>0</v>
      </c>
      <c r="T121" s="26"/>
      <c r="U121" s="42"/>
      <c r="V121" s="43"/>
      <c r="W121" s="43"/>
      <c r="X121" s="43"/>
      <c r="Y121" s="43"/>
      <c r="Z121" s="43"/>
      <c r="AA121" s="43"/>
      <c r="AB121" s="43"/>
      <c r="AC121" s="43"/>
      <c r="AD121" s="43"/>
      <c r="AE121" s="43"/>
      <c r="AF121" s="43"/>
      <c r="AG121" s="43"/>
      <c r="AH121" s="43"/>
      <c r="AI121" s="43"/>
      <c r="AJ121" s="43"/>
      <c r="AK121" s="43"/>
    </row>
    <row r="122" spans="1:37" s="4" customFormat="1" ht="12.6" hidden="1" customHeight="1" x14ac:dyDescent="0.25">
      <c r="A122" s="418" t="s">
        <v>183</v>
      </c>
      <c r="B122" s="419">
        <v>14</v>
      </c>
      <c r="C122" s="419">
        <v>14</v>
      </c>
      <c r="D122" s="419">
        <v>24.99</v>
      </c>
      <c r="E122" s="420">
        <v>14</v>
      </c>
      <c r="T122" s="26"/>
      <c r="U122" s="42"/>
      <c r="V122" s="43"/>
      <c r="W122" s="43"/>
      <c r="X122" s="43"/>
      <c r="Y122" s="43"/>
      <c r="Z122" s="43"/>
      <c r="AA122" s="43"/>
      <c r="AB122" s="43"/>
      <c r="AC122" s="43"/>
      <c r="AD122" s="43"/>
      <c r="AE122" s="43"/>
      <c r="AF122" s="43"/>
      <c r="AG122" s="43"/>
      <c r="AH122" s="43"/>
      <c r="AI122" s="43"/>
      <c r="AJ122" s="43"/>
      <c r="AK122" s="43"/>
    </row>
    <row r="123" spans="1:37" s="4" customFormat="1" ht="12.6" hidden="1" customHeight="1" x14ac:dyDescent="0.25">
      <c r="A123" s="421" t="s">
        <v>184</v>
      </c>
      <c r="B123" s="422"/>
      <c r="C123" s="422"/>
      <c r="D123" s="422"/>
      <c r="E123" s="423"/>
      <c r="T123" s="26"/>
      <c r="U123" s="42"/>
      <c r="V123" s="43"/>
      <c r="W123" s="43"/>
      <c r="X123" s="43"/>
      <c r="Y123" s="43"/>
      <c r="Z123" s="43"/>
      <c r="AA123" s="43"/>
      <c r="AB123" s="43"/>
      <c r="AC123" s="43"/>
      <c r="AD123" s="43"/>
      <c r="AE123" s="43"/>
      <c r="AF123" s="43"/>
      <c r="AG123" s="43"/>
      <c r="AH123" s="43"/>
      <c r="AI123" s="43"/>
      <c r="AJ123" s="43"/>
      <c r="AK123" s="43"/>
    </row>
    <row r="124" spans="1:37" s="4" customFormat="1" ht="12.6" hidden="1" customHeight="1" x14ac:dyDescent="0.25">
      <c r="A124" s="418" t="s">
        <v>185</v>
      </c>
      <c r="B124" s="419">
        <v>45</v>
      </c>
      <c r="C124" s="419">
        <v>45.02</v>
      </c>
      <c r="D124" s="419">
        <v>39.083399999999997</v>
      </c>
      <c r="E124" s="420">
        <v>93.82</v>
      </c>
      <c r="T124" s="26"/>
      <c r="U124" s="42"/>
      <c r="V124" s="43"/>
      <c r="W124" s="43"/>
      <c r="X124" s="43"/>
      <c r="Y124" s="43"/>
      <c r="Z124" s="43"/>
      <c r="AA124" s="43"/>
      <c r="AB124" s="43"/>
      <c r="AC124" s="43"/>
      <c r="AD124" s="43"/>
      <c r="AE124" s="43"/>
      <c r="AF124" s="43"/>
      <c r="AG124" s="43"/>
      <c r="AH124" s="43"/>
      <c r="AI124" s="43"/>
      <c r="AJ124" s="43"/>
      <c r="AK124" s="43"/>
    </row>
    <row r="125" spans="1:37" s="4" customFormat="1" ht="29.25" hidden="1" customHeight="1" x14ac:dyDescent="0.25">
      <c r="A125" s="418" t="s">
        <v>186</v>
      </c>
      <c r="B125" s="419">
        <f>IFERROR(B124/B117*1000,0)</f>
        <v>17.998272165872081</v>
      </c>
      <c r="C125" s="419">
        <f>IFERROR(C124/C117*1000,0)</f>
        <v>8.9998060903618917</v>
      </c>
      <c r="D125" s="419">
        <f>IFERROR(D124/D117*1000,0)</f>
        <v>9.7801181289448937</v>
      </c>
      <c r="E125" s="420">
        <f>IFERROR(E124/E117*1000,0)</f>
        <v>37.51469128811862</v>
      </c>
      <c r="T125" s="26"/>
      <c r="U125" s="42"/>
      <c r="V125" s="43"/>
      <c r="W125" s="43"/>
      <c r="X125" s="43"/>
      <c r="Y125" s="43"/>
      <c r="Z125" s="43"/>
      <c r="AA125" s="43"/>
      <c r="AB125" s="43"/>
      <c r="AC125" s="43"/>
      <c r="AD125" s="43"/>
      <c r="AE125" s="43"/>
      <c r="AF125" s="43"/>
      <c r="AG125" s="43"/>
      <c r="AH125" s="43"/>
      <c r="AI125" s="43"/>
      <c r="AJ125" s="43"/>
      <c r="AK125" s="43"/>
    </row>
    <row r="126" spans="1:37" s="4" customFormat="1" ht="12.6" hidden="1" customHeight="1" x14ac:dyDescent="0.25">
      <c r="A126" s="418" t="s">
        <v>187</v>
      </c>
      <c r="B126" s="419">
        <v>1749.9487999999999</v>
      </c>
      <c r="C126" s="419">
        <v>1750.5926999999999</v>
      </c>
      <c r="D126" s="419">
        <v>2786.5021000000002</v>
      </c>
      <c r="E126" s="420">
        <v>1591.4940999999999</v>
      </c>
      <c r="T126" s="26"/>
      <c r="U126" s="42"/>
      <c r="V126" s="43"/>
      <c r="W126" s="43"/>
      <c r="X126" s="43"/>
      <c r="Y126" s="43"/>
      <c r="Z126" s="43"/>
      <c r="AA126" s="43"/>
      <c r="AB126" s="43"/>
      <c r="AC126" s="43"/>
      <c r="AD126" s="43"/>
      <c r="AE126" s="43"/>
      <c r="AF126" s="43"/>
      <c r="AG126" s="43"/>
      <c r="AH126" s="43"/>
      <c r="AI126" s="43"/>
      <c r="AJ126" s="43"/>
      <c r="AK126" s="43"/>
    </row>
    <row r="127" spans="1:37" s="4" customFormat="1" ht="12.6" hidden="1" customHeight="1" x14ac:dyDescent="0.25">
      <c r="A127" s="418" t="s">
        <v>188</v>
      </c>
      <c r="B127" s="419">
        <f>IFERROR(B126/B117,0)</f>
        <v>0.699912328416472</v>
      </c>
      <c r="C127" s="419">
        <f>IFERROR(C126/C117,0)</f>
        <v>0.34995546075528805</v>
      </c>
      <c r="D127" s="419">
        <f>IFERROR(D126/D117,0)</f>
        <v>0.69728630837012695</v>
      </c>
      <c r="E127" s="420">
        <f>IFERROR(E126/E117,0)</f>
        <v>0.63637188071159867</v>
      </c>
      <c r="T127" s="26"/>
      <c r="U127" s="42"/>
      <c r="V127" s="43"/>
      <c r="W127" s="43"/>
      <c r="X127" s="43"/>
      <c r="Y127" s="43"/>
      <c r="Z127" s="43"/>
      <c r="AA127" s="43"/>
      <c r="AB127" s="43"/>
      <c r="AC127" s="43"/>
      <c r="AD127" s="43"/>
      <c r="AE127" s="43"/>
      <c r="AF127" s="43"/>
      <c r="AG127" s="43"/>
      <c r="AH127" s="43"/>
      <c r="AI127" s="43"/>
      <c r="AJ127" s="43"/>
      <c r="AK127" s="43"/>
    </row>
    <row r="128" spans="1:37" s="4" customFormat="1" ht="12.6" hidden="1" customHeight="1" x14ac:dyDescent="0.25">
      <c r="A128" s="418" t="s">
        <v>189</v>
      </c>
      <c r="B128" s="419">
        <v>17067.240000000002</v>
      </c>
      <c r="C128" s="419">
        <v>16083.7997</v>
      </c>
      <c r="D128" s="419">
        <v>6950.2541000000001</v>
      </c>
      <c r="E128" s="420">
        <v>130161.46829999999</v>
      </c>
      <c r="T128" s="26"/>
      <c r="U128" s="42"/>
      <c r="V128" s="43"/>
      <c r="W128" s="43"/>
      <c r="X128" s="43"/>
      <c r="Y128" s="43"/>
      <c r="Z128" s="43"/>
      <c r="AA128" s="43"/>
      <c r="AB128" s="43"/>
      <c r="AC128" s="43"/>
      <c r="AD128" s="43"/>
      <c r="AE128" s="43"/>
      <c r="AF128" s="43"/>
      <c r="AG128" s="43"/>
      <c r="AH128" s="43"/>
      <c r="AI128" s="43"/>
      <c r="AJ128" s="43"/>
      <c r="AK128" s="43"/>
    </row>
    <row r="129" spans="1:37" s="4" customFormat="1" ht="30" hidden="1" customHeight="1" x14ac:dyDescent="0.25">
      <c r="A129" s="418" t="s">
        <v>190</v>
      </c>
      <c r="B129" s="419">
        <f>IFERROR(B128/B117,0)</f>
        <v>6.8262406808946352</v>
      </c>
      <c r="C129" s="419">
        <f>IFERROR(C128/C117,0)</f>
        <v>3.215261628081314</v>
      </c>
      <c r="D129" s="419">
        <f>IFERROR(D128/D117,0)</f>
        <v>1.7392116889570401</v>
      </c>
      <c r="E129" s="420">
        <f>IFERROR(E128/E117,0)</f>
        <v>52.046123437249399</v>
      </c>
      <c r="T129" s="26"/>
      <c r="U129" s="42"/>
      <c r="V129" s="43"/>
      <c r="W129" s="43"/>
      <c r="X129" s="43"/>
      <c r="Y129" s="43"/>
      <c r="Z129" s="43"/>
      <c r="AA129" s="43"/>
      <c r="AB129" s="43"/>
      <c r="AC129" s="43"/>
      <c r="AD129" s="43"/>
      <c r="AE129" s="43"/>
      <c r="AF129" s="43"/>
      <c r="AG129" s="43"/>
      <c r="AH129" s="43"/>
      <c r="AI129" s="43"/>
      <c r="AJ129" s="43"/>
      <c r="AK129" s="43"/>
    </row>
    <row r="130" spans="1:37" s="4" customFormat="1" ht="12.6" hidden="1" customHeight="1" x14ac:dyDescent="0.25">
      <c r="A130" s="424" t="s">
        <v>191</v>
      </c>
      <c r="B130" s="425"/>
      <c r="C130" s="425"/>
      <c r="D130" s="425"/>
      <c r="E130" s="426"/>
      <c r="T130" s="26"/>
      <c r="U130" s="42"/>
      <c r="V130" s="43"/>
      <c r="W130" s="43"/>
      <c r="X130" s="43"/>
      <c r="Y130" s="43"/>
      <c r="Z130" s="43"/>
      <c r="AA130" s="43"/>
      <c r="AB130" s="43"/>
      <c r="AC130" s="43"/>
      <c r="AD130" s="43"/>
      <c r="AE130" s="43"/>
      <c r="AF130" s="43"/>
      <c r="AG130" s="43"/>
      <c r="AH130" s="43"/>
      <c r="AI130" s="43"/>
      <c r="AJ130" s="43"/>
      <c r="AK130" s="43"/>
    </row>
    <row r="131" spans="1:37" s="4" customFormat="1" ht="12.6" hidden="1" customHeight="1" x14ac:dyDescent="0.25">
      <c r="A131" s="418" t="s">
        <v>192</v>
      </c>
      <c r="B131" s="419">
        <v>381.70740000000001</v>
      </c>
      <c r="C131" s="419">
        <v>2806.2321999999999</v>
      </c>
      <c r="D131" s="584">
        <v>669.23779999999999</v>
      </c>
      <c r="E131" s="420">
        <v>1202.0406</v>
      </c>
      <c r="T131" s="26"/>
      <c r="U131" s="42"/>
      <c r="V131" s="43"/>
      <c r="W131" s="43"/>
      <c r="X131" s="43"/>
      <c r="Y131" s="43"/>
      <c r="Z131" s="43"/>
      <c r="AA131" s="43"/>
      <c r="AB131" s="43"/>
      <c r="AC131" s="43"/>
      <c r="AD131" s="43"/>
      <c r="AE131" s="43"/>
      <c r="AF131" s="43"/>
      <c r="AG131" s="43"/>
      <c r="AH131" s="43"/>
      <c r="AI131" s="43"/>
      <c r="AJ131" s="43"/>
      <c r="AK131" s="43"/>
    </row>
    <row r="132" spans="1:37" s="4" customFormat="1" ht="12.6" hidden="1" customHeight="1" x14ac:dyDescent="0.25">
      <c r="A132" s="418" t="s">
        <v>193</v>
      </c>
      <c r="B132" s="419">
        <f>IFERROR(B131/B117,0)</f>
        <v>0.15266830384283112</v>
      </c>
      <c r="C132" s="419">
        <f>IFERROR(C131/C117,0)</f>
        <v>0.56098502098022318</v>
      </c>
      <c r="D132" s="584">
        <f>IFERROR(D131/D117,0)</f>
        <v>0.16746815119347849</v>
      </c>
      <c r="E132" s="420">
        <f>IFERROR(E131/E117,0)</f>
        <v>0.48064572612220091</v>
      </c>
      <c r="T132" s="26"/>
      <c r="U132" s="42"/>
      <c r="V132" s="43"/>
      <c r="W132" s="43"/>
      <c r="X132" s="43"/>
      <c r="Y132" s="43"/>
      <c r="Z132" s="43"/>
      <c r="AA132" s="43"/>
      <c r="AB132" s="43"/>
      <c r="AC132" s="43"/>
      <c r="AD132" s="43"/>
      <c r="AE132" s="43"/>
      <c r="AF132" s="43"/>
      <c r="AG132" s="43"/>
      <c r="AH132" s="43"/>
      <c r="AI132" s="43"/>
      <c r="AJ132" s="43"/>
      <c r="AK132" s="43"/>
    </row>
    <row r="133" spans="1:37" s="4" customFormat="1" ht="12.6" hidden="1" customHeight="1" x14ac:dyDescent="0.25">
      <c r="A133" s="418" t="s">
        <v>194</v>
      </c>
      <c r="B133" s="419">
        <f>IFERROR(B131/B124,0)</f>
        <v>8.4823866666666667</v>
      </c>
      <c r="C133" s="419">
        <f>IFERROR(C131/C124,0)</f>
        <v>62.333011994669029</v>
      </c>
      <c r="D133" s="584">
        <f>IFERROR(D131/D124,0)</f>
        <v>17.123326015648587</v>
      </c>
      <c r="E133" s="420">
        <f>IFERROR(E131/E124,0)</f>
        <v>12.812199957365168</v>
      </c>
      <c r="T133" s="26"/>
      <c r="U133" s="42"/>
      <c r="V133" s="43"/>
      <c r="W133" s="43"/>
      <c r="X133" s="43"/>
      <c r="Y133" s="43"/>
      <c r="Z133" s="43"/>
      <c r="AA133" s="43"/>
      <c r="AB133" s="43"/>
      <c r="AC133" s="43"/>
      <c r="AD133" s="43"/>
      <c r="AE133" s="43"/>
      <c r="AF133" s="43"/>
      <c r="AG133" s="43"/>
      <c r="AH133" s="43"/>
      <c r="AI133" s="43"/>
      <c r="AJ133" s="43"/>
      <c r="AK133" s="43"/>
    </row>
    <row r="134" spans="1:37" s="4" customFormat="1" ht="12.6" hidden="1" customHeight="1" x14ac:dyDescent="0.25">
      <c r="A134" s="427" t="s">
        <v>195</v>
      </c>
      <c r="B134" s="428"/>
      <c r="C134" s="428"/>
      <c r="D134" s="428"/>
      <c r="E134" s="429"/>
      <c r="T134" s="26"/>
      <c r="U134" s="42"/>
      <c r="V134" s="43"/>
      <c r="W134" s="43"/>
      <c r="X134" s="43"/>
      <c r="Y134" s="43"/>
      <c r="Z134" s="43"/>
      <c r="AA134" s="43"/>
      <c r="AB134" s="43"/>
      <c r="AC134" s="43"/>
      <c r="AD134" s="43"/>
      <c r="AE134" s="43"/>
      <c r="AF134" s="43"/>
      <c r="AG134" s="43"/>
      <c r="AH134" s="43"/>
      <c r="AI134" s="43"/>
      <c r="AJ134" s="43"/>
      <c r="AK134" s="43"/>
    </row>
    <row r="135" spans="1:37" s="4" customFormat="1" ht="75" hidden="1" customHeight="1" x14ac:dyDescent="0.25">
      <c r="A135" s="418" t="s">
        <v>196</v>
      </c>
      <c r="B135" s="430" t="s">
        <v>197</v>
      </c>
      <c r="C135" s="430" t="s">
        <v>198</v>
      </c>
      <c r="D135" s="430" t="s">
        <v>199</v>
      </c>
      <c r="E135" s="431" t="s">
        <v>200</v>
      </c>
      <c r="T135" s="26"/>
      <c r="U135" s="42"/>
      <c r="V135" s="43"/>
      <c r="W135" s="43"/>
      <c r="X135" s="43"/>
      <c r="Y135" s="43"/>
      <c r="Z135" s="43"/>
      <c r="AA135" s="43"/>
      <c r="AB135" s="43"/>
      <c r="AC135" s="43"/>
      <c r="AD135" s="43"/>
      <c r="AE135" s="43"/>
      <c r="AF135" s="43"/>
      <c r="AG135" s="43"/>
      <c r="AH135" s="43"/>
      <c r="AI135" s="43"/>
      <c r="AJ135" s="43"/>
      <c r="AK135" s="43"/>
    </row>
    <row r="136" spans="1:37" s="4" customFormat="1" ht="75" hidden="1" customHeight="1" thickBot="1" x14ac:dyDescent="0.3">
      <c r="A136" s="432" t="s">
        <v>158</v>
      </c>
      <c r="B136" s="433" t="s">
        <v>201</v>
      </c>
      <c r="C136" s="433" t="s">
        <v>201</v>
      </c>
      <c r="D136" s="433" t="s">
        <v>201</v>
      </c>
      <c r="E136" s="434" t="s">
        <v>201</v>
      </c>
      <c r="T136" s="26"/>
      <c r="U136" s="42"/>
      <c r="V136" s="43"/>
      <c r="W136" s="43"/>
      <c r="X136" s="43"/>
      <c r="Y136" s="43"/>
      <c r="Z136" s="43"/>
      <c r="AA136" s="43"/>
      <c r="AB136" s="43"/>
      <c r="AC136" s="43"/>
      <c r="AD136" s="43"/>
      <c r="AE136" s="43"/>
      <c r="AF136" s="43"/>
      <c r="AG136" s="43"/>
      <c r="AH136" s="43"/>
      <c r="AI136" s="43"/>
      <c r="AJ136" s="43"/>
      <c r="AK136" s="43"/>
    </row>
    <row r="137" spans="1:37" s="4" customFormat="1" ht="12.6" hidden="1" customHeight="1" x14ac:dyDescent="0.25">
      <c r="A137" s="404"/>
      <c r="B137" s="404"/>
      <c r="C137" s="404"/>
      <c r="D137" s="404"/>
      <c r="E137" s="404"/>
      <c r="T137" s="26"/>
      <c r="U137" s="42"/>
      <c r="V137" s="43"/>
      <c r="W137" s="43"/>
      <c r="X137" s="43"/>
      <c r="Y137" s="43"/>
      <c r="Z137" s="43"/>
      <c r="AA137" s="43"/>
      <c r="AB137" s="43"/>
      <c r="AC137" s="43"/>
      <c r="AD137" s="43"/>
      <c r="AE137" s="43"/>
      <c r="AF137" s="43"/>
      <c r="AG137" s="43"/>
      <c r="AH137" s="43"/>
      <c r="AI137" s="43"/>
      <c r="AJ137" s="43"/>
      <c r="AK137" s="43"/>
    </row>
    <row r="138" spans="1:37" s="4" customFormat="1" ht="12.6" hidden="1" customHeight="1" x14ac:dyDescent="0.25">
      <c r="A138" s="409"/>
      <c r="B138" s="409"/>
      <c r="C138" s="409"/>
      <c r="D138" s="409"/>
      <c r="E138" s="409"/>
      <c r="T138" s="26"/>
      <c r="U138" s="42"/>
      <c r="V138" s="43"/>
      <c r="W138" s="43"/>
      <c r="X138" s="43"/>
      <c r="Y138" s="43"/>
      <c r="Z138" s="43"/>
      <c r="AA138" s="43"/>
      <c r="AB138" s="43"/>
      <c r="AC138" s="43"/>
      <c r="AD138" s="43"/>
      <c r="AE138" s="43"/>
      <c r="AF138" s="43"/>
      <c r="AG138" s="43"/>
      <c r="AH138" s="43"/>
      <c r="AI138" s="43"/>
      <c r="AJ138" s="43"/>
      <c r="AK138" s="43"/>
    </row>
    <row r="139" spans="1:37" s="4" customFormat="1" ht="14.4" hidden="1" x14ac:dyDescent="0.25">
      <c r="A139" s="404"/>
      <c r="B139" s="404"/>
      <c r="C139" s="404"/>
      <c r="D139" s="404"/>
      <c r="E139" s="404"/>
      <c r="T139" s="26"/>
      <c r="U139" s="42"/>
      <c r="V139" s="43"/>
      <c r="W139" s="43"/>
      <c r="X139" s="43"/>
      <c r="Y139" s="43"/>
      <c r="Z139" s="43"/>
      <c r="AA139" s="43"/>
      <c r="AB139" s="43"/>
      <c r="AC139" s="43"/>
      <c r="AD139" s="43"/>
      <c r="AE139" s="43"/>
      <c r="AF139" s="43"/>
      <c r="AG139" s="43"/>
      <c r="AH139" s="43"/>
      <c r="AI139" s="43"/>
      <c r="AJ139" s="43"/>
      <c r="AK139" s="43"/>
    </row>
    <row r="140" spans="1:37" s="4" customFormat="1" ht="60" hidden="1" customHeight="1" x14ac:dyDescent="0.25">
      <c r="A140" s="404"/>
      <c r="B140" s="404"/>
      <c r="C140" s="404"/>
      <c r="D140" s="404"/>
      <c r="E140" s="404"/>
      <c r="T140" s="26"/>
      <c r="U140" s="42"/>
      <c r="V140" s="43"/>
      <c r="W140" s="43"/>
      <c r="X140" s="43"/>
      <c r="Y140" s="43"/>
      <c r="Z140" s="43"/>
      <c r="AA140" s="43"/>
      <c r="AB140" s="43"/>
      <c r="AC140" s="43"/>
      <c r="AD140" s="43"/>
      <c r="AE140" s="43"/>
      <c r="AF140" s="43"/>
      <c r="AG140" s="43"/>
      <c r="AH140" s="43"/>
      <c r="AI140" s="43"/>
      <c r="AJ140" s="43"/>
      <c r="AK140" s="43"/>
    </row>
    <row r="141" spans="1:37" s="4" customFormat="1" ht="24" hidden="1" customHeight="1" x14ac:dyDescent="0.25">
      <c r="A141" s="404"/>
      <c r="B141" s="404"/>
      <c r="C141" s="404"/>
      <c r="D141" s="404"/>
      <c r="E141" s="404"/>
      <c r="T141" s="26"/>
      <c r="U141" s="42"/>
      <c r="V141" s="43"/>
      <c r="W141" s="43"/>
      <c r="X141" s="43"/>
      <c r="Y141" s="43"/>
      <c r="Z141" s="43"/>
      <c r="AA141" s="43"/>
      <c r="AB141" s="43"/>
      <c r="AC141" s="43"/>
      <c r="AD141" s="43"/>
      <c r="AE141" s="43"/>
      <c r="AF141" s="43"/>
      <c r="AG141" s="43"/>
      <c r="AH141" s="43"/>
      <c r="AI141" s="43"/>
      <c r="AJ141" s="43"/>
      <c r="AK141" s="43"/>
    </row>
    <row r="142" spans="1:37" s="400" customFormat="1" ht="22.5" hidden="1" customHeight="1" x14ac:dyDescent="0.25">
      <c r="A142" s="405"/>
      <c r="B142" s="405"/>
      <c r="C142" s="405"/>
      <c r="D142" s="405"/>
      <c r="E142" s="405"/>
      <c r="T142" s="406"/>
      <c r="U142" s="407"/>
      <c r="V142" s="408"/>
      <c r="W142" s="408"/>
      <c r="X142" s="408"/>
      <c r="Y142" s="408"/>
      <c r="Z142" s="408"/>
      <c r="AA142" s="408"/>
      <c r="AB142" s="408"/>
      <c r="AC142" s="408"/>
      <c r="AD142" s="408"/>
      <c r="AE142" s="408"/>
      <c r="AF142" s="408"/>
      <c r="AG142" s="408"/>
      <c r="AH142" s="408"/>
      <c r="AI142" s="408"/>
      <c r="AJ142" s="408"/>
      <c r="AK142" s="408"/>
    </row>
  </sheetData>
  <mergeCells count="222">
    <mergeCell ref="P41:P44"/>
    <mergeCell ref="Q41:Q44"/>
    <mergeCell ref="R41:R44"/>
    <mergeCell ref="S41:S44"/>
    <mergeCell ref="Y41:Y44"/>
    <mergeCell ref="A51:A53"/>
    <mergeCell ref="A60:E60"/>
    <mergeCell ref="A62:A64"/>
    <mergeCell ref="A1:C1"/>
    <mergeCell ref="A2:C2"/>
    <mergeCell ref="T47:T49"/>
    <mergeCell ref="U47:U49"/>
    <mergeCell ref="V47:V49"/>
    <mergeCell ref="W47:W49"/>
    <mergeCell ref="X47:X49"/>
    <mergeCell ref="O47:O49"/>
    <mergeCell ref="P47:P49"/>
    <mergeCell ref="Q47:Q49"/>
    <mergeCell ref="R47:R49"/>
    <mergeCell ref="S47:S49"/>
    <mergeCell ref="H56:H58"/>
    <mergeCell ref="I56:I58"/>
    <mergeCell ref="J56:J58"/>
    <mergeCell ref="K56:K58"/>
    <mergeCell ref="AE37:AE40"/>
    <mergeCell ref="Q37:Q40"/>
    <mergeCell ref="R37:R40"/>
    <mergeCell ref="S37:S40"/>
    <mergeCell ref="T37:T40"/>
    <mergeCell ref="K37:K40"/>
    <mergeCell ref="L37:L40"/>
    <mergeCell ref="M37:M40"/>
    <mergeCell ref="N37:N40"/>
    <mergeCell ref="O37:O40"/>
    <mergeCell ref="AR37:AR40"/>
    <mergeCell ref="AS37:AS40"/>
    <mergeCell ref="H37:H40"/>
    <mergeCell ref="I37:I40"/>
    <mergeCell ref="J37:J40"/>
    <mergeCell ref="H41:H44"/>
    <mergeCell ref="I41:I44"/>
    <mergeCell ref="J41:J44"/>
    <mergeCell ref="K41:K44"/>
    <mergeCell ref="V37:V40"/>
    <mergeCell ref="T41:T44"/>
    <mergeCell ref="U41:U44"/>
    <mergeCell ref="V41:V44"/>
    <mergeCell ref="P37:P40"/>
    <mergeCell ref="U37:U40"/>
    <mergeCell ref="AR41:AR44"/>
    <mergeCell ref="AL41:AL44"/>
    <mergeCell ref="AM41:AM44"/>
    <mergeCell ref="AD41:AD44"/>
    <mergeCell ref="AE41:AE44"/>
    <mergeCell ref="AF41:AF44"/>
    <mergeCell ref="L41:L44"/>
    <mergeCell ref="M41:M44"/>
    <mergeCell ref="N41:N44"/>
    <mergeCell ref="BE37:BE40"/>
    <mergeCell ref="BF37:BF40"/>
    <mergeCell ref="X41:X44"/>
    <mergeCell ref="AI41:AI44"/>
    <mergeCell ref="AJ41:AJ44"/>
    <mergeCell ref="AK41:AK44"/>
    <mergeCell ref="W37:W40"/>
    <mergeCell ref="X37:X40"/>
    <mergeCell ref="Y37:Y40"/>
    <mergeCell ref="AG41:AG44"/>
    <mergeCell ref="AH41:AH44"/>
    <mergeCell ref="Z41:Z44"/>
    <mergeCell ref="AA41:AA44"/>
    <mergeCell ref="AB41:AB44"/>
    <mergeCell ref="AC41:AC44"/>
    <mergeCell ref="W41:W44"/>
    <mergeCell ref="BD41:BD44"/>
    <mergeCell ref="BE41:BE44"/>
    <mergeCell ref="AU37:AU40"/>
    <mergeCell ref="AV37:AV40"/>
    <mergeCell ref="AW37:AW40"/>
    <mergeCell ref="AX37:AX40"/>
    <mergeCell ref="AO37:AO40"/>
    <mergeCell ref="BF41:BF44"/>
    <mergeCell ref="BG37:BG40"/>
    <mergeCell ref="AF37:AF40"/>
    <mergeCell ref="AG37:AG40"/>
    <mergeCell ref="AH37:AH40"/>
    <mergeCell ref="AI37:AI40"/>
    <mergeCell ref="Z37:Z40"/>
    <mergeCell ref="AA37:AA40"/>
    <mergeCell ref="AB37:AB40"/>
    <mergeCell ref="AC37:AC40"/>
    <mergeCell ref="AD37:AD40"/>
    <mergeCell ref="AY37:AY40"/>
    <mergeCell ref="AZ37:AZ40"/>
    <mergeCell ref="BA37:BA40"/>
    <mergeCell ref="BB37:BB40"/>
    <mergeCell ref="BC37:BC40"/>
    <mergeCell ref="AT37:AT40"/>
    <mergeCell ref="BD37:BD40"/>
    <mergeCell ref="AJ37:AJ40"/>
    <mergeCell ref="AK37:AK40"/>
    <mergeCell ref="AL37:AL40"/>
    <mergeCell ref="AM37:AM40"/>
    <mergeCell ref="AN37:AN40"/>
    <mergeCell ref="AP37:AP40"/>
    <mergeCell ref="AQ37:AQ40"/>
    <mergeCell ref="BG41:BG44"/>
    <mergeCell ref="AX41:AX44"/>
    <mergeCell ref="AY41:AY44"/>
    <mergeCell ref="AZ41:AZ44"/>
    <mergeCell ref="BA41:BA44"/>
    <mergeCell ref="BB41:BB44"/>
    <mergeCell ref="H47:H49"/>
    <mergeCell ref="I47:I49"/>
    <mergeCell ref="J47:J49"/>
    <mergeCell ref="K47:K49"/>
    <mergeCell ref="L47:L49"/>
    <mergeCell ref="M47:M49"/>
    <mergeCell ref="N47:N49"/>
    <mergeCell ref="BC41:BC44"/>
    <mergeCell ref="AS41:AS44"/>
    <mergeCell ref="AT41:AT44"/>
    <mergeCell ref="AU41:AU44"/>
    <mergeCell ref="AV41:AV44"/>
    <mergeCell ref="AW41:AW44"/>
    <mergeCell ref="AN41:AN44"/>
    <mergeCell ref="AO41:AO44"/>
    <mergeCell ref="AP41:AP44"/>
    <mergeCell ref="AQ41:AQ44"/>
    <mergeCell ref="O41:O44"/>
    <mergeCell ref="Z47:Z49"/>
    <mergeCell ref="AA47:AA49"/>
    <mergeCell ref="AB47:AB49"/>
    <mergeCell ref="AC47:AC49"/>
    <mergeCell ref="BE47:BE49"/>
    <mergeCell ref="BF47:BF49"/>
    <mergeCell ref="BG47:BG49"/>
    <mergeCell ref="AX47:AX49"/>
    <mergeCell ref="AY47:AY49"/>
    <mergeCell ref="AZ47:AZ49"/>
    <mergeCell ref="BA47:BA49"/>
    <mergeCell ref="BB47:BB49"/>
    <mergeCell ref="AS47:AS49"/>
    <mergeCell ref="AT47:AT49"/>
    <mergeCell ref="AU47:AU49"/>
    <mergeCell ref="AV47:AV49"/>
    <mergeCell ref="AW47:AW49"/>
    <mergeCell ref="L56:L58"/>
    <mergeCell ref="BC47:BC49"/>
    <mergeCell ref="BD47:BD49"/>
    <mergeCell ref="AN47:AN49"/>
    <mergeCell ref="AO47:AO49"/>
    <mergeCell ref="AP47:AP49"/>
    <mergeCell ref="AQ47:AQ49"/>
    <mergeCell ref="AR47:AR49"/>
    <mergeCell ref="AI47:AI49"/>
    <mergeCell ref="AJ47:AJ49"/>
    <mergeCell ref="AK47:AK49"/>
    <mergeCell ref="AL47:AL49"/>
    <mergeCell ref="AM47:AM49"/>
    <mergeCell ref="AD47:AD49"/>
    <mergeCell ref="AE47:AE49"/>
    <mergeCell ref="AF47:AF49"/>
    <mergeCell ref="AG47:AG49"/>
    <mergeCell ref="AH47:AH49"/>
    <mergeCell ref="R56:R58"/>
    <mergeCell ref="Y47:Y49"/>
    <mergeCell ref="S56:S58"/>
    <mergeCell ref="T56:T58"/>
    <mergeCell ref="U56:U58"/>
    <mergeCell ref="V56:V58"/>
    <mergeCell ref="M56:M58"/>
    <mergeCell ref="N56:N58"/>
    <mergeCell ref="O56:O58"/>
    <mergeCell ref="P56:P58"/>
    <mergeCell ref="Q56:Q58"/>
    <mergeCell ref="AB56:AB58"/>
    <mergeCell ref="AC56:AC58"/>
    <mergeCell ref="AD56:AD58"/>
    <mergeCell ref="AE56:AE58"/>
    <mergeCell ref="BG56:BG58"/>
    <mergeCell ref="BA56:BA58"/>
    <mergeCell ref="BB56:BB58"/>
    <mergeCell ref="BC56:BC58"/>
    <mergeCell ref="BD56:BD58"/>
    <mergeCell ref="BE56:BE58"/>
    <mergeCell ref="AV56:AV58"/>
    <mergeCell ref="AW56:AW58"/>
    <mergeCell ref="AX56:AX58"/>
    <mergeCell ref="AY56:AY58"/>
    <mergeCell ref="AZ56:AZ58"/>
    <mergeCell ref="BF56:BF58"/>
    <mergeCell ref="AG56:AG58"/>
    <mergeCell ref="AH56:AH58"/>
    <mergeCell ref="AI56:AI58"/>
    <mergeCell ref="AJ56:AJ58"/>
    <mergeCell ref="AK56:AK58"/>
    <mergeCell ref="AF56:AF58"/>
    <mergeCell ref="W56:W58"/>
    <mergeCell ref="X56:X58"/>
    <mergeCell ref="Y56:Y58"/>
    <mergeCell ref="Z56:Z58"/>
    <mergeCell ref="AA56:AA58"/>
    <mergeCell ref="AQ56:AQ58"/>
    <mergeCell ref="AR56:AR58"/>
    <mergeCell ref="AS56:AS58"/>
    <mergeCell ref="AT56:AT58"/>
    <mergeCell ref="AU56:AU58"/>
    <mergeCell ref="AL56:AL58"/>
    <mergeCell ref="AM56:AM58"/>
    <mergeCell ref="AN56:AN58"/>
    <mergeCell ref="AO56:AO58"/>
    <mergeCell ref="AP56:AP58"/>
    <mergeCell ref="A112:E112"/>
    <mergeCell ref="A36:E36"/>
    <mergeCell ref="A37:A39"/>
    <mergeCell ref="A40:A42"/>
    <mergeCell ref="A45:A47"/>
    <mergeCell ref="A49:E49"/>
    <mergeCell ref="A54:A55"/>
    <mergeCell ref="A56:A59"/>
    <mergeCell ref="A72:C72"/>
  </mergeCells>
  <phoneticPr fontId="5" type="noConversion"/>
  <hyperlinks>
    <hyperlink ref="E7" r:id="rId1" display="https://2050partners.sharepoint.com/:w:/r/sites/CalBEMCollaborativeEfforts/Shared Documents/Working Group 1 - Streamlined Process/D - Complexity of Compliance/Prototype Unification/Project Development/Phase 2 (Collect Inputs) Development/NonRes-Vintage bins-Draft Report-30Nov2023-Final.docx?d=w8560be34ea9744e086bccf7767b0a3cf&amp;csf=1&amp;web=1&amp;e=tpxacv" xr:uid="{9B264631-F0F0-4192-B5C5-F574CB46B1DA}"/>
    <hyperlink ref="D7" r:id="rId2" xr:uid="{7C5E8E47-EF26-474C-9744-68840570FD1C}"/>
  </hyperlinks>
  <pageMargins left="0.7" right="0.7" top="0.75" bottom="0.75" header="0.3" footer="0.3"/>
  <pageSetup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R18"/>
  <sheetViews>
    <sheetView zoomScaleNormal="100" workbookViewId="0">
      <selection sqref="A1:M1"/>
    </sheetView>
  </sheetViews>
  <sheetFormatPr defaultColWidth="8.6640625" defaultRowHeight="13.2" x14ac:dyDescent="0.25"/>
  <cols>
    <col min="1" max="1" width="28.109375" style="4" customWidth="1"/>
    <col min="2" max="2" width="35" style="4" customWidth="1"/>
    <col min="3" max="3" width="51.6640625" style="4" customWidth="1"/>
    <col min="4" max="5" width="17.33203125" style="4" customWidth="1"/>
    <col min="6" max="6" width="22" style="4" customWidth="1"/>
    <col min="7" max="7" width="12.6640625" style="4" customWidth="1"/>
    <col min="8" max="8" width="12" style="4" bestFit="1" customWidth="1"/>
    <col min="9" max="10" width="11.33203125" style="4" customWidth="1"/>
    <col min="11" max="11" width="20.33203125" style="4" customWidth="1"/>
    <col min="12" max="12" width="29.44140625" style="4" customWidth="1"/>
    <col min="13" max="13" width="28.88671875" style="4" customWidth="1"/>
    <col min="14" max="14" width="12.6640625" style="4" customWidth="1"/>
    <col min="15" max="15" width="14.88671875" style="4" customWidth="1"/>
    <col min="16" max="16" width="22.33203125" style="4" bestFit="1" customWidth="1"/>
    <col min="17" max="17" width="18.33203125" style="4" customWidth="1"/>
    <col min="18" max="18" width="25.6640625" style="4" customWidth="1"/>
    <col min="19" max="19" width="22.6640625" style="4" customWidth="1"/>
    <col min="20" max="20" width="16.33203125" style="4" customWidth="1"/>
    <col min="21" max="21" width="6.6640625" style="4" bestFit="1" customWidth="1"/>
    <col min="22" max="26" width="17.33203125" style="4" customWidth="1"/>
    <col min="27" max="16384" width="8.6640625" style="4"/>
  </cols>
  <sheetData>
    <row r="1" spans="1:18" ht="25.95" customHeight="1" x14ac:dyDescent="0.25">
      <c r="A1" s="657" t="str">
        <f>"Proposed Layout - "&amp;Prototype!A2</f>
        <v>Proposed Layout - RestaurantFastFood</v>
      </c>
      <c r="B1" s="657"/>
      <c r="C1" s="657"/>
      <c r="D1" s="657"/>
      <c r="E1" s="657"/>
      <c r="F1" s="657"/>
      <c r="G1" s="657"/>
      <c r="H1" s="657"/>
      <c r="I1" s="657"/>
      <c r="J1" s="657"/>
      <c r="K1" s="657"/>
      <c r="L1" s="657"/>
      <c r="M1" s="657"/>
    </row>
    <row r="2" spans="1:18" ht="39.6" customHeight="1" x14ac:dyDescent="0.25">
      <c r="A2" s="585" t="s">
        <v>202</v>
      </c>
      <c r="B2" s="24" t="s">
        <v>203</v>
      </c>
      <c r="C2" s="57" t="s">
        <v>204</v>
      </c>
      <c r="D2" s="23" t="s">
        <v>205</v>
      </c>
      <c r="E2" s="23" t="s">
        <v>206</v>
      </c>
      <c r="F2" s="23" t="s">
        <v>207</v>
      </c>
      <c r="G2" s="24" t="s">
        <v>208</v>
      </c>
      <c r="H2" s="550" t="s">
        <v>209</v>
      </c>
      <c r="I2" s="23" t="s">
        <v>210</v>
      </c>
      <c r="J2" s="23" t="s">
        <v>211</v>
      </c>
      <c r="K2" s="137" t="s">
        <v>212</v>
      </c>
      <c r="L2" s="23" t="s">
        <v>213</v>
      </c>
      <c r="M2" s="23" t="s">
        <v>49</v>
      </c>
      <c r="O2" s="487"/>
      <c r="P2" s="488"/>
      <c r="Q2" s="30"/>
      <c r="R2" s="30"/>
    </row>
    <row r="3" spans="1:18" ht="17.7" customHeight="1" x14ac:dyDescent="0.25">
      <c r="A3" s="495" t="s">
        <v>50</v>
      </c>
      <c r="B3" s="493" t="s">
        <v>106</v>
      </c>
      <c r="C3" s="479" t="s">
        <v>214</v>
      </c>
      <c r="D3" s="68" t="s">
        <v>215</v>
      </c>
      <c r="E3" s="68" t="s">
        <v>216</v>
      </c>
      <c r="F3" s="68" t="s">
        <v>217</v>
      </c>
      <c r="G3" s="144">
        <f>H3/$H$6</f>
        <v>0.5</v>
      </c>
      <c r="H3" s="69">
        <v>1250.46</v>
      </c>
      <c r="I3" s="69">
        <f>H3*Prototype!$B$16</f>
        <v>12504.6</v>
      </c>
      <c r="J3" s="68">
        <v>1</v>
      </c>
      <c r="K3" s="14">
        <f>L3*H3/1000</f>
        <v>41.265180000000001</v>
      </c>
      <c r="L3" s="15">
        <v>33</v>
      </c>
      <c r="M3" s="15"/>
      <c r="O3" s="489"/>
      <c r="P3" s="490"/>
      <c r="Q3" s="30"/>
      <c r="R3" s="30"/>
    </row>
    <row r="4" spans="1:18" ht="17.7" customHeight="1" x14ac:dyDescent="0.25">
      <c r="A4" s="495" t="s">
        <v>50</v>
      </c>
      <c r="B4" s="493" t="s">
        <v>107</v>
      </c>
      <c r="C4" s="479" t="s">
        <v>218</v>
      </c>
      <c r="D4" s="68" t="s">
        <v>219</v>
      </c>
      <c r="E4" s="68" t="s">
        <v>107</v>
      </c>
      <c r="F4" s="68" t="s">
        <v>217</v>
      </c>
      <c r="G4" s="144">
        <f t="shared" ref="G4" si="0">H4/$H$6</f>
        <v>0.5</v>
      </c>
      <c r="H4" s="69">
        <v>1250.46</v>
      </c>
      <c r="I4" s="69">
        <f>H4*Prototype!$B$16</f>
        <v>12504.6</v>
      </c>
      <c r="J4" s="14">
        <v>1</v>
      </c>
      <c r="K4" s="14">
        <f t="shared" ref="K4:K5" si="1">L4*H4/1000</f>
        <v>3.7513800000000002</v>
      </c>
      <c r="L4" s="15">
        <v>3</v>
      </c>
      <c r="M4" s="15"/>
      <c r="O4" s="489"/>
      <c r="P4" s="490"/>
      <c r="Q4" s="30"/>
      <c r="R4" s="30"/>
    </row>
    <row r="5" spans="1:18" ht="17.7" customHeight="1" x14ac:dyDescent="0.25">
      <c r="A5" s="495" t="s">
        <v>50</v>
      </c>
      <c r="B5" s="493" t="s">
        <v>220</v>
      </c>
      <c r="C5" s="479" t="s">
        <v>220</v>
      </c>
      <c r="D5" s="68" t="s">
        <v>221</v>
      </c>
      <c r="E5" s="68"/>
      <c r="F5" s="68" t="s">
        <v>222</v>
      </c>
      <c r="G5" s="144"/>
      <c r="H5" s="69">
        <v>2500</v>
      </c>
      <c r="I5" s="69">
        <f>H5*Prototype!$B$16</f>
        <v>25000</v>
      </c>
      <c r="J5" s="14">
        <v>1</v>
      </c>
      <c r="K5" s="14">
        <f t="shared" si="1"/>
        <v>0</v>
      </c>
      <c r="L5" s="15"/>
      <c r="M5" s="15"/>
      <c r="O5" s="489"/>
      <c r="P5" s="490"/>
      <c r="Q5" s="30"/>
      <c r="R5" s="30"/>
    </row>
    <row r="6" spans="1:18" ht="31.95" customHeight="1" x14ac:dyDescent="0.25">
      <c r="A6" s="495" t="s">
        <v>223</v>
      </c>
      <c r="B6" s="494" t="s">
        <v>224</v>
      </c>
      <c r="C6" s="455" t="s">
        <v>225</v>
      </c>
      <c r="D6" s="250" t="s">
        <v>226</v>
      </c>
      <c r="E6" s="166" t="s">
        <v>227</v>
      </c>
      <c r="F6" s="166" t="s">
        <v>228</v>
      </c>
      <c r="G6" s="175">
        <f>SUM(G3:G4)</f>
        <v>1</v>
      </c>
      <c r="H6" s="175">
        <f>SUM(H3:H4)</f>
        <v>2500.92</v>
      </c>
      <c r="I6" s="14">
        <f>SUM(I3:I4)</f>
        <v>25009.200000000001</v>
      </c>
      <c r="J6" s="14"/>
      <c r="K6" s="14"/>
      <c r="L6" s="15"/>
      <c r="M6" s="15"/>
      <c r="O6" s="489"/>
      <c r="P6" s="490"/>
      <c r="Q6" s="30"/>
      <c r="R6" s="30"/>
    </row>
    <row r="7" spans="1:18" ht="15" customHeight="1" x14ac:dyDescent="0.25">
      <c r="A7" s="168"/>
      <c r="B7" s="168"/>
      <c r="C7" s="168"/>
      <c r="D7" s="169"/>
      <c r="E7" s="169"/>
      <c r="F7" s="170"/>
      <c r="G7" s="170"/>
      <c r="H7" s="46"/>
      <c r="I7" s="46"/>
      <c r="J7" s="46"/>
      <c r="K7" s="171"/>
      <c r="L7" s="171"/>
      <c r="O7" s="489"/>
      <c r="P7" s="490"/>
      <c r="Q7" s="30"/>
      <c r="R7" s="30"/>
    </row>
    <row r="8" spans="1:18" ht="14.4" customHeight="1" x14ac:dyDescent="0.25">
      <c r="A8" s="168"/>
      <c r="B8" s="168"/>
      <c r="C8" s="168"/>
      <c r="D8" s="169"/>
      <c r="E8" s="169"/>
      <c r="F8" s="170"/>
      <c r="G8" s="170"/>
      <c r="H8" s="46"/>
      <c r="I8" s="46"/>
      <c r="J8" s="46"/>
      <c r="K8" s="171"/>
      <c r="L8" s="171"/>
      <c r="O8" s="489"/>
      <c r="P8" s="490"/>
    </row>
    <row r="9" spans="1:18" ht="15" customHeight="1" x14ac:dyDescent="0.25">
      <c r="G9" s="18"/>
      <c r="H9" s="18"/>
      <c r="I9" s="18"/>
      <c r="J9" s="18"/>
      <c r="K9" s="541"/>
      <c r="L9" s="541"/>
      <c r="O9" s="489"/>
      <c r="P9" s="490"/>
    </row>
    <row r="10" spans="1:18" ht="14.4" customHeight="1" x14ac:dyDescent="0.25">
      <c r="A10" s="193"/>
      <c r="B10" s="193"/>
      <c r="C10" s="193"/>
      <c r="D10" s="194"/>
      <c r="E10" s="194"/>
      <c r="F10" s="195"/>
      <c r="G10" s="194"/>
      <c r="H10" s="194"/>
      <c r="I10" s="194"/>
      <c r="J10" s="194"/>
      <c r="K10" s="196"/>
      <c r="L10" s="196"/>
      <c r="O10" s="489"/>
      <c r="P10" s="490"/>
    </row>
    <row r="11" spans="1:18" ht="14.4" customHeight="1" x14ac:dyDescent="0.25">
      <c r="A11" s="193"/>
      <c r="B11" s="193"/>
      <c r="C11" s="193"/>
      <c r="D11" s="194"/>
      <c r="E11" s="194"/>
      <c r="F11" s="195"/>
      <c r="G11" s="194"/>
      <c r="H11" s="194"/>
      <c r="I11" s="194"/>
      <c r="J11" s="194"/>
      <c r="K11" s="196"/>
      <c r="L11" s="196"/>
      <c r="O11" s="491"/>
      <c r="P11" s="492"/>
    </row>
    <row r="12" spans="1:18" x14ac:dyDescent="0.25">
      <c r="A12" s="197"/>
      <c r="B12" s="197"/>
      <c r="C12" s="197"/>
      <c r="D12" s="198"/>
      <c r="E12" s="198"/>
      <c r="F12" s="198"/>
      <c r="G12" s="198"/>
      <c r="H12" s="198"/>
      <c r="I12" s="194"/>
      <c r="J12" s="194"/>
      <c r="K12" s="196"/>
      <c r="L12" s="196"/>
    </row>
    <row r="13" spans="1:18" x14ac:dyDescent="0.25">
      <c r="G13" s="18"/>
      <c r="H13" s="18"/>
      <c r="I13" s="18"/>
      <c r="J13" s="18"/>
      <c r="K13" s="18"/>
      <c r="L13" s="18"/>
    </row>
    <row r="14" spans="1:18" x14ac:dyDescent="0.25">
      <c r="G14" s="18"/>
      <c r="H14" s="18"/>
      <c r="I14" s="18"/>
      <c r="J14" s="18"/>
      <c r="K14" s="18"/>
      <c r="L14" s="18"/>
    </row>
    <row r="15" spans="1:18" ht="26.25" customHeight="1" x14ac:dyDescent="0.25">
      <c r="G15" s="18"/>
      <c r="H15" s="18"/>
      <c r="I15" s="18"/>
      <c r="J15" s="18"/>
      <c r="K15" s="18"/>
      <c r="L15" s="18"/>
    </row>
    <row r="16" spans="1:18" x14ac:dyDescent="0.25">
      <c r="G16" s="18"/>
      <c r="H16" s="18"/>
      <c r="I16" s="18"/>
      <c r="J16" s="18"/>
      <c r="K16" s="18"/>
      <c r="L16" s="18"/>
    </row>
    <row r="17" spans="1:12" s="400" customFormat="1" hidden="1" x14ac:dyDescent="0.25">
      <c r="A17" s="19" t="s">
        <v>229</v>
      </c>
      <c r="B17" s="19"/>
      <c r="C17" s="19"/>
      <c r="D17" s="19"/>
      <c r="E17" s="19"/>
      <c r="F17" s="19"/>
      <c r="G17" s="20"/>
      <c r="H17" s="22"/>
      <c r="I17" s="19"/>
      <c r="J17" s="19"/>
      <c r="K17" s="19"/>
      <c r="L17" s="19"/>
    </row>
    <row r="18" spans="1:12" x14ac:dyDescent="0.25">
      <c r="B18" s="17"/>
      <c r="C18" s="17"/>
      <c r="D18" s="17"/>
      <c r="E18" s="17"/>
      <c r="F18" s="17"/>
    </row>
  </sheetData>
  <mergeCells count="1">
    <mergeCell ref="A1:M1"/>
  </mergeCells>
  <phoneticPr fontId="5"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8B1D8B2-274E-40DA-B15B-4C00BD6091D9}">
          <x14:formula1>
            <xm:f>Data!$A$2:$A$200</xm:f>
          </x14:formula1>
          <xm:sqref>C3:C5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N106"/>
  <sheetViews>
    <sheetView zoomScale="85" zoomScaleNormal="85" workbookViewId="0">
      <selection sqref="A1:X1"/>
    </sheetView>
  </sheetViews>
  <sheetFormatPr defaultColWidth="9.33203125" defaultRowHeight="13.8" x14ac:dyDescent="0.25"/>
  <cols>
    <col min="1" max="1" width="17.33203125" style="47" customWidth="1"/>
    <col min="2" max="2" width="18.33203125" style="49" customWidth="1"/>
    <col min="3" max="3" width="20.88671875" style="47" customWidth="1"/>
    <col min="4" max="4" width="40.33203125" style="47" customWidth="1"/>
    <col min="5" max="5" width="13.33203125" style="47" customWidth="1"/>
    <col min="6" max="6" width="15.6640625" style="47" customWidth="1"/>
    <col min="7" max="7" width="20.5546875" style="50" customWidth="1"/>
    <col min="8" max="8" width="42.6640625" style="47" customWidth="1"/>
    <col min="9" max="9" width="6.88671875" style="47" customWidth="1"/>
    <col min="10" max="12" width="7" style="47" customWidth="1"/>
    <col min="13" max="14" width="7.33203125" style="47" customWidth="1"/>
    <col min="15" max="15" width="7" style="47" customWidth="1"/>
    <col min="16" max="16" width="7.109375" style="47" customWidth="1"/>
    <col min="17" max="17" width="7.5546875" style="47" customWidth="1"/>
    <col min="18" max="21" width="7" style="47" customWidth="1"/>
    <col min="22" max="22" width="7.6640625" style="47" customWidth="1"/>
    <col min="23" max="24" width="7" style="47" customWidth="1"/>
    <col min="25" max="25" width="9.33203125" style="47"/>
    <col min="26" max="26" width="24.109375" style="47" customWidth="1"/>
    <col min="27" max="30" width="7.6640625" style="47" customWidth="1"/>
    <col min="31" max="31" width="9.6640625" style="47" customWidth="1"/>
    <col min="32" max="32" width="7.5546875" style="47" customWidth="1"/>
    <col min="33" max="33" width="11.44140625" style="47" customWidth="1"/>
    <col min="34" max="42" width="7.6640625" style="47" customWidth="1"/>
    <col min="43" max="46" width="10.44140625" style="47" customWidth="1"/>
    <col min="47" max="47" width="9.88671875" style="47" customWidth="1"/>
    <col min="48" max="48" width="10.44140625" style="47" customWidth="1"/>
    <col min="49" max="49" width="21.6640625" style="47" customWidth="1"/>
    <col min="50" max="50" width="10.44140625" style="47" customWidth="1"/>
    <col min="51" max="53" width="7.44140625" style="47" customWidth="1"/>
    <col min="54" max="54" width="7.6640625" style="47" customWidth="1"/>
    <col min="55" max="55" width="7.44140625" style="47" customWidth="1"/>
    <col min="56" max="56" width="13.6640625" style="47" customWidth="1"/>
    <col min="57" max="60" width="7.44140625" style="47" customWidth="1"/>
    <col min="61" max="62" width="9.6640625" style="47" bestFit="1" customWidth="1"/>
    <col min="63" max="16384" width="9.33203125" style="47"/>
  </cols>
  <sheetData>
    <row r="1" spans="1:66" ht="25.2" customHeight="1" x14ac:dyDescent="0.25">
      <c r="A1" s="675" t="str">
        <f>"Envelope - "&amp;Prototype!A2</f>
        <v>Envelope - RestaurantFastFood</v>
      </c>
      <c r="B1" s="675"/>
      <c r="C1" s="675"/>
      <c r="D1" s="675"/>
      <c r="E1" s="675"/>
      <c r="F1" s="675"/>
      <c r="G1" s="675"/>
      <c r="H1" s="675"/>
      <c r="I1" s="675"/>
      <c r="J1" s="675"/>
      <c r="K1" s="675"/>
      <c r="L1" s="675"/>
      <c r="M1" s="675"/>
      <c r="N1" s="675"/>
      <c r="O1" s="675"/>
      <c r="P1" s="675"/>
      <c r="Q1" s="675"/>
      <c r="R1" s="675"/>
      <c r="S1" s="675"/>
      <c r="T1" s="675"/>
      <c r="U1" s="675"/>
      <c r="V1" s="675"/>
      <c r="W1" s="675"/>
      <c r="X1" s="675"/>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row>
    <row r="2" spans="1:66" ht="27" customHeight="1" x14ac:dyDescent="0.25">
      <c r="A2" s="58" t="s">
        <v>230</v>
      </c>
      <c r="B2" s="58" t="s">
        <v>7</v>
      </c>
      <c r="C2" s="58" t="s">
        <v>231</v>
      </c>
      <c r="D2" s="58" t="s">
        <v>232</v>
      </c>
      <c r="E2" s="505" t="s">
        <v>233</v>
      </c>
      <c r="F2" s="58" t="s">
        <v>234</v>
      </c>
      <c r="G2" s="505" t="s">
        <v>235</v>
      </c>
      <c r="H2" s="58" t="s">
        <v>49</v>
      </c>
      <c r="I2" s="58" t="s">
        <v>236</v>
      </c>
      <c r="J2" s="58" t="s">
        <v>237</v>
      </c>
      <c r="K2" s="58" t="s">
        <v>238</v>
      </c>
      <c r="L2" s="58" t="s">
        <v>239</v>
      </c>
      <c r="M2" s="58" t="s">
        <v>240</v>
      </c>
      <c r="N2" s="58" t="s">
        <v>241</v>
      </c>
      <c r="O2" s="58" t="s">
        <v>242</v>
      </c>
      <c r="P2" s="58" t="s">
        <v>243</v>
      </c>
      <c r="Q2" s="58" t="s">
        <v>244</v>
      </c>
      <c r="R2" s="58" t="s">
        <v>245</v>
      </c>
      <c r="S2" s="58" t="s">
        <v>246</v>
      </c>
      <c r="T2" s="58" t="s">
        <v>247</v>
      </c>
      <c r="U2" s="58" t="s">
        <v>248</v>
      </c>
      <c r="V2" s="58" t="s">
        <v>249</v>
      </c>
      <c r="W2" s="58" t="s">
        <v>250</v>
      </c>
      <c r="X2" s="58" t="s">
        <v>251</v>
      </c>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row>
    <row r="3" spans="1:66" ht="13.95" customHeight="1" x14ac:dyDescent="0.25">
      <c r="A3" s="672" t="s">
        <v>252</v>
      </c>
      <c r="B3" s="672" t="s">
        <v>50</v>
      </c>
      <c r="C3" s="673" t="s">
        <v>253</v>
      </c>
      <c r="D3" s="673" t="s">
        <v>254</v>
      </c>
      <c r="E3" s="672" t="s">
        <v>255</v>
      </c>
      <c r="F3" s="528" t="s">
        <v>256</v>
      </c>
      <c r="G3" s="528" t="s">
        <v>85</v>
      </c>
      <c r="H3" s="529" t="s">
        <v>257</v>
      </c>
      <c r="I3" s="506">
        <v>0.29199999999999998</v>
      </c>
      <c r="J3" s="506">
        <v>0.29199999999999998</v>
      </c>
      <c r="K3" s="506">
        <v>0.29199999999999998</v>
      </c>
      <c r="L3" s="506">
        <v>0.29199999999999998</v>
      </c>
      <c r="M3" s="506">
        <v>0.29199999999999998</v>
      </c>
      <c r="N3" s="506">
        <v>0.29199999999999998</v>
      </c>
      <c r="O3" s="506">
        <v>0.29199999999999998</v>
      </c>
      <c r="P3" s="506">
        <v>0.29199999999999998</v>
      </c>
      <c r="Q3" s="506">
        <v>0.29199999999999998</v>
      </c>
      <c r="R3" s="506">
        <v>0.29199999999999998</v>
      </c>
      <c r="S3" s="506">
        <v>0.29199999999999998</v>
      </c>
      <c r="T3" s="506">
        <v>0.29199999999999998</v>
      </c>
      <c r="U3" s="506">
        <v>0.29199999999999998</v>
      </c>
      <c r="V3" s="506">
        <v>0.29199999999999998</v>
      </c>
      <c r="W3" s="506">
        <v>0.29199999999999998</v>
      </c>
      <c r="X3" s="506">
        <v>0.29199999999999998</v>
      </c>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row>
    <row r="4" spans="1:66" ht="33" customHeight="1" x14ac:dyDescent="0.25">
      <c r="A4" s="672"/>
      <c r="B4" s="672"/>
      <c r="C4" s="673"/>
      <c r="D4" s="673"/>
      <c r="E4" s="672"/>
      <c r="F4" s="507" t="s">
        <v>258</v>
      </c>
      <c r="G4" s="507">
        <v>1986</v>
      </c>
      <c r="H4" s="508" t="s">
        <v>259</v>
      </c>
      <c r="I4" s="509">
        <f>1/7.52</f>
        <v>0.13297872340425532</v>
      </c>
      <c r="J4" s="509">
        <f t="shared" ref="J4:X4" si="0">1/7.52</f>
        <v>0.13297872340425532</v>
      </c>
      <c r="K4" s="509">
        <f t="shared" si="0"/>
        <v>0.13297872340425532</v>
      </c>
      <c r="L4" s="509">
        <f t="shared" si="0"/>
        <v>0.13297872340425532</v>
      </c>
      <c r="M4" s="509">
        <f t="shared" si="0"/>
        <v>0.13297872340425532</v>
      </c>
      <c r="N4" s="509">
        <f t="shared" si="0"/>
        <v>0.13297872340425532</v>
      </c>
      <c r="O4" s="509">
        <f t="shared" si="0"/>
        <v>0.13297872340425532</v>
      </c>
      <c r="P4" s="509">
        <f t="shared" si="0"/>
        <v>0.13297872340425532</v>
      </c>
      <c r="Q4" s="509">
        <f t="shared" si="0"/>
        <v>0.13297872340425532</v>
      </c>
      <c r="R4" s="509">
        <f t="shared" si="0"/>
        <v>0.13297872340425532</v>
      </c>
      <c r="S4" s="509">
        <f t="shared" si="0"/>
        <v>0.13297872340425532</v>
      </c>
      <c r="T4" s="509">
        <f t="shared" si="0"/>
        <v>0.13297872340425532</v>
      </c>
      <c r="U4" s="509">
        <f t="shared" si="0"/>
        <v>0.13297872340425532</v>
      </c>
      <c r="V4" s="509">
        <f t="shared" si="0"/>
        <v>0.13297872340425532</v>
      </c>
      <c r="W4" s="509">
        <f t="shared" si="0"/>
        <v>0.13297872340425532</v>
      </c>
      <c r="X4" s="509">
        <f t="shared" si="0"/>
        <v>0.13297872340425532</v>
      </c>
      <c r="Y4" s="113"/>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row>
    <row r="5" spans="1:66" x14ac:dyDescent="0.25">
      <c r="A5" s="672"/>
      <c r="B5" s="672"/>
      <c r="C5" s="673"/>
      <c r="D5" s="673"/>
      <c r="E5" s="672"/>
      <c r="F5" s="510" t="s">
        <v>260</v>
      </c>
      <c r="G5" s="510">
        <v>2001</v>
      </c>
      <c r="H5" s="510" t="s">
        <v>261</v>
      </c>
      <c r="I5" s="511">
        <v>8.4000000000000005E-2</v>
      </c>
      <c r="J5" s="511">
        <v>8.4000000000000005E-2</v>
      </c>
      <c r="K5" s="511">
        <v>9.1999999999999998E-2</v>
      </c>
      <c r="L5" s="511">
        <v>9.1999999999999998E-2</v>
      </c>
      <c r="M5" s="511">
        <v>9.1999999999999998E-2</v>
      </c>
      <c r="N5" s="511">
        <v>9.1999999999999998E-2</v>
      </c>
      <c r="O5" s="511">
        <v>9.1999999999999998E-2</v>
      </c>
      <c r="P5" s="511">
        <v>9.1999999999999998E-2</v>
      </c>
      <c r="Q5" s="511">
        <v>9.1999999999999998E-2</v>
      </c>
      <c r="R5" s="511">
        <v>8.4000000000000005E-2</v>
      </c>
      <c r="S5" s="511">
        <v>8.4000000000000005E-2</v>
      </c>
      <c r="T5" s="511">
        <v>8.4000000000000005E-2</v>
      </c>
      <c r="U5" s="511">
        <v>8.4000000000000005E-2</v>
      </c>
      <c r="V5" s="511">
        <v>8.4000000000000005E-2</v>
      </c>
      <c r="W5" s="511">
        <v>8.4000000000000005E-2</v>
      </c>
      <c r="X5" s="511">
        <v>8.4000000000000005E-2</v>
      </c>
      <c r="Y5" s="73"/>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row>
    <row r="6" spans="1:66" x14ac:dyDescent="0.25">
      <c r="A6" s="672"/>
      <c r="B6" s="672"/>
      <c r="C6" s="673"/>
      <c r="D6" s="673"/>
      <c r="E6" s="672"/>
      <c r="F6" s="512" t="s">
        <v>262</v>
      </c>
      <c r="G6" s="512">
        <v>2013</v>
      </c>
      <c r="H6" s="512" t="s">
        <v>263</v>
      </c>
      <c r="I6" s="513">
        <v>0.10199999999999999</v>
      </c>
      <c r="J6" s="513">
        <v>5.8999999999999997E-2</v>
      </c>
      <c r="K6" s="513">
        <v>0.11</v>
      </c>
      <c r="L6" s="513">
        <v>5.8999999999999997E-2</v>
      </c>
      <c r="M6" s="513">
        <v>0.10199999999999999</v>
      </c>
      <c r="N6" s="513">
        <v>0.11</v>
      </c>
      <c r="O6" s="513">
        <v>0.11</v>
      </c>
      <c r="P6" s="513">
        <v>0.10199999999999999</v>
      </c>
      <c r="Q6" s="513">
        <v>5.8999999999999997E-2</v>
      </c>
      <c r="R6" s="513">
        <v>5.8999999999999997E-2</v>
      </c>
      <c r="S6" s="513">
        <v>5.8999999999999997E-2</v>
      </c>
      <c r="T6" s="513">
        <v>5.8999999999999997E-2</v>
      </c>
      <c r="U6" s="513">
        <v>5.8999999999999997E-2</v>
      </c>
      <c r="V6" s="513">
        <v>5.8999999999999997E-2</v>
      </c>
      <c r="W6" s="513">
        <v>4.2000000000000003E-2</v>
      </c>
      <c r="X6" s="513">
        <v>5.8999999999999997E-2</v>
      </c>
      <c r="Y6" s="73"/>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row>
    <row r="7" spans="1:66" x14ac:dyDescent="0.25">
      <c r="A7" s="672"/>
      <c r="B7" s="672"/>
      <c r="C7" s="673"/>
      <c r="D7" s="673"/>
      <c r="E7" s="672"/>
      <c r="F7" s="520" t="s">
        <v>265</v>
      </c>
      <c r="G7" s="519">
        <v>2025</v>
      </c>
      <c r="H7" s="519" t="s">
        <v>266</v>
      </c>
      <c r="I7" s="519">
        <v>7.8E-2</v>
      </c>
      <c r="J7" s="519">
        <v>5.2999999999999999E-2</v>
      </c>
      <c r="K7" s="519">
        <v>0.10199999999999999</v>
      </c>
      <c r="L7" s="519">
        <v>5.2999999999999999E-2</v>
      </c>
      <c r="M7" s="519">
        <v>9.5000000000000001E-2</v>
      </c>
      <c r="N7" s="519">
        <v>0.10199999999999999</v>
      </c>
      <c r="O7" s="519">
        <v>0.10199999999999999</v>
      </c>
      <c r="P7" s="519">
        <v>9.5000000000000001E-2</v>
      </c>
      <c r="Q7" s="519">
        <v>5.2999999999999999E-2</v>
      </c>
      <c r="R7" s="519">
        <v>5.2999999999999999E-2</v>
      </c>
      <c r="S7" s="519">
        <v>4.2000000000000003E-2</v>
      </c>
      <c r="T7" s="519">
        <v>5.2999999999999999E-2</v>
      </c>
      <c r="U7" s="519">
        <v>5.2999999999999999E-2</v>
      </c>
      <c r="V7" s="519">
        <v>5.2999999999999999E-2</v>
      </c>
      <c r="W7" s="519">
        <v>3.7999999999999999E-2</v>
      </c>
      <c r="X7" s="519">
        <v>5.2999999999999999E-2</v>
      </c>
      <c r="Y7" s="73"/>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row>
    <row r="8" spans="1:66" ht="13.95" customHeight="1" x14ac:dyDescent="0.25">
      <c r="A8" s="672" t="s">
        <v>267</v>
      </c>
      <c r="B8" s="672" t="s">
        <v>50</v>
      </c>
      <c r="C8" s="673" t="s">
        <v>268</v>
      </c>
      <c r="D8" s="673" t="s">
        <v>269</v>
      </c>
      <c r="E8" s="672" t="s">
        <v>255</v>
      </c>
      <c r="F8" s="528" t="s">
        <v>256</v>
      </c>
      <c r="G8" s="528" t="s">
        <v>85</v>
      </c>
      <c r="H8" s="676" t="s">
        <v>270</v>
      </c>
      <c r="I8" s="530">
        <f>I9</f>
        <v>5.7000000000000002E-2</v>
      </c>
      <c r="J8" s="530">
        <f t="shared" ref="J8:X8" si="1">J9</f>
        <v>5.7000000000000002E-2</v>
      </c>
      <c r="K8" s="530">
        <f t="shared" si="1"/>
        <v>5.7000000000000002E-2</v>
      </c>
      <c r="L8" s="530">
        <f t="shared" si="1"/>
        <v>5.7000000000000002E-2</v>
      </c>
      <c r="M8" s="530">
        <f t="shared" si="1"/>
        <v>5.7000000000000002E-2</v>
      </c>
      <c r="N8" s="530">
        <f t="shared" si="1"/>
        <v>7.8E-2</v>
      </c>
      <c r="O8" s="530">
        <f t="shared" si="1"/>
        <v>7.8E-2</v>
      </c>
      <c r="P8" s="530">
        <f t="shared" si="1"/>
        <v>7.8E-2</v>
      </c>
      <c r="Q8" s="530">
        <f t="shared" si="1"/>
        <v>7.8E-2</v>
      </c>
      <c r="R8" s="530">
        <f t="shared" si="1"/>
        <v>7.8E-2</v>
      </c>
      <c r="S8" s="530">
        <f t="shared" si="1"/>
        <v>5.7000000000000002E-2</v>
      </c>
      <c r="T8" s="530">
        <f t="shared" si="1"/>
        <v>5.7000000000000002E-2</v>
      </c>
      <c r="U8" s="530">
        <f t="shared" si="1"/>
        <v>5.7000000000000002E-2</v>
      </c>
      <c r="V8" s="530">
        <f t="shared" si="1"/>
        <v>5.7000000000000002E-2</v>
      </c>
      <c r="W8" s="530">
        <f t="shared" si="1"/>
        <v>5.7000000000000002E-2</v>
      </c>
      <c r="X8" s="530">
        <f t="shared" si="1"/>
        <v>5.7000000000000002E-2</v>
      </c>
      <c r="Y8" s="73"/>
      <c r="Z8" s="371"/>
      <c r="AA8" s="371"/>
      <c r="AB8" s="371"/>
      <c r="AC8" s="371"/>
      <c r="AD8" s="371"/>
      <c r="AE8" s="371"/>
      <c r="AF8" s="371"/>
      <c r="AG8" s="371"/>
      <c r="AH8" s="371"/>
      <c r="AI8" s="371"/>
      <c r="AJ8" s="371"/>
      <c r="AK8" s="371"/>
      <c r="AL8" s="371"/>
      <c r="AM8" s="371"/>
      <c r="AN8" s="371"/>
      <c r="AO8" s="371"/>
      <c r="AP8" s="371"/>
      <c r="AQ8" s="371"/>
      <c r="AR8" s="2"/>
      <c r="AS8" s="2"/>
      <c r="AT8" s="2"/>
      <c r="AU8" s="2"/>
      <c r="AV8" s="2"/>
      <c r="AW8" s="2"/>
      <c r="AX8" s="2"/>
      <c r="AY8" s="2"/>
      <c r="AZ8" s="2"/>
      <c r="BA8" s="2"/>
      <c r="BB8" s="2"/>
      <c r="BC8" s="2"/>
      <c r="BD8" s="2"/>
      <c r="BE8" s="2"/>
      <c r="BF8" s="2"/>
      <c r="BG8" s="2"/>
      <c r="BH8" s="2"/>
      <c r="BI8" s="2"/>
      <c r="BJ8" s="2"/>
      <c r="BK8" s="2"/>
      <c r="BL8" s="2"/>
      <c r="BM8" s="2"/>
      <c r="BN8" s="2"/>
    </row>
    <row r="9" spans="1:66" ht="13.95" customHeight="1" x14ac:dyDescent="0.25">
      <c r="A9" s="672"/>
      <c r="B9" s="672"/>
      <c r="C9" s="673"/>
      <c r="D9" s="673"/>
      <c r="E9" s="672"/>
      <c r="F9" s="507" t="s">
        <v>258</v>
      </c>
      <c r="G9" s="507">
        <v>1992</v>
      </c>
      <c r="H9" s="676"/>
      <c r="I9" s="516">
        <v>5.7000000000000002E-2</v>
      </c>
      <c r="J9" s="516">
        <v>5.7000000000000002E-2</v>
      </c>
      <c r="K9" s="516">
        <v>5.7000000000000002E-2</v>
      </c>
      <c r="L9" s="516">
        <v>5.7000000000000002E-2</v>
      </c>
      <c r="M9" s="516">
        <v>5.7000000000000002E-2</v>
      </c>
      <c r="N9" s="516">
        <v>7.8E-2</v>
      </c>
      <c r="O9" s="516">
        <v>7.8E-2</v>
      </c>
      <c r="P9" s="516">
        <v>7.8E-2</v>
      </c>
      <c r="Q9" s="516">
        <v>7.8E-2</v>
      </c>
      <c r="R9" s="516">
        <v>7.8E-2</v>
      </c>
      <c r="S9" s="516">
        <v>5.7000000000000002E-2</v>
      </c>
      <c r="T9" s="516">
        <v>5.7000000000000002E-2</v>
      </c>
      <c r="U9" s="516">
        <v>5.7000000000000002E-2</v>
      </c>
      <c r="V9" s="516">
        <v>5.7000000000000002E-2</v>
      </c>
      <c r="W9" s="516">
        <v>5.7000000000000002E-2</v>
      </c>
      <c r="X9" s="516">
        <v>5.7000000000000002E-2</v>
      </c>
      <c r="Y9" s="73"/>
      <c r="Z9" s="371"/>
      <c r="AA9" s="371"/>
      <c r="AB9" s="371"/>
      <c r="AC9" s="371"/>
      <c r="AD9" s="371"/>
      <c r="AE9" s="371"/>
      <c r="AF9" s="371"/>
      <c r="AG9" s="371"/>
      <c r="AH9" s="371"/>
      <c r="AI9" s="371"/>
      <c r="AJ9" s="371"/>
      <c r="AK9" s="371"/>
      <c r="AL9" s="371"/>
      <c r="AM9" s="371"/>
      <c r="AN9" s="371"/>
      <c r="AO9" s="371"/>
      <c r="AP9" s="371"/>
      <c r="AQ9" s="371"/>
      <c r="AR9" s="2"/>
      <c r="AS9" s="2"/>
      <c r="AT9" s="2"/>
      <c r="AU9" s="2"/>
      <c r="AV9" s="2"/>
      <c r="AW9" s="2"/>
      <c r="AX9" s="2"/>
      <c r="AY9" s="2"/>
      <c r="AZ9" s="2"/>
      <c r="BA9" s="2"/>
      <c r="BB9" s="2"/>
      <c r="BC9" s="2"/>
      <c r="BD9" s="2"/>
      <c r="BE9" s="2"/>
      <c r="BF9" s="2"/>
      <c r="BG9" s="2"/>
      <c r="BH9" s="2"/>
      <c r="BI9" s="2"/>
      <c r="BJ9" s="2"/>
      <c r="BK9" s="2"/>
      <c r="BL9" s="2"/>
      <c r="BM9" s="2"/>
      <c r="BN9" s="2"/>
    </row>
    <row r="10" spans="1:66" ht="13.95" customHeight="1" x14ac:dyDescent="0.25">
      <c r="A10" s="672"/>
      <c r="B10" s="672"/>
      <c r="C10" s="673"/>
      <c r="D10" s="673"/>
      <c r="E10" s="672"/>
      <c r="F10" s="510" t="s">
        <v>260</v>
      </c>
      <c r="G10" s="510">
        <v>2001</v>
      </c>
      <c r="H10" s="510" t="s">
        <v>271</v>
      </c>
      <c r="I10" s="511">
        <v>5.7000000000000002E-2</v>
      </c>
      <c r="J10" s="511">
        <v>5.7000000000000002E-2</v>
      </c>
      <c r="K10" s="511">
        <v>5.7000000000000002E-2</v>
      </c>
      <c r="L10" s="511">
        <v>5.7000000000000002E-2</v>
      </c>
      <c r="M10" s="511">
        <v>5.7000000000000002E-2</v>
      </c>
      <c r="N10" s="511">
        <v>7.8E-2</v>
      </c>
      <c r="O10" s="511">
        <v>7.8E-2</v>
      </c>
      <c r="P10" s="511">
        <v>7.8E-2</v>
      </c>
      <c r="Q10" s="511">
        <v>7.8E-2</v>
      </c>
      <c r="R10" s="511">
        <v>5.7000000000000002E-2</v>
      </c>
      <c r="S10" s="511">
        <v>5.7000000000000002E-2</v>
      </c>
      <c r="T10" s="511">
        <v>5.7000000000000002E-2</v>
      </c>
      <c r="U10" s="511">
        <v>5.7000000000000002E-2</v>
      </c>
      <c r="V10" s="511">
        <v>5.7000000000000002E-2</v>
      </c>
      <c r="W10" s="511">
        <v>5.7000000000000002E-2</v>
      </c>
      <c r="X10" s="511">
        <v>5.7000000000000002E-2</v>
      </c>
      <c r="Y10" s="73"/>
      <c r="Z10" s="371"/>
      <c r="AA10" s="371"/>
      <c r="AB10" s="371"/>
      <c r="AC10" s="371"/>
      <c r="AD10" s="371"/>
      <c r="AE10" s="371"/>
      <c r="AF10" s="371"/>
      <c r="AG10" s="371"/>
      <c r="AH10" s="371"/>
      <c r="AI10" s="371"/>
      <c r="AJ10" s="371"/>
      <c r="AK10" s="371"/>
      <c r="AL10" s="371"/>
      <c r="AM10" s="371"/>
      <c r="AN10" s="371"/>
      <c r="AO10" s="371"/>
      <c r="AP10" s="371"/>
      <c r="AQ10" s="371"/>
      <c r="AR10" s="2"/>
      <c r="AS10" s="2"/>
      <c r="AT10" s="2"/>
      <c r="AU10" s="2"/>
      <c r="AV10" s="2"/>
      <c r="AW10" s="2"/>
      <c r="AX10" s="2"/>
      <c r="AY10" s="2"/>
      <c r="AZ10" s="2"/>
      <c r="BA10" s="2"/>
      <c r="BB10" s="2"/>
      <c r="BC10" s="2"/>
      <c r="BD10" s="2"/>
      <c r="BE10" s="2"/>
      <c r="BF10" s="2"/>
      <c r="BG10" s="2"/>
      <c r="BH10" s="2"/>
      <c r="BI10" s="2"/>
      <c r="BJ10" s="2"/>
      <c r="BK10" s="2"/>
      <c r="BL10" s="2"/>
      <c r="BM10" s="2"/>
      <c r="BN10" s="2"/>
    </row>
    <row r="11" spans="1:66" ht="13.95" customHeight="1" x14ac:dyDescent="0.25">
      <c r="A11" s="672"/>
      <c r="B11" s="672"/>
      <c r="C11" s="673"/>
      <c r="D11" s="673"/>
      <c r="E11" s="672"/>
      <c r="F11" s="512" t="s">
        <v>262</v>
      </c>
      <c r="G11" s="512">
        <v>2013</v>
      </c>
      <c r="H11" s="512" t="s">
        <v>272</v>
      </c>
      <c r="I11" s="513">
        <v>4.9000000000000002E-2</v>
      </c>
      <c r="J11" s="513">
        <v>3.9E-2</v>
      </c>
      <c r="K11" s="513">
        <v>3.9E-2</v>
      </c>
      <c r="L11" s="513">
        <v>3.9E-2</v>
      </c>
      <c r="M11" s="513">
        <v>4.9000000000000002E-2</v>
      </c>
      <c r="N11" s="513">
        <v>7.4999999999999997E-2</v>
      </c>
      <c r="O11" s="513">
        <v>6.7000000000000004E-2</v>
      </c>
      <c r="P11" s="513">
        <v>6.7000000000000004E-2</v>
      </c>
      <c r="Q11" s="513">
        <v>3.9E-2</v>
      </c>
      <c r="R11" s="513">
        <v>3.9E-2</v>
      </c>
      <c r="S11" s="513">
        <v>3.9E-2</v>
      </c>
      <c r="T11" s="513">
        <v>3.9E-2</v>
      </c>
      <c r="U11" s="513">
        <v>3.9E-2</v>
      </c>
      <c r="V11" s="513">
        <v>3.9E-2</v>
      </c>
      <c r="W11" s="513">
        <v>3.9E-2</v>
      </c>
      <c r="X11" s="513">
        <v>3.9E-2</v>
      </c>
      <c r="Y11" s="73"/>
      <c r="Z11" s="371"/>
      <c r="AA11" s="371"/>
      <c r="AB11" s="371"/>
      <c r="AC11" s="371"/>
      <c r="AD11" s="371"/>
      <c r="AE11" s="371"/>
      <c r="AF11" s="371"/>
      <c r="AG11" s="371"/>
      <c r="AH11" s="371"/>
      <c r="AI11" s="371"/>
      <c r="AJ11" s="371"/>
      <c r="AK11" s="371"/>
      <c r="AL11" s="371"/>
      <c r="AM11" s="371"/>
      <c r="AN11" s="371"/>
      <c r="AO11" s="371"/>
      <c r="AP11" s="371"/>
      <c r="AQ11" s="371"/>
      <c r="AR11" s="2"/>
      <c r="AS11" s="2"/>
      <c r="AT11" s="2"/>
      <c r="AU11" s="2"/>
      <c r="AV11" s="2"/>
      <c r="AW11" s="2"/>
      <c r="AX11" s="2"/>
      <c r="AY11" s="2"/>
      <c r="AZ11" s="2"/>
      <c r="BA11" s="2"/>
      <c r="BB11" s="2"/>
      <c r="BC11" s="2"/>
      <c r="BD11" s="2"/>
      <c r="BE11" s="2"/>
      <c r="BF11" s="2"/>
      <c r="BG11" s="2"/>
      <c r="BH11" s="2"/>
      <c r="BI11" s="2"/>
      <c r="BJ11" s="2"/>
      <c r="BK11" s="2"/>
      <c r="BL11" s="2"/>
      <c r="BM11" s="2"/>
      <c r="BN11" s="2"/>
    </row>
    <row r="12" spans="1:66" ht="13.95" customHeight="1" x14ac:dyDescent="0.25">
      <c r="A12" s="672"/>
      <c r="B12" s="672"/>
      <c r="C12" s="673"/>
      <c r="D12" s="673"/>
      <c r="E12" s="672"/>
      <c r="F12" s="520" t="s">
        <v>265</v>
      </c>
      <c r="G12" s="519">
        <v>2025</v>
      </c>
      <c r="H12" s="519" t="s">
        <v>273</v>
      </c>
      <c r="I12" s="519">
        <v>2.8000000000000001E-2</v>
      </c>
      <c r="J12" s="519">
        <v>2.8000000000000001E-2</v>
      </c>
      <c r="K12" s="519">
        <v>2.8000000000000001E-2</v>
      </c>
      <c r="L12" s="519">
        <v>2.8000000000000001E-2</v>
      </c>
      <c r="M12" s="519">
        <v>2.8000000000000001E-2</v>
      </c>
      <c r="N12" s="519">
        <v>4.7E-2</v>
      </c>
      <c r="O12" s="519">
        <v>4.7E-2</v>
      </c>
      <c r="P12" s="519">
        <v>4.7E-2</v>
      </c>
      <c r="Q12" s="519">
        <v>2.8000000000000001E-2</v>
      </c>
      <c r="R12" s="519">
        <v>2.8000000000000001E-2</v>
      </c>
      <c r="S12" s="519">
        <v>2.8000000000000001E-2</v>
      </c>
      <c r="T12" s="519">
        <v>2.8000000000000001E-2</v>
      </c>
      <c r="U12" s="519">
        <v>2.8000000000000001E-2</v>
      </c>
      <c r="V12" s="519">
        <v>2.8000000000000001E-2</v>
      </c>
      <c r="W12" s="519">
        <v>2.8000000000000001E-2</v>
      </c>
      <c r="X12" s="519">
        <v>2.8000000000000001E-2</v>
      </c>
      <c r="Y12" s="73"/>
      <c r="Z12" s="372"/>
      <c r="AA12" s="371"/>
      <c r="AB12" s="371"/>
      <c r="AC12" s="371"/>
      <c r="AD12" s="371"/>
      <c r="AE12" s="371"/>
      <c r="AF12" s="371"/>
      <c r="AG12" s="371"/>
      <c r="AH12" s="371"/>
      <c r="AI12" s="371"/>
      <c r="AJ12" s="371"/>
      <c r="AK12" s="371"/>
      <c r="AL12" s="371"/>
      <c r="AM12" s="371"/>
      <c r="AN12" s="371"/>
      <c r="AO12" s="371"/>
      <c r="AP12" s="371"/>
      <c r="AQ12" s="371"/>
      <c r="AR12" s="2"/>
      <c r="AS12" s="2"/>
      <c r="AT12" s="2"/>
      <c r="AU12" s="2"/>
      <c r="AV12" s="2"/>
      <c r="AW12" s="2"/>
      <c r="AX12" s="2"/>
      <c r="AY12" s="2"/>
      <c r="AZ12" s="2"/>
      <c r="BA12" s="2"/>
      <c r="BB12" s="2"/>
      <c r="BC12" s="2"/>
      <c r="BD12" s="2"/>
      <c r="BE12" s="2"/>
      <c r="BF12" s="2"/>
      <c r="BG12" s="2"/>
      <c r="BH12" s="2"/>
      <c r="BI12" s="2"/>
      <c r="BJ12" s="2"/>
      <c r="BK12" s="2"/>
      <c r="BL12" s="2"/>
      <c r="BM12" s="2"/>
      <c r="BN12" s="2"/>
    </row>
    <row r="13" spans="1:66" ht="19.95" customHeight="1" x14ac:dyDescent="0.25">
      <c r="A13" s="672" t="s">
        <v>274</v>
      </c>
      <c r="B13" s="672" t="s">
        <v>50</v>
      </c>
      <c r="C13" s="674" t="s">
        <v>275</v>
      </c>
      <c r="D13" s="673" t="s">
        <v>276</v>
      </c>
      <c r="E13" s="672" t="s">
        <v>255</v>
      </c>
      <c r="F13" s="528" t="s">
        <v>256</v>
      </c>
      <c r="G13" s="528" t="s">
        <v>85</v>
      </c>
      <c r="H13" s="673" t="s">
        <v>277</v>
      </c>
      <c r="I13" s="522">
        <f>0.3*1.12+0.7*I16</f>
        <v>0.58800000000000008</v>
      </c>
      <c r="J13" s="522">
        <f t="shared" ref="J13:X13" si="2">0.3*1.12+0.7*J16</f>
        <v>0.58800000000000008</v>
      </c>
      <c r="K13" s="522">
        <f t="shared" si="2"/>
        <v>0.58800000000000008</v>
      </c>
      <c r="L13" s="522">
        <f t="shared" si="2"/>
        <v>0.58800000000000008</v>
      </c>
      <c r="M13" s="522">
        <f t="shared" si="2"/>
        <v>0.58800000000000008</v>
      </c>
      <c r="N13" s="522">
        <f t="shared" si="2"/>
        <v>0.58800000000000008</v>
      </c>
      <c r="O13" s="522">
        <f t="shared" si="2"/>
        <v>0.58800000000000008</v>
      </c>
      <c r="P13" s="522">
        <f t="shared" si="2"/>
        <v>0.58800000000000008</v>
      </c>
      <c r="Q13" s="522">
        <f t="shared" si="2"/>
        <v>0.58800000000000008</v>
      </c>
      <c r="R13" s="522">
        <f t="shared" si="2"/>
        <v>0.58800000000000008</v>
      </c>
      <c r="S13" s="522">
        <f t="shared" si="2"/>
        <v>0.58800000000000008</v>
      </c>
      <c r="T13" s="522">
        <f t="shared" si="2"/>
        <v>0.58800000000000008</v>
      </c>
      <c r="U13" s="522">
        <f t="shared" si="2"/>
        <v>0.58800000000000008</v>
      </c>
      <c r="V13" s="522">
        <f t="shared" si="2"/>
        <v>0.58800000000000008</v>
      </c>
      <c r="W13" s="522">
        <f t="shared" si="2"/>
        <v>0.58800000000000008</v>
      </c>
      <c r="X13" s="522">
        <f t="shared" si="2"/>
        <v>0.58800000000000008</v>
      </c>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row>
    <row r="14" spans="1:66" ht="18" customHeight="1" x14ac:dyDescent="0.25">
      <c r="A14" s="672"/>
      <c r="B14" s="672"/>
      <c r="C14" s="674"/>
      <c r="D14" s="673"/>
      <c r="E14" s="672"/>
      <c r="F14" s="507" t="s">
        <v>258</v>
      </c>
      <c r="G14" s="507" t="s">
        <v>85</v>
      </c>
      <c r="H14" s="673"/>
      <c r="I14" s="523">
        <f>I13</f>
        <v>0.58800000000000008</v>
      </c>
      <c r="J14" s="523">
        <f t="shared" ref="J14:X14" si="3">J13</f>
        <v>0.58800000000000008</v>
      </c>
      <c r="K14" s="523">
        <f t="shared" si="3"/>
        <v>0.58800000000000008</v>
      </c>
      <c r="L14" s="523">
        <f t="shared" si="3"/>
        <v>0.58800000000000008</v>
      </c>
      <c r="M14" s="523">
        <f t="shared" si="3"/>
        <v>0.58800000000000008</v>
      </c>
      <c r="N14" s="523">
        <f t="shared" si="3"/>
        <v>0.58800000000000008</v>
      </c>
      <c r="O14" s="523">
        <f t="shared" si="3"/>
        <v>0.58800000000000008</v>
      </c>
      <c r="P14" s="523">
        <f t="shared" si="3"/>
        <v>0.58800000000000008</v>
      </c>
      <c r="Q14" s="523">
        <f t="shared" si="3"/>
        <v>0.58800000000000008</v>
      </c>
      <c r="R14" s="523">
        <f t="shared" si="3"/>
        <v>0.58800000000000008</v>
      </c>
      <c r="S14" s="523">
        <f t="shared" si="3"/>
        <v>0.58800000000000008</v>
      </c>
      <c r="T14" s="523">
        <f t="shared" si="3"/>
        <v>0.58800000000000008</v>
      </c>
      <c r="U14" s="523">
        <f t="shared" si="3"/>
        <v>0.58800000000000008</v>
      </c>
      <c r="V14" s="523">
        <f t="shared" si="3"/>
        <v>0.58800000000000008</v>
      </c>
      <c r="W14" s="523">
        <f t="shared" si="3"/>
        <v>0.58800000000000008</v>
      </c>
      <c r="X14" s="523">
        <f t="shared" si="3"/>
        <v>0.58800000000000008</v>
      </c>
      <c r="Y14" s="7" t="s">
        <v>278</v>
      </c>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row>
    <row r="15" spans="1:66" x14ac:dyDescent="0.25">
      <c r="A15" s="672"/>
      <c r="B15" s="672"/>
      <c r="C15" s="674"/>
      <c r="D15" s="674" t="s">
        <v>279</v>
      </c>
      <c r="E15" s="672"/>
      <c r="F15" s="510" t="s">
        <v>260</v>
      </c>
      <c r="G15" s="510">
        <v>2001</v>
      </c>
      <c r="H15" s="517" t="s">
        <v>280</v>
      </c>
      <c r="I15" s="524">
        <v>0.49</v>
      </c>
      <c r="J15" s="524">
        <v>0.49</v>
      </c>
      <c r="K15" s="524">
        <v>0.81</v>
      </c>
      <c r="L15" s="524">
        <v>0.81</v>
      </c>
      <c r="M15" s="524">
        <v>0.81</v>
      </c>
      <c r="N15" s="524">
        <v>0.81</v>
      </c>
      <c r="O15" s="524">
        <v>0.81</v>
      </c>
      <c r="P15" s="524">
        <v>0.81</v>
      </c>
      <c r="Q15" s="524">
        <v>0.81</v>
      </c>
      <c r="R15" s="524">
        <v>0.49</v>
      </c>
      <c r="S15" s="524">
        <v>0.49</v>
      </c>
      <c r="T15" s="524">
        <v>0.49</v>
      </c>
      <c r="U15" s="524">
        <v>0.49</v>
      </c>
      <c r="V15" s="524">
        <v>0.49</v>
      </c>
      <c r="W15" s="524">
        <v>0.49</v>
      </c>
      <c r="X15" s="524">
        <v>0.49</v>
      </c>
      <c r="Y15" s="7"/>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row>
    <row r="16" spans="1:66" ht="13.95" customHeight="1" x14ac:dyDescent="0.25">
      <c r="A16" s="672"/>
      <c r="B16" s="672"/>
      <c r="C16" s="674"/>
      <c r="D16" s="674"/>
      <c r="E16" s="672"/>
      <c r="F16" s="512" t="s">
        <v>262</v>
      </c>
      <c r="G16" s="512">
        <v>2013</v>
      </c>
      <c r="H16" s="513" t="s">
        <v>281</v>
      </c>
      <c r="I16" s="525">
        <v>0.36</v>
      </c>
      <c r="J16" s="525">
        <v>0.36</v>
      </c>
      <c r="K16" s="525">
        <v>0.36</v>
      </c>
      <c r="L16" s="525">
        <v>0.36</v>
      </c>
      <c r="M16" s="525">
        <v>0.36</v>
      </c>
      <c r="N16" s="525">
        <v>0.36</v>
      </c>
      <c r="O16" s="525">
        <v>0.36</v>
      </c>
      <c r="P16" s="525">
        <v>0.36</v>
      </c>
      <c r="Q16" s="525">
        <v>0.36</v>
      </c>
      <c r="R16" s="525">
        <v>0.36</v>
      </c>
      <c r="S16" s="525">
        <v>0.36</v>
      </c>
      <c r="T16" s="525">
        <v>0.36</v>
      </c>
      <c r="U16" s="525">
        <v>0.36</v>
      </c>
      <c r="V16" s="525">
        <v>0.36</v>
      </c>
      <c r="W16" s="525">
        <v>0.36</v>
      </c>
      <c r="X16" s="525">
        <v>0.36</v>
      </c>
      <c r="Y16" s="7"/>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row>
    <row r="17" spans="1:66" ht="13.95" customHeight="1" x14ac:dyDescent="0.25">
      <c r="A17" s="672"/>
      <c r="B17" s="672"/>
      <c r="C17" s="674"/>
      <c r="D17" s="674"/>
      <c r="E17" s="672"/>
      <c r="F17" s="514" t="s">
        <v>265</v>
      </c>
      <c r="G17" s="515">
        <v>2025</v>
      </c>
      <c r="H17" s="519" t="s">
        <v>281</v>
      </c>
      <c r="I17" s="526">
        <v>0.36</v>
      </c>
      <c r="J17" s="526">
        <v>0.36</v>
      </c>
      <c r="K17" s="526">
        <v>0.36</v>
      </c>
      <c r="L17" s="526">
        <v>0.36</v>
      </c>
      <c r="M17" s="526">
        <v>0.36</v>
      </c>
      <c r="N17" s="526">
        <v>0.36</v>
      </c>
      <c r="O17" s="526">
        <v>0.36</v>
      </c>
      <c r="P17" s="526">
        <v>0.36</v>
      </c>
      <c r="Q17" s="526">
        <v>0.34</v>
      </c>
      <c r="R17" s="526">
        <v>0.36</v>
      </c>
      <c r="S17" s="526">
        <v>0.34</v>
      </c>
      <c r="T17" s="526">
        <v>0.34</v>
      </c>
      <c r="U17" s="526">
        <v>0.34</v>
      </c>
      <c r="V17" s="526">
        <v>0.34</v>
      </c>
      <c r="W17" s="526">
        <v>0.34</v>
      </c>
      <c r="X17" s="526">
        <v>0.36</v>
      </c>
      <c r="Y17" s="7"/>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row>
    <row r="18" spans="1:66" ht="18.600000000000001" customHeight="1" x14ac:dyDescent="0.25">
      <c r="A18" s="672"/>
      <c r="B18" s="672"/>
      <c r="C18" s="674"/>
      <c r="D18" s="673" t="s">
        <v>276</v>
      </c>
      <c r="E18" s="672" t="s">
        <v>282</v>
      </c>
      <c r="F18" s="528" t="s">
        <v>256</v>
      </c>
      <c r="G18" s="528" t="s">
        <v>85</v>
      </c>
      <c r="H18" s="673" t="s">
        <v>283</v>
      </c>
      <c r="I18" s="522">
        <f>0.79*0.3+I21*0.7</f>
        <v>0.41199999999999998</v>
      </c>
      <c r="J18" s="522">
        <f t="shared" ref="J18:X18" si="4">0.79*0.3+J21*0.7</f>
        <v>0.41199999999999998</v>
      </c>
      <c r="K18" s="522">
        <f t="shared" si="4"/>
        <v>0.41199999999999998</v>
      </c>
      <c r="L18" s="522">
        <f t="shared" si="4"/>
        <v>0.41199999999999998</v>
      </c>
      <c r="M18" s="522">
        <f t="shared" si="4"/>
        <v>0.41199999999999998</v>
      </c>
      <c r="N18" s="522">
        <f t="shared" si="4"/>
        <v>0.41199999999999998</v>
      </c>
      <c r="O18" s="522">
        <f t="shared" si="4"/>
        <v>0.41199999999999998</v>
      </c>
      <c r="P18" s="522">
        <f t="shared" si="4"/>
        <v>0.41199999999999998</v>
      </c>
      <c r="Q18" s="522">
        <f t="shared" si="4"/>
        <v>0.41199999999999998</v>
      </c>
      <c r="R18" s="522">
        <f t="shared" si="4"/>
        <v>0.41199999999999998</v>
      </c>
      <c r="S18" s="522">
        <f t="shared" si="4"/>
        <v>0.41199999999999998</v>
      </c>
      <c r="T18" s="522">
        <f t="shared" si="4"/>
        <v>0.41199999999999998</v>
      </c>
      <c r="U18" s="522">
        <f t="shared" si="4"/>
        <v>0.41199999999999998</v>
      </c>
      <c r="V18" s="522">
        <f t="shared" si="4"/>
        <v>0.41199999999999998</v>
      </c>
      <c r="W18" s="522">
        <f t="shared" si="4"/>
        <v>0.41199999999999998</v>
      </c>
      <c r="X18" s="522">
        <f t="shared" si="4"/>
        <v>0.41199999999999998</v>
      </c>
      <c r="Y18" s="7"/>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row>
    <row r="19" spans="1:66" ht="17.399999999999999" customHeight="1" x14ac:dyDescent="0.25">
      <c r="A19" s="672"/>
      <c r="B19" s="672"/>
      <c r="C19" s="674"/>
      <c r="D19" s="673"/>
      <c r="E19" s="672"/>
      <c r="F19" s="507" t="s">
        <v>258</v>
      </c>
      <c r="G19" s="507" t="s">
        <v>85</v>
      </c>
      <c r="H19" s="673"/>
      <c r="I19" s="523">
        <f>I18</f>
        <v>0.41199999999999998</v>
      </c>
      <c r="J19" s="523">
        <f t="shared" ref="J19:X19" si="5">J18</f>
        <v>0.41199999999999998</v>
      </c>
      <c r="K19" s="523">
        <f t="shared" si="5"/>
        <v>0.41199999999999998</v>
      </c>
      <c r="L19" s="523">
        <f t="shared" si="5"/>
        <v>0.41199999999999998</v>
      </c>
      <c r="M19" s="523">
        <f t="shared" si="5"/>
        <v>0.41199999999999998</v>
      </c>
      <c r="N19" s="523">
        <f t="shared" si="5"/>
        <v>0.41199999999999998</v>
      </c>
      <c r="O19" s="523">
        <f t="shared" si="5"/>
        <v>0.41199999999999998</v>
      </c>
      <c r="P19" s="523">
        <f t="shared" si="5"/>
        <v>0.41199999999999998</v>
      </c>
      <c r="Q19" s="523">
        <f t="shared" si="5"/>
        <v>0.41199999999999998</v>
      </c>
      <c r="R19" s="523">
        <f t="shared" si="5"/>
        <v>0.41199999999999998</v>
      </c>
      <c r="S19" s="523">
        <f t="shared" si="5"/>
        <v>0.41199999999999998</v>
      </c>
      <c r="T19" s="523">
        <f t="shared" si="5"/>
        <v>0.41199999999999998</v>
      </c>
      <c r="U19" s="523">
        <f t="shared" si="5"/>
        <v>0.41199999999999998</v>
      </c>
      <c r="V19" s="523">
        <f t="shared" si="5"/>
        <v>0.41199999999999998</v>
      </c>
      <c r="W19" s="523">
        <f t="shared" si="5"/>
        <v>0.41199999999999998</v>
      </c>
      <c r="X19" s="523">
        <f t="shared" si="5"/>
        <v>0.41199999999999998</v>
      </c>
      <c r="Y19" s="7" t="s">
        <v>278</v>
      </c>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row>
    <row r="20" spans="1:66" ht="15.6" customHeight="1" x14ac:dyDescent="0.25">
      <c r="A20" s="672"/>
      <c r="B20" s="672"/>
      <c r="C20" s="674"/>
      <c r="D20" s="672" t="s">
        <v>279</v>
      </c>
      <c r="E20" s="672"/>
      <c r="F20" s="510" t="s">
        <v>260</v>
      </c>
      <c r="G20" s="510">
        <v>2001</v>
      </c>
      <c r="H20" s="518" t="s">
        <v>284</v>
      </c>
      <c r="I20" s="524">
        <v>0.43</v>
      </c>
      <c r="J20" s="524">
        <v>0.36</v>
      </c>
      <c r="K20" s="524">
        <v>0.55000000000000004</v>
      </c>
      <c r="L20" s="524">
        <v>0.55000000000000004</v>
      </c>
      <c r="M20" s="524">
        <v>0.55000000000000004</v>
      </c>
      <c r="N20" s="524">
        <v>0.61</v>
      </c>
      <c r="O20" s="524">
        <v>0.61</v>
      </c>
      <c r="P20" s="524">
        <v>0.61</v>
      </c>
      <c r="Q20" s="524">
        <v>0.61</v>
      </c>
      <c r="R20" s="524">
        <v>0.36</v>
      </c>
      <c r="S20" s="524">
        <v>0.36</v>
      </c>
      <c r="T20" s="524">
        <v>0.36</v>
      </c>
      <c r="U20" s="524">
        <v>0.36</v>
      </c>
      <c r="V20" s="524">
        <v>0.36</v>
      </c>
      <c r="W20" s="524">
        <v>0.36</v>
      </c>
      <c r="X20" s="524">
        <v>0.43</v>
      </c>
      <c r="Y20" s="7"/>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row>
    <row r="21" spans="1:66" ht="15.6" customHeight="1" x14ac:dyDescent="0.25">
      <c r="A21" s="672"/>
      <c r="B21" s="672"/>
      <c r="C21" s="674"/>
      <c r="D21" s="672"/>
      <c r="E21" s="672"/>
      <c r="F21" s="512" t="s">
        <v>262</v>
      </c>
      <c r="G21" s="512">
        <v>2013</v>
      </c>
      <c r="H21" s="512" t="s">
        <v>281</v>
      </c>
      <c r="I21" s="525">
        <v>0.25</v>
      </c>
      <c r="J21" s="525">
        <v>0.25</v>
      </c>
      <c r="K21" s="525">
        <v>0.25</v>
      </c>
      <c r="L21" s="525">
        <v>0.25</v>
      </c>
      <c r="M21" s="525">
        <v>0.25</v>
      </c>
      <c r="N21" s="525">
        <v>0.25</v>
      </c>
      <c r="O21" s="525">
        <v>0.25</v>
      </c>
      <c r="P21" s="525">
        <v>0.25</v>
      </c>
      <c r="Q21" s="525">
        <v>0.25</v>
      </c>
      <c r="R21" s="525">
        <v>0.25</v>
      </c>
      <c r="S21" s="525">
        <v>0.25</v>
      </c>
      <c r="T21" s="525">
        <v>0.25</v>
      </c>
      <c r="U21" s="525">
        <v>0.25</v>
      </c>
      <c r="V21" s="525">
        <v>0.25</v>
      </c>
      <c r="W21" s="525">
        <v>0.25</v>
      </c>
      <c r="X21" s="525">
        <v>0.25</v>
      </c>
      <c r="Y21" s="73"/>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row>
    <row r="22" spans="1:66" ht="15.6" customHeight="1" x14ac:dyDescent="0.25">
      <c r="A22" s="672"/>
      <c r="B22" s="672"/>
      <c r="C22" s="674"/>
      <c r="D22" s="672"/>
      <c r="E22" s="672"/>
      <c r="F22" s="514" t="s">
        <v>265</v>
      </c>
      <c r="G22" s="519">
        <v>2025</v>
      </c>
      <c r="H22" s="519" t="s">
        <v>281</v>
      </c>
      <c r="I22" s="526">
        <v>0.25</v>
      </c>
      <c r="J22" s="526">
        <v>0.25</v>
      </c>
      <c r="K22" s="526">
        <v>0.25</v>
      </c>
      <c r="L22" s="526">
        <v>0.25</v>
      </c>
      <c r="M22" s="526">
        <v>0.25</v>
      </c>
      <c r="N22" s="526">
        <v>0.25</v>
      </c>
      <c r="O22" s="526">
        <v>0.25</v>
      </c>
      <c r="P22" s="526">
        <v>0.25</v>
      </c>
      <c r="Q22" s="526">
        <v>0.22</v>
      </c>
      <c r="R22" s="526">
        <v>0.25</v>
      </c>
      <c r="S22" s="526">
        <v>0.22</v>
      </c>
      <c r="T22" s="526">
        <v>0.22</v>
      </c>
      <c r="U22" s="526">
        <v>0.22</v>
      </c>
      <c r="V22" s="526">
        <v>0.22</v>
      </c>
      <c r="W22" s="526">
        <v>0.22</v>
      </c>
      <c r="X22" s="526">
        <v>0.25</v>
      </c>
      <c r="Y22" s="73"/>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row>
    <row r="23" spans="1:66" ht="15.75" customHeight="1" x14ac:dyDescent="0.25">
      <c r="A23" s="4"/>
      <c r="B23" s="9"/>
      <c r="C23" s="4"/>
      <c r="D23" s="4"/>
      <c r="E23" s="74"/>
      <c r="F23" s="74"/>
      <c r="G23" s="75"/>
      <c r="H23" s="74"/>
      <c r="I23" s="74"/>
      <c r="J23" s="74"/>
      <c r="K23" s="74"/>
      <c r="L23" s="74"/>
      <c r="M23" s="74"/>
      <c r="N23" s="74"/>
      <c r="O23" s="74"/>
      <c r="P23" s="74"/>
      <c r="Q23" s="74"/>
      <c r="R23" s="74"/>
      <c r="S23" s="74"/>
      <c r="T23" s="74"/>
      <c r="U23" s="74"/>
      <c r="V23" s="74"/>
      <c r="W23" s="74"/>
      <c r="X23" s="74"/>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row>
    <row r="24" spans="1:66" ht="25.95" customHeight="1" x14ac:dyDescent="0.25">
      <c r="A24" s="4"/>
      <c r="B24" s="9"/>
      <c r="C24" s="657" t="s">
        <v>285</v>
      </c>
      <c r="D24" s="657"/>
      <c r="E24" s="657"/>
      <c r="F24" s="657"/>
      <c r="G24" s="657"/>
      <c r="H24" s="657"/>
      <c r="I24" s="657"/>
      <c r="J24" s="657"/>
      <c r="K24" s="108"/>
      <c r="L24" s="108"/>
      <c r="M24" s="76"/>
      <c r="N24" s="76"/>
      <c r="O24" s="76"/>
      <c r="P24" s="76"/>
      <c r="Q24" s="76"/>
      <c r="R24" s="76"/>
      <c r="S24" s="76"/>
      <c r="T24" s="76"/>
      <c r="U24" s="76"/>
      <c r="V24" s="76"/>
      <c r="W24" s="76"/>
      <c r="X24" s="76"/>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row>
    <row r="25" spans="1:66" ht="43.2" customHeight="1" x14ac:dyDescent="0.25">
      <c r="A25" s="4"/>
      <c r="B25" s="9"/>
      <c r="C25" s="586"/>
      <c r="D25" s="586" t="s">
        <v>202</v>
      </c>
      <c r="E25" s="586" t="s">
        <v>100</v>
      </c>
      <c r="F25" s="109" t="s">
        <v>234</v>
      </c>
      <c r="G25" s="117" t="s">
        <v>286</v>
      </c>
      <c r="H25" s="117" t="s">
        <v>287</v>
      </c>
      <c r="I25" s="663" t="s">
        <v>288</v>
      </c>
      <c r="J25" s="664"/>
      <c r="K25" s="664"/>
      <c r="L25" s="664"/>
      <c r="M25" s="664"/>
      <c r="N25" s="664"/>
      <c r="O25" s="664"/>
      <c r="P25" s="664"/>
      <c r="Q25" s="664"/>
      <c r="R25" s="664"/>
      <c r="S25" s="664"/>
      <c r="T25" s="664"/>
      <c r="U25" s="664"/>
      <c r="V25" s="664"/>
      <c r="W25" s="664"/>
      <c r="X25" s="665"/>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row>
    <row r="26" spans="1:66" ht="24.6" customHeight="1" x14ac:dyDescent="0.3">
      <c r="A26" s="4"/>
      <c r="B26" s="9"/>
      <c r="C26" s="666" t="s">
        <v>285</v>
      </c>
      <c r="D26" s="666" t="s">
        <v>50</v>
      </c>
      <c r="E26" s="666"/>
      <c r="F26" s="521" t="s">
        <v>256</v>
      </c>
      <c r="G26" s="521">
        <v>1.1000000000000001</v>
      </c>
      <c r="H26" s="110" t="s">
        <v>289</v>
      </c>
      <c r="I26" s="660">
        <f>0.112*G26*$AA$30</f>
        <v>0.43126160000000002</v>
      </c>
      <c r="J26" s="661"/>
      <c r="K26" s="661"/>
      <c r="L26" s="661"/>
      <c r="M26" s="661"/>
      <c r="N26" s="661"/>
      <c r="O26" s="661"/>
      <c r="P26" s="661"/>
      <c r="Q26" s="661"/>
      <c r="R26" s="661"/>
      <c r="S26" s="661"/>
      <c r="T26" s="661"/>
      <c r="U26" s="661"/>
      <c r="V26" s="661"/>
      <c r="W26" s="661"/>
      <c r="X26" s="662"/>
      <c r="Y26" s="2"/>
      <c r="Z26" s="587" t="s">
        <v>290</v>
      </c>
      <c r="AA26" s="588">
        <f>50.01^2</f>
        <v>2501.0000999999997</v>
      </c>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row>
    <row r="27" spans="1:66" ht="24.6" customHeight="1" x14ac:dyDescent="0.3">
      <c r="A27" s="4"/>
      <c r="B27" s="4"/>
      <c r="C27" s="667"/>
      <c r="D27" s="667"/>
      <c r="E27" s="667"/>
      <c r="F27" s="521" t="s">
        <v>258</v>
      </c>
      <c r="G27" s="521">
        <v>1.1000000000000001</v>
      </c>
      <c r="H27" s="110" t="s">
        <v>289</v>
      </c>
      <c r="I27" s="660">
        <f>0.112*G27*$AA$30</f>
        <v>0.43126160000000002</v>
      </c>
      <c r="J27" s="661"/>
      <c r="K27" s="661"/>
      <c r="L27" s="661"/>
      <c r="M27" s="661"/>
      <c r="N27" s="661"/>
      <c r="O27" s="661"/>
      <c r="P27" s="661"/>
      <c r="Q27" s="661"/>
      <c r="R27" s="661"/>
      <c r="S27" s="661"/>
      <c r="T27" s="661"/>
      <c r="U27" s="661"/>
      <c r="V27" s="661"/>
      <c r="W27" s="661"/>
      <c r="X27" s="662"/>
      <c r="Y27" s="2"/>
      <c r="Z27" s="587" t="s">
        <v>291</v>
      </c>
      <c r="AA27" s="588">
        <f>(50.01+50.01)*2*10</f>
        <v>2000.3999999999999</v>
      </c>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row>
    <row r="28" spans="1:66" ht="24.6" customHeight="1" x14ac:dyDescent="0.3">
      <c r="A28" s="4"/>
      <c r="B28" s="9"/>
      <c r="C28" s="667"/>
      <c r="D28" s="667"/>
      <c r="E28" s="667"/>
      <c r="F28" s="521" t="s">
        <v>260</v>
      </c>
      <c r="G28" s="521">
        <v>1.1000000000000001</v>
      </c>
      <c r="H28" s="110" t="s">
        <v>289</v>
      </c>
      <c r="I28" s="660">
        <f>0.112*G28*$AA$30</f>
        <v>0.43126160000000002</v>
      </c>
      <c r="J28" s="661"/>
      <c r="K28" s="661"/>
      <c r="L28" s="661"/>
      <c r="M28" s="661"/>
      <c r="N28" s="661"/>
      <c r="O28" s="661"/>
      <c r="P28" s="661"/>
      <c r="Q28" s="661"/>
      <c r="R28" s="661"/>
      <c r="S28" s="661"/>
      <c r="T28" s="661"/>
      <c r="U28" s="661"/>
      <c r="V28" s="661"/>
      <c r="W28" s="661"/>
      <c r="X28" s="662"/>
      <c r="Y28" s="48"/>
      <c r="Z28" s="587" t="s">
        <v>292</v>
      </c>
      <c r="AA28" s="589">
        <f>AA27</f>
        <v>2000.3999999999999</v>
      </c>
      <c r="AB28" s="677"/>
      <c r="AC28" s="677"/>
      <c r="AD28" s="677"/>
      <c r="AE28" s="677"/>
      <c r="AF28" s="677"/>
      <c r="AG28" s="677"/>
      <c r="AH28" s="677"/>
      <c r="AI28" s="677"/>
      <c r="AJ28" s="677"/>
      <c r="AK28" s="677"/>
      <c r="AL28" s="677"/>
      <c r="AM28" s="677"/>
      <c r="AN28" s="677"/>
      <c r="AO28" s="677"/>
      <c r="AP28" s="677"/>
      <c r="AQ28" s="677"/>
      <c r="AR28" s="677"/>
      <c r="AS28" s="677"/>
      <c r="AT28" s="677"/>
      <c r="AU28" s="677"/>
      <c r="AV28" s="677"/>
      <c r="AW28" s="677"/>
      <c r="AX28" s="677"/>
      <c r="AY28" s="2"/>
      <c r="AZ28" s="2"/>
      <c r="BA28" s="2"/>
      <c r="BB28" s="2"/>
      <c r="BC28" s="2"/>
      <c r="BD28" s="2"/>
      <c r="BE28" s="2"/>
      <c r="BF28" s="2"/>
      <c r="BG28" s="2"/>
      <c r="BH28" s="2"/>
      <c r="BI28" s="2"/>
      <c r="BJ28" s="2"/>
      <c r="BK28" s="2"/>
      <c r="BL28" s="2"/>
      <c r="BM28" s="2"/>
      <c r="BN28" s="2"/>
    </row>
    <row r="29" spans="1:66" ht="33.6" customHeight="1" x14ac:dyDescent="0.3">
      <c r="A29" s="4"/>
      <c r="B29" s="9"/>
      <c r="C29" s="667"/>
      <c r="D29" s="667"/>
      <c r="E29" s="667"/>
      <c r="F29" s="521" t="s">
        <v>262</v>
      </c>
      <c r="G29" s="140">
        <v>1</v>
      </c>
      <c r="H29" s="116" t="s">
        <v>293</v>
      </c>
      <c r="I29" s="669">
        <f>0.112*G29*$AA$30</f>
        <v>0.39205599999999996</v>
      </c>
      <c r="J29" s="670"/>
      <c r="K29" s="670"/>
      <c r="L29" s="670"/>
      <c r="M29" s="670"/>
      <c r="N29" s="670"/>
      <c r="O29" s="670"/>
      <c r="P29" s="670"/>
      <c r="Q29" s="670"/>
      <c r="R29" s="670"/>
      <c r="S29" s="670"/>
      <c r="T29" s="670"/>
      <c r="U29" s="670"/>
      <c r="V29" s="670"/>
      <c r="W29" s="670"/>
      <c r="X29" s="671"/>
      <c r="Y29" s="2"/>
      <c r="Z29" s="587" t="s">
        <v>294</v>
      </c>
      <c r="AA29" s="588">
        <f>AA27+(2*AA26)</f>
        <v>7002.4001999999991</v>
      </c>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row>
    <row r="30" spans="1:66" ht="34.200000000000003" customHeight="1" x14ac:dyDescent="0.3">
      <c r="A30" s="4"/>
      <c r="B30" s="9"/>
      <c r="C30" s="668"/>
      <c r="D30" s="668"/>
      <c r="E30" s="668"/>
      <c r="F30" s="521" t="s">
        <v>265</v>
      </c>
      <c r="G30" s="521">
        <v>0.6</v>
      </c>
      <c r="H30" s="116" t="s">
        <v>295</v>
      </c>
      <c r="I30" s="660">
        <f>0.112*G30*$AA$30</f>
        <v>0.23523359999999996</v>
      </c>
      <c r="J30" s="661"/>
      <c r="K30" s="661"/>
      <c r="L30" s="661"/>
      <c r="M30" s="661"/>
      <c r="N30" s="661"/>
      <c r="O30" s="661"/>
      <c r="P30" s="661"/>
      <c r="Q30" s="661"/>
      <c r="R30" s="661"/>
      <c r="S30" s="661"/>
      <c r="T30" s="661"/>
      <c r="U30" s="661"/>
      <c r="V30" s="661"/>
      <c r="W30" s="661"/>
      <c r="X30" s="662"/>
      <c r="Y30" s="2"/>
      <c r="Z30" s="587" t="s">
        <v>296</v>
      </c>
      <c r="AA30" s="590">
        <f>AA29/AA28</f>
        <v>3.5004999999999997</v>
      </c>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row>
    <row r="31" spans="1:66" x14ac:dyDescent="0.25">
      <c r="A31" s="2"/>
      <c r="B31" s="77"/>
      <c r="C31" s="2"/>
      <c r="D31" s="2"/>
      <c r="E31" s="72" t="s">
        <v>297</v>
      </c>
      <c r="F31" s="557"/>
      <c r="G31" s="591"/>
      <c r="H31" s="122"/>
      <c r="I31" s="122"/>
      <c r="J31" s="122"/>
      <c r="K31" s="122"/>
      <c r="L31" s="122"/>
      <c r="M31" s="12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row>
    <row r="32" spans="1:66" ht="14.4" x14ac:dyDescent="0.3">
      <c r="A32" s="2"/>
      <c r="B32" s="77"/>
      <c r="C32" s="2"/>
      <c r="D32" s="2"/>
      <c r="E32" s="114" t="s">
        <v>298</v>
      </c>
      <c r="F32" s="122"/>
      <c r="G32" s="122"/>
      <c r="H32" s="122"/>
      <c r="I32" s="122"/>
      <c r="J32" s="122"/>
      <c r="K32" s="12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row>
    <row r="33" spans="1:66" x14ac:dyDescent="0.25">
      <c r="A33" s="2"/>
      <c r="B33" s="77"/>
      <c r="C33" s="2"/>
      <c r="D33" s="2"/>
      <c r="E33" s="2"/>
      <c r="F33" s="2"/>
      <c r="G33" s="78"/>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row>
    <row r="34" spans="1:66" x14ac:dyDescent="0.25">
      <c r="A34" s="2"/>
      <c r="B34" s="77"/>
      <c r="C34" s="2"/>
      <c r="D34" s="2"/>
      <c r="E34" s="2"/>
      <c r="F34" s="2"/>
      <c r="G34" s="2"/>
      <c r="H34" s="78"/>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row>
    <row r="35" spans="1:66" ht="14.4" x14ac:dyDescent="0.3">
      <c r="A35" s="2"/>
      <c r="B35" s="77"/>
      <c r="C35" s="2"/>
      <c r="D35" s="2"/>
      <c r="E35" s="2"/>
      <c r="F35" s="2"/>
      <c r="G35"/>
      <c r="H35" s="78"/>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row>
    <row r="36" spans="1:66" x14ac:dyDescent="0.25">
      <c r="A36" s="2"/>
      <c r="B36" s="77"/>
      <c r="C36" s="2"/>
      <c r="D36" s="2"/>
      <c r="E36" s="2"/>
      <c r="F36" s="2"/>
      <c r="G36" s="2"/>
      <c r="H36" s="78"/>
      <c r="I36" s="2"/>
      <c r="J36" s="2"/>
      <c r="K36" s="2"/>
      <c r="L36" s="2"/>
      <c r="M36" s="2"/>
      <c r="N36" s="2"/>
      <c r="O36" s="2"/>
      <c r="P36" s="2"/>
      <c r="Q36" s="2"/>
      <c r="R36" s="2"/>
      <c r="S36" s="2"/>
      <c r="T36" s="121"/>
      <c r="U36" s="121"/>
      <c r="V36" s="121"/>
      <c r="W36" s="121"/>
      <c r="X36" s="121"/>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row>
    <row r="37" spans="1:66" x14ac:dyDescent="0.25">
      <c r="A37" s="2"/>
      <c r="B37" s="77"/>
      <c r="C37" s="2"/>
      <c r="D37" s="2"/>
      <c r="E37" s="2"/>
      <c r="F37" s="2"/>
      <c r="G37" s="2"/>
      <c r="H37" s="78"/>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row>
    <row r="38" spans="1:66" x14ac:dyDescent="0.25">
      <c r="A38" s="2"/>
      <c r="B38" s="77"/>
      <c r="C38" s="2"/>
      <c r="D38" s="2"/>
      <c r="E38" s="2"/>
      <c r="F38" s="2"/>
      <c r="G38" s="2"/>
      <c r="H38" s="78"/>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row>
    <row r="39" spans="1:66" x14ac:dyDescent="0.25">
      <c r="A39" s="2"/>
      <c r="B39" s="77"/>
      <c r="C39" s="2"/>
      <c r="D39" s="2"/>
      <c r="E39" s="2"/>
      <c r="F39" s="2"/>
      <c r="G39" s="2"/>
      <c r="H39" s="78"/>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row>
    <row r="40" spans="1:66" x14ac:dyDescent="0.25">
      <c r="A40" s="2"/>
      <c r="B40" s="77"/>
      <c r="C40" s="2"/>
      <c r="D40" s="2"/>
      <c r="E40" s="2"/>
      <c r="F40" s="2"/>
      <c r="G40" s="2"/>
      <c r="H40" s="2"/>
      <c r="I40" s="78"/>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row>
    <row r="41" spans="1:66" x14ac:dyDescent="0.25">
      <c r="A41" s="2"/>
      <c r="B41" s="77"/>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row>
    <row r="42" spans="1:66" x14ac:dyDescent="0.25">
      <c r="A42" s="2"/>
      <c r="B42" s="77"/>
      <c r="C42" s="2"/>
      <c r="D42" s="2"/>
      <c r="E42" s="2"/>
      <c r="F42" s="2"/>
      <c r="G42" s="78"/>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row>
    <row r="43" spans="1:66" x14ac:dyDescent="0.25">
      <c r="A43" s="2"/>
      <c r="B43" s="77"/>
      <c r="C43" s="2"/>
      <c r="D43" s="2"/>
      <c r="E43" s="2"/>
      <c r="F43" s="2"/>
      <c r="G43" s="78"/>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row>
    <row r="44" spans="1:66" x14ac:dyDescent="0.25">
      <c r="A44" s="2"/>
      <c r="B44" s="77"/>
      <c r="C44" s="2"/>
      <c r="D44" s="2"/>
      <c r="E44" s="2"/>
      <c r="F44" s="2"/>
      <c r="G44" s="78"/>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row>
    <row r="45" spans="1:66" x14ac:dyDescent="0.25">
      <c r="A45" s="2"/>
      <c r="B45" s="77"/>
      <c r="C45" s="2"/>
      <c r="D45" s="2"/>
      <c r="E45" s="2"/>
      <c r="F45" s="2"/>
      <c r="G45" s="78"/>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row>
    <row r="46" spans="1:66" x14ac:dyDescent="0.25">
      <c r="A46" s="2"/>
      <c r="B46" s="77"/>
      <c r="C46" s="2"/>
      <c r="D46" s="2"/>
      <c r="E46" s="2"/>
      <c r="F46" s="2"/>
      <c r="G46" s="78"/>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row>
    <row r="47" spans="1:66" x14ac:dyDescent="0.25">
      <c r="A47" s="2"/>
      <c r="B47" s="77"/>
      <c r="C47" s="2"/>
      <c r="D47" s="2"/>
      <c r="E47" s="2"/>
      <c r="F47" s="2"/>
      <c r="G47" s="78"/>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row>
    <row r="48" spans="1:66" x14ac:dyDescent="0.25">
      <c r="A48" s="2"/>
      <c r="B48" s="77"/>
      <c r="C48" s="2"/>
      <c r="D48" s="2"/>
      <c r="E48" s="2"/>
      <c r="F48" s="2"/>
      <c r="G48" s="78"/>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row>
    <row r="49" spans="1:66" x14ac:dyDescent="0.25">
      <c r="A49" s="2"/>
      <c r="B49" s="77"/>
      <c r="C49" s="2"/>
      <c r="D49" s="2"/>
      <c r="E49" s="2"/>
      <c r="F49" s="2"/>
      <c r="G49" s="78"/>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row>
    <row r="50" spans="1:66" x14ac:dyDescent="0.25">
      <c r="A50" s="2"/>
      <c r="B50" s="77"/>
      <c r="C50" s="2"/>
      <c r="D50" s="2"/>
      <c r="E50" s="2"/>
      <c r="F50" s="2"/>
      <c r="G50" s="78"/>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row>
    <row r="51" spans="1:66" x14ac:dyDescent="0.25">
      <c r="A51" s="2"/>
      <c r="B51" s="77"/>
      <c r="C51" s="2"/>
      <c r="D51" s="2"/>
      <c r="E51" s="2"/>
      <c r="F51" s="2"/>
      <c r="G51" s="78"/>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row>
    <row r="52" spans="1:66" x14ac:dyDescent="0.25">
      <c r="A52" s="2"/>
      <c r="B52" s="77"/>
      <c r="C52" s="2"/>
      <c r="D52" s="2"/>
      <c r="E52" s="2"/>
      <c r="F52" s="2"/>
      <c r="G52" s="78"/>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row>
    <row r="53" spans="1:66" x14ac:dyDescent="0.25">
      <c r="A53" s="2"/>
      <c r="B53" s="77"/>
      <c r="C53" s="2"/>
      <c r="D53" s="2"/>
      <c r="E53" s="2"/>
      <c r="F53" s="2"/>
      <c r="G53" s="78"/>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row>
    <row r="54" spans="1:66" x14ac:dyDescent="0.25">
      <c r="A54" s="2"/>
      <c r="B54" s="77"/>
      <c r="C54" s="2"/>
      <c r="D54" s="2"/>
      <c r="E54" s="2"/>
      <c r="F54" s="2"/>
      <c r="G54" s="78"/>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row>
    <row r="55" spans="1:66" x14ac:dyDescent="0.25">
      <c r="A55" s="2"/>
      <c r="B55" s="77"/>
      <c r="C55" s="2"/>
      <c r="D55" s="2"/>
      <c r="E55" s="2"/>
      <c r="F55" s="2"/>
      <c r="G55" s="78"/>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row>
    <row r="56" spans="1:66" x14ac:dyDescent="0.25">
      <c r="A56" s="2"/>
      <c r="B56" s="77"/>
      <c r="C56" s="2"/>
      <c r="D56" s="2"/>
      <c r="E56" s="2"/>
      <c r="F56" s="2"/>
      <c r="G56" s="78"/>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row>
    <row r="57" spans="1:66" x14ac:dyDescent="0.25">
      <c r="A57" s="2"/>
      <c r="B57" s="77"/>
      <c r="C57" s="2"/>
      <c r="D57" s="2"/>
      <c r="E57" s="2"/>
      <c r="F57" s="2"/>
      <c r="G57" s="78"/>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row>
    <row r="58" spans="1:66" x14ac:dyDescent="0.25">
      <c r="A58" s="2"/>
      <c r="B58" s="77"/>
      <c r="C58" s="2"/>
      <c r="D58" s="2"/>
      <c r="E58" s="2"/>
      <c r="F58" s="2"/>
      <c r="G58" s="78"/>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row>
    <row r="59" spans="1:66" x14ac:dyDescent="0.25">
      <c r="A59" s="2"/>
      <c r="B59" s="77"/>
      <c r="C59" s="2"/>
      <c r="D59" s="2"/>
      <c r="E59" s="2"/>
      <c r="F59" s="2"/>
      <c r="G59" s="78"/>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row>
    <row r="60" spans="1:66" x14ac:dyDescent="0.25">
      <c r="A60" s="2"/>
      <c r="B60" s="77"/>
      <c r="C60" s="2"/>
      <c r="D60" s="2"/>
      <c r="E60" s="2"/>
      <c r="F60" s="2"/>
      <c r="G60" s="78"/>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row>
    <row r="61" spans="1:66" x14ac:dyDescent="0.25">
      <c r="A61" s="2"/>
      <c r="B61" s="77"/>
      <c r="C61" s="2"/>
      <c r="D61" s="2"/>
      <c r="E61" s="2"/>
      <c r="F61" s="2"/>
      <c r="G61" s="78"/>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row>
    <row r="62" spans="1:66" x14ac:dyDescent="0.25">
      <c r="A62" s="2"/>
      <c r="B62" s="77"/>
      <c r="C62" s="2"/>
      <c r="D62" s="2"/>
      <c r="E62" s="2"/>
      <c r="F62" s="2"/>
      <c r="G62" s="78"/>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row>
    <row r="63" spans="1:66" x14ac:dyDescent="0.25">
      <c r="A63" s="2"/>
      <c r="B63" s="77"/>
      <c r="C63" s="2"/>
      <c r="D63" s="2"/>
      <c r="E63" s="2"/>
      <c r="F63" s="2"/>
      <c r="G63" s="78"/>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row>
    <row r="64" spans="1:66" x14ac:dyDescent="0.25">
      <c r="A64" s="2"/>
      <c r="B64" s="77"/>
      <c r="C64" s="2"/>
      <c r="D64" s="2"/>
      <c r="E64" s="2"/>
      <c r="F64" s="2"/>
      <c r="G64" s="78"/>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row>
    <row r="65" spans="1:66" x14ac:dyDescent="0.25">
      <c r="A65" s="2"/>
      <c r="B65" s="77"/>
      <c r="C65" s="2"/>
      <c r="D65" s="2"/>
      <c r="E65" s="2"/>
      <c r="F65" s="2"/>
      <c r="G65" s="78"/>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row>
    <row r="66" spans="1:66" x14ac:dyDescent="0.25">
      <c r="A66" s="2"/>
      <c r="B66" s="77"/>
      <c r="C66" s="2"/>
      <c r="D66" s="2"/>
      <c r="E66" s="2"/>
      <c r="F66" s="2"/>
      <c r="G66" s="78"/>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row>
    <row r="67" spans="1:66" x14ac:dyDescent="0.25">
      <c r="A67" s="2"/>
      <c r="B67" s="77"/>
      <c r="C67" s="2"/>
      <c r="D67" s="2"/>
      <c r="E67" s="2"/>
      <c r="F67" s="2"/>
      <c r="G67" s="78"/>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row>
    <row r="68" spans="1:66" x14ac:dyDescent="0.25">
      <c r="A68" s="2"/>
      <c r="B68" s="77"/>
      <c r="C68" s="2"/>
      <c r="D68" s="2"/>
      <c r="E68" s="2"/>
      <c r="F68" s="2"/>
      <c r="G68" s="78"/>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row>
    <row r="69" spans="1:66" x14ac:dyDescent="0.25">
      <c r="A69" s="2"/>
      <c r="B69" s="77"/>
      <c r="C69" s="2"/>
      <c r="D69" s="2"/>
      <c r="E69" s="2"/>
      <c r="F69" s="2"/>
      <c r="G69" s="78"/>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row>
    <row r="70" spans="1:66" x14ac:dyDescent="0.25">
      <c r="A70" s="2"/>
      <c r="B70" s="77"/>
      <c r="C70" s="2"/>
      <c r="D70" s="2"/>
      <c r="E70" s="2"/>
      <c r="F70" s="2"/>
      <c r="G70" s="78"/>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row>
    <row r="71" spans="1:66" x14ac:dyDescent="0.25">
      <c r="A71" s="2"/>
      <c r="B71" s="77"/>
      <c r="C71" s="2"/>
      <c r="D71" s="2"/>
      <c r="E71" s="2"/>
      <c r="F71" s="2"/>
      <c r="G71" s="78"/>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row>
    <row r="72" spans="1:66" x14ac:dyDescent="0.25">
      <c r="A72" s="2"/>
      <c r="B72" s="77"/>
      <c r="C72" s="2"/>
      <c r="D72" s="2"/>
      <c r="E72" s="2"/>
      <c r="F72" s="2"/>
      <c r="G72" s="78"/>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row>
    <row r="73" spans="1:66" x14ac:dyDescent="0.25">
      <c r="A73" s="2"/>
      <c r="B73" s="77"/>
      <c r="C73" s="2"/>
      <c r="D73" s="2"/>
      <c r="E73" s="2"/>
      <c r="F73" s="2"/>
      <c r="G73" s="78"/>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row>
    <row r="74" spans="1:66" x14ac:dyDescent="0.25">
      <c r="A74" s="2"/>
      <c r="B74" s="77"/>
      <c r="C74" s="2"/>
      <c r="D74" s="2"/>
      <c r="E74" s="2"/>
      <c r="F74" s="2"/>
      <c r="G74" s="78"/>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row>
    <row r="75" spans="1:66" x14ac:dyDescent="0.25">
      <c r="A75" s="2"/>
      <c r="B75" s="77"/>
      <c r="C75" s="2"/>
      <c r="D75" s="2"/>
      <c r="E75" s="2"/>
      <c r="F75" s="2"/>
      <c r="G75" s="78"/>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row>
    <row r="76" spans="1:66" x14ac:dyDescent="0.25">
      <c r="A76" s="2"/>
      <c r="B76" s="77"/>
      <c r="C76" s="2"/>
      <c r="D76" s="2"/>
      <c r="E76" s="2"/>
      <c r="F76" s="2"/>
      <c r="G76" s="78"/>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row>
    <row r="77" spans="1:66" x14ac:dyDescent="0.25">
      <c r="A77" s="2"/>
      <c r="B77" s="77"/>
      <c r="C77" s="2"/>
      <c r="D77" s="2"/>
      <c r="E77" s="2"/>
      <c r="F77" s="2"/>
      <c r="G77" s="78"/>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row>
    <row r="78" spans="1:66" x14ac:dyDescent="0.25">
      <c r="A78" s="2"/>
      <c r="B78" s="77"/>
      <c r="C78" s="2"/>
      <c r="D78" s="2"/>
      <c r="E78" s="2"/>
      <c r="F78" s="2"/>
      <c r="G78" s="78"/>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row>
    <row r="79" spans="1:66" x14ac:dyDescent="0.25">
      <c r="A79" s="2"/>
      <c r="B79" s="77"/>
      <c r="C79" s="2"/>
      <c r="D79" s="2"/>
      <c r="E79" s="2"/>
      <c r="F79" s="2"/>
      <c r="G79" s="78"/>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row>
    <row r="80" spans="1:66" x14ac:dyDescent="0.25">
      <c r="A80" s="2"/>
      <c r="B80" s="77"/>
      <c r="C80" s="2"/>
      <c r="D80" s="2"/>
      <c r="E80" s="2"/>
      <c r="F80" s="2"/>
      <c r="G80" s="78"/>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row>
    <row r="81" spans="1:66" x14ac:dyDescent="0.25">
      <c r="A81" s="2"/>
      <c r="B81" s="77"/>
      <c r="C81" s="2"/>
      <c r="D81" s="2"/>
      <c r="E81" s="2"/>
      <c r="F81" s="2"/>
      <c r="G81" s="78"/>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row>
    <row r="82" spans="1:66" x14ac:dyDescent="0.25">
      <c r="A82" s="2"/>
      <c r="B82" s="77"/>
      <c r="C82" s="2"/>
      <c r="D82" s="2"/>
      <c r="E82" s="2"/>
      <c r="F82" s="2"/>
      <c r="G82" s="78"/>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row>
    <row r="83" spans="1:66" x14ac:dyDescent="0.25">
      <c r="A83" s="2"/>
      <c r="B83" s="77"/>
      <c r="C83" s="2"/>
      <c r="D83" s="2"/>
      <c r="E83" s="2"/>
      <c r="F83" s="2"/>
      <c r="G83" s="78"/>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row>
    <row r="84" spans="1:66" x14ac:dyDescent="0.25">
      <c r="A84" s="2"/>
      <c r="B84" s="77"/>
      <c r="C84" s="2"/>
      <c r="D84" s="2"/>
      <c r="E84" s="2"/>
      <c r="F84" s="2"/>
      <c r="G84" s="78"/>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row>
    <row r="85" spans="1:66" x14ac:dyDescent="0.25">
      <c r="A85" s="2"/>
      <c r="B85" s="77"/>
      <c r="C85" s="2"/>
      <c r="D85" s="2"/>
      <c r="E85" s="2"/>
      <c r="F85" s="2"/>
      <c r="G85" s="78"/>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row>
    <row r="86" spans="1:66" x14ac:dyDescent="0.25">
      <c r="A86" s="2"/>
      <c r="B86" s="77"/>
      <c r="C86" s="2"/>
      <c r="D86" s="2"/>
      <c r="E86" s="2"/>
      <c r="F86" s="2"/>
      <c r="G86" s="78"/>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row>
    <row r="87" spans="1:66" x14ac:dyDescent="0.25">
      <c r="A87" s="2"/>
      <c r="B87" s="77"/>
      <c r="C87" s="2"/>
      <c r="D87" s="2"/>
      <c r="E87" s="2"/>
      <c r="F87" s="2"/>
      <c r="G87" s="78"/>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row>
    <row r="88" spans="1:66" x14ac:dyDescent="0.25">
      <c r="A88" s="2"/>
      <c r="B88" s="77"/>
      <c r="C88" s="2"/>
      <c r="D88" s="2"/>
      <c r="E88" s="2"/>
      <c r="F88" s="2"/>
      <c r="G88" s="78"/>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row>
    <row r="89" spans="1:66" x14ac:dyDescent="0.25">
      <c r="A89" s="2"/>
      <c r="B89" s="77"/>
      <c r="C89" s="2"/>
      <c r="D89" s="2"/>
      <c r="E89" s="2"/>
      <c r="F89" s="2"/>
      <c r="G89" s="78"/>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row>
    <row r="90" spans="1:66" x14ac:dyDescent="0.25">
      <c r="A90" s="2"/>
      <c r="B90" s="77"/>
      <c r="C90" s="2"/>
      <c r="D90" s="2"/>
      <c r="E90" s="2"/>
      <c r="F90" s="2"/>
      <c r="G90" s="78"/>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row>
    <row r="91" spans="1:66" x14ac:dyDescent="0.25">
      <c r="A91" s="2"/>
      <c r="B91" s="77"/>
      <c r="C91" s="2"/>
      <c r="D91" s="2"/>
      <c r="E91" s="2"/>
      <c r="F91" s="2"/>
      <c r="G91" s="78"/>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row>
    <row r="92" spans="1:66" x14ac:dyDescent="0.25">
      <c r="A92" s="2"/>
      <c r="B92" s="77"/>
      <c r="C92" s="2"/>
      <c r="D92" s="2"/>
      <c r="E92" s="2"/>
      <c r="F92" s="2"/>
      <c r="G92" s="78"/>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row>
    <row r="93" spans="1:66" x14ac:dyDescent="0.25">
      <c r="A93" s="2"/>
      <c r="B93" s="77"/>
      <c r="C93" s="2"/>
      <c r="D93" s="2"/>
      <c r="E93" s="2"/>
      <c r="F93" s="2"/>
      <c r="G93" s="78"/>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row>
    <row r="94" spans="1:66" x14ac:dyDescent="0.25">
      <c r="A94" s="2"/>
      <c r="B94" s="77"/>
      <c r="C94" s="2"/>
      <c r="D94" s="2"/>
      <c r="E94" s="2"/>
      <c r="F94" s="2"/>
      <c r="G94" s="78"/>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row>
    <row r="95" spans="1:66" x14ac:dyDescent="0.25">
      <c r="A95" s="2"/>
      <c r="B95" s="77"/>
      <c r="C95" s="2"/>
      <c r="D95" s="2"/>
      <c r="E95" s="2"/>
      <c r="F95" s="2"/>
      <c r="G95" s="78"/>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row>
    <row r="96" spans="1:66" x14ac:dyDescent="0.25">
      <c r="A96" s="2"/>
      <c r="B96" s="77"/>
      <c r="C96" s="2"/>
      <c r="D96" s="2"/>
      <c r="E96" s="2"/>
      <c r="F96" s="2"/>
      <c r="G96" s="78"/>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row>
    <row r="97" spans="1:66" x14ac:dyDescent="0.25">
      <c r="A97" s="2"/>
      <c r="B97" s="77"/>
      <c r="C97" s="2"/>
      <c r="D97" s="2"/>
      <c r="E97" s="2"/>
      <c r="F97" s="2"/>
      <c r="G97" s="78"/>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row>
    <row r="98" spans="1:66" x14ac:dyDescent="0.25">
      <c r="A98" s="2"/>
      <c r="B98" s="77"/>
      <c r="C98" s="2"/>
      <c r="D98" s="2"/>
      <c r="E98" s="2"/>
      <c r="F98" s="2"/>
      <c r="G98" s="78"/>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row>
    <row r="99" spans="1:66" x14ac:dyDescent="0.25">
      <c r="A99" s="2"/>
      <c r="B99" s="77"/>
      <c r="C99" s="2"/>
      <c r="D99" s="2"/>
      <c r="E99" s="2"/>
      <c r="F99" s="2"/>
      <c r="G99" s="78"/>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row>
    <row r="100" spans="1:66" x14ac:dyDescent="0.25">
      <c r="A100" s="2"/>
      <c r="B100" s="77"/>
      <c r="C100" s="2"/>
      <c r="D100" s="2"/>
      <c r="E100" s="2"/>
      <c r="F100" s="2"/>
      <c r="G100" s="78"/>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row>
    <row r="101" spans="1:66" x14ac:dyDescent="0.25">
      <c r="A101" s="2"/>
      <c r="B101" s="77"/>
      <c r="C101" s="2"/>
      <c r="D101" s="2"/>
      <c r="E101" s="2"/>
      <c r="F101" s="2"/>
      <c r="G101" s="78"/>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row>
    <row r="102" spans="1:66" x14ac:dyDescent="0.25">
      <c r="A102" s="2"/>
      <c r="B102" s="77"/>
      <c r="C102" s="2"/>
      <c r="D102" s="2"/>
      <c r="E102" s="2"/>
      <c r="F102" s="2"/>
      <c r="G102" s="78"/>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row>
    <row r="103" spans="1:66" x14ac:dyDescent="0.25">
      <c r="A103" s="2"/>
      <c r="B103" s="77"/>
      <c r="C103" s="2"/>
      <c r="D103" s="2"/>
      <c r="E103" s="2"/>
      <c r="F103" s="2"/>
      <c r="G103" s="78"/>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row>
    <row r="104" spans="1:66" x14ac:dyDescent="0.25">
      <c r="A104" s="2"/>
      <c r="B104" s="77"/>
      <c r="C104" s="2"/>
      <c r="D104" s="2"/>
      <c r="E104" s="2"/>
      <c r="F104" s="2"/>
      <c r="G104" s="78"/>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row>
    <row r="105" spans="1:66" x14ac:dyDescent="0.25">
      <c r="A105" s="2"/>
      <c r="B105" s="77"/>
      <c r="C105" s="2"/>
      <c r="D105" s="2"/>
      <c r="E105" s="2"/>
      <c r="F105" s="2"/>
      <c r="G105" s="78"/>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row>
    <row r="106" spans="1:66" x14ac:dyDescent="0.25">
      <c r="A106" s="2"/>
      <c r="B106" s="77"/>
      <c r="C106" s="2"/>
      <c r="D106" s="2"/>
      <c r="E106" s="2"/>
      <c r="F106" s="2"/>
      <c r="G106" s="78"/>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row>
  </sheetData>
  <mergeCells count="38">
    <mergeCell ref="C24:J24"/>
    <mergeCell ref="AQ28:AT28"/>
    <mergeCell ref="AU28:AX28"/>
    <mergeCell ref="AG28:AK28"/>
    <mergeCell ref="AB28:AF28"/>
    <mergeCell ref="AL28:AP28"/>
    <mergeCell ref="C26:C30"/>
    <mergeCell ref="D26:D30"/>
    <mergeCell ref="A1:X1"/>
    <mergeCell ref="D18:D19"/>
    <mergeCell ref="E18:E22"/>
    <mergeCell ref="A13:A22"/>
    <mergeCell ref="E3:E7"/>
    <mergeCell ref="B3:B7"/>
    <mergeCell ref="A3:A7"/>
    <mergeCell ref="D3:D7"/>
    <mergeCell ref="C3:C7"/>
    <mergeCell ref="C8:C12"/>
    <mergeCell ref="H8:H9"/>
    <mergeCell ref="D15:D17"/>
    <mergeCell ref="H13:H14"/>
    <mergeCell ref="H18:H19"/>
    <mergeCell ref="D20:D22"/>
    <mergeCell ref="A8:A12"/>
    <mergeCell ref="B8:B12"/>
    <mergeCell ref="E8:E12"/>
    <mergeCell ref="E13:E17"/>
    <mergeCell ref="D8:D12"/>
    <mergeCell ref="D13:D14"/>
    <mergeCell ref="B13:B22"/>
    <mergeCell ref="C13:C22"/>
    <mergeCell ref="I30:X30"/>
    <mergeCell ref="I25:X25"/>
    <mergeCell ref="E26:E30"/>
    <mergeCell ref="I27:X27"/>
    <mergeCell ref="I28:X28"/>
    <mergeCell ref="I29:X29"/>
    <mergeCell ref="I26:X26"/>
  </mergeCells>
  <phoneticPr fontId="5" type="noConversion"/>
  <hyperlinks>
    <hyperlink ref="H26" r:id="rId1" xr:uid="{9153F47E-FCBB-42B5-A7E2-9AE58445F5C5}"/>
    <hyperlink ref="H27:H28" r:id="rId2" display="2022 CASE report (Table 38)" xr:uid="{AB6FEC5D-A312-48E5-9443-3858096808B6}"/>
    <hyperlink ref="E32" r:id="rId3" xr:uid="{25C90A1D-2413-41E3-8163-A6D94106D91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M52"/>
  <sheetViews>
    <sheetView zoomScale="85" zoomScaleNormal="85" workbookViewId="0">
      <selection sqref="A1:G1"/>
    </sheetView>
  </sheetViews>
  <sheetFormatPr defaultColWidth="8.6640625" defaultRowHeight="13.2" x14ac:dyDescent="0.25"/>
  <cols>
    <col min="1" max="1" width="26" style="4" customWidth="1"/>
    <col min="2" max="2" width="23.109375" style="4" customWidth="1"/>
    <col min="3" max="3" width="31.109375" style="4" customWidth="1"/>
    <col min="4" max="4" width="31.44140625" style="4" customWidth="1"/>
    <col min="5" max="5" width="30.33203125" style="4" customWidth="1"/>
    <col min="6" max="6" width="46.44140625" style="4" customWidth="1"/>
    <col min="7" max="7" width="42" style="4" customWidth="1"/>
    <col min="8" max="8" width="41" style="4" customWidth="1"/>
    <col min="9" max="12" width="12.6640625" style="4" customWidth="1"/>
    <col min="13" max="20" width="15.33203125" style="4" customWidth="1"/>
    <col min="21" max="21" width="14.6640625" style="4" customWidth="1"/>
    <col min="22" max="22" width="13.5546875" style="4" customWidth="1"/>
    <col min="23" max="23" width="15.6640625" style="4" customWidth="1"/>
    <col min="24" max="30" width="11" style="4" customWidth="1"/>
    <col min="31" max="39" width="6.5546875" style="4" customWidth="1"/>
    <col min="40" max="40" width="8.6640625" style="4" customWidth="1"/>
    <col min="41" max="16384" width="8.6640625" style="4"/>
  </cols>
  <sheetData>
    <row r="1" spans="1:13" ht="27" customHeight="1" x14ac:dyDescent="0.25">
      <c r="A1" s="696" t="str">
        <f>"HVAC system - "&amp;Prototype!A2</f>
        <v>HVAC system - RestaurantFastFood</v>
      </c>
      <c r="B1" s="696"/>
      <c r="C1" s="696"/>
      <c r="D1" s="696"/>
      <c r="E1" s="696"/>
      <c r="F1" s="696"/>
      <c r="G1" s="696"/>
      <c r="H1" s="6"/>
    </row>
    <row r="2" spans="1:13" ht="22.2" customHeight="1" x14ac:dyDescent="0.25">
      <c r="A2" s="550" t="s">
        <v>234</v>
      </c>
      <c r="B2" s="550" t="s">
        <v>203</v>
      </c>
      <c r="C2" s="550" t="s">
        <v>299</v>
      </c>
      <c r="D2" s="550" t="s">
        <v>300</v>
      </c>
      <c r="E2" s="550" t="s">
        <v>301</v>
      </c>
      <c r="F2" s="550" t="s">
        <v>302</v>
      </c>
      <c r="G2" s="550" t="s">
        <v>287</v>
      </c>
    </row>
    <row r="3" spans="1:13" ht="30.6" customHeight="1" x14ac:dyDescent="0.25">
      <c r="A3" s="690" t="s">
        <v>303</v>
      </c>
      <c r="B3" s="479" t="s">
        <v>106</v>
      </c>
      <c r="C3" s="159" t="s">
        <v>304</v>
      </c>
      <c r="D3" s="248" t="s">
        <v>305</v>
      </c>
      <c r="E3" s="248" t="s">
        <v>306</v>
      </c>
      <c r="F3" s="159" t="s">
        <v>307</v>
      </c>
      <c r="G3" s="690" t="s">
        <v>308</v>
      </c>
    </row>
    <row r="4" spans="1:13" ht="39.6" x14ac:dyDescent="0.25">
      <c r="A4" s="691"/>
      <c r="B4" s="479" t="s">
        <v>107</v>
      </c>
      <c r="C4" s="535" t="s">
        <v>304</v>
      </c>
      <c r="D4" s="260" t="s">
        <v>305</v>
      </c>
      <c r="E4" s="260" t="s">
        <v>306</v>
      </c>
      <c r="F4" s="159" t="s">
        <v>309</v>
      </c>
      <c r="G4" s="692"/>
    </row>
    <row r="5" spans="1:13" ht="30.6" customHeight="1" x14ac:dyDescent="0.25">
      <c r="A5" s="690" t="s">
        <v>310</v>
      </c>
      <c r="B5" s="479" t="s">
        <v>106</v>
      </c>
      <c r="C5" s="535" t="s">
        <v>304</v>
      </c>
      <c r="D5" s="260" t="s">
        <v>305</v>
      </c>
      <c r="E5" s="260" t="s">
        <v>306</v>
      </c>
      <c r="F5" s="456" t="s">
        <v>311</v>
      </c>
      <c r="G5" s="697" t="s">
        <v>312</v>
      </c>
      <c r="H5" s="4" t="s">
        <v>313</v>
      </c>
    </row>
    <row r="6" spans="1:13" ht="47.4" customHeight="1" x14ac:dyDescent="0.25">
      <c r="A6" s="692"/>
      <c r="B6" s="479" t="s">
        <v>107</v>
      </c>
      <c r="C6" s="535" t="s">
        <v>304</v>
      </c>
      <c r="D6" s="260" t="s">
        <v>305</v>
      </c>
      <c r="E6" s="260" t="s">
        <v>306</v>
      </c>
      <c r="F6" s="456" t="s">
        <v>314</v>
      </c>
      <c r="G6" s="698"/>
      <c r="H6" s="532"/>
      <c r="I6" s="532"/>
      <c r="J6" s="6"/>
      <c r="K6" s="6"/>
      <c r="L6" s="6"/>
      <c r="M6" s="6"/>
    </row>
    <row r="7" spans="1:13" x14ac:dyDescent="0.25">
      <c r="H7" s="6"/>
      <c r="I7" s="6"/>
      <c r="J7" s="6"/>
      <c r="K7" s="6"/>
      <c r="L7" s="6"/>
      <c r="M7" s="6"/>
    </row>
    <row r="8" spans="1:13" x14ac:dyDescent="0.25">
      <c r="K8" s="6"/>
      <c r="L8" s="6"/>
      <c r="M8" s="6"/>
    </row>
    <row r="9" spans="1:13" x14ac:dyDescent="0.25">
      <c r="K9" s="6"/>
      <c r="L9" s="6"/>
      <c r="M9" s="6"/>
    </row>
    <row r="11" spans="1:13" x14ac:dyDescent="0.25">
      <c r="A11" s="6"/>
      <c r="B11" s="6"/>
      <c r="C11" s="6"/>
      <c r="D11" s="6"/>
      <c r="E11" s="6"/>
      <c r="F11" s="6"/>
    </row>
    <row r="12" spans="1:13" ht="45" customHeight="1" x14ac:dyDescent="0.25">
      <c r="A12" s="699" t="s">
        <v>315</v>
      </c>
      <c r="B12" s="700"/>
      <c r="C12" s="700"/>
      <c r="D12" s="700"/>
      <c r="E12" s="700"/>
      <c r="F12" s="700"/>
      <c r="G12" s="701"/>
    </row>
    <row r="13" spans="1:13" ht="52.2" customHeight="1" x14ac:dyDescent="0.25">
      <c r="A13" s="28" t="s">
        <v>234</v>
      </c>
      <c r="B13" s="55" t="s">
        <v>316</v>
      </c>
      <c r="C13" s="55" t="s">
        <v>317</v>
      </c>
      <c r="D13" s="55" t="s">
        <v>318</v>
      </c>
      <c r="E13" s="223" t="s">
        <v>319</v>
      </c>
      <c r="F13" s="550" t="s">
        <v>287</v>
      </c>
      <c r="G13" s="550" t="s">
        <v>320</v>
      </c>
    </row>
    <row r="14" spans="1:13" ht="34.200000000000003" customHeight="1" x14ac:dyDescent="0.3">
      <c r="A14" s="159" t="s">
        <v>256</v>
      </c>
      <c r="B14" s="693">
        <v>2008</v>
      </c>
      <c r="C14" s="693" t="s">
        <v>321</v>
      </c>
      <c r="D14" s="693" t="s">
        <v>322</v>
      </c>
      <c r="E14" s="693" t="s">
        <v>323</v>
      </c>
      <c r="F14" s="693" t="s">
        <v>324</v>
      </c>
      <c r="G14" s="693" t="s">
        <v>325</v>
      </c>
      <c r="H14"/>
    </row>
    <row r="15" spans="1:13" ht="34.200000000000003" customHeight="1" x14ac:dyDescent="0.25">
      <c r="A15" s="159" t="s">
        <v>258</v>
      </c>
      <c r="B15" s="694"/>
      <c r="C15" s="694"/>
      <c r="D15" s="694"/>
      <c r="E15" s="694"/>
      <c r="F15" s="694"/>
      <c r="G15" s="694"/>
    </row>
    <row r="16" spans="1:13" ht="34.200000000000003" customHeight="1" x14ac:dyDescent="0.25">
      <c r="A16" s="159" t="s">
        <v>260</v>
      </c>
      <c r="B16" s="695"/>
      <c r="C16" s="695"/>
      <c r="D16" s="695"/>
      <c r="E16" s="695"/>
      <c r="F16" s="695"/>
      <c r="G16" s="695"/>
    </row>
    <row r="17" spans="1:9" ht="39.75" customHeight="1" x14ac:dyDescent="0.25">
      <c r="A17" s="159" t="s">
        <v>262</v>
      </c>
      <c r="B17" s="159">
        <v>2013</v>
      </c>
      <c r="C17" s="159" t="s">
        <v>321</v>
      </c>
      <c r="D17" s="159" t="s">
        <v>326</v>
      </c>
      <c r="E17" s="159" t="s">
        <v>327</v>
      </c>
      <c r="F17" s="159" t="s">
        <v>328</v>
      </c>
      <c r="G17" s="159" t="s">
        <v>329</v>
      </c>
    </row>
    <row r="18" spans="1:9" ht="51" customHeight="1" x14ac:dyDescent="0.25">
      <c r="A18" s="159" t="s">
        <v>310</v>
      </c>
      <c r="B18" s="159">
        <v>2025</v>
      </c>
      <c r="C18" s="159" t="s">
        <v>321</v>
      </c>
      <c r="D18" s="159" t="s">
        <v>330</v>
      </c>
      <c r="E18" s="159" t="s">
        <v>327</v>
      </c>
      <c r="F18" s="159" t="s">
        <v>331</v>
      </c>
      <c r="G18" s="224" t="s">
        <v>332</v>
      </c>
    </row>
    <row r="19" spans="1:9" x14ac:dyDescent="0.25">
      <c r="C19" s="7"/>
      <c r="D19" s="7"/>
      <c r="E19" s="7"/>
    </row>
    <row r="20" spans="1:9" x14ac:dyDescent="0.25">
      <c r="C20" s="7"/>
      <c r="D20" s="7"/>
      <c r="E20" s="29"/>
      <c r="F20" s="7"/>
    </row>
    <row r="21" spans="1:9" x14ac:dyDescent="0.25">
      <c r="C21" s="7"/>
      <c r="D21" s="7"/>
      <c r="E21" s="29"/>
      <c r="F21" s="7"/>
    </row>
    <row r="22" spans="1:9" ht="27" customHeight="1" x14ac:dyDescent="0.25">
      <c r="A22" s="684" t="s">
        <v>333</v>
      </c>
      <c r="B22" s="684"/>
      <c r="C22" s="684"/>
      <c r="D22" s="685"/>
      <c r="E22" s="685"/>
      <c r="F22" s="685"/>
      <c r="G22" s="685"/>
      <c r="H22" s="685"/>
    </row>
    <row r="23" spans="1:9" ht="27.6" customHeight="1" x14ac:dyDescent="0.25">
      <c r="A23" s="549" t="s">
        <v>234</v>
      </c>
      <c r="B23" s="481" t="s">
        <v>334</v>
      </c>
      <c r="C23" s="481" t="s">
        <v>335</v>
      </c>
      <c r="D23" s="480" t="s">
        <v>336</v>
      </c>
      <c r="E23" s="480" t="s">
        <v>337</v>
      </c>
      <c r="F23" s="480" t="s">
        <v>338</v>
      </c>
      <c r="G23" s="480" t="s">
        <v>339</v>
      </c>
      <c r="H23" s="482" t="s">
        <v>340</v>
      </c>
    </row>
    <row r="24" spans="1:9" ht="54" customHeight="1" x14ac:dyDescent="0.25">
      <c r="A24" s="681" t="s">
        <v>264</v>
      </c>
      <c r="B24" s="682" t="s">
        <v>341</v>
      </c>
      <c r="C24" s="538" t="s">
        <v>342</v>
      </c>
      <c r="D24" s="538">
        <v>2.5</v>
      </c>
      <c r="E24" s="686">
        <v>0.65</v>
      </c>
      <c r="F24" s="679" t="s">
        <v>343</v>
      </c>
      <c r="G24" s="680"/>
      <c r="H24" s="679" t="s">
        <v>344</v>
      </c>
    </row>
    <row r="25" spans="1:9" ht="54" customHeight="1" x14ac:dyDescent="0.25">
      <c r="A25" s="681"/>
      <c r="B25" s="682"/>
      <c r="C25" s="538" t="s">
        <v>345</v>
      </c>
      <c r="D25" s="538">
        <v>2.5</v>
      </c>
      <c r="E25" s="686"/>
      <c r="F25" s="679"/>
      <c r="G25" s="680"/>
      <c r="H25" s="679"/>
    </row>
    <row r="26" spans="1:9" ht="16.2" customHeight="1" x14ac:dyDescent="0.25">
      <c r="A26" s="457" t="s">
        <v>346</v>
      </c>
      <c r="B26" s="483"/>
      <c r="C26" s="124"/>
      <c r="D26" s="124"/>
      <c r="E26" s="592"/>
      <c r="F26" s="124"/>
      <c r="G26" s="124"/>
      <c r="H26" s="145"/>
      <c r="I26" s="72"/>
    </row>
    <row r="27" spans="1:9" ht="15.6" customHeight="1" x14ac:dyDescent="0.25">
      <c r="A27" s="457" t="s">
        <v>347</v>
      </c>
      <c r="B27" s="74"/>
      <c r="C27" s="74"/>
      <c r="D27" s="123"/>
      <c r="E27" s="74"/>
      <c r="F27" s="124"/>
      <c r="G27" s="124"/>
      <c r="H27" s="145"/>
    </row>
    <row r="28" spans="1:9" ht="31.5" customHeight="1" x14ac:dyDescent="0.25">
      <c r="A28" s="681" t="s">
        <v>310</v>
      </c>
      <c r="B28" s="688" t="s">
        <v>348</v>
      </c>
      <c r="C28" s="537" t="s">
        <v>349</v>
      </c>
      <c r="D28" s="537" t="s">
        <v>350</v>
      </c>
      <c r="E28" s="679">
        <v>0.65</v>
      </c>
      <c r="F28" s="679" t="s">
        <v>351</v>
      </c>
      <c r="G28" s="537">
        <v>0.80200000000000005</v>
      </c>
      <c r="H28" s="687" t="s">
        <v>352</v>
      </c>
      <c r="I28" s="150"/>
    </row>
    <row r="29" spans="1:9" ht="31.5" customHeight="1" x14ac:dyDescent="0.25">
      <c r="A29" s="681"/>
      <c r="B29" s="689"/>
      <c r="C29" s="537" t="s">
        <v>353</v>
      </c>
      <c r="D29" s="537" t="s">
        <v>350</v>
      </c>
      <c r="E29" s="679"/>
      <c r="F29" s="679"/>
      <c r="G29" s="537">
        <v>0.80200000000000005</v>
      </c>
      <c r="H29" s="687"/>
      <c r="I29" s="150"/>
    </row>
    <row r="30" spans="1:9" ht="12.75" customHeight="1" x14ac:dyDescent="0.25">
      <c r="A30" s="6"/>
      <c r="B30" s="486"/>
      <c r="C30" s="122"/>
      <c r="D30" s="122"/>
      <c r="E30" s="122"/>
      <c r="F30" s="122"/>
      <c r="G30" s="122"/>
      <c r="H30" s="122"/>
      <c r="I30" s="150"/>
    </row>
    <row r="31" spans="1:9" ht="31.5" customHeight="1" x14ac:dyDescent="0.25">
      <c r="A31" s="678" t="s">
        <v>354</v>
      </c>
      <c r="B31" s="683"/>
      <c r="C31" s="683"/>
      <c r="D31" s="683"/>
      <c r="E31" s="683"/>
      <c r="F31" s="683"/>
      <c r="G31" s="683"/>
      <c r="H31" s="683"/>
      <c r="I31" s="150"/>
    </row>
    <row r="32" spans="1:9" ht="57" customHeight="1" x14ac:dyDescent="0.25">
      <c r="A32" s="678" t="s">
        <v>355</v>
      </c>
      <c r="B32" s="678"/>
      <c r="C32" s="678"/>
      <c r="D32" s="678"/>
      <c r="E32" s="678"/>
      <c r="F32" s="678"/>
      <c r="G32" s="678"/>
      <c r="H32" s="678"/>
      <c r="I32" s="150"/>
    </row>
    <row r="33" spans="1:9" ht="19.350000000000001" customHeight="1" x14ac:dyDescent="0.25">
      <c r="A33" s="540"/>
      <c r="B33" s="540"/>
      <c r="C33" s="540"/>
      <c r="D33" s="540"/>
      <c r="E33" s="540"/>
      <c r="F33" s="540"/>
      <c r="G33" s="540"/>
      <c r="H33" s="540"/>
      <c r="I33" s="72"/>
    </row>
    <row r="34" spans="1:9" ht="63.75" customHeight="1" x14ac:dyDescent="0.25">
      <c r="A34" s="540"/>
      <c r="B34" s="540"/>
      <c r="C34" s="540"/>
      <c r="D34" s="540"/>
      <c r="E34" s="540"/>
      <c r="F34" s="540"/>
      <c r="G34" s="540"/>
      <c r="H34" s="540"/>
      <c r="I34" s="72"/>
    </row>
    <row r="35" spans="1:9" ht="12.75" customHeight="1" x14ac:dyDescent="0.25">
      <c r="A35" s="540"/>
      <c r="B35" s="540"/>
      <c r="C35" s="540"/>
      <c r="D35" s="540"/>
      <c r="E35" s="540"/>
      <c r="F35" s="540"/>
      <c r="G35" s="540"/>
      <c r="H35" s="540"/>
      <c r="I35" s="72"/>
    </row>
    <row r="36" spans="1:9" ht="13.95" customHeight="1" x14ac:dyDescent="0.25">
      <c r="A36" s="7"/>
      <c r="B36" s="484"/>
      <c r="E36" s="485"/>
    </row>
    <row r="37" spans="1:9" ht="13.95" customHeight="1" x14ac:dyDescent="0.25">
      <c r="A37" s="7"/>
      <c r="B37" s="484"/>
      <c r="E37" s="485"/>
    </row>
    <row r="38" spans="1:9" ht="13.95" customHeight="1" x14ac:dyDescent="0.25">
      <c r="A38" s="7"/>
      <c r="B38" s="484"/>
      <c r="E38" s="485"/>
    </row>
    <row r="39" spans="1:9" ht="13.95" customHeight="1" x14ac:dyDescent="0.25">
      <c r="A39" s="7"/>
      <c r="B39" s="484"/>
      <c r="E39" s="485"/>
    </row>
    <row r="40" spans="1:9" ht="13.95" customHeight="1" x14ac:dyDescent="0.25">
      <c r="A40" s="484"/>
      <c r="B40" s="484"/>
      <c r="E40" s="485"/>
    </row>
    <row r="41" spans="1:9" ht="13.95" customHeight="1" x14ac:dyDescent="0.25">
      <c r="E41" s="485"/>
    </row>
    <row r="42" spans="1:9" ht="13.95" customHeight="1" x14ac:dyDescent="0.25">
      <c r="E42" s="485"/>
    </row>
    <row r="43" spans="1:9" ht="13.95" customHeight="1" x14ac:dyDescent="0.25">
      <c r="E43" s="485"/>
    </row>
    <row r="44" spans="1:9" ht="13.95" customHeight="1" x14ac:dyDescent="0.25">
      <c r="E44" s="485"/>
    </row>
    <row r="45" spans="1:9" ht="13.95" customHeight="1" x14ac:dyDescent="0.25">
      <c r="E45" s="485"/>
    </row>
    <row r="46" spans="1:9" ht="13.95" customHeight="1" x14ac:dyDescent="0.25">
      <c r="E46" s="485"/>
    </row>
    <row r="47" spans="1:9" ht="13.95" customHeight="1" x14ac:dyDescent="0.25">
      <c r="E47" s="485"/>
    </row>
    <row r="52" spans="1:6" x14ac:dyDescent="0.25">
      <c r="A52" s="6"/>
      <c r="B52" s="6"/>
      <c r="C52" s="6"/>
      <c r="D52" s="6"/>
      <c r="E52" s="6"/>
      <c r="F52" s="6"/>
    </row>
  </sheetData>
  <mergeCells count="26">
    <mergeCell ref="A3:A4"/>
    <mergeCell ref="A5:A6"/>
    <mergeCell ref="C14:C16"/>
    <mergeCell ref="A1:G1"/>
    <mergeCell ref="G5:G6"/>
    <mergeCell ref="G3:G4"/>
    <mergeCell ref="D14:D16"/>
    <mergeCell ref="F14:F16"/>
    <mergeCell ref="G14:G16"/>
    <mergeCell ref="B14:B16"/>
    <mergeCell ref="E14:E16"/>
    <mergeCell ref="A12:G12"/>
    <mergeCell ref="A22:H22"/>
    <mergeCell ref="H24:H25"/>
    <mergeCell ref="E24:E25"/>
    <mergeCell ref="F28:F29"/>
    <mergeCell ref="E28:E29"/>
    <mergeCell ref="H28:H29"/>
    <mergeCell ref="B28:B29"/>
    <mergeCell ref="A28:A29"/>
    <mergeCell ref="A32:H32"/>
    <mergeCell ref="F24:F25"/>
    <mergeCell ref="G24:G25"/>
    <mergeCell ref="A24:A25"/>
    <mergeCell ref="B24:B25"/>
    <mergeCell ref="A31:H31"/>
  </mergeCells>
  <phoneticPr fontId="5" type="noConversion"/>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CF2B8-D81A-4739-B3FD-7DE124AB8529}">
  <sheetPr codeName="Sheet7"/>
  <dimension ref="A1:S13"/>
  <sheetViews>
    <sheetView workbookViewId="0">
      <selection sqref="A1:S1"/>
    </sheetView>
  </sheetViews>
  <sheetFormatPr defaultRowHeight="14.4" x14ac:dyDescent="0.3"/>
  <cols>
    <col min="1" max="1" width="21.33203125" customWidth="1"/>
    <col min="2" max="2" width="26.109375" customWidth="1"/>
    <col min="19" max="19" width="24.6640625" customWidth="1"/>
  </cols>
  <sheetData>
    <row r="1" spans="1:19" ht="24" customHeight="1" x14ac:dyDescent="0.3">
      <c r="A1" s="675" t="str">
        <f>"Thermostat Setpoints - "&amp;Prototype!A2</f>
        <v>Thermostat Setpoints - RestaurantFastFood</v>
      </c>
      <c r="B1" s="675"/>
      <c r="C1" s="675"/>
      <c r="D1" s="675"/>
      <c r="E1" s="675"/>
      <c r="F1" s="675"/>
      <c r="G1" s="675"/>
      <c r="H1" s="675"/>
      <c r="I1" s="675"/>
      <c r="J1" s="675"/>
      <c r="K1" s="675"/>
      <c r="L1" s="675"/>
      <c r="M1" s="675"/>
      <c r="N1" s="675"/>
      <c r="O1" s="675"/>
      <c r="P1" s="675"/>
      <c r="Q1" s="675"/>
      <c r="R1" s="675"/>
      <c r="S1" s="675"/>
    </row>
    <row r="2" spans="1:19" ht="27.6" customHeight="1" x14ac:dyDescent="0.3">
      <c r="A2" s="57" t="s">
        <v>203</v>
      </c>
      <c r="B2" s="57" t="s">
        <v>356</v>
      </c>
      <c r="C2" s="58" t="s">
        <v>236</v>
      </c>
      <c r="D2" s="58" t="s">
        <v>237</v>
      </c>
      <c r="E2" s="58" t="s">
        <v>238</v>
      </c>
      <c r="F2" s="58" t="s">
        <v>239</v>
      </c>
      <c r="G2" s="58" t="s">
        <v>240</v>
      </c>
      <c r="H2" s="58" t="s">
        <v>241</v>
      </c>
      <c r="I2" s="58" t="s">
        <v>242</v>
      </c>
      <c r="J2" s="58" t="s">
        <v>243</v>
      </c>
      <c r="K2" s="58" t="s">
        <v>244</v>
      </c>
      <c r="L2" s="58" t="s">
        <v>245</v>
      </c>
      <c r="M2" s="58" t="s">
        <v>246</v>
      </c>
      <c r="N2" s="58" t="s">
        <v>247</v>
      </c>
      <c r="O2" s="58" t="s">
        <v>248</v>
      </c>
      <c r="P2" s="58" t="s">
        <v>249</v>
      </c>
      <c r="Q2" s="58" t="s">
        <v>250</v>
      </c>
      <c r="R2" s="58" t="s">
        <v>251</v>
      </c>
      <c r="S2" s="107" t="s">
        <v>287</v>
      </c>
    </row>
    <row r="3" spans="1:19" ht="20.399999999999999" customHeight="1" x14ac:dyDescent="0.3">
      <c r="A3" s="702" t="s">
        <v>106</v>
      </c>
      <c r="B3" s="531" t="s">
        <v>357</v>
      </c>
      <c r="C3" s="27">
        <v>70</v>
      </c>
      <c r="D3" s="27">
        <v>70</v>
      </c>
      <c r="E3" s="27">
        <v>70</v>
      </c>
      <c r="F3" s="27">
        <v>70</v>
      </c>
      <c r="G3" s="27">
        <v>70</v>
      </c>
      <c r="H3" s="27">
        <v>70</v>
      </c>
      <c r="I3" s="27">
        <v>70</v>
      </c>
      <c r="J3" s="27">
        <v>70</v>
      </c>
      <c r="K3" s="27">
        <v>70</v>
      </c>
      <c r="L3" s="27">
        <v>70</v>
      </c>
      <c r="M3" s="27">
        <v>70</v>
      </c>
      <c r="N3" s="27">
        <v>70</v>
      </c>
      <c r="O3" s="27">
        <v>70</v>
      </c>
      <c r="P3" s="27">
        <v>70</v>
      </c>
      <c r="Q3" s="27">
        <v>70</v>
      </c>
      <c r="R3" s="27">
        <v>70</v>
      </c>
      <c r="S3" s="703" t="s">
        <v>358</v>
      </c>
    </row>
    <row r="4" spans="1:19" ht="20.399999999999999" customHeight="1" x14ac:dyDescent="0.3">
      <c r="A4" s="702"/>
      <c r="B4" s="531" t="s">
        <v>359</v>
      </c>
      <c r="C4" s="27">
        <v>60</v>
      </c>
      <c r="D4" s="27">
        <v>60</v>
      </c>
      <c r="E4" s="27">
        <v>60</v>
      </c>
      <c r="F4" s="27">
        <v>60</v>
      </c>
      <c r="G4" s="27">
        <v>60</v>
      </c>
      <c r="H4" s="27">
        <v>60</v>
      </c>
      <c r="I4" s="27">
        <v>60</v>
      </c>
      <c r="J4" s="27">
        <v>60</v>
      </c>
      <c r="K4" s="27">
        <v>60</v>
      </c>
      <c r="L4" s="27">
        <v>60</v>
      </c>
      <c r="M4" s="27">
        <v>60</v>
      </c>
      <c r="N4" s="27">
        <v>60</v>
      </c>
      <c r="O4" s="27">
        <v>60</v>
      </c>
      <c r="P4" s="27">
        <v>60</v>
      </c>
      <c r="Q4" s="27">
        <v>60</v>
      </c>
      <c r="R4" s="27">
        <v>60</v>
      </c>
      <c r="S4" s="703"/>
    </row>
    <row r="5" spans="1:19" ht="20.399999999999999" customHeight="1" x14ac:dyDescent="0.3">
      <c r="A5" s="702"/>
      <c r="B5" s="531" t="s">
        <v>360</v>
      </c>
      <c r="C5" s="27">
        <v>75</v>
      </c>
      <c r="D5" s="27">
        <v>75</v>
      </c>
      <c r="E5" s="27">
        <v>75</v>
      </c>
      <c r="F5" s="27">
        <v>75</v>
      </c>
      <c r="G5" s="27">
        <v>75</v>
      </c>
      <c r="H5" s="27">
        <v>75</v>
      </c>
      <c r="I5" s="27">
        <v>75</v>
      </c>
      <c r="J5" s="27">
        <v>75</v>
      </c>
      <c r="K5" s="27">
        <v>75</v>
      </c>
      <c r="L5" s="27">
        <v>75</v>
      </c>
      <c r="M5" s="27">
        <v>75</v>
      </c>
      <c r="N5" s="27">
        <v>75</v>
      </c>
      <c r="O5" s="27">
        <v>75</v>
      </c>
      <c r="P5" s="27">
        <v>75</v>
      </c>
      <c r="Q5" s="27">
        <v>75</v>
      </c>
      <c r="R5" s="27">
        <v>75</v>
      </c>
      <c r="S5" s="703"/>
    </row>
    <row r="6" spans="1:19" ht="20.399999999999999" customHeight="1" x14ac:dyDescent="0.3">
      <c r="A6" s="702"/>
      <c r="B6" s="531" t="s">
        <v>361</v>
      </c>
      <c r="C6" s="27">
        <v>85</v>
      </c>
      <c r="D6" s="27">
        <v>85</v>
      </c>
      <c r="E6" s="27">
        <v>85</v>
      </c>
      <c r="F6" s="27">
        <v>85</v>
      </c>
      <c r="G6" s="27">
        <v>85</v>
      </c>
      <c r="H6" s="27">
        <v>85</v>
      </c>
      <c r="I6" s="27">
        <v>85</v>
      </c>
      <c r="J6" s="27">
        <v>85</v>
      </c>
      <c r="K6" s="27">
        <v>85</v>
      </c>
      <c r="L6" s="27">
        <v>85</v>
      </c>
      <c r="M6" s="27">
        <v>85</v>
      </c>
      <c r="N6" s="27">
        <v>85</v>
      </c>
      <c r="O6" s="27">
        <v>85</v>
      </c>
      <c r="P6" s="27">
        <v>85</v>
      </c>
      <c r="Q6" s="27">
        <v>85</v>
      </c>
      <c r="R6" s="27">
        <v>85</v>
      </c>
      <c r="S6" s="703"/>
    </row>
    <row r="7" spans="1:19" ht="20.399999999999999" customHeight="1" x14ac:dyDescent="0.3">
      <c r="A7" s="702" t="s">
        <v>107</v>
      </c>
      <c r="B7" s="531" t="s">
        <v>357</v>
      </c>
      <c r="C7" s="27">
        <v>66</v>
      </c>
      <c r="D7" s="27">
        <v>66</v>
      </c>
      <c r="E7" s="27">
        <v>66</v>
      </c>
      <c r="F7" s="27">
        <v>66</v>
      </c>
      <c r="G7" s="27">
        <v>66</v>
      </c>
      <c r="H7" s="27">
        <v>66</v>
      </c>
      <c r="I7" s="27">
        <v>66</v>
      </c>
      <c r="J7" s="27">
        <v>66</v>
      </c>
      <c r="K7" s="27">
        <v>66</v>
      </c>
      <c r="L7" s="27">
        <v>66</v>
      </c>
      <c r="M7" s="27">
        <v>66</v>
      </c>
      <c r="N7" s="27">
        <v>66</v>
      </c>
      <c r="O7" s="27">
        <v>66</v>
      </c>
      <c r="P7" s="27">
        <v>66</v>
      </c>
      <c r="Q7" s="27">
        <v>66</v>
      </c>
      <c r="R7" s="27">
        <v>66</v>
      </c>
      <c r="S7" s="704" t="s">
        <v>362</v>
      </c>
    </row>
    <row r="8" spans="1:19" ht="20.399999999999999" customHeight="1" x14ac:dyDescent="0.3">
      <c r="A8" s="702"/>
      <c r="B8" s="531" t="s">
        <v>359</v>
      </c>
      <c r="C8" s="27">
        <v>60</v>
      </c>
      <c r="D8" s="27">
        <v>60</v>
      </c>
      <c r="E8" s="27">
        <v>60</v>
      </c>
      <c r="F8" s="27">
        <v>60</v>
      </c>
      <c r="G8" s="27">
        <v>60</v>
      </c>
      <c r="H8" s="27">
        <v>60</v>
      </c>
      <c r="I8" s="27">
        <v>60</v>
      </c>
      <c r="J8" s="27">
        <v>60</v>
      </c>
      <c r="K8" s="27">
        <v>60</v>
      </c>
      <c r="L8" s="27">
        <v>60</v>
      </c>
      <c r="M8" s="27">
        <v>60</v>
      </c>
      <c r="N8" s="27">
        <v>60</v>
      </c>
      <c r="O8" s="27">
        <v>60</v>
      </c>
      <c r="P8" s="27">
        <v>60</v>
      </c>
      <c r="Q8" s="27">
        <v>60</v>
      </c>
      <c r="R8" s="27">
        <v>60</v>
      </c>
      <c r="S8" s="704"/>
    </row>
    <row r="9" spans="1:19" ht="20.399999999999999" customHeight="1" x14ac:dyDescent="0.3">
      <c r="A9" s="702"/>
      <c r="B9" s="531" t="s">
        <v>360</v>
      </c>
      <c r="C9" s="27">
        <v>79</v>
      </c>
      <c r="D9" s="27">
        <v>79</v>
      </c>
      <c r="E9" s="27">
        <v>79</v>
      </c>
      <c r="F9" s="27">
        <v>79</v>
      </c>
      <c r="G9" s="27">
        <v>79</v>
      </c>
      <c r="H9" s="27">
        <v>79</v>
      </c>
      <c r="I9" s="27">
        <v>79</v>
      </c>
      <c r="J9" s="27">
        <v>79</v>
      </c>
      <c r="K9" s="27">
        <v>79</v>
      </c>
      <c r="L9" s="27">
        <v>79</v>
      </c>
      <c r="M9" s="27">
        <v>79</v>
      </c>
      <c r="N9" s="27">
        <v>79</v>
      </c>
      <c r="O9" s="27">
        <v>79</v>
      </c>
      <c r="P9" s="27">
        <v>79</v>
      </c>
      <c r="Q9" s="27">
        <v>79</v>
      </c>
      <c r="R9" s="27">
        <v>79</v>
      </c>
      <c r="S9" s="704"/>
    </row>
    <row r="10" spans="1:19" ht="20.399999999999999" customHeight="1" x14ac:dyDescent="0.3">
      <c r="A10" s="702"/>
      <c r="B10" s="531" t="s">
        <v>361</v>
      </c>
      <c r="C10" s="27">
        <v>86</v>
      </c>
      <c r="D10" s="27">
        <v>86</v>
      </c>
      <c r="E10" s="27">
        <v>86</v>
      </c>
      <c r="F10" s="27">
        <v>86</v>
      </c>
      <c r="G10" s="27">
        <v>86</v>
      </c>
      <c r="H10" s="27">
        <v>86</v>
      </c>
      <c r="I10" s="27">
        <v>86</v>
      </c>
      <c r="J10" s="27">
        <v>86</v>
      </c>
      <c r="K10" s="27">
        <v>86</v>
      </c>
      <c r="L10" s="27">
        <v>86</v>
      </c>
      <c r="M10" s="27">
        <v>86</v>
      </c>
      <c r="N10" s="27">
        <v>86</v>
      </c>
      <c r="O10" s="27">
        <v>86</v>
      </c>
      <c r="P10" s="27">
        <v>86</v>
      </c>
      <c r="Q10" s="27">
        <v>86</v>
      </c>
      <c r="R10" s="27">
        <v>86</v>
      </c>
      <c r="S10" s="704"/>
    </row>
    <row r="12" spans="1:19" x14ac:dyDescent="0.3">
      <c r="A12" s="200" t="s">
        <v>363</v>
      </c>
    </row>
    <row r="13" spans="1:19" x14ac:dyDescent="0.3">
      <c r="A13" t="s">
        <v>364</v>
      </c>
    </row>
  </sheetData>
  <mergeCells count="5">
    <mergeCell ref="A3:A6"/>
    <mergeCell ref="A1:S1"/>
    <mergeCell ref="S3:S6"/>
    <mergeCell ref="A7:A10"/>
    <mergeCell ref="S7:S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AA195"/>
  <sheetViews>
    <sheetView zoomScaleNormal="100" workbookViewId="0">
      <selection sqref="A1:K1"/>
    </sheetView>
  </sheetViews>
  <sheetFormatPr defaultColWidth="9.33203125" defaultRowHeight="13.8" x14ac:dyDescent="0.25"/>
  <cols>
    <col min="1" max="1" width="32.44140625" style="47" customWidth="1"/>
    <col min="2" max="2" width="15.33203125" style="47" customWidth="1"/>
    <col min="3" max="3" width="19.33203125" style="47" customWidth="1"/>
    <col min="4" max="4" width="34.44140625" style="47" customWidth="1"/>
    <col min="5" max="5" width="27.33203125" style="47" customWidth="1"/>
    <col min="6" max="6" width="32.33203125" style="47" customWidth="1"/>
    <col min="7" max="7" width="16" style="47" customWidth="1"/>
    <col min="8" max="8" width="15.33203125" style="47" customWidth="1"/>
    <col min="9" max="9" width="16.88671875" style="47" customWidth="1"/>
    <col min="10" max="10" width="13.6640625" style="47" customWidth="1"/>
    <col min="11" max="11" width="30.5546875" style="47" customWidth="1"/>
    <col min="12" max="12" width="13.6640625" style="47" customWidth="1"/>
    <col min="13" max="13" width="11.6640625" style="47" customWidth="1"/>
    <col min="14" max="14" width="13.6640625" style="47" customWidth="1"/>
    <col min="15" max="15" width="12.33203125" style="47" customWidth="1"/>
    <col min="16" max="16" width="13.6640625" style="47" customWidth="1"/>
    <col min="17" max="17" width="12.33203125" style="47" customWidth="1"/>
    <col min="18" max="18" width="13.6640625" style="47" customWidth="1"/>
    <col min="19" max="19" width="11.6640625" style="47" customWidth="1"/>
    <col min="20" max="21" width="10.6640625" style="47" customWidth="1"/>
    <col min="22" max="22" width="9.33203125" style="47"/>
    <col min="23" max="27" width="11.33203125" style="47" customWidth="1"/>
    <col min="28" max="16384" width="9.33203125" style="47"/>
  </cols>
  <sheetData>
    <row r="1" spans="1:27" ht="24.6" customHeight="1" x14ac:dyDescent="0.25">
      <c r="A1" s="675" t="str">
        <f>"Outdoor Airflow Rate - "&amp;Prototype!A2</f>
        <v>Outdoor Airflow Rate - RestaurantFastFood</v>
      </c>
      <c r="B1" s="675"/>
      <c r="C1" s="675"/>
      <c r="D1" s="675"/>
      <c r="E1" s="675"/>
      <c r="F1" s="675"/>
      <c r="G1" s="675"/>
      <c r="H1" s="675"/>
      <c r="I1" s="675"/>
      <c r="J1" s="675"/>
      <c r="K1" s="675"/>
      <c r="L1" s="2"/>
      <c r="M1" s="2"/>
      <c r="N1" s="2"/>
      <c r="O1" s="2"/>
      <c r="P1" s="2"/>
      <c r="Q1" s="2"/>
      <c r="R1" s="2"/>
      <c r="S1" s="2"/>
      <c r="T1" s="2"/>
      <c r="U1" s="2"/>
      <c r="V1" s="2"/>
      <c r="W1" s="2"/>
      <c r="X1" s="2"/>
      <c r="Y1" s="2"/>
      <c r="Z1" s="2"/>
      <c r="AA1" s="2"/>
    </row>
    <row r="2" spans="1:27" ht="43.2" customHeight="1" x14ac:dyDescent="0.25">
      <c r="A2" s="125" t="s">
        <v>203</v>
      </c>
      <c r="B2" s="137" t="s">
        <v>212</v>
      </c>
      <c r="C2" s="137" t="s">
        <v>365</v>
      </c>
      <c r="D2" s="132" t="s">
        <v>366</v>
      </c>
      <c r="E2" s="132" t="s">
        <v>367</v>
      </c>
      <c r="F2" s="132" t="s">
        <v>368</v>
      </c>
      <c r="G2" s="132" t="s">
        <v>369</v>
      </c>
      <c r="H2" s="132" t="s">
        <v>370</v>
      </c>
      <c r="I2" s="132" t="s">
        <v>371</v>
      </c>
      <c r="J2" s="125" t="s">
        <v>372</v>
      </c>
      <c r="K2" s="125" t="s">
        <v>49</v>
      </c>
      <c r="L2" s="2"/>
      <c r="M2" s="2"/>
      <c r="N2" s="2"/>
      <c r="O2" s="2"/>
      <c r="P2" s="2"/>
      <c r="Q2" s="2"/>
      <c r="R2" s="2"/>
      <c r="S2" s="2"/>
      <c r="T2" s="2"/>
      <c r="U2" s="2"/>
      <c r="V2" s="2"/>
      <c r="W2" s="2"/>
      <c r="X2" s="2"/>
      <c r="Y2" s="2"/>
      <c r="Z2" s="2"/>
      <c r="AA2" s="2"/>
    </row>
    <row r="3" spans="1:27" ht="28.95" customHeight="1" x14ac:dyDescent="0.25">
      <c r="A3" s="138" t="str">
        <f>Zones!B3</f>
        <v>Dining</v>
      </c>
      <c r="B3" s="131">
        <f>Zones!K3</f>
        <v>41.265180000000001</v>
      </c>
      <c r="C3" s="131">
        <f>Zones!H3</f>
        <v>1250.46</v>
      </c>
      <c r="D3" s="131">
        <v>15</v>
      </c>
      <c r="E3" s="528">
        <v>0.15</v>
      </c>
      <c r="F3" s="249" t="s">
        <v>373</v>
      </c>
      <c r="G3" s="134">
        <f t="shared" ref="G3:H4" si="0">B3*D3</f>
        <v>618.97770000000003</v>
      </c>
      <c r="H3" s="134">
        <f t="shared" si="0"/>
        <v>187.56899999999999</v>
      </c>
      <c r="I3" s="134">
        <f>2*50</f>
        <v>100</v>
      </c>
      <c r="J3" s="134">
        <f>MAX(G3:I3)</f>
        <v>618.97770000000003</v>
      </c>
      <c r="K3" s="183"/>
      <c r="L3" s="2"/>
      <c r="M3" s="2"/>
      <c r="N3" s="2"/>
      <c r="O3" s="2"/>
      <c r="P3" s="2"/>
      <c r="Q3" s="2"/>
      <c r="R3" s="2"/>
      <c r="S3" s="2"/>
      <c r="T3" s="2"/>
      <c r="U3" s="2"/>
      <c r="V3" s="2"/>
      <c r="W3" s="2"/>
      <c r="X3" s="2"/>
      <c r="Y3" s="2"/>
      <c r="Z3" s="2"/>
      <c r="AA3" s="2"/>
    </row>
    <row r="4" spans="1:27" ht="28.95" customHeight="1" x14ac:dyDescent="0.25">
      <c r="A4" s="138" t="str">
        <f>Zones!B4</f>
        <v>Kitchen</v>
      </c>
      <c r="B4" s="131">
        <f>Zones!K4</f>
        <v>3.7513800000000002</v>
      </c>
      <c r="C4" s="131">
        <f>Zones!H4</f>
        <v>1250.46</v>
      </c>
      <c r="D4" s="131">
        <v>15</v>
      </c>
      <c r="E4" s="528">
        <v>0.15</v>
      </c>
      <c r="F4" s="139" t="s">
        <v>374</v>
      </c>
      <c r="G4" s="134">
        <f t="shared" si="0"/>
        <v>56.270700000000005</v>
      </c>
      <c r="H4" s="134">
        <f t="shared" si="0"/>
        <v>187.56899999999999</v>
      </c>
      <c r="I4" s="134">
        <f>0.7*C4</f>
        <v>875.322</v>
      </c>
      <c r="J4" s="134">
        <f t="shared" ref="J4" si="1">MAX(G4:I4)</f>
        <v>875.322</v>
      </c>
      <c r="K4" s="183"/>
      <c r="L4" s="2"/>
      <c r="M4" s="2"/>
      <c r="N4" s="2"/>
      <c r="O4" s="2"/>
      <c r="P4" s="2"/>
      <c r="Q4" s="2"/>
      <c r="R4" s="2"/>
      <c r="S4" s="2"/>
      <c r="T4" s="2"/>
      <c r="U4" s="2"/>
      <c r="V4" s="2"/>
      <c r="W4" s="2"/>
      <c r="X4" s="2"/>
      <c r="Y4" s="2"/>
      <c r="Z4" s="2"/>
      <c r="AA4" s="2"/>
    </row>
    <row r="5" spans="1:27" ht="28.95" customHeight="1" x14ac:dyDescent="0.25">
      <c r="A5" s="138" t="str">
        <f>Zones!B5</f>
        <v>Attic</v>
      </c>
      <c r="B5" s="138"/>
      <c r="C5" s="138"/>
      <c r="D5" s="138"/>
      <c r="E5" s="138"/>
      <c r="F5" s="138"/>
      <c r="G5" s="138"/>
      <c r="H5" s="138"/>
      <c r="I5" s="138"/>
      <c r="J5" s="138"/>
      <c r="K5" s="138"/>
      <c r="L5" s="2"/>
      <c r="M5" s="2"/>
      <c r="N5" s="2"/>
      <c r="O5" s="2"/>
      <c r="P5" s="2"/>
      <c r="Q5" s="2"/>
      <c r="R5" s="2"/>
      <c r="S5" s="2"/>
      <c r="T5" s="2"/>
      <c r="U5" s="2"/>
      <c r="V5" s="2"/>
      <c r="W5" s="2"/>
      <c r="X5" s="2"/>
      <c r="Y5" s="2"/>
      <c r="Z5" s="2"/>
      <c r="AA5" s="2"/>
    </row>
    <row r="6" spans="1:27" x14ac:dyDescent="0.25">
      <c r="A6" s="2"/>
      <c r="B6" s="2"/>
      <c r="C6" s="2"/>
      <c r="D6" s="2"/>
      <c r="E6" s="2"/>
      <c r="F6" s="2"/>
      <c r="G6" s="2"/>
      <c r="H6" s="2"/>
      <c r="I6" s="2"/>
      <c r="J6" s="2"/>
      <c r="K6" s="2"/>
      <c r="L6" s="2"/>
      <c r="M6" s="2"/>
      <c r="N6" s="2"/>
      <c r="O6" s="2"/>
      <c r="P6" s="2"/>
      <c r="Q6" s="2"/>
      <c r="R6" s="2"/>
      <c r="S6" s="2"/>
      <c r="T6" s="2"/>
      <c r="U6" s="2"/>
      <c r="V6" s="2"/>
      <c r="W6" s="2"/>
      <c r="X6" s="2"/>
      <c r="Y6" s="2"/>
      <c r="Z6" s="2"/>
      <c r="AA6" s="2"/>
    </row>
    <row r="7" spans="1:27" x14ac:dyDescent="0.25">
      <c r="A7" s="79" t="s">
        <v>375</v>
      </c>
      <c r="B7" s="4"/>
      <c r="C7" s="4"/>
      <c r="D7" s="4"/>
      <c r="E7" s="4"/>
      <c r="F7" s="2"/>
      <c r="G7" s="2"/>
      <c r="H7" s="2"/>
      <c r="I7" s="2"/>
      <c r="J7" s="2"/>
      <c r="K7" s="2"/>
      <c r="L7" s="2"/>
      <c r="M7" s="2"/>
      <c r="N7" s="2"/>
      <c r="O7" s="2"/>
      <c r="P7" s="2"/>
      <c r="Q7" s="2"/>
      <c r="R7" s="2"/>
      <c r="S7" s="2"/>
      <c r="T7" s="2"/>
      <c r="U7" s="2"/>
      <c r="V7" s="2"/>
      <c r="W7" s="2"/>
      <c r="X7" s="2"/>
      <c r="Y7" s="2"/>
      <c r="Z7" s="2"/>
      <c r="AA7" s="2"/>
    </row>
    <row r="8" spans="1:27" x14ac:dyDescent="0.25">
      <c r="A8" s="4"/>
      <c r="B8" s="4"/>
      <c r="C8" s="4"/>
      <c r="D8" s="4"/>
      <c r="E8" s="4"/>
      <c r="F8" s="2"/>
      <c r="G8" s="2"/>
      <c r="H8" s="2"/>
      <c r="I8" s="2"/>
      <c r="J8" s="2"/>
      <c r="K8" s="2"/>
      <c r="L8" s="2"/>
      <c r="M8" s="2"/>
      <c r="N8" s="2"/>
      <c r="O8" s="2"/>
      <c r="P8" s="2"/>
      <c r="Q8" s="2"/>
      <c r="R8" s="2"/>
      <c r="S8" s="2"/>
      <c r="T8" s="2"/>
      <c r="U8" s="2"/>
      <c r="V8" s="2"/>
      <c r="W8" s="2"/>
      <c r="X8" s="2"/>
      <c r="Y8" s="2"/>
      <c r="Z8" s="2"/>
      <c r="AA8" s="2"/>
    </row>
    <row r="9" spans="1:27" x14ac:dyDescent="0.25">
      <c r="A9" s="2"/>
      <c r="B9" s="2"/>
      <c r="C9" s="2"/>
      <c r="D9" s="2"/>
      <c r="E9" s="2"/>
      <c r="F9" s="2"/>
      <c r="G9" s="2"/>
      <c r="H9" s="2"/>
      <c r="I9" s="2"/>
      <c r="J9" s="2"/>
      <c r="K9" s="2"/>
      <c r="L9" s="2"/>
      <c r="M9" s="2"/>
      <c r="N9" s="2"/>
      <c r="O9" s="2"/>
      <c r="P9" s="2"/>
      <c r="Q9" s="2"/>
      <c r="R9" s="2"/>
      <c r="S9" s="2"/>
      <c r="T9" s="2"/>
      <c r="U9" s="2"/>
      <c r="V9" s="2"/>
      <c r="W9" s="2"/>
      <c r="X9" s="2"/>
      <c r="Y9" s="2"/>
      <c r="Z9" s="2"/>
      <c r="AA9" s="2"/>
    </row>
    <row r="10" spans="1:27" ht="15.6" customHeight="1" x14ac:dyDescent="0.25">
      <c r="A10" s="708" t="s">
        <v>376</v>
      </c>
      <c r="B10" s="708"/>
      <c r="C10" s="708"/>
      <c r="D10" s="708"/>
      <c r="E10" s="708"/>
      <c r="F10" s="708"/>
      <c r="G10" s="174"/>
      <c r="H10" s="174"/>
      <c r="I10" s="174"/>
      <c r="J10" s="174"/>
      <c r="K10" s="2"/>
      <c r="L10" s="2"/>
      <c r="M10" s="2"/>
      <c r="N10" s="2"/>
      <c r="O10" s="2"/>
      <c r="P10" s="2"/>
      <c r="Q10" s="2"/>
      <c r="R10" s="2"/>
      <c r="S10" s="2"/>
      <c r="T10" s="2"/>
      <c r="U10" s="2"/>
      <c r="V10" s="2"/>
      <c r="W10" s="2"/>
      <c r="X10" s="2"/>
      <c r="Y10" s="2"/>
      <c r="Z10" s="2"/>
      <c r="AA10" s="2"/>
    </row>
    <row r="11" spans="1:27" ht="52.8" x14ac:dyDescent="0.25">
      <c r="A11" s="705" t="s">
        <v>377</v>
      </c>
      <c r="B11" s="706"/>
      <c r="C11" s="172" t="s">
        <v>378</v>
      </c>
      <c r="D11" s="172" t="s">
        <v>379</v>
      </c>
      <c r="E11" s="173" t="s">
        <v>380</v>
      </c>
      <c r="F11" s="173" t="s">
        <v>381</v>
      </c>
      <c r="G11" s="593"/>
      <c r="H11" s="557"/>
      <c r="I11" s="557"/>
      <c r="J11" s="557"/>
      <c r="K11" s="2"/>
      <c r="L11" s="2"/>
      <c r="M11" s="2"/>
      <c r="N11" s="2"/>
      <c r="O11" s="2"/>
      <c r="P11" s="2"/>
      <c r="Q11" s="2"/>
      <c r="R11" s="2"/>
      <c r="S11" s="2"/>
      <c r="T11" s="2"/>
      <c r="U11" s="2"/>
      <c r="V11" s="2"/>
      <c r="W11" s="2"/>
      <c r="X11" s="2"/>
      <c r="Y11" s="2"/>
      <c r="Z11" s="2"/>
      <c r="AA11" s="2"/>
    </row>
    <row r="12" spans="1:27" ht="22.2" customHeight="1" x14ac:dyDescent="0.25">
      <c r="A12" s="707" t="s">
        <v>382</v>
      </c>
      <c r="B12" s="707"/>
      <c r="C12" s="530">
        <v>210</v>
      </c>
      <c r="D12" s="251">
        <f>B24</f>
        <v>15.25</v>
      </c>
      <c r="E12" s="252">
        <f>D12*C12</f>
        <v>3202.5</v>
      </c>
      <c r="F12" s="594"/>
      <c r="G12" s="72"/>
      <c r="H12" s="72"/>
      <c r="I12" s="72"/>
      <c r="J12" s="557"/>
      <c r="K12" s="2"/>
      <c r="L12" s="2"/>
      <c r="M12" s="2"/>
      <c r="N12" s="2"/>
      <c r="O12" s="2"/>
      <c r="P12" s="2"/>
      <c r="Q12" s="2"/>
      <c r="R12" s="2"/>
      <c r="S12" s="2"/>
      <c r="T12" s="2"/>
      <c r="U12" s="2"/>
      <c r="V12" s="2"/>
      <c r="W12" s="2"/>
      <c r="X12" s="2"/>
      <c r="Y12" s="2"/>
      <c r="Z12" s="2"/>
      <c r="AA12" s="2"/>
    </row>
    <row r="13" spans="1:27" x14ac:dyDescent="0.25">
      <c r="A13" s="148"/>
      <c r="B13" s="148"/>
      <c r="C13" s="148"/>
      <c r="D13" s="204"/>
      <c r="E13" s="532"/>
      <c r="F13" s="192"/>
      <c r="G13" s="72"/>
      <c r="H13" s="72"/>
      <c r="I13" s="72"/>
      <c r="J13" s="557"/>
      <c r="K13" s="2"/>
      <c r="L13" s="2"/>
      <c r="M13" s="2"/>
      <c r="N13" s="2"/>
      <c r="O13" s="2"/>
      <c r="P13" s="2"/>
      <c r="Q13" s="2"/>
      <c r="R13" s="2"/>
      <c r="S13" s="2"/>
      <c r="T13" s="2"/>
      <c r="U13" s="2"/>
      <c r="V13" s="2"/>
      <c r="W13" s="2"/>
      <c r="X13" s="2"/>
      <c r="Y13" s="2"/>
      <c r="Z13" s="2"/>
      <c r="AA13" s="2"/>
    </row>
    <row r="14" spans="1:27" x14ac:dyDescent="0.25">
      <c r="A14" s="71" t="s">
        <v>383</v>
      </c>
      <c r="B14" s="557"/>
      <c r="C14" s="557"/>
      <c r="D14" s="557"/>
      <c r="E14" s="557"/>
      <c r="F14" s="557"/>
      <c r="G14" s="557"/>
      <c r="H14" s="557"/>
      <c r="I14" s="557"/>
      <c r="J14" s="557"/>
      <c r="K14" s="2"/>
      <c r="L14" s="2"/>
      <c r="M14" s="2"/>
      <c r="N14" s="2"/>
      <c r="O14" s="2"/>
      <c r="P14" s="2"/>
      <c r="Q14" s="2"/>
      <c r="R14" s="2"/>
      <c r="S14" s="2"/>
      <c r="T14" s="2"/>
      <c r="U14" s="2"/>
      <c r="V14" s="2"/>
      <c r="W14" s="2"/>
      <c r="X14" s="2"/>
      <c r="Y14" s="2"/>
      <c r="Z14" s="2"/>
      <c r="AA14" s="2"/>
    </row>
    <row r="15" spans="1:27" x14ac:dyDescent="0.25">
      <c r="A15" s="71"/>
      <c r="B15" s="72"/>
      <c r="C15" s="72"/>
      <c r="D15" s="557"/>
      <c r="E15" s="72"/>
      <c r="F15" s="72"/>
      <c r="G15" s="72"/>
      <c r="H15" s="72"/>
      <c r="I15" s="72"/>
      <c r="J15" s="557"/>
      <c r="K15" s="2"/>
      <c r="L15" s="2"/>
      <c r="M15" s="2"/>
      <c r="N15" s="2"/>
      <c r="O15" s="2"/>
      <c r="P15" s="2"/>
      <c r="Q15" s="2"/>
      <c r="R15" s="2"/>
      <c r="S15" s="2"/>
      <c r="T15" s="2"/>
      <c r="U15" s="2"/>
      <c r="V15" s="2"/>
      <c r="W15" s="2"/>
      <c r="X15" s="2"/>
      <c r="Y15" s="2"/>
      <c r="Z15" s="2"/>
      <c r="AA15" s="2"/>
    </row>
    <row r="16" spans="1:27" ht="19.2" customHeight="1" x14ac:dyDescent="0.25">
      <c r="A16" s="711" t="s">
        <v>384</v>
      </c>
      <c r="B16" s="711"/>
      <c r="C16" s="711"/>
      <c r="D16" s="711"/>
      <c r="E16" s="206"/>
      <c r="F16" s="72"/>
      <c r="G16" s="72"/>
      <c r="H16" s="72"/>
      <c r="I16" s="72"/>
      <c r="J16" s="557"/>
      <c r="K16" s="2"/>
      <c r="L16" s="2"/>
      <c r="M16" s="2"/>
      <c r="N16" s="2"/>
      <c r="O16" s="2"/>
      <c r="P16" s="2"/>
      <c r="Q16" s="2"/>
      <c r="R16" s="2"/>
      <c r="S16" s="2"/>
      <c r="T16" s="2"/>
      <c r="U16" s="2"/>
      <c r="V16" s="2"/>
      <c r="W16" s="2"/>
      <c r="X16" s="2"/>
      <c r="Y16" s="2"/>
      <c r="Z16" s="2"/>
      <c r="AA16" s="2"/>
    </row>
    <row r="17" spans="1:27" x14ac:dyDescent="0.25">
      <c r="A17" s="172" t="s">
        <v>385</v>
      </c>
      <c r="B17" s="172" t="s">
        <v>57</v>
      </c>
      <c r="C17" s="172" t="s">
        <v>386</v>
      </c>
      <c r="D17" s="172" t="s">
        <v>287</v>
      </c>
      <c r="E17" s="72"/>
      <c r="F17" s="72"/>
      <c r="G17" s="72"/>
      <c r="H17" s="72"/>
      <c r="I17" s="72"/>
      <c r="J17" s="557"/>
      <c r="K17" s="2"/>
      <c r="L17" s="2"/>
      <c r="M17" s="2"/>
      <c r="N17" s="2"/>
      <c r="O17" s="2"/>
      <c r="P17" s="2"/>
      <c r="Q17" s="2"/>
      <c r="R17" s="2"/>
      <c r="S17" s="2"/>
      <c r="T17" s="2"/>
      <c r="U17" s="2"/>
      <c r="V17" s="2"/>
      <c r="W17" s="2"/>
      <c r="X17" s="2"/>
      <c r="Y17" s="2"/>
      <c r="Z17" s="2"/>
      <c r="AA17" s="2"/>
    </row>
    <row r="18" spans="1:27" x14ac:dyDescent="0.25">
      <c r="A18" s="56" t="s">
        <v>387</v>
      </c>
      <c r="B18" s="595">
        <v>2</v>
      </c>
      <c r="C18" s="596">
        <v>2.5</v>
      </c>
      <c r="D18" s="712" t="s">
        <v>388</v>
      </c>
      <c r="E18" s="72"/>
      <c r="F18" s="72"/>
      <c r="G18" s="72"/>
      <c r="H18" s="72"/>
      <c r="I18" s="72"/>
      <c r="J18" s="557"/>
      <c r="K18" s="2"/>
      <c r="L18" s="2"/>
      <c r="M18" s="2"/>
      <c r="N18" s="2"/>
      <c r="O18" s="2"/>
      <c r="P18" s="2"/>
      <c r="Q18" s="2"/>
      <c r="R18" s="2"/>
      <c r="S18" s="2"/>
      <c r="T18" s="2"/>
      <c r="U18" s="2"/>
      <c r="V18" s="2"/>
      <c r="W18" s="2"/>
      <c r="X18" s="2"/>
      <c r="Y18" s="2"/>
      <c r="Z18" s="2"/>
      <c r="AA18" s="2"/>
    </row>
    <row r="19" spans="1:27" ht="26.4" customHeight="1" x14ac:dyDescent="0.25">
      <c r="A19" s="64" t="s">
        <v>389</v>
      </c>
      <c r="B19" s="3">
        <v>1</v>
      </c>
      <c r="C19" s="597">
        <v>1.25</v>
      </c>
      <c r="D19" s="712"/>
      <c r="E19" s="72"/>
      <c r="F19" s="72"/>
      <c r="G19" s="72"/>
      <c r="H19" s="72"/>
      <c r="I19" s="72"/>
      <c r="J19" s="2"/>
      <c r="K19" s="2"/>
      <c r="L19" s="2"/>
      <c r="M19" s="2"/>
      <c r="N19" s="2"/>
      <c r="O19" s="2"/>
      <c r="P19" s="2"/>
      <c r="Q19" s="2"/>
      <c r="R19" s="2"/>
      <c r="S19" s="2"/>
      <c r="T19" s="2"/>
      <c r="U19" s="2"/>
      <c r="V19" s="2"/>
      <c r="W19" s="2"/>
      <c r="X19" s="2"/>
      <c r="Y19" s="2"/>
      <c r="Z19" s="2"/>
      <c r="AA19" s="2"/>
    </row>
    <row r="20" spans="1:27" x14ac:dyDescent="0.25">
      <c r="A20" s="56" t="s">
        <v>390</v>
      </c>
      <c r="B20" s="201">
        <v>1</v>
      </c>
      <c r="C20" s="205">
        <v>4</v>
      </c>
      <c r="D20" s="712"/>
      <c r="E20" s="72"/>
      <c r="F20" s="72"/>
      <c r="G20" s="72"/>
      <c r="H20" s="72"/>
      <c r="I20" s="72"/>
      <c r="J20" s="2"/>
      <c r="K20" s="2"/>
      <c r="L20" s="2"/>
      <c r="M20" s="2"/>
      <c r="N20" s="2"/>
      <c r="O20" s="2"/>
      <c r="P20" s="2"/>
      <c r="Q20" s="2"/>
      <c r="R20" s="2"/>
      <c r="S20" s="2"/>
      <c r="T20" s="2"/>
      <c r="U20" s="2"/>
      <c r="V20" s="2"/>
      <c r="W20" s="2"/>
      <c r="X20" s="2"/>
      <c r="Y20" s="2"/>
      <c r="Z20" s="2"/>
      <c r="AA20" s="2"/>
    </row>
    <row r="21" spans="1:27" ht="13.95" customHeight="1" x14ac:dyDescent="0.25">
      <c r="A21" s="56" t="s">
        <v>391</v>
      </c>
      <c r="B21" s="201">
        <v>1</v>
      </c>
      <c r="C21" s="205">
        <v>2.5</v>
      </c>
      <c r="D21" s="712"/>
      <c r="E21" s="2"/>
      <c r="F21" s="2"/>
      <c r="G21" s="2"/>
      <c r="H21" s="2"/>
      <c r="I21" s="2"/>
      <c r="J21" s="2"/>
      <c r="K21" s="2"/>
      <c r="L21" s="2"/>
      <c r="M21" s="2"/>
      <c r="N21" s="2"/>
      <c r="O21" s="2"/>
      <c r="P21" s="2"/>
      <c r="Q21" s="2"/>
      <c r="R21" s="2"/>
      <c r="S21" s="2"/>
      <c r="T21" s="2"/>
      <c r="U21" s="2"/>
      <c r="V21" s="2"/>
      <c r="W21" s="2"/>
      <c r="X21" s="2"/>
      <c r="Y21" s="2"/>
      <c r="Z21" s="2"/>
      <c r="AA21" s="2"/>
    </row>
    <row r="22" spans="1:27" ht="58.2" customHeight="1" x14ac:dyDescent="0.25">
      <c r="A22" s="253" t="s">
        <v>392</v>
      </c>
      <c r="B22" s="254">
        <v>1</v>
      </c>
      <c r="C22" s="255">
        <v>4</v>
      </c>
      <c r="D22" s="256" t="s">
        <v>393</v>
      </c>
      <c r="E22" s="2"/>
      <c r="F22" s="2"/>
      <c r="G22" s="2"/>
      <c r="H22" s="2"/>
      <c r="I22" s="2"/>
      <c r="J22" s="2"/>
      <c r="K22" s="2"/>
      <c r="L22" s="2"/>
      <c r="M22" s="2"/>
      <c r="N22" s="2"/>
      <c r="O22" s="2"/>
      <c r="P22" s="2"/>
      <c r="Q22" s="2"/>
      <c r="R22" s="2"/>
      <c r="S22" s="2"/>
      <c r="T22" s="2"/>
      <c r="U22" s="2"/>
      <c r="V22" s="2"/>
      <c r="W22" s="2"/>
      <c r="X22" s="2"/>
      <c r="Y22" s="2"/>
      <c r="Z22" s="2"/>
      <c r="AA22" s="2"/>
    </row>
    <row r="23" spans="1:27" ht="13.95" customHeight="1" x14ac:dyDescent="0.25">
      <c r="A23" s="202" t="s">
        <v>394</v>
      </c>
      <c r="B23" s="709">
        <f>SUM(C18:C22)</f>
        <v>14.25</v>
      </c>
      <c r="C23" s="710"/>
      <c r="D23" s="2"/>
      <c r="E23" s="2"/>
      <c r="F23" s="2"/>
      <c r="G23" s="2"/>
      <c r="H23" s="2"/>
      <c r="I23" s="2"/>
      <c r="J23" s="2"/>
      <c r="K23" s="2"/>
      <c r="L23" s="2"/>
      <c r="M23" s="2"/>
      <c r="N23" s="2"/>
      <c r="O23" s="2"/>
      <c r="P23" s="2"/>
      <c r="Q23" s="2"/>
      <c r="R23" s="2"/>
      <c r="S23" s="2"/>
      <c r="T23" s="2"/>
      <c r="U23" s="2"/>
      <c r="V23" s="2"/>
      <c r="W23" s="2"/>
      <c r="X23" s="2"/>
      <c r="Y23" s="2"/>
      <c r="Z23" s="2"/>
      <c r="AA23" s="2"/>
    </row>
    <row r="24" spans="1:27" x14ac:dyDescent="0.25">
      <c r="A24" s="203" t="s">
        <v>395</v>
      </c>
      <c r="B24" s="709">
        <f>B23+1</f>
        <v>15.25</v>
      </c>
      <c r="C24" s="710"/>
      <c r="D24" s="2"/>
      <c r="E24" s="2"/>
      <c r="F24" s="2"/>
      <c r="G24" s="2"/>
      <c r="H24" s="2"/>
      <c r="I24" s="2"/>
      <c r="J24" s="2"/>
      <c r="K24" s="2"/>
      <c r="L24" s="2"/>
      <c r="M24" s="2"/>
      <c r="N24" s="2"/>
      <c r="O24" s="2"/>
      <c r="P24" s="2"/>
      <c r="Q24" s="2"/>
      <c r="R24" s="2"/>
      <c r="S24" s="2"/>
      <c r="T24" s="2"/>
      <c r="U24" s="2"/>
      <c r="V24" s="2"/>
      <c r="W24" s="2"/>
      <c r="X24" s="2"/>
      <c r="Y24" s="2"/>
      <c r="Z24" s="2"/>
      <c r="AA24" s="2"/>
    </row>
    <row r="25" spans="1:27" ht="13.95" customHeight="1" x14ac:dyDescent="0.25">
      <c r="A25" s="4"/>
      <c r="B25" s="4"/>
      <c r="C25" s="4"/>
      <c r="D25" s="2"/>
      <c r="E25" s="2"/>
      <c r="F25" s="2"/>
      <c r="G25" s="2"/>
      <c r="H25" s="2"/>
      <c r="I25" s="2"/>
      <c r="J25" s="2"/>
      <c r="K25" s="2"/>
      <c r="L25" s="2"/>
      <c r="M25" s="2"/>
      <c r="N25" s="2"/>
      <c r="O25" s="2"/>
      <c r="P25" s="2"/>
      <c r="Q25" s="2"/>
      <c r="R25" s="2"/>
      <c r="S25" s="2"/>
      <c r="T25" s="2"/>
      <c r="U25" s="2"/>
      <c r="V25" s="2"/>
      <c r="W25" s="2"/>
      <c r="X25" s="2"/>
      <c r="Y25" s="2"/>
      <c r="Z25" s="2"/>
      <c r="AA25" s="2"/>
    </row>
    <row r="26" spans="1:27" x14ac:dyDescent="0.25">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ht="15.6" customHeight="1" x14ac:dyDescent="0.25">
      <c r="A27" s="4"/>
      <c r="B27" s="527"/>
      <c r="C27" s="527"/>
      <c r="D27" s="2"/>
      <c r="E27" s="2"/>
      <c r="F27" s="2"/>
      <c r="G27" s="2"/>
      <c r="H27" s="2"/>
      <c r="I27" s="2"/>
      <c r="J27" s="2"/>
      <c r="K27" s="2"/>
      <c r="L27" s="2"/>
      <c r="M27" s="2"/>
      <c r="N27" s="2"/>
      <c r="O27" s="2"/>
      <c r="P27" s="2"/>
      <c r="Q27" s="2"/>
      <c r="R27" s="2"/>
      <c r="S27" s="2"/>
      <c r="T27" s="2"/>
      <c r="U27" s="2"/>
      <c r="V27" s="2"/>
      <c r="W27" s="2"/>
      <c r="X27" s="2"/>
      <c r="Y27" s="2"/>
      <c r="Z27" s="2"/>
      <c r="AA27" s="2"/>
    </row>
    <row r="29" spans="1:27" ht="22.9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x14ac:dyDescent="0.25">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x14ac:dyDescent="0.25">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x14ac:dyDescent="0.25">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x14ac:dyDescent="0.25">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x14ac:dyDescent="0.25">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x14ac:dyDescent="0.2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x14ac:dyDescent="0.25">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x14ac:dyDescent="0.25">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x14ac:dyDescent="0.25">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x14ac:dyDescent="0.25">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x14ac:dyDescent="0.25">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x14ac:dyDescent="0.25">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x14ac:dyDescent="0.25">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x14ac:dyDescent="0.25">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x14ac:dyDescent="0.25">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x14ac:dyDescent="0.2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x14ac:dyDescent="0.25">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x14ac:dyDescent="0.25">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x14ac:dyDescent="0.25">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x14ac:dyDescent="0.25">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x14ac:dyDescent="0.25">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x14ac:dyDescent="0.25">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x14ac:dyDescent="0.25">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x14ac:dyDescent="0.25">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x14ac:dyDescent="0.25">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x14ac:dyDescent="0.25">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x14ac:dyDescent="0.25">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x14ac:dyDescent="0.25">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x14ac:dyDescent="0.25">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x14ac:dyDescent="0.25">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x14ac:dyDescent="0.25">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x14ac:dyDescent="0.25">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x14ac:dyDescent="0.2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x14ac:dyDescent="0.25">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x14ac:dyDescent="0.25">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x14ac:dyDescent="0.25">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x14ac:dyDescent="0.25">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x14ac:dyDescent="0.25">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x14ac:dyDescent="0.25">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x14ac:dyDescent="0.25">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x14ac:dyDescent="0.2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x14ac:dyDescent="0.25">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x14ac:dyDescent="0.25">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x14ac:dyDescent="0.25">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x14ac:dyDescent="0.25">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x14ac:dyDescent="0.25">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x14ac:dyDescent="0.25">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x14ac:dyDescent="0.25">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x14ac:dyDescent="0.2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x14ac:dyDescent="0.25">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x14ac:dyDescent="0.25">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x14ac:dyDescent="0.25">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x14ac:dyDescent="0.25">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x14ac:dyDescent="0.25">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x14ac:dyDescent="0.25">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x14ac:dyDescent="0.25">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x14ac:dyDescent="0.25">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x14ac:dyDescent="0.25">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x14ac:dyDescent="0.25">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x14ac:dyDescent="0.25">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sheetData>
  <mergeCells count="8">
    <mergeCell ref="A1:K1"/>
    <mergeCell ref="A11:B11"/>
    <mergeCell ref="A12:B12"/>
    <mergeCell ref="A10:F10"/>
    <mergeCell ref="B24:C24"/>
    <mergeCell ref="B23:C23"/>
    <mergeCell ref="A16:D16"/>
    <mergeCell ref="D18:D21"/>
  </mergeCells>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C3810-C529-473A-9E43-4E4327BD9ABF}">
  <dimension ref="A1:AL183"/>
  <sheetViews>
    <sheetView zoomScale="86" zoomScaleNormal="85" workbookViewId="0">
      <selection sqref="A1:G1"/>
    </sheetView>
  </sheetViews>
  <sheetFormatPr defaultColWidth="8.6640625" defaultRowHeight="13.2" x14ac:dyDescent="0.25"/>
  <cols>
    <col min="1" max="1" width="35.88671875" style="4" customWidth="1"/>
    <col min="2" max="2" width="29.6640625" style="4" customWidth="1"/>
    <col min="3" max="3" width="23.109375" style="4" customWidth="1"/>
    <col min="4" max="4" width="33" style="4" customWidth="1"/>
    <col min="5" max="5" width="36.5546875" style="4" customWidth="1"/>
    <col min="6" max="6" width="25.5546875" style="4" customWidth="1"/>
    <col min="7" max="7" width="23" style="4" customWidth="1"/>
    <col min="8" max="8" width="37.5546875" style="4" customWidth="1"/>
    <col min="9" max="10" width="23" style="4" customWidth="1"/>
    <col min="11" max="11" width="19" style="4" customWidth="1"/>
    <col min="12" max="12" width="8.6640625" style="4" customWidth="1"/>
    <col min="13" max="13" width="12.33203125" style="4" customWidth="1"/>
    <col min="14" max="14" width="13.33203125" style="4" customWidth="1"/>
    <col min="15" max="15" width="15.33203125" style="4" customWidth="1"/>
    <col min="16" max="16" width="11" style="4" customWidth="1"/>
    <col min="17" max="20" width="15.33203125" style="4" customWidth="1"/>
    <col min="21" max="21" width="7.6640625" style="4" hidden="1" customWidth="1"/>
    <col min="22" max="22" width="12.44140625" style="4" hidden="1" customWidth="1"/>
    <col min="23" max="38" width="6.5546875" style="4" hidden="1" customWidth="1"/>
    <col min="39" max="39" width="15.33203125" style="4" customWidth="1"/>
    <col min="40" max="40" width="11.33203125" style="4" customWidth="1"/>
    <col min="41" max="41" width="6.33203125" style="4" customWidth="1"/>
    <col min="42" max="45" width="4.6640625" style="4" customWidth="1"/>
    <col min="46" max="46" width="6.33203125" style="4" customWidth="1"/>
    <col min="47" max="61" width="4.6640625" style="4" customWidth="1"/>
    <col min="62" max="16384" width="8.6640625" style="4"/>
  </cols>
  <sheetData>
    <row r="1" spans="1:10" ht="24" customHeight="1" x14ac:dyDescent="0.25">
      <c r="A1" s="718" t="str">
        <f>"Water Heater Summary - "&amp;Prototype!A2</f>
        <v>Water Heater Summary - RestaurantFastFood</v>
      </c>
      <c r="B1" s="696"/>
      <c r="C1" s="696"/>
      <c r="D1" s="696"/>
      <c r="E1" s="696"/>
      <c r="F1" s="696"/>
      <c r="G1" s="696"/>
    </row>
    <row r="2" spans="1:10" ht="22.35" customHeight="1" x14ac:dyDescent="0.25">
      <c r="A2" s="391" t="s">
        <v>234</v>
      </c>
      <c r="B2" s="391" t="s">
        <v>396</v>
      </c>
      <c r="C2" s="391" t="s">
        <v>397</v>
      </c>
      <c r="D2" s="391" t="s">
        <v>398</v>
      </c>
      <c r="E2" s="439" t="s">
        <v>399</v>
      </c>
      <c r="F2" s="439" t="s">
        <v>400</v>
      </c>
      <c r="G2" s="439" t="s">
        <v>287</v>
      </c>
    </row>
    <row r="3" spans="1:10" ht="61.5" customHeight="1" x14ac:dyDescent="0.25">
      <c r="A3" s="479" t="s">
        <v>303</v>
      </c>
      <c r="B3" s="479" t="s">
        <v>401</v>
      </c>
      <c r="C3" s="440">
        <v>0.8</v>
      </c>
      <c r="D3" s="440">
        <v>1</v>
      </c>
      <c r="E3" s="458" t="s">
        <v>402</v>
      </c>
      <c r="F3" s="459" t="s">
        <v>403</v>
      </c>
      <c r="G3" s="478" t="s">
        <v>404</v>
      </c>
      <c r="H3" s="441"/>
    </row>
    <row r="4" spans="1:10" ht="63.75" customHeight="1" x14ac:dyDescent="0.25">
      <c r="A4" s="479" t="s">
        <v>310</v>
      </c>
      <c r="B4" s="479" t="s">
        <v>401</v>
      </c>
      <c r="C4" s="440">
        <v>0.8</v>
      </c>
      <c r="D4" s="440">
        <v>1</v>
      </c>
      <c r="E4" s="458" t="str">
        <f>E3</f>
        <v>See table below for CZ-specific values: Climate Zone Water Heater Sizing and Loss Coefficients, Storage Volume column (col F)</v>
      </c>
      <c r="F4" s="458" t="str">
        <f>F3</f>
        <v>See table below: Climate Zone Water Heater Sizing and Loss Coefficients, Standby Loss column (col G)</v>
      </c>
      <c r="G4" s="478" t="str">
        <f>G3</f>
        <v>See table below for sources: Climate Zone Water Heater Sizing and Loss Coefficients</v>
      </c>
      <c r="H4" s="441"/>
    </row>
    <row r="5" spans="1:10" ht="14.7" customHeight="1" x14ac:dyDescent="0.25">
      <c r="A5" s="8"/>
      <c r="B5" s="8"/>
      <c r="C5" s="8"/>
      <c r="D5" s="8"/>
      <c r="E5" s="8"/>
    </row>
    <row r="6" spans="1:10" ht="14.7" customHeight="1" x14ac:dyDescent="0.25"/>
    <row r="7" spans="1:10" ht="19.95" customHeight="1" x14ac:dyDescent="0.25">
      <c r="A7" s="675" t="s">
        <v>405</v>
      </c>
      <c r="B7" s="675"/>
      <c r="C7" s="675"/>
      <c r="D7" s="675"/>
      <c r="E7" s="675"/>
      <c r="F7" s="675"/>
      <c r="G7" s="675"/>
      <c r="H7" s="675"/>
    </row>
    <row r="8" spans="1:10" ht="65.400000000000006" customHeight="1" x14ac:dyDescent="0.25">
      <c r="A8" s="133" t="s">
        <v>406</v>
      </c>
      <c r="B8" s="133" t="s">
        <v>407</v>
      </c>
      <c r="C8" s="133" t="s">
        <v>408</v>
      </c>
      <c r="D8" s="133" t="s">
        <v>212</v>
      </c>
      <c r="E8" s="133" t="s">
        <v>409</v>
      </c>
      <c r="F8" s="133" t="s">
        <v>410</v>
      </c>
      <c r="G8" s="133" t="s">
        <v>411</v>
      </c>
      <c r="H8" s="57" t="s">
        <v>381</v>
      </c>
    </row>
    <row r="9" spans="1:10" ht="82.2" customHeight="1" x14ac:dyDescent="0.25">
      <c r="A9" s="134" t="str">
        <f>Zones!B3</f>
        <v>Dining</v>
      </c>
      <c r="B9" s="530" t="s">
        <v>401</v>
      </c>
      <c r="C9" s="135">
        <f>Zones!H3</f>
        <v>1250.46</v>
      </c>
      <c r="D9" s="131">
        <f>Zones!K3</f>
        <v>41.265180000000001</v>
      </c>
      <c r="E9" s="136">
        <f>0.58*0.2</f>
        <v>0.11599999999999999</v>
      </c>
      <c r="F9" s="401">
        <f>E9*D9</f>
        <v>4.7867608800000001</v>
      </c>
      <c r="G9" s="460">
        <f>F9/60</f>
        <v>7.9779348E-2</v>
      </c>
      <c r="H9" s="464" t="s">
        <v>412</v>
      </c>
    </row>
    <row r="10" spans="1:10" ht="59.4" customHeight="1" x14ac:dyDescent="0.25">
      <c r="A10" s="134" t="str">
        <f>Zones!B4</f>
        <v>Kitchen</v>
      </c>
      <c r="B10" s="530" t="s">
        <v>401</v>
      </c>
      <c r="C10" s="135">
        <f>Zones!H4</f>
        <v>1250.46</v>
      </c>
      <c r="D10" s="131">
        <f>Zones!K4</f>
        <v>3.7513800000000002</v>
      </c>
      <c r="E10" s="136" t="s">
        <v>85</v>
      </c>
      <c r="F10" s="402">
        <f>D24</f>
        <v>53.6</v>
      </c>
      <c r="G10" s="460">
        <f>F10/60</f>
        <v>0.89333333333333331</v>
      </c>
      <c r="H10" s="461" t="s">
        <v>413</v>
      </c>
    </row>
    <row r="11" spans="1:10" ht="20.25" customHeight="1" x14ac:dyDescent="0.25">
      <c r="A11" s="598" t="s">
        <v>97</v>
      </c>
      <c r="B11" s="713" t="s">
        <v>414</v>
      </c>
      <c r="C11" s="714"/>
      <c r="D11" s="714"/>
      <c r="E11" s="715"/>
      <c r="F11" s="599">
        <f>_xlfn.LET(
  _xlpm.g,SUMIF($B$9:$B$10,"Gas*",$F$9:$F$10),
  _xlpm.e,SUMIF($B$9:$B$10,"Electric*",$F$9:$F$10),
  IF(AND(_xlpm.g&gt;0,_xlpm.e&gt;0),_xlpm.g,IF(_xlpm.g&gt;0,MAX(75,_xlpm.g),0)))</f>
        <v>75</v>
      </c>
      <c r="G11" s="442"/>
      <c r="H11" s="716" t="s">
        <v>415</v>
      </c>
    </row>
    <row r="12" spans="1:10" ht="19.5" customHeight="1" x14ac:dyDescent="0.25">
      <c r="A12" s="598" t="s">
        <v>416</v>
      </c>
      <c r="B12" s="713" t="s">
        <v>417</v>
      </c>
      <c r="C12" s="714"/>
      <c r="D12" s="714"/>
      <c r="E12" s="715"/>
      <c r="F12" s="599">
        <f>_xlfn.LET(
  _xlpm.g,SUMIF($B$9:$B$10,"Gas*",$F$9:$F$10),
  _xlpm.e,SUMIF($B$9:$B$10,"Electric*",$F$9:$F$10),
  IF(AND(_xlpm.g&gt;0,_xlpm.e&gt;0),_xlpm.e,IF(_xlpm.e&gt;0,MAX(75,_xlpm.e),0)))</f>
        <v>0</v>
      </c>
      <c r="G12" s="442"/>
      <c r="H12" s="717"/>
    </row>
    <row r="13" spans="1:10" s="443" customFormat="1" ht="14.4" x14ac:dyDescent="0.3">
      <c r="A13"/>
      <c r="B13"/>
      <c r="C13"/>
      <c r="D13"/>
      <c r="E13"/>
      <c r="F13"/>
      <c r="G13"/>
      <c r="H13"/>
      <c r="J13"/>
    </row>
    <row r="14" spans="1:10" s="443" customFormat="1" ht="14.4" x14ac:dyDescent="0.3">
      <c r="A14"/>
      <c r="B14"/>
      <c r="C14"/>
      <c r="D14"/>
      <c r="E14"/>
      <c r="F14"/>
      <c r="G14" t="s">
        <v>418</v>
      </c>
      <c r="H14"/>
      <c r="J14" t="s">
        <v>419</v>
      </c>
    </row>
    <row r="15" spans="1:10" s="443" customFormat="1" ht="14.4" x14ac:dyDescent="0.3">
      <c r="A15"/>
      <c r="B15"/>
      <c r="C15"/>
      <c r="D15"/>
      <c r="E15"/>
      <c r="F15"/>
      <c r="G15"/>
      <c r="H15"/>
      <c r="J15" s="51" t="s">
        <v>420</v>
      </c>
    </row>
    <row r="16" spans="1:10" s="443" customFormat="1" ht="14.4" x14ac:dyDescent="0.3">
      <c r="A16"/>
      <c r="B16"/>
      <c r="C16"/>
      <c r="D16"/>
      <c r="E16"/>
      <c r="F16"/>
      <c r="G16"/>
      <c r="H16"/>
      <c r="I16"/>
      <c r="J16"/>
    </row>
    <row r="17" spans="1:10" s="443" customFormat="1" ht="21.75" customHeight="1" x14ac:dyDescent="0.3">
      <c r="A17" s="708" t="s">
        <v>421</v>
      </c>
      <c r="B17" s="708"/>
      <c r="C17" s="708"/>
      <c r="D17" s="708"/>
      <c r="E17" s="708"/>
      <c r="F17" s="72"/>
      <c r="G17"/>
      <c r="H17"/>
      <c r="I17"/>
      <c r="J17"/>
    </row>
    <row r="18" spans="1:10" s="443" customFormat="1" ht="26.4" x14ac:dyDescent="0.3">
      <c r="A18" s="462" t="s">
        <v>422</v>
      </c>
      <c r="B18" s="462" t="s">
        <v>423</v>
      </c>
      <c r="C18" s="462" t="s">
        <v>424</v>
      </c>
      <c r="D18" s="462" t="s">
        <v>425</v>
      </c>
      <c r="E18" s="462" t="s">
        <v>287</v>
      </c>
      <c r="F18" s="72"/>
      <c r="G18"/>
      <c r="H18"/>
      <c r="I18"/>
      <c r="J18"/>
    </row>
    <row r="19" spans="1:10" s="443" customFormat="1" ht="18" customHeight="1" x14ac:dyDescent="0.3">
      <c r="A19" s="600" t="s">
        <v>426</v>
      </c>
      <c r="B19" s="601">
        <v>5</v>
      </c>
      <c r="C19" s="601">
        <v>1</v>
      </c>
      <c r="D19" s="601">
        <v>5</v>
      </c>
      <c r="E19" s="729" t="s">
        <v>427</v>
      </c>
      <c r="F19" s="72"/>
      <c r="G19"/>
      <c r="H19"/>
      <c r="I19"/>
      <c r="J19"/>
    </row>
    <row r="20" spans="1:10" s="443" customFormat="1" ht="18" customHeight="1" x14ac:dyDescent="0.3">
      <c r="A20" s="600" t="s">
        <v>428</v>
      </c>
      <c r="B20" s="601">
        <v>5</v>
      </c>
      <c r="C20" s="601">
        <v>1</v>
      </c>
      <c r="D20" s="601">
        <v>5</v>
      </c>
      <c r="E20" s="730"/>
      <c r="F20" s="72"/>
      <c r="G20"/>
      <c r="H20"/>
      <c r="I20"/>
      <c r="J20"/>
    </row>
    <row r="21" spans="1:10" s="443" customFormat="1" ht="18" customHeight="1" x14ac:dyDescent="0.3">
      <c r="A21" s="600" t="s">
        <v>429</v>
      </c>
      <c r="B21" s="601">
        <v>42</v>
      </c>
      <c r="C21" s="601">
        <v>1</v>
      </c>
      <c r="D21" s="601">
        <v>42</v>
      </c>
      <c r="E21" s="730"/>
      <c r="F21" s="72"/>
      <c r="G21"/>
      <c r="H21"/>
      <c r="I21"/>
      <c r="J21"/>
    </row>
    <row r="22" spans="1:10" s="443" customFormat="1" ht="18" customHeight="1" x14ac:dyDescent="0.3">
      <c r="A22" s="600" t="s">
        <v>430</v>
      </c>
      <c r="B22" s="601">
        <v>15</v>
      </c>
      <c r="C22" s="601">
        <v>1</v>
      </c>
      <c r="D22" s="601">
        <v>15</v>
      </c>
      <c r="E22" s="730"/>
      <c r="F22" s="72"/>
      <c r="G22"/>
      <c r="H22"/>
      <c r="I22"/>
      <c r="J22"/>
    </row>
    <row r="23" spans="1:10" s="443" customFormat="1" ht="18" customHeight="1" x14ac:dyDescent="0.3">
      <c r="A23" s="600" t="s">
        <v>431</v>
      </c>
      <c r="B23" s="601">
        <v>5</v>
      </c>
      <c r="C23" s="601"/>
      <c r="D23" s="601"/>
      <c r="E23" s="730"/>
      <c r="F23" s="72"/>
      <c r="G23"/>
      <c r="H23"/>
      <c r="I23"/>
      <c r="J23"/>
    </row>
    <row r="24" spans="1:10" s="443" customFormat="1" ht="52.8" x14ac:dyDescent="0.3">
      <c r="A24" s="731" t="s">
        <v>432</v>
      </c>
      <c r="B24" s="732"/>
      <c r="C24" s="733"/>
      <c r="D24" s="603">
        <f>SUM(D19:D22)*0.8</f>
        <v>53.6</v>
      </c>
      <c r="E24" s="478" t="s">
        <v>433</v>
      </c>
      <c r="F24" s="72"/>
      <c r="G24"/>
      <c r="H24"/>
      <c r="I24"/>
      <c r="J24"/>
    </row>
    <row r="25" spans="1:10" s="443" customFormat="1" ht="26.4" x14ac:dyDescent="0.3">
      <c r="A25" s="726" t="s">
        <v>434</v>
      </c>
      <c r="B25" s="727"/>
      <c r="C25" s="728"/>
      <c r="D25" s="463">
        <v>56000</v>
      </c>
      <c r="E25" s="602" t="s">
        <v>435</v>
      </c>
      <c r="G25"/>
      <c r="H25"/>
      <c r="I25"/>
      <c r="J25"/>
    </row>
    <row r="26" spans="1:10" s="443" customFormat="1" ht="26.4" x14ac:dyDescent="0.3">
      <c r="A26" s="542" t="s">
        <v>436</v>
      </c>
      <c r="B26" s="543"/>
      <c r="C26" s="544"/>
      <c r="D26" s="463">
        <v>75</v>
      </c>
      <c r="E26" s="602" t="s">
        <v>435</v>
      </c>
      <c r="G26"/>
      <c r="H26"/>
      <c r="I26"/>
      <c r="J26"/>
    </row>
    <row r="27" spans="1:10" s="443" customFormat="1" ht="27" x14ac:dyDescent="0.3">
      <c r="A27" s="726" t="s">
        <v>437</v>
      </c>
      <c r="B27" s="727"/>
      <c r="C27" s="728"/>
      <c r="D27" s="553">
        <f>(D25/800)+110*SQRT(D24)</f>
        <v>875.33222957981764</v>
      </c>
      <c r="E27" s="475" t="s">
        <v>438</v>
      </c>
      <c r="F27" s="72"/>
      <c r="G27"/>
      <c r="H27"/>
      <c r="I27"/>
      <c r="J27"/>
    </row>
    <row r="28" spans="1:10" s="443" customFormat="1" ht="40.200000000000003" x14ac:dyDescent="0.3">
      <c r="A28" s="726" t="s">
        <v>439</v>
      </c>
      <c r="B28" s="727"/>
      <c r="C28" s="728"/>
      <c r="D28" s="554">
        <f>D27/70</f>
        <v>12.504746136854537</v>
      </c>
      <c r="E28" s="475" t="s">
        <v>440</v>
      </c>
      <c r="F28" s="72"/>
      <c r="G28"/>
      <c r="H28"/>
      <c r="I28"/>
      <c r="J28"/>
    </row>
    <row r="29" spans="1:10" s="443" customFormat="1" ht="14.4" x14ac:dyDescent="0.3">
      <c r="B29" s="71"/>
      <c r="C29" s="71"/>
      <c r="D29" s="72"/>
      <c r="E29" s="72"/>
      <c r="F29" s="72"/>
      <c r="G29"/>
      <c r="H29"/>
      <c r="I29"/>
      <c r="J29"/>
    </row>
    <row r="30" spans="1:10" s="443" customFormat="1" ht="14.4" x14ac:dyDescent="0.3">
      <c r="A30" s="71"/>
      <c r="B30" s="71"/>
      <c r="C30" s="71"/>
      <c r="D30" s="72"/>
      <c r="E30" s="72"/>
      <c r="F30" s="72"/>
      <c r="G30"/>
      <c r="H30"/>
      <c r="I30"/>
      <c r="J30"/>
    </row>
    <row r="31" spans="1:10" s="443" customFormat="1" ht="53.4" x14ac:dyDescent="0.3">
      <c r="A31" s="150" t="s">
        <v>441</v>
      </c>
      <c r="B31" s="72"/>
      <c r="C31" s="150"/>
      <c r="D31" s="72"/>
      <c r="E31" s="72"/>
      <c r="F31" s="72"/>
      <c r="G31"/>
      <c r="H31"/>
      <c r="I31"/>
      <c r="J31"/>
    </row>
    <row r="32" spans="1:10" s="443" customFormat="1" ht="93" x14ac:dyDescent="0.3">
      <c r="A32" s="72" t="s">
        <v>442</v>
      </c>
      <c r="B32" s="476">
        <v>70</v>
      </c>
      <c r="C32" s="477" t="s">
        <v>443</v>
      </c>
      <c r="D32" s="72"/>
      <c r="E32" s="72"/>
      <c r="F32" s="72"/>
      <c r="G32"/>
      <c r="H32"/>
      <c r="I32"/>
      <c r="J32"/>
    </row>
    <row r="33" spans="1:12" s="443" customFormat="1" ht="14.4" x14ac:dyDescent="0.3">
      <c r="A33" s="72"/>
      <c r="B33" s="604"/>
      <c r="C33" s="477"/>
      <c r="D33" s="72"/>
      <c r="E33" s="72"/>
      <c r="F33" s="72"/>
      <c r="G33"/>
      <c r="H33"/>
      <c r="I33"/>
      <c r="J33"/>
    </row>
    <row r="34" spans="1:12" s="443" customFormat="1" ht="14.4" x14ac:dyDescent="0.3">
      <c r="A34" s="72" t="s">
        <v>444</v>
      </c>
      <c r="B34" s="72"/>
      <c r="C34" s="477"/>
      <c r="D34" s="72"/>
      <c r="E34" s="72"/>
      <c r="F34" s="72"/>
      <c r="G34"/>
      <c r="H34"/>
      <c r="I34"/>
      <c r="J34"/>
    </row>
    <row r="35" spans="1:12" s="443" customFormat="1" ht="14.4" x14ac:dyDescent="0.3">
      <c r="A35"/>
      <c r="B35"/>
      <c r="C35"/>
      <c r="D35"/>
      <c r="E35"/>
      <c r="F35"/>
      <c r="G35"/>
      <c r="H35"/>
      <c r="I35"/>
      <c r="J35"/>
    </row>
    <row r="36" spans="1:12" s="443" customFormat="1" ht="14.4" x14ac:dyDescent="0.3">
      <c r="A36"/>
      <c r="B36"/>
      <c r="C36"/>
      <c r="D36"/>
      <c r="E36"/>
      <c r="F36"/>
      <c r="G36"/>
      <c r="H36"/>
      <c r="I36"/>
      <c r="J36"/>
    </row>
    <row r="37" spans="1:12" s="443" customFormat="1" ht="14.4" x14ac:dyDescent="0.3">
      <c r="A37"/>
      <c r="B37"/>
      <c r="C37"/>
      <c r="D37"/>
      <c r="E37"/>
      <c r="F37"/>
      <c r="G37"/>
      <c r="H37"/>
      <c r="I37"/>
      <c r="J37"/>
    </row>
    <row r="38" spans="1:12" s="443" customFormat="1" ht="14.4" x14ac:dyDescent="0.3">
      <c r="A38"/>
      <c r="B38"/>
      <c r="C38"/>
      <c r="D38"/>
      <c r="E38"/>
      <c r="F38"/>
      <c r="G38"/>
      <c r="H38"/>
      <c r="I38"/>
      <c r="J38"/>
    </row>
    <row r="39" spans="1:12" s="443" customFormat="1" ht="14.4" x14ac:dyDescent="0.3">
      <c r="A39"/>
      <c r="B39"/>
      <c r="C39"/>
      <c r="D39"/>
      <c r="E39"/>
      <c r="F39"/>
      <c r="G39"/>
      <c r="H39"/>
      <c r="I39"/>
      <c r="J39"/>
    </row>
    <row r="40" spans="1:12" s="443" customFormat="1" ht="14.4" x14ac:dyDescent="0.3">
      <c r="A40"/>
      <c r="B40"/>
      <c r="C40"/>
      <c r="D40"/>
      <c r="E40"/>
      <c r="F40"/>
      <c r="G40"/>
      <c r="H40"/>
      <c r="I40"/>
      <c r="J40"/>
    </row>
    <row r="41" spans="1:12" s="443" customFormat="1" ht="14.4" x14ac:dyDescent="0.3">
      <c r="A41"/>
      <c r="B41"/>
      <c r="C41"/>
      <c r="D41"/>
      <c r="E41"/>
      <c r="F41"/>
      <c r="G41"/>
      <c r="H41"/>
      <c r="I41"/>
      <c r="J41"/>
    </row>
    <row r="42" spans="1:12" s="443" customFormat="1" ht="14.4" x14ac:dyDescent="0.3">
      <c r="A42"/>
      <c r="B42"/>
      <c r="C42"/>
      <c r="D42"/>
      <c r="E42"/>
      <c r="F42"/>
      <c r="G42"/>
      <c r="H42"/>
      <c r="I42"/>
      <c r="J42"/>
    </row>
    <row r="43" spans="1:12" s="443" customFormat="1" ht="15" customHeight="1" x14ac:dyDescent="0.3">
      <c r="A43" s="605" t="s">
        <v>445</v>
      </c>
      <c r="B43" s="606">
        <v>135</v>
      </c>
      <c r="C43" s="607" t="s">
        <v>446</v>
      </c>
      <c r="D43" s="444"/>
      <c r="E43" s="444"/>
      <c r="F43"/>
      <c r="G43"/>
      <c r="H43"/>
      <c r="I43"/>
      <c r="J43"/>
    </row>
    <row r="44" spans="1:12" s="443" customFormat="1" ht="15" customHeight="1" x14ac:dyDescent="0.3">
      <c r="A44" s="444" t="s">
        <v>447</v>
      </c>
      <c r="B44" s="608">
        <v>0.6</v>
      </c>
      <c r="C44" s="607" t="s">
        <v>448</v>
      </c>
      <c r="D44" s="445"/>
      <c r="E44" s="445"/>
      <c r="F44"/>
      <c r="G44"/>
      <c r="H44"/>
      <c r="I44"/>
      <c r="J44"/>
    </row>
    <row r="45" spans="1:12" s="443" customFormat="1" ht="14.4" x14ac:dyDescent="0.3">
      <c r="A45" s="609" t="s">
        <v>449</v>
      </c>
      <c r="B45" s="610">
        <v>8.2876999999999992</v>
      </c>
      <c r="C45" s="607" t="s">
        <v>448</v>
      </c>
      <c r="D45" s="607"/>
      <c r="E45" s="607"/>
      <c r="F45"/>
      <c r="G45"/>
      <c r="H45"/>
      <c r="I45"/>
      <c r="J45"/>
    </row>
    <row r="46" spans="1:12" s="443" customFormat="1" ht="14.4" x14ac:dyDescent="0.3">
      <c r="A46" s="443" t="s">
        <v>450</v>
      </c>
      <c r="B46" s="446">
        <v>0.4</v>
      </c>
      <c r="C46" s="447" t="s">
        <v>451</v>
      </c>
      <c r="D46" s="447"/>
      <c r="F46" s="447"/>
      <c r="G46" s="447"/>
    </row>
    <row r="47" spans="1:12" s="443" customFormat="1" ht="26.1" customHeight="1" x14ac:dyDescent="0.25">
      <c r="A47" s="719" t="s">
        <v>452</v>
      </c>
      <c r="B47" s="720"/>
      <c r="C47" s="720"/>
      <c r="D47" s="720"/>
      <c r="E47" s="720"/>
      <c r="F47" s="720"/>
      <c r="G47" s="720"/>
      <c r="H47" s="720"/>
      <c r="I47" s="720"/>
      <c r="J47" s="720"/>
      <c r="K47" s="720"/>
    </row>
    <row r="48" spans="1:12" s="443" customFormat="1" ht="48.75" customHeight="1" x14ac:dyDescent="0.3">
      <c r="A48" s="611" t="s">
        <v>453</v>
      </c>
      <c r="B48" s="611" t="s">
        <v>454</v>
      </c>
      <c r="C48" s="611" t="s">
        <v>455</v>
      </c>
      <c r="D48" s="611" t="s">
        <v>456</v>
      </c>
      <c r="E48" s="611" t="s">
        <v>457</v>
      </c>
      <c r="F48" s="611" t="s">
        <v>458</v>
      </c>
      <c r="G48" s="721" t="s">
        <v>459</v>
      </c>
      <c r="H48" s="721"/>
      <c r="I48" s="721" t="s">
        <v>460</v>
      </c>
      <c r="J48" s="721"/>
      <c r="K48" s="612" t="s">
        <v>461</v>
      </c>
      <c r="L48"/>
    </row>
    <row r="49" spans="1:11" s="443" customFormat="1" ht="18.75" customHeight="1" x14ac:dyDescent="0.25">
      <c r="A49" s="465" t="s">
        <v>462</v>
      </c>
      <c r="B49" s="466">
        <v>47.9</v>
      </c>
      <c r="C49" s="467">
        <f>$F$11*($B$43-B49)*$B$45</f>
        <v>54139.400249999992</v>
      </c>
      <c r="D49" s="467">
        <f>C49*$B$44</f>
        <v>32483.640149999992</v>
      </c>
      <c r="E49" s="467">
        <f>_xlfn.LET(_xlpm.x,_xlfn.XLOOKUP(D49/$C$3,$A$70:$A$100,$A$70:$A$100,"",1),IF(_xlpm.x="",ROUNDUP(D49/$C$3,0),_xlpm.x))</f>
        <v>60000</v>
      </c>
      <c r="F49" s="467">
        <f>_xlfn.LET(_xlpm.v,MAX(30,$F$11*$B$46),_xlpm.x,_xlfn.XLOOKUP(_xlpm.v,$E$70:$E$88,$E$70:$E$88,"",1),IF(_xlpm.x="",ROUNDUP(_xlpm.v,0),_xlpm.x))</f>
        <v>34</v>
      </c>
      <c r="G49" s="467">
        <f>(E49/800)+110*SQRT(F49)</f>
        <v>716.40470843298306</v>
      </c>
      <c r="H49" s="467" t="s">
        <v>463</v>
      </c>
      <c r="I49" s="555">
        <f>G49/70</f>
        <v>10.234352977614044</v>
      </c>
      <c r="J49" s="468" t="s">
        <v>464</v>
      </c>
      <c r="K49" s="722" t="s">
        <v>465</v>
      </c>
    </row>
    <row r="50" spans="1:11" s="443" customFormat="1" ht="18.75" customHeight="1" x14ac:dyDescent="0.25">
      <c r="A50" s="465" t="s">
        <v>466</v>
      </c>
      <c r="B50" s="466">
        <v>50.8</v>
      </c>
      <c r="C50" s="467">
        <f t="shared" ref="C50:C64" si="0">$F$11*($B$43-B50)*$B$45</f>
        <v>52336.825499999992</v>
      </c>
      <c r="D50" s="467">
        <f t="shared" ref="D50:D64" si="1">C50*$B$44</f>
        <v>31402.095299999994</v>
      </c>
      <c r="E50" s="467">
        <f t="shared" ref="E50:E64" si="2">_xlfn.LET(_xlpm.x,_xlfn.XLOOKUP(D50/$C$3,$A$70:$A$100,$A$70:$A$100,"",1),IF(_xlpm.x="",ROUNDUP(D50/$C$3,0),_xlpm.x))</f>
        <v>60000</v>
      </c>
      <c r="F50" s="467">
        <f t="shared" ref="F50:F64" si="3">_xlfn.LET(_xlpm.v,MAX(30,$F$11*$B$46),_xlpm.x,_xlfn.XLOOKUP(_xlpm.v,$E$70:$E$88,$E$70:$E$88,"",1),IF(_xlpm.x="",ROUNDUP(_xlpm.v,0),_xlpm.x))</f>
        <v>34</v>
      </c>
      <c r="G50" s="467">
        <f t="shared" ref="G50:G64" si="4">(E50/800)+110*SQRT(F50)</f>
        <v>716.40470843298306</v>
      </c>
      <c r="H50" s="467" t="s">
        <v>463</v>
      </c>
      <c r="I50" s="555">
        <f t="shared" ref="I50:I64" si="5">G50/70</f>
        <v>10.234352977614044</v>
      </c>
      <c r="J50" s="468" t="s">
        <v>464</v>
      </c>
      <c r="K50" s="723"/>
    </row>
    <row r="51" spans="1:11" s="443" customFormat="1" ht="18.75" customHeight="1" x14ac:dyDescent="0.25">
      <c r="A51" s="465" t="s">
        <v>467</v>
      </c>
      <c r="B51" s="466">
        <v>52.2</v>
      </c>
      <c r="C51" s="467">
        <f t="shared" si="0"/>
        <v>51466.616999999998</v>
      </c>
      <c r="D51" s="467">
        <f t="shared" si="1"/>
        <v>30879.970199999996</v>
      </c>
      <c r="E51" s="467">
        <f t="shared" si="2"/>
        <v>60000</v>
      </c>
      <c r="F51" s="467">
        <f t="shared" si="3"/>
        <v>34</v>
      </c>
      <c r="G51" s="467">
        <f t="shared" si="4"/>
        <v>716.40470843298306</v>
      </c>
      <c r="H51" s="467" t="s">
        <v>463</v>
      </c>
      <c r="I51" s="555">
        <f t="shared" si="5"/>
        <v>10.234352977614044</v>
      </c>
      <c r="J51" s="468" t="s">
        <v>464</v>
      </c>
      <c r="K51" s="723"/>
    </row>
    <row r="52" spans="1:11" s="443" customFormat="1" ht="18.75" customHeight="1" x14ac:dyDescent="0.25">
      <c r="A52" s="465" t="s">
        <v>468</v>
      </c>
      <c r="B52" s="466">
        <v>52.7</v>
      </c>
      <c r="C52" s="467">
        <f t="shared" si="0"/>
        <v>51155.828249999991</v>
      </c>
      <c r="D52" s="467">
        <f t="shared" si="1"/>
        <v>30693.496949999993</v>
      </c>
      <c r="E52" s="467">
        <f t="shared" si="2"/>
        <v>60000</v>
      </c>
      <c r="F52" s="467">
        <f t="shared" si="3"/>
        <v>34</v>
      </c>
      <c r="G52" s="467">
        <f t="shared" si="4"/>
        <v>716.40470843298306</v>
      </c>
      <c r="H52" s="467" t="s">
        <v>463</v>
      </c>
      <c r="I52" s="555">
        <f t="shared" si="5"/>
        <v>10.234352977614044</v>
      </c>
      <c r="J52" s="468" t="s">
        <v>464</v>
      </c>
      <c r="K52" s="723"/>
    </row>
    <row r="53" spans="1:11" s="443" customFormat="1" ht="18.75" customHeight="1" x14ac:dyDescent="0.25">
      <c r="A53" s="465" t="s">
        <v>469</v>
      </c>
      <c r="B53" s="466">
        <v>51.6</v>
      </c>
      <c r="C53" s="467">
        <f t="shared" si="0"/>
        <v>51839.563499999997</v>
      </c>
      <c r="D53" s="467">
        <f t="shared" si="1"/>
        <v>31103.738099999995</v>
      </c>
      <c r="E53" s="467">
        <f t="shared" si="2"/>
        <v>60000</v>
      </c>
      <c r="F53" s="467">
        <f t="shared" si="3"/>
        <v>34</v>
      </c>
      <c r="G53" s="467">
        <f t="shared" si="4"/>
        <v>716.40470843298306</v>
      </c>
      <c r="H53" s="467" t="s">
        <v>463</v>
      </c>
      <c r="I53" s="555">
        <f t="shared" si="5"/>
        <v>10.234352977614044</v>
      </c>
      <c r="J53" s="468" t="s">
        <v>464</v>
      </c>
      <c r="K53" s="723"/>
    </row>
    <row r="54" spans="1:11" s="443" customFormat="1" ht="18.75" customHeight="1" x14ac:dyDescent="0.25">
      <c r="A54" s="465" t="s">
        <v>470</v>
      </c>
      <c r="B54" s="466">
        <v>56.8</v>
      </c>
      <c r="C54" s="467">
        <f t="shared" si="0"/>
        <v>48607.360499999995</v>
      </c>
      <c r="D54" s="467">
        <f t="shared" si="1"/>
        <v>29164.416299999997</v>
      </c>
      <c r="E54" s="467">
        <f t="shared" si="2"/>
        <v>60000</v>
      </c>
      <c r="F54" s="467">
        <f t="shared" si="3"/>
        <v>34</v>
      </c>
      <c r="G54" s="467">
        <f t="shared" si="4"/>
        <v>716.40470843298306</v>
      </c>
      <c r="H54" s="467" t="s">
        <v>463</v>
      </c>
      <c r="I54" s="555">
        <f t="shared" si="5"/>
        <v>10.234352977614044</v>
      </c>
      <c r="J54" s="468" t="s">
        <v>464</v>
      </c>
      <c r="K54" s="723"/>
    </row>
    <row r="55" spans="1:11" s="443" customFormat="1" ht="18.75" customHeight="1" x14ac:dyDescent="0.25">
      <c r="A55" s="465" t="s">
        <v>471</v>
      </c>
      <c r="B55" s="466">
        <v>58.4</v>
      </c>
      <c r="C55" s="467">
        <f t="shared" si="0"/>
        <v>47612.836499999998</v>
      </c>
      <c r="D55" s="467">
        <f t="shared" si="1"/>
        <v>28567.701899999996</v>
      </c>
      <c r="E55" s="467">
        <f t="shared" si="2"/>
        <v>60000</v>
      </c>
      <c r="F55" s="467">
        <f t="shared" si="3"/>
        <v>34</v>
      </c>
      <c r="G55" s="467">
        <f t="shared" si="4"/>
        <v>716.40470843298306</v>
      </c>
      <c r="H55" s="467" t="s">
        <v>463</v>
      </c>
      <c r="I55" s="555">
        <f t="shared" si="5"/>
        <v>10.234352977614044</v>
      </c>
      <c r="J55" s="468" t="s">
        <v>464</v>
      </c>
      <c r="K55" s="723"/>
    </row>
    <row r="56" spans="1:11" s="443" customFormat="1" ht="18.75" customHeight="1" x14ac:dyDescent="0.25">
      <c r="A56" s="465" t="s">
        <v>472</v>
      </c>
      <c r="B56" s="466">
        <v>58.4</v>
      </c>
      <c r="C56" s="467">
        <f t="shared" si="0"/>
        <v>47612.836499999998</v>
      </c>
      <c r="D56" s="467">
        <f t="shared" si="1"/>
        <v>28567.701899999996</v>
      </c>
      <c r="E56" s="467">
        <f t="shared" si="2"/>
        <v>60000</v>
      </c>
      <c r="F56" s="467">
        <f t="shared" si="3"/>
        <v>34</v>
      </c>
      <c r="G56" s="467">
        <f t="shared" si="4"/>
        <v>716.40470843298306</v>
      </c>
      <c r="H56" s="467" t="s">
        <v>463</v>
      </c>
      <c r="I56" s="555">
        <f t="shared" si="5"/>
        <v>10.234352977614044</v>
      </c>
      <c r="J56" s="468" t="s">
        <v>464</v>
      </c>
      <c r="K56" s="723"/>
    </row>
    <row r="57" spans="1:11" s="443" customFormat="1" ht="18.75" customHeight="1" x14ac:dyDescent="0.25">
      <c r="A57" s="465" t="s">
        <v>473</v>
      </c>
      <c r="B57" s="466">
        <v>57.6</v>
      </c>
      <c r="C57" s="467">
        <f t="shared" si="0"/>
        <v>48110.098499999993</v>
      </c>
      <c r="D57" s="467">
        <f t="shared" si="1"/>
        <v>28866.059099999995</v>
      </c>
      <c r="E57" s="467">
        <f t="shared" si="2"/>
        <v>60000</v>
      </c>
      <c r="F57" s="467">
        <f t="shared" si="3"/>
        <v>34</v>
      </c>
      <c r="G57" s="467">
        <f t="shared" si="4"/>
        <v>716.40470843298306</v>
      </c>
      <c r="H57" s="467" t="s">
        <v>463</v>
      </c>
      <c r="I57" s="555">
        <f t="shared" si="5"/>
        <v>10.234352977614044</v>
      </c>
      <c r="J57" s="468" t="s">
        <v>464</v>
      </c>
      <c r="K57" s="723"/>
    </row>
    <row r="58" spans="1:11" s="443" customFormat="1" ht="18.75" customHeight="1" x14ac:dyDescent="0.25">
      <c r="A58" s="465" t="s">
        <v>245</v>
      </c>
      <c r="B58" s="466">
        <v>57.1</v>
      </c>
      <c r="C58" s="467">
        <f t="shared" si="0"/>
        <v>48420.887249999992</v>
      </c>
      <c r="D58" s="467">
        <f t="shared" si="1"/>
        <v>29052.532349999994</v>
      </c>
      <c r="E58" s="467">
        <f t="shared" si="2"/>
        <v>60000</v>
      </c>
      <c r="F58" s="467">
        <f t="shared" si="3"/>
        <v>34</v>
      </c>
      <c r="G58" s="467">
        <f t="shared" si="4"/>
        <v>716.40470843298306</v>
      </c>
      <c r="H58" s="467" t="s">
        <v>463</v>
      </c>
      <c r="I58" s="555">
        <f t="shared" si="5"/>
        <v>10.234352977614044</v>
      </c>
      <c r="J58" s="468" t="s">
        <v>464</v>
      </c>
      <c r="K58" s="723"/>
    </row>
    <row r="59" spans="1:11" s="443" customFormat="1" ht="18.75" customHeight="1" x14ac:dyDescent="0.25">
      <c r="A59" s="465" t="s">
        <v>246</v>
      </c>
      <c r="B59" s="466">
        <v>50.5</v>
      </c>
      <c r="C59" s="467">
        <f t="shared" si="0"/>
        <v>52523.298749999994</v>
      </c>
      <c r="D59" s="467">
        <f t="shared" si="1"/>
        <v>31513.979249999997</v>
      </c>
      <c r="E59" s="467">
        <f t="shared" si="2"/>
        <v>60000</v>
      </c>
      <c r="F59" s="467">
        <f t="shared" si="3"/>
        <v>34</v>
      </c>
      <c r="G59" s="467">
        <f t="shared" si="4"/>
        <v>716.40470843298306</v>
      </c>
      <c r="H59" s="467" t="s">
        <v>463</v>
      </c>
      <c r="I59" s="555">
        <f t="shared" si="5"/>
        <v>10.234352977614044</v>
      </c>
      <c r="J59" s="468" t="s">
        <v>464</v>
      </c>
      <c r="K59" s="723"/>
    </row>
    <row r="60" spans="1:11" s="443" customFormat="1" ht="18.75" customHeight="1" x14ac:dyDescent="0.25">
      <c r="A60" s="465" t="s">
        <v>247</v>
      </c>
      <c r="B60" s="466">
        <v>51.4</v>
      </c>
      <c r="C60" s="467">
        <f t="shared" si="0"/>
        <v>51963.878999999994</v>
      </c>
      <c r="D60" s="467">
        <f t="shared" si="1"/>
        <v>31178.327399999995</v>
      </c>
      <c r="E60" s="467">
        <f t="shared" si="2"/>
        <v>60000</v>
      </c>
      <c r="F60" s="467">
        <f t="shared" si="3"/>
        <v>34</v>
      </c>
      <c r="G60" s="467">
        <f t="shared" si="4"/>
        <v>716.40470843298306</v>
      </c>
      <c r="H60" s="467" t="s">
        <v>463</v>
      </c>
      <c r="I60" s="555">
        <f t="shared" si="5"/>
        <v>10.234352977614044</v>
      </c>
      <c r="J60" s="468" t="s">
        <v>464</v>
      </c>
      <c r="K60" s="723"/>
    </row>
    <row r="61" spans="1:11" s="443" customFormat="1" ht="18.75" customHeight="1" x14ac:dyDescent="0.25">
      <c r="A61" s="465" t="s">
        <v>248</v>
      </c>
      <c r="B61" s="466">
        <v>51.7</v>
      </c>
      <c r="C61" s="467">
        <f t="shared" si="0"/>
        <v>51777.405749999998</v>
      </c>
      <c r="D61" s="467">
        <f t="shared" si="1"/>
        <v>31066.443449999999</v>
      </c>
      <c r="E61" s="467">
        <f t="shared" si="2"/>
        <v>60000</v>
      </c>
      <c r="F61" s="467">
        <f t="shared" si="3"/>
        <v>34</v>
      </c>
      <c r="G61" s="467">
        <f t="shared" si="4"/>
        <v>716.40470843298306</v>
      </c>
      <c r="H61" s="467" t="s">
        <v>463</v>
      </c>
      <c r="I61" s="555">
        <f t="shared" si="5"/>
        <v>10.234352977614044</v>
      </c>
      <c r="J61" s="468" t="s">
        <v>464</v>
      </c>
      <c r="K61" s="723"/>
    </row>
    <row r="62" spans="1:11" s="443" customFormat="1" ht="18.75" customHeight="1" x14ac:dyDescent="0.25">
      <c r="A62" s="465" t="s">
        <v>249</v>
      </c>
      <c r="B62" s="466">
        <v>50.1</v>
      </c>
      <c r="C62" s="467">
        <f t="shared" si="0"/>
        <v>52771.929749999996</v>
      </c>
      <c r="D62" s="467">
        <f t="shared" si="1"/>
        <v>31663.157849999996</v>
      </c>
      <c r="E62" s="467">
        <f t="shared" si="2"/>
        <v>60000</v>
      </c>
      <c r="F62" s="467">
        <f t="shared" si="3"/>
        <v>34</v>
      </c>
      <c r="G62" s="467">
        <f t="shared" si="4"/>
        <v>716.40470843298306</v>
      </c>
      <c r="H62" s="467" t="s">
        <v>463</v>
      </c>
      <c r="I62" s="555">
        <f t="shared" si="5"/>
        <v>10.234352977614044</v>
      </c>
      <c r="J62" s="468" t="s">
        <v>464</v>
      </c>
      <c r="K62" s="723"/>
    </row>
    <row r="63" spans="1:11" s="443" customFormat="1" ht="18.75" customHeight="1" x14ac:dyDescent="0.25">
      <c r="A63" s="465" t="s">
        <v>250</v>
      </c>
      <c r="B63" s="466">
        <v>63.2</v>
      </c>
      <c r="C63" s="467">
        <f t="shared" si="0"/>
        <v>44629.264499999997</v>
      </c>
      <c r="D63" s="467">
        <f t="shared" si="1"/>
        <v>26777.558699999998</v>
      </c>
      <c r="E63" s="467">
        <f t="shared" si="2"/>
        <v>60000</v>
      </c>
      <c r="F63" s="467">
        <f t="shared" si="3"/>
        <v>34</v>
      </c>
      <c r="G63" s="467">
        <f t="shared" si="4"/>
        <v>716.40470843298306</v>
      </c>
      <c r="H63" s="467" t="s">
        <v>463</v>
      </c>
      <c r="I63" s="555">
        <f t="shared" si="5"/>
        <v>10.234352977614044</v>
      </c>
      <c r="J63" s="468" t="s">
        <v>464</v>
      </c>
      <c r="K63" s="723"/>
    </row>
    <row r="64" spans="1:11" s="443" customFormat="1" ht="18.75" customHeight="1" x14ac:dyDescent="0.25">
      <c r="A64" s="465" t="s">
        <v>251</v>
      </c>
      <c r="B64" s="466">
        <v>41.4</v>
      </c>
      <c r="C64" s="467">
        <f t="shared" si="0"/>
        <v>58179.653999999995</v>
      </c>
      <c r="D64" s="467">
        <f t="shared" si="1"/>
        <v>34907.792399999998</v>
      </c>
      <c r="E64" s="467">
        <f t="shared" si="2"/>
        <v>60000</v>
      </c>
      <c r="F64" s="467">
        <f t="shared" si="3"/>
        <v>34</v>
      </c>
      <c r="G64" s="467">
        <f t="shared" si="4"/>
        <v>716.40470843298306</v>
      </c>
      <c r="H64" s="467" t="s">
        <v>463</v>
      </c>
      <c r="I64" s="555">
        <f t="shared" si="5"/>
        <v>10.234352977614044</v>
      </c>
      <c r="J64" s="468" t="s">
        <v>464</v>
      </c>
      <c r="K64" s="724"/>
    </row>
    <row r="65" spans="1:9" s="443" customFormat="1" ht="14.4" x14ac:dyDescent="0.3">
      <c r="C65" s="447"/>
      <c r="D65" s="447"/>
      <c r="F65" s="447"/>
      <c r="G65" s="447"/>
    </row>
    <row r="66" spans="1:9" s="443" customFormat="1" ht="14.4" x14ac:dyDescent="0.3">
      <c r="C66" s="447"/>
      <c r="D66" s="447"/>
      <c r="F66" s="447"/>
      <c r="G66" s="447"/>
    </row>
    <row r="67" spans="1:9" s="443" customFormat="1" ht="14.4" x14ac:dyDescent="0.3">
      <c r="C67" s="447"/>
      <c r="D67" s="447"/>
      <c r="F67" s="447"/>
      <c r="G67" s="447"/>
    </row>
    <row r="68" spans="1:9" s="443" customFormat="1" ht="24.75" customHeight="1" x14ac:dyDescent="0.25">
      <c r="A68" s="725" t="s">
        <v>474</v>
      </c>
      <c r="B68" s="675"/>
      <c r="C68" s="675"/>
      <c r="D68" s="675"/>
      <c r="E68" s="675"/>
      <c r="F68" s="675"/>
      <c r="G68" s="675"/>
      <c r="H68" s="675"/>
      <c r="I68" s="474"/>
    </row>
    <row r="69" spans="1:9" s="448" customFormat="1" ht="23.25" customHeight="1" x14ac:dyDescent="0.25">
      <c r="A69" s="613" t="s">
        <v>475</v>
      </c>
      <c r="B69" s="614" t="s">
        <v>476</v>
      </c>
      <c r="C69" s="615" t="s">
        <v>477</v>
      </c>
      <c r="D69" s="616" t="s">
        <v>478</v>
      </c>
      <c r="E69" s="617" t="s">
        <v>479</v>
      </c>
      <c r="F69" s="616" t="s">
        <v>480</v>
      </c>
      <c r="G69" s="618" t="s">
        <v>481</v>
      </c>
      <c r="H69" s="619" t="s">
        <v>482</v>
      </c>
      <c r="I69" s="471" t="str">
        <f>HYPERLINK("#'Note'!A1","Sources and links → Note tab")</f>
        <v>Sources and links → Note tab</v>
      </c>
    </row>
    <row r="70" spans="1:9" s="443" customFormat="1" ht="13.8" x14ac:dyDescent="0.25">
      <c r="A70" s="620">
        <v>60000</v>
      </c>
      <c r="B70" s="621" t="s">
        <v>483</v>
      </c>
      <c r="C70" s="469">
        <v>1.5</v>
      </c>
      <c r="D70" s="472">
        <v>5118</v>
      </c>
      <c r="E70" s="470">
        <v>34</v>
      </c>
      <c r="F70" s="470" t="s">
        <v>484</v>
      </c>
      <c r="G70" s="470">
        <v>6</v>
      </c>
      <c r="H70" s="473" t="s">
        <v>483</v>
      </c>
      <c r="I70" s="474"/>
    </row>
    <row r="71" spans="1:9" s="443" customFormat="1" ht="13.8" x14ac:dyDescent="0.25">
      <c r="A71" s="620">
        <v>75100</v>
      </c>
      <c r="B71" s="620" t="s">
        <v>483</v>
      </c>
      <c r="C71" s="469">
        <v>2</v>
      </c>
      <c r="D71" s="472">
        <v>6824</v>
      </c>
      <c r="E71" s="470">
        <v>35</v>
      </c>
      <c r="F71" s="470" t="s">
        <v>483</v>
      </c>
      <c r="G71" s="470">
        <v>10</v>
      </c>
      <c r="H71" s="473" t="s">
        <v>483</v>
      </c>
    </row>
    <row r="72" spans="1:9" s="443" customFormat="1" ht="13.8" x14ac:dyDescent="0.25">
      <c r="A72" s="620">
        <v>76000</v>
      </c>
      <c r="B72" s="620" t="s">
        <v>485</v>
      </c>
      <c r="C72" s="469">
        <v>3</v>
      </c>
      <c r="D72" s="472">
        <v>10236</v>
      </c>
      <c r="E72" s="470">
        <v>48</v>
      </c>
      <c r="F72" s="470" t="s">
        <v>483</v>
      </c>
      <c r="G72" s="470">
        <v>15</v>
      </c>
      <c r="H72" s="473" t="s">
        <v>483</v>
      </c>
    </row>
    <row r="73" spans="1:9" s="443" customFormat="1" ht="13.8" x14ac:dyDescent="0.25">
      <c r="A73" s="620">
        <v>80000</v>
      </c>
      <c r="B73" s="620" t="s">
        <v>483</v>
      </c>
      <c r="C73" s="469">
        <v>4.5</v>
      </c>
      <c r="D73" s="472">
        <v>15355</v>
      </c>
      <c r="E73" s="470">
        <v>50</v>
      </c>
      <c r="F73" s="470" t="s">
        <v>485</v>
      </c>
      <c r="G73" s="470">
        <v>20</v>
      </c>
      <c r="H73" s="473" t="s">
        <v>483</v>
      </c>
    </row>
    <row r="74" spans="1:9" s="443" customFormat="1" ht="13.8" x14ac:dyDescent="0.25">
      <c r="A74" s="620">
        <v>99900</v>
      </c>
      <c r="B74" s="620" t="s">
        <v>484</v>
      </c>
      <c r="C74" s="469">
        <v>6</v>
      </c>
      <c r="D74" s="472">
        <v>20473</v>
      </c>
      <c r="E74" s="470">
        <v>55</v>
      </c>
      <c r="F74" s="470" t="s">
        <v>484</v>
      </c>
      <c r="G74" s="470">
        <v>28</v>
      </c>
      <c r="H74" s="473" t="s">
        <v>483</v>
      </c>
    </row>
    <row r="75" spans="1:9" s="443" customFormat="1" ht="13.8" x14ac:dyDescent="0.25">
      <c r="A75" s="620">
        <v>100000</v>
      </c>
      <c r="B75" s="620" t="s">
        <v>485</v>
      </c>
      <c r="C75" s="469">
        <v>8</v>
      </c>
      <c r="D75" s="472">
        <v>27297</v>
      </c>
      <c r="E75" s="470">
        <v>60</v>
      </c>
      <c r="F75" s="470" t="s">
        <v>484</v>
      </c>
      <c r="G75" s="470">
        <v>30</v>
      </c>
      <c r="H75" s="473" t="s">
        <v>483</v>
      </c>
    </row>
    <row r="76" spans="1:9" s="443" customFormat="1" ht="13.8" x14ac:dyDescent="0.25">
      <c r="A76" s="620">
        <v>120000</v>
      </c>
      <c r="B76" s="620" t="s">
        <v>484</v>
      </c>
      <c r="C76" s="469">
        <v>9</v>
      </c>
      <c r="D76" s="472">
        <v>30709</v>
      </c>
      <c r="E76" s="470">
        <v>65</v>
      </c>
      <c r="F76" s="470" t="s">
        <v>485</v>
      </c>
      <c r="G76" s="470">
        <v>36</v>
      </c>
      <c r="H76" s="473" t="s">
        <v>483</v>
      </c>
    </row>
    <row r="77" spans="1:9" s="443" customFormat="1" ht="13.8" x14ac:dyDescent="0.25">
      <c r="A77" s="620">
        <v>125000</v>
      </c>
      <c r="B77" s="620" t="s">
        <v>485</v>
      </c>
      <c r="C77" s="469">
        <v>10</v>
      </c>
      <c r="D77" s="472">
        <v>34121</v>
      </c>
      <c r="E77" s="470">
        <v>72</v>
      </c>
      <c r="F77" s="470" t="s">
        <v>483</v>
      </c>
      <c r="G77" s="470">
        <v>40</v>
      </c>
      <c r="H77" s="473" t="s">
        <v>483</v>
      </c>
    </row>
    <row r="78" spans="1:9" s="443" customFormat="1" ht="13.8" x14ac:dyDescent="0.25">
      <c r="A78" s="620">
        <v>130000</v>
      </c>
      <c r="B78" s="620" t="s">
        <v>485</v>
      </c>
      <c r="C78" s="469">
        <v>12</v>
      </c>
      <c r="D78" s="472">
        <v>40946</v>
      </c>
      <c r="E78" s="470">
        <v>75</v>
      </c>
      <c r="F78" s="470" t="s">
        <v>485</v>
      </c>
      <c r="G78" s="470">
        <v>47</v>
      </c>
      <c r="H78" s="473"/>
    </row>
    <row r="79" spans="1:9" s="443" customFormat="1" ht="13.8" x14ac:dyDescent="0.25">
      <c r="A79" s="620">
        <v>145000</v>
      </c>
      <c r="B79" s="620" t="s">
        <v>484</v>
      </c>
      <c r="C79" s="469">
        <v>12.1</v>
      </c>
      <c r="D79" s="472">
        <v>41287</v>
      </c>
      <c r="E79" s="470">
        <v>76</v>
      </c>
      <c r="F79" s="470" t="s">
        <v>483</v>
      </c>
      <c r="G79" s="470">
        <v>50</v>
      </c>
      <c r="H79" s="496"/>
    </row>
    <row r="80" spans="1:9" s="443" customFormat="1" ht="13.8" x14ac:dyDescent="0.25">
      <c r="A80" s="620">
        <v>150000</v>
      </c>
      <c r="B80" s="620" t="s">
        <v>484</v>
      </c>
      <c r="C80" s="469">
        <v>18</v>
      </c>
      <c r="D80" s="472">
        <v>61419</v>
      </c>
      <c r="E80" s="470">
        <v>80</v>
      </c>
      <c r="F80" s="470" t="s">
        <v>485</v>
      </c>
      <c r="G80" s="470">
        <v>65</v>
      </c>
      <c r="H80" s="496"/>
    </row>
    <row r="81" spans="1:8" s="443" customFormat="1" ht="13.8" x14ac:dyDescent="0.25">
      <c r="A81" s="620">
        <v>156000</v>
      </c>
      <c r="B81" s="497" t="s">
        <v>483</v>
      </c>
      <c r="C81" s="469">
        <v>24</v>
      </c>
      <c r="D81" s="472">
        <v>81891</v>
      </c>
      <c r="E81" s="470">
        <v>82</v>
      </c>
      <c r="F81" s="470" t="s">
        <v>483</v>
      </c>
      <c r="G81" s="470">
        <v>80</v>
      </c>
      <c r="H81" s="496"/>
    </row>
    <row r="82" spans="1:8" s="443" customFormat="1" ht="13.8" x14ac:dyDescent="0.25">
      <c r="A82" s="620">
        <v>160000</v>
      </c>
      <c r="B82" s="498" t="s">
        <v>485</v>
      </c>
      <c r="C82" s="469">
        <v>27</v>
      </c>
      <c r="D82" s="470">
        <v>92128</v>
      </c>
      <c r="E82" s="470">
        <v>85</v>
      </c>
      <c r="F82" s="470" t="s">
        <v>483</v>
      </c>
      <c r="G82" s="470">
        <v>85</v>
      </c>
      <c r="H82" s="496"/>
    </row>
    <row r="83" spans="1:8" s="443" customFormat="1" ht="13.8" x14ac:dyDescent="0.25">
      <c r="A83" s="620">
        <v>175000</v>
      </c>
      <c r="B83" s="498" t="s">
        <v>484</v>
      </c>
      <c r="C83" s="469">
        <v>36</v>
      </c>
      <c r="D83" s="470">
        <v>122837</v>
      </c>
      <c r="E83" s="470">
        <v>90</v>
      </c>
      <c r="F83" s="470" t="s">
        <v>485</v>
      </c>
      <c r="G83" s="470">
        <v>105</v>
      </c>
      <c r="H83" s="496"/>
    </row>
    <row r="84" spans="1:8" s="443" customFormat="1" ht="13.8" x14ac:dyDescent="0.25">
      <c r="A84" s="620">
        <v>180000</v>
      </c>
      <c r="B84" s="498" t="s">
        <v>483</v>
      </c>
      <c r="C84" s="469">
        <v>54</v>
      </c>
      <c r="D84" s="470">
        <v>184256</v>
      </c>
      <c r="E84" s="470">
        <v>91</v>
      </c>
      <c r="F84" s="470" t="s">
        <v>483</v>
      </c>
      <c r="G84" s="470">
        <v>120</v>
      </c>
      <c r="H84" s="496"/>
    </row>
    <row r="85" spans="1:8" s="443" customFormat="1" ht="13.8" x14ac:dyDescent="0.25">
      <c r="A85" s="620">
        <v>199000</v>
      </c>
      <c r="B85" s="498" t="s">
        <v>484</v>
      </c>
      <c r="C85" s="469"/>
      <c r="D85" s="470"/>
      <c r="E85" s="470">
        <v>100</v>
      </c>
      <c r="F85" s="470" t="s">
        <v>485</v>
      </c>
      <c r="G85" s="470"/>
      <c r="H85" s="496"/>
    </row>
    <row r="86" spans="1:8" s="443" customFormat="1" ht="13.8" x14ac:dyDescent="0.25">
      <c r="A86" s="620">
        <v>199900</v>
      </c>
      <c r="B86" s="498" t="s">
        <v>485</v>
      </c>
      <c r="C86" s="469"/>
      <c r="D86" s="470"/>
      <c r="E86" s="470">
        <v>110</v>
      </c>
      <c r="F86" s="470" t="s">
        <v>484</v>
      </c>
      <c r="G86" s="470"/>
      <c r="H86" s="496"/>
    </row>
    <row r="87" spans="1:8" s="443" customFormat="1" ht="13.8" x14ac:dyDescent="0.25">
      <c r="A87" s="620">
        <v>200000</v>
      </c>
      <c r="B87" s="498" t="s">
        <v>484</v>
      </c>
      <c r="C87" s="469"/>
      <c r="D87" s="470"/>
      <c r="E87" s="470">
        <v>119</v>
      </c>
      <c r="F87" s="470" t="s">
        <v>485</v>
      </c>
      <c r="G87" s="470"/>
      <c r="H87" s="496"/>
    </row>
    <row r="88" spans="1:8" s="443" customFormat="1" ht="13.8" x14ac:dyDescent="0.25">
      <c r="A88" s="620">
        <v>250000</v>
      </c>
      <c r="B88" s="498" t="s">
        <v>485</v>
      </c>
      <c r="C88" s="499"/>
      <c r="D88" s="500"/>
      <c r="E88" s="500">
        <v>125</v>
      </c>
      <c r="F88" s="500" t="s">
        <v>484</v>
      </c>
      <c r="G88" s="500"/>
      <c r="H88" s="501"/>
    </row>
    <row r="89" spans="1:8" s="443" customFormat="1" ht="14.4" x14ac:dyDescent="0.3">
      <c r="A89" s="620">
        <v>251000</v>
      </c>
      <c r="B89" s="498" t="s">
        <v>484</v>
      </c>
      <c r="C89"/>
      <c r="D89"/>
      <c r="E89" s="502"/>
      <c r="F89" s="503"/>
      <c r="G89" s="503"/>
    </row>
    <row r="90" spans="1:8" s="443" customFormat="1" ht="14.4" x14ac:dyDescent="0.3">
      <c r="A90" s="620">
        <v>270000</v>
      </c>
      <c r="B90" s="498" t="s">
        <v>483</v>
      </c>
      <c r="C90"/>
      <c r="D90"/>
      <c r="E90" s="502"/>
      <c r="F90" s="503"/>
      <c r="G90" s="503"/>
    </row>
    <row r="91" spans="1:8" s="443" customFormat="1" ht="14.4" x14ac:dyDescent="0.3">
      <c r="A91" s="620">
        <v>285000</v>
      </c>
      <c r="B91" s="498" t="s">
        <v>484</v>
      </c>
      <c r="C91"/>
      <c r="D91"/>
      <c r="E91" s="502"/>
      <c r="F91" s="503"/>
      <c r="G91" s="503"/>
    </row>
    <row r="92" spans="1:8" s="443" customFormat="1" ht="14.4" x14ac:dyDescent="0.3">
      <c r="A92" s="620">
        <v>300000</v>
      </c>
      <c r="B92" s="498" t="s">
        <v>485</v>
      </c>
      <c r="C92"/>
      <c r="D92"/>
      <c r="E92" s="502"/>
      <c r="F92" s="503"/>
      <c r="G92" s="503"/>
    </row>
    <row r="93" spans="1:8" s="443" customFormat="1" ht="14.4" x14ac:dyDescent="0.3">
      <c r="A93" s="620">
        <v>320000</v>
      </c>
      <c r="B93" s="498" t="s">
        <v>484</v>
      </c>
      <c r="C93"/>
      <c r="D93"/>
      <c r="E93" s="502"/>
      <c r="F93" s="503"/>
      <c r="G93" s="503"/>
    </row>
    <row r="94" spans="1:8" s="443" customFormat="1" ht="14.4" x14ac:dyDescent="0.3">
      <c r="A94" s="620">
        <v>360000</v>
      </c>
      <c r="B94" s="498" t="s">
        <v>483</v>
      </c>
      <c r="C94"/>
      <c r="D94"/>
      <c r="E94" s="502"/>
      <c r="F94" s="503"/>
      <c r="G94" s="503"/>
    </row>
    <row r="95" spans="1:8" s="443" customFormat="1" ht="14.4" x14ac:dyDescent="0.3">
      <c r="A95" s="620">
        <v>398000</v>
      </c>
      <c r="B95" s="498" t="s">
        <v>484</v>
      </c>
      <c r="C95"/>
      <c r="D95"/>
      <c r="E95" s="502"/>
      <c r="F95" s="503"/>
      <c r="G95" s="503"/>
    </row>
    <row r="96" spans="1:8" s="443" customFormat="1" ht="14.4" x14ac:dyDescent="0.3">
      <c r="A96" s="620">
        <v>399000</v>
      </c>
      <c r="B96" s="498" t="s">
        <v>484</v>
      </c>
      <c r="C96"/>
      <c r="D96"/>
      <c r="E96" s="502"/>
      <c r="F96" s="503"/>
      <c r="G96" s="503"/>
    </row>
    <row r="97" spans="1:7" s="443" customFormat="1" ht="14.4" x14ac:dyDescent="0.3">
      <c r="A97" s="620">
        <v>399900</v>
      </c>
      <c r="B97" s="498" t="s">
        <v>485</v>
      </c>
      <c r="C97"/>
      <c r="D97"/>
      <c r="E97" s="502"/>
      <c r="F97" s="503"/>
      <c r="G97" s="503"/>
    </row>
    <row r="98" spans="1:7" s="443" customFormat="1" ht="14.4" x14ac:dyDescent="0.3">
      <c r="A98" s="620">
        <v>499900</v>
      </c>
      <c r="B98" s="498" t="s">
        <v>483</v>
      </c>
      <c r="C98"/>
      <c r="D98"/>
      <c r="E98" s="502"/>
      <c r="F98" s="503"/>
      <c r="G98" s="503"/>
    </row>
    <row r="99" spans="1:7" s="443" customFormat="1" ht="14.4" x14ac:dyDescent="0.3">
      <c r="A99" s="620">
        <v>550000</v>
      </c>
      <c r="B99" s="498" t="s">
        <v>483</v>
      </c>
      <c r="C99"/>
      <c r="D99"/>
      <c r="E99" s="502"/>
      <c r="F99" s="503"/>
      <c r="G99" s="503"/>
    </row>
    <row r="100" spans="1:7" s="443" customFormat="1" ht="14.4" x14ac:dyDescent="0.25">
      <c r="A100" s="622">
        <v>715000</v>
      </c>
      <c r="B100" s="504" t="s">
        <v>483</v>
      </c>
      <c r="C100" s="503"/>
      <c r="D100" s="503"/>
      <c r="E100" s="502"/>
      <c r="F100" s="503"/>
      <c r="G100" s="503"/>
    </row>
    <row r="101" spans="1:7" customFormat="1" ht="14.4" x14ac:dyDescent="0.3"/>
    <row r="102" spans="1:7" customFormat="1" ht="14.4" x14ac:dyDescent="0.3"/>
    <row r="103" spans="1:7" customFormat="1" ht="14.4" x14ac:dyDescent="0.3"/>
    <row r="104" spans="1:7" customFormat="1" ht="14.4" x14ac:dyDescent="0.3"/>
    <row r="105" spans="1:7" customFormat="1" ht="14.4" x14ac:dyDescent="0.3"/>
    <row r="106" spans="1:7" customFormat="1" ht="14.4" x14ac:dyDescent="0.3"/>
    <row r="107" spans="1:7" customFormat="1" ht="14.4" x14ac:dyDescent="0.3"/>
    <row r="108" spans="1:7" customFormat="1" ht="14.4" x14ac:dyDescent="0.3"/>
    <row r="109" spans="1:7" customFormat="1" ht="14.4" x14ac:dyDescent="0.3"/>
    <row r="110" spans="1:7" customFormat="1" ht="14.4" x14ac:dyDescent="0.3"/>
    <row r="111" spans="1:7" customFormat="1" ht="14.4" x14ac:dyDescent="0.3"/>
    <row r="112" spans="1:7" customFormat="1" ht="14.4" x14ac:dyDescent="0.3"/>
    <row r="113" customFormat="1" ht="14.4" x14ac:dyDescent="0.3"/>
    <row r="114" customFormat="1" ht="18" customHeight="1" x14ac:dyDescent="0.3"/>
    <row r="115" customFormat="1" ht="14.4" x14ac:dyDescent="0.3"/>
    <row r="116" customFormat="1" ht="14.4" x14ac:dyDescent="0.3"/>
    <row r="117" customFormat="1" ht="14.4" x14ac:dyDescent="0.3"/>
    <row r="118" customFormat="1" ht="14.4" x14ac:dyDescent="0.3"/>
    <row r="119" customFormat="1" ht="14.4" x14ac:dyDescent="0.3"/>
    <row r="120" customFormat="1" ht="14.4" x14ac:dyDescent="0.3"/>
    <row r="121" customFormat="1" ht="14.4" x14ac:dyDescent="0.3"/>
    <row r="122" customFormat="1" ht="14.4" x14ac:dyDescent="0.3"/>
    <row r="123" customFormat="1" ht="14.4" x14ac:dyDescent="0.3"/>
    <row r="124" customFormat="1" ht="14.4" x14ac:dyDescent="0.3"/>
    <row r="125" customFormat="1" ht="14.4" x14ac:dyDescent="0.3"/>
    <row r="126" customFormat="1" ht="14.4" x14ac:dyDescent="0.3"/>
    <row r="127" customFormat="1" ht="14.4" x14ac:dyDescent="0.3"/>
    <row r="128" customFormat="1" ht="14.4" x14ac:dyDescent="0.3"/>
    <row r="129" customFormat="1" ht="14.4" x14ac:dyDescent="0.3"/>
    <row r="130" customFormat="1" ht="14.4" x14ac:dyDescent="0.3"/>
    <row r="131" customFormat="1" ht="14.4" x14ac:dyDescent="0.3"/>
    <row r="132" customFormat="1" ht="14.4" x14ac:dyDescent="0.3"/>
    <row r="133" customFormat="1" ht="14.4" x14ac:dyDescent="0.3"/>
    <row r="134" customFormat="1" ht="14.4" x14ac:dyDescent="0.3"/>
    <row r="135" customFormat="1" ht="14.4" x14ac:dyDescent="0.3"/>
    <row r="136" customFormat="1" ht="14.4" x14ac:dyDescent="0.3"/>
    <row r="137" customFormat="1" ht="14.4" x14ac:dyDescent="0.3"/>
    <row r="138" customFormat="1" ht="14.4" x14ac:dyDescent="0.3"/>
    <row r="139" customFormat="1" ht="14.4" x14ac:dyDescent="0.3"/>
    <row r="140" customFormat="1" ht="14.4" x14ac:dyDescent="0.3"/>
    <row r="141" customFormat="1" ht="14.4" x14ac:dyDescent="0.3"/>
    <row r="142" customFormat="1" ht="14.4" x14ac:dyDescent="0.3"/>
    <row r="143" customFormat="1" ht="14.4" x14ac:dyDescent="0.3"/>
    <row r="144" customFormat="1" ht="14.4" x14ac:dyDescent="0.3"/>
    <row r="145" customFormat="1" ht="14.4" x14ac:dyDescent="0.3"/>
    <row r="146" customFormat="1" ht="14.4" x14ac:dyDescent="0.3"/>
    <row r="147" customFormat="1" ht="14.4" x14ac:dyDescent="0.3"/>
    <row r="148" customFormat="1" ht="14.4" x14ac:dyDescent="0.3"/>
    <row r="149" customFormat="1" ht="14.4" x14ac:dyDescent="0.3"/>
    <row r="150" customFormat="1" ht="14.4" x14ac:dyDescent="0.3"/>
    <row r="151" customFormat="1" ht="14.4" x14ac:dyDescent="0.3"/>
    <row r="152" customFormat="1" ht="14.4" x14ac:dyDescent="0.3"/>
    <row r="153" customFormat="1" ht="14.4" x14ac:dyDescent="0.3"/>
    <row r="154" customFormat="1" ht="14.4" x14ac:dyDescent="0.3"/>
    <row r="155" customFormat="1" ht="14.4" x14ac:dyDescent="0.3"/>
    <row r="156" customFormat="1" ht="14.4" x14ac:dyDescent="0.3"/>
    <row r="157" customFormat="1" ht="14.4" x14ac:dyDescent="0.3"/>
    <row r="158" customFormat="1" ht="14.4" x14ac:dyDescent="0.3"/>
    <row r="159" customFormat="1" ht="14.4" x14ac:dyDescent="0.3"/>
    <row r="160" customFormat="1" ht="14.4" x14ac:dyDescent="0.3"/>
    <row r="161" customFormat="1" ht="14.4" x14ac:dyDescent="0.3"/>
    <row r="162" customFormat="1" ht="14.4" x14ac:dyDescent="0.3"/>
    <row r="163" customFormat="1" ht="14.4" x14ac:dyDescent="0.3"/>
    <row r="164" customFormat="1" ht="14.4" x14ac:dyDescent="0.3"/>
    <row r="165" customFormat="1" ht="14.4" x14ac:dyDescent="0.3"/>
    <row r="166" customFormat="1" ht="14.4" x14ac:dyDescent="0.3"/>
    <row r="167" customFormat="1" ht="14.4" x14ac:dyDescent="0.3"/>
    <row r="168" customFormat="1" ht="14.4" x14ac:dyDescent="0.3"/>
    <row r="169" customFormat="1" ht="14.4" x14ac:dyDescent="0.3"/>
    <row r="170" customFormat="1" ht="14.4" x14ac:dyDescent="0.3"/>
    <row r="171" customFormat="1" ht="14.4" x14ac:dyDescent="0.3"/>
    <row r="172" customFormat="1" ht="14.4" x14ac:dyDescent="0.3"/>
    <row r="173" customFormat="1" ht="14.4" x14ac:dyDescent="0.3"/>
    <row r="174" customFormat="1" ht="14.4" x14ac:dyDescent="0.3"/>
    <row r="175" customFormat="1" ht="14.4" x14ac:dyDescent="0.3"/>
    <row r="176" customFormat="1" ht="14.4" x14ac:dyDescent="0.3"/>
    <row r="177" customFormat="1" ht="14.4" x14ac:dyDescent="0.3"/>
    <row r="178" customFormat="1" ht="14.4" x14ac:dyDescent="0.3"/>
    <row r="179" customFormat="1" ht="14.4" x14ac:dyDescent="0.3"/>
    <row r="180" customFormat="1" ht="14.4" x14ac:dyDescent="0.3"/>
    <row r="181" customFormat="1" ht="14.4" x14ac:dyDescent="0.3"/>
    <row r="182" customFormat="1" ht="14.4" x14ac:dyDescent="0.3"/>
    <row r="183" customFormat="1" ht="14.4" x14ac:dyDescent="0.3"/>
  </sheetData>
  <mergeCells count="16">
    <mergeCell ref="A28:C28"/>
    <mergeCell ref="A17:E17"/>
    <mergeCell ref="E19:E23"/>
    <mergeCell ref="A24:C24"/>
    <mergeCell ref="A25:C25"/>
    <mergeCell ref="A27:C27"/>
    <mergeCell ref="A47:K47"/>
    <mergeCell ref="G48:H48"/>
    <mergeCell ref="I48:J48"/>
    <mergeCell ref="K49:K64"/>
    <mergeCell ref="A68:H68"/>
    <mergeCell ref="A7:H7"/>
    <mergeCell ref="B11:E11"/>
    <mergeCell ref="H11:H12"/>
    <mergeCell ref="B12:E12"/>
    <mergeCell ref="A1:G1"/>
  </mergeCells>
  <hyperlinks>
    <hyperlink ref="J15" r:id="rId1" display="https://caenergywise.com/design-guides/hot-water/Technical_Design_Guide.pdf" xr:uid="{58A531FE-F0AD-4603-BFAB-7193123E54F1}"/>
  </hyperlink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H39"/>
  <sheetViews>
    <sheetView zoomScaleNormal="100" workbookViewId="0">
      <selection sqref="A1:G1"/>
    </sheetView>
  </sheetViews>
  <sheetFormatPr defaultColWidth="8.6640625" defaultRowHeight="13.2" x14ac:dyDescent="0.25"/>
  <cols>
    <col min="1" max="1" width="39.88671875" style="4" customWidth="1"/>
    <col min="2" max="2" width="19" style="4" customWidth="1"/>
    <col min="3" max="3" width="23.33203125" style="4" customWidth="1"/>
    <col min="4" max="4" width="23" style="4" customWidth="1"/>
    <col min="5" max="5" width="21.44140625" style="4" customWidth="1"/>
    <col min="6" max="6" width="25.5546875" style="4" customWidth="1"/>
    <col min="7" max="7" width="43.6640625" style="4" customWidth="1"/>
    <col min="8" max="8" width="19.6640625" style="4" customWidth="1"/>
    <col min="9" max="9" width="54.5546875" style="4" customWidth="1"/>
    <col min="10" max="10" width="9.6640625" style="4" customWidth="1"/>
    <col min="11" max="11" width="13.33203125" style="4" customWidth="1"/>
    <col min="12" max="12" width="24" style="4" customWidth="1"/>
    <col min="13" max="13" width="10.5546875" style="4" customWidth="1"/>
    <col min="14" max="14" width="11.44140625" style="4" customWidth="1"/>
    <col min="15" max="15" width="10.5546875" style="4" customWidth="1"/>
    <col min="16" max="16" width="13.33203125" style="4" customWidth="1"/>
    <col min="17" max="17" width="9.6640625" style="4" customWidth="1"/>
    <col min="18" max="18" width="9.44140625" style="4" customWidth="1"/>
    <col min="19" max="19" width="12.6640625" style="4" customWidth="1"/>
    <col min="20" max="20" width="14.6640625" style="4" customWidth="1"/>
    <col min="21" max="21" width="20.6640625" style="4" customWidth="1"/>
    <col min="22" max="22" width="19.6640625" style="4" customWidth="1"/>
    <col min="23" max="28" width="8.6640625" style="4"/>
    <col min="29" max="29" width="13.6640625" style="4" bestFit="1" customWidth="1"/>
    <col min="30" max="16384" width="8.6640625" style="4"/>
  </cols>
  <sheetData>
    <row r="1" spans="1:7" ht="25.95" customHeight="1" x14ac:dyDescent="0.25">
      <c r="A1" s="734" t="str">
        <f>"Interior Lighting - "&amp;Prototype!A2</f>
        <v>Interior Lighting - RestaurantFastFood</v>
      </c>
      <c r="B1" s="734"/>
      <c r="C1" s="734"/>
      <c r="D1" s="734"/>
      <c r="E1" s="734"/>
      <c r="F1" s="734"/>
      <c r="G1" s="734"/>
    </row>
    <row r="2" spans="1:7" ht="18.600000000000001" customHeight="1" x14ac:dyDescent="0.25">
      <c r="A2" s="735" t="s">
        <v>486</v>
      </c>
      <c r="B2" s="736" t="s">
        <v>487</v>
      </c>
      <c r="C2" s="736"/>
      <c r="D2" s="736"/>
      <c r="E2" s="736" t="s">
        <v>264</v>
      </c>
      <c r="F2" s="736"/>
      <c r="G2" s="736"/>
    </row>
    <row r="3" spans="1:7" ht="28.95" customHeight="1" x14ac:dyDescent="0.25">
      <c r="A3" s="735"/>
      <c r="B3" s="545" t="s">
        <v>488</v>
      </c>
      <c r="C3" s="545" t="s">
        <v>489</v>
      </c>
      <c r="D3" s="545" t="s">
        <v>287</v>
      </c>
      <c r="E3" s="545" t="s">
        <v>490</v>
      </c>
      <c r="F3" s="545" t="s">
        <v>489</v>
      </c>
      <c r="G3" s="545" t="s">
        <v>287</v>
      </c>
    </row>
    <row r="4" spans="1:7" ht="33.6" customHeight="1" x14ac:dyDescent="0.25">
      <c r="A4" s="207" t="str">
        <f>Zones!C3</f>
        <v>Dining Area (Cafeteria/Fast Food)</v>
      </c>
      <c r="B4" s="547">
        <v>0.45</v>
      </c>
      <c r="C4" s="547">
        <v>0.25</v>
      </c>
      <c r="D4" s="740" t="s">
        <v>491</v>
      </c>
      <c r="E4" s="546">
        <v>1</v>
      </c>
      <c r="F4" s="209"/>
      <c r="G4" s="739" t="s">
        <v>492</v>
      </c>
    </row>
    <row r="5" spans="1:7" ht="30" customHeight="1" x14ac:dyDescent="0.25">
      <c r="A5" s="207" t="str">
        <f>Zones!C4</f>
        <v>Kitchen/Food Preparation Area</v>
      </c>
      <c r="B5" s="547">
        <v>0.95</v>
      </c>
      <c r="C5" s="208"/>
      <c r="D5" s="740"/>
      <c r="E5" s="546">
        <v>1.2</v>
      </c>
      <c r="F5" s="257"/>
      <c r="G5" s="739"/>
    </row>
    <row r="6" spans="1:7" ht="16.95" customHeight="1" x14ac:dyDescent="0.25">
      <c r="A6" s="207" t="str">
        <f>Zones!C5</f>
        <v>Attic</v>
      </c>
      <c r="B6" s="547"/>
      <c r="C6" s="208"/>
      <c r="D6" s="208"/>
      <c r="E6" s="208"/>
      <c r="F6" s="208"/>
      <c r="G6" s="208"/>
    </row>
    <row r="7" spans="1:7" ht="16.95" customHeight="1" x14ac:dyDescent="0.25">
      <c r="A7" s="7"/>
      <c r="B7" s="8"/>
      <c r="D7" s="7"/>
    </row>
    <row r="8" spans="1:7" ht="16.95" customHeight="1" x14ac:dyDescent="0.25">
      <c r="A8" s="7"/>
      <c r="B8" s="8"/>
      <c r="D8" s="7"/>
    </row>
    <row r="9" spans="1:7" ht="13.2" customHeight="1" x14ac:dyDescent="0.25">
      <c r="B9" s="18"/>
      <c r="C9" s="18"/>
      <c r="D9" s="18"/>
      <c r="E9" s="18"/>
    </row>
    <row r="10" spans="1:7" ht="13.2" customHeight="1" x14ac:dyDescent="0.25">
      <c r="B10" s="18"/>
      <c r="C10" s="18"/>
      <c r="D10" s="18"/>
      <c r="E10" s="18"/>
    </row>
    <row r="11" spans="1:7" ht="13.2" customHeight="1" x14ac:dyDescent="0.25">
      <c r="B11" s="18"/>
      <c r="C11" s="18"/>
      <c r="D11" s="18"/>
      <c r="E11" s="18"/>
    </row>
    <row r="12" spans="1:7" ht="13.2" customHeight="1" x14ac:dyDescent="0.25">
      <c r="B12" s="18"/>
      <c r="C12" s="18"/>
      <c r="D12" s="18"/>
      <c r="E12" s="18"/>
    </row>
    <row r="13" spans="1:7" ht="13.2" customHeight="1" x14ac:dyDescent="0.25">
      <c r="B13" s="18"/>
      <c r="C13" s="18"/>
      <c r="D13" s="18"/>
      <c r="E13" s="18"/>
    </row>
    <row r="14" spans="1:7" ht="13.2" customHeight="1" x14ac:dyDescent="0.25">
      <c r="B14" s="18"/>
      <c r="C14" s="18"/>
      <c r="D14" s="18"/>
      <c r="E14" s="18"/>
    </row>
    <row r="15" spans="1:7" ht="13.2" customHeight="1" x14ac:dyDescent="0.25">
      <c r="B15" s="18"/>
      <c r="C15" s="18"/>
      <c r="D15" s="18"/>
      <c r="E15" s="18"/>
    </row>
    <row r="16" spans="1:7" ht="13.2" customHeight="1" x14ac:dyDescent="0.25">
      <c r="B16" s="18"/>
      <c r="C16" s="18"/>
      <c r="D16" s="18"/>
      <c r="E16" s="18"/>
    </row>
    <row r="17" spans="1:8" ht="13.2" customHeight="1" x14ac:dyDescent="0.25">
      <c r="B17" s="18"/>
      <c r="C17" s="18"/>
      <c r="D17" s="18"/>
      <c r="E17" s="18"/>
    </row>
    <row r="18" spans="1:8" ht="13.2" customHeight="1" x14ac:dyDescent="0.25">
      <c r="B18" s="18"/>
      <c r="C18" s="18"/>
      <c r="D18" s="18"/>
      <c r="E18" s="18"/>
    </row>
    <row r="19" spans="1:8" ht="13.2" customHeight="1" x14ac:dyDescent="0.25">
      <c r="B19" s="18"/>
      <c r="C19" s="18"/>
      <c r="D19" s="18"/>
      <c r="E19" s="18"/>
    </row>
    <row r="20" spans="1:8" s="19" customFormat="1" hidden="1" x14ac:dyDescent="0.25">
      <c r="A20" s="19" t="s">
        <v>229</v>
      </c>
      <c r="F20" s="20"/>
      <c r="G20" s="21"/>
      <c r="H20" s="22"/>
    </row>
    <row r="21" spans="1:8" ht="17.7" hidden="1" customHeight="1" x14ac:dyDescent="0.25"/>
    <row r="22" spans="1:8" ht="15" hidden="1" x14ac:dyDescent="0.25">
      <c r="A22" s="59"/>
    </row>
    <row r="23" spans="1:8" hidden="1" x14ac:dyDescent="0.25"/>
    <row r="24" spans="1:8" hidden="1" x14ac:dyDescent="0.25">
      <c r="A24" s="697" t="s">
        <v>493</v>
      </c>
      <c r="B24" s="531" t="s">
        <v>494</v>
      </c>
      <c r="C24" s="479" t="s">
        <v>495</v>
      </c>
      <c r="D24" s="534">
        <v>0.4</v>
      </c>
      <c r="E24" s="8"/>
      <c r="F24" s="70" t="s">
        <v>496</v>
      </c>
    </row>
    <row r="25" spans="1:8" hidden="1" x14ac:dyDescent="0.25">
      <c r="A25" s="737"/>
      <c r="B25" s="655" t="s">
        <v>497</v>
      </c>
      <c r="C25" s="479">
        <f>Zones!B29</f>
        <v>0</v>
      </c>
      <c r="D25" s="479">
        <v>0.65</v>
      </c>
      <c r="E25" s="8"/>
      <c r="F25" s="738" t="s">
        <v>498</v>
      </c>
    </row>
    <row r="26" spans="1:8" hidden="1" x14ac:dyDescent="0.25">
      <c r="A26" s="737"/>
      <c r="B26" s="655"/>
      <c r="C26" s="479">
        <f>Zones!B30</f>
        <v>0</v>
      </c>
      <c r="D26" s="479">
        <v>0.4</v>
      </c>
      <c r="E26" s="8"/>
      <c r="F26" s="738"/>
    </row>
    <row r="27" spans="1:8" hidden="1" x14ac:dyDescent="0.25">
      <c r="A27" s="698"/>
      <c r="B27" s="655"/>
      <c r="C27" s="479">
        <f>Zones!B31</f>
        <v>0</v>
      </c>
      <c r="D27" s="479">
        <v>0.4</v>
      </c>
      <c r="E27" s="8"/>
      <c r="F27" s="738"/>
    </row>
    <row r="28" spans="1:8" hidden="1" x14ac:dyDescent="0.25"/>
    <row r="29" spans="1:8" hidden="1" x14ac:dyDescent="0.25">
      <c r="A29" s="697" t="s">
        <v>493</v>
      </c>
      <c r="B29" s="531" t="s">
        <v>494</v>
      </c>
      <c r="C29" s="479" t="s">
        <v>495</v>
      </c>
      <c r="D29" s="534">
        <v>0.5</v>
      </c>
      <c r="E29" s="8"/>
      <c r="F29" s="70" t="s">
        <v>499</v>
      </c>
    </row>
    <row r="30" spans="1:8" hidden="1" x14ac:dyDescent="0.25">
      <c r="A30" s="737"/>
      <c r="B30" s="655" t="s">
        <v>497</v>
      </c>
      <c r="C30" s="479" t="s">
        <v>500</v>
      </c>
      <c r="D30" s="479">
        <v>0.75</v>
      </c>
      <c r="E30" s="8"/>
      <c r="F30" s="738" t="s">
        <v>501</v>
      </c>
    </row>
    <row r="31" spans="1:8" hidden="1" x14ac:dyDescent="0.25">
      <c r="A31" s="737"/>
      <c r="B31" s="655"/>
      <c r="C31" s="479" t="s">
        <v>502</v>
      </c>
      <c r="D31" s="479">
        <v>0.5</v>
      </c>
      <c r="E31" s="8"/>
      <c r="F31" s="738"/>
    </row>
    <row r="32" spans="1:8" hidden="1" x14ac:dyDescent="0.25">
      <c r="A32" s="698"/>
      <c r="B32" s="655"/>
      <c r="C32" s="479" t="s">
        <v>503</v>
      </c>
      <c r="D32" s="479">
        <v>0.5</v>
      </c>
      <c r="E32" s="8"/>
      <c r="F32" s="738"/>
    </row>
    <row r="33" spans="1:6" hidden="1" x14ac:dyDescent="0.25"/>
    <row r="34" spans="1:6" hidden="1" x14ac:dyDescent="0.25">
      <c r="A34" s="697" t="s">
        <v>493</v>
      </c>
      <c r="B34" s="531" t="s">
        <v>494</v>
      </c>
      <c r="C34" s="479" t="s">
        <v>495</v>
      </c>
      <c r="D34" s="534">
        <v>0.6</v>
      </c>
      <c r="E34" s="8"/>
      <c r="F34" s="70" t="s">
        <v>504</v>
      </c>
    </row>
    <row r="35" spans="1:6" hidden="1" x14ac:dyDescent="0.25">
      <c r="A35" s="737"/>
      <c r="B35" s="655" t="s">
        <v>497</v>
      </c>
      <c r="C35" s="479" t="s">
        <v>500</v>
      </c>
      <c r="D35" s="479">
        <v>0.75</v>
      </c>
      <c r="E35" s="8"/>
      <c r="F35" s="738" t="s">
        <v>505</v>
      </c>
    </row>
    <row r="36" spans="1:6" hidden="1" x14ac:dyDescent="0.25">
      <c r="A36" s="737"/>
      <c r="B36" s="655"/>
      <c r="C36" s="479" t="s">
        <v>502</v>
      </c>
      <c r="D36" s="479">
        <v>0.6</v>
      </c>
      <c r="E36" s="8"/>
      <c r="F36" s="738"/>
    </row>
    <row r="37" spans="1:6" hidden="1" x14ac:dyDescent="0.25">
      <c r="A37" s="698"/>
      <c r="B37" s="655"/>
      <c r="C37" s="479" t="s">
        <v>503</v>
      </c>
      <c r="D37" s="479">
        <v>0.6</v>
      </c>
      <c r="E37" s="8"/>
      <c r="F37" s="738"/>
    </row>
    <row r="38" spans="1:6" hidden="1" x14ac:dyDescent="0.25"/>
    <row r="39" spans="1:6" hidden="1" x14ac:dyDescent="0.25"/>
  </sheetData>
  <mergeCells count="15">
    <mergeCell ref="A1:G1"/>
    <mergeCell ref="A2:A3"/>
    <mergeCell ref="B2:D2"/>
    <mergeCell ref="E2:G2"/>
    <mergeCell ref="A34:A37"/>
    <mergeCell ref="B35:B37"/>
    <mergeCell ref="F35:F37"/>
    <mergeCell ref="G4:G5"/>
    <mergeCell ref="D4:D5"/>
    <mergeCell ref="A24:A27"/>
    <mergeCell ref="B25:B27"/>
    <mergeCell ref="F25:F27"/>
    <mergeCell ref="A29:A32"/>
    <mergeCell ref="B30:B32"/>
    <mergeCell ref="F30:F32"/>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29"/>
  <sheetViews>
    <sheetView zoomScaleNormal="100" workbookViewId="0">
      <selection sqref="A1:D1"/>
    </sheetView>
  </sheetViews>
  <sheetFormatPr defaultColWidth="8.6640625" defaultRowHeight="13.2" x14ac:dyDescent="0.25"/>
  <cols>
    <col min="1" max="1" width="34" style="4" customWidth="1"/>
    <col min="2" max="2" width="37.88671875" style="4" customWidth="1"/>
    <col min="3" max="3" width="12.44140625" style="4" customWidth="1"/>
    <col min="4" max="4" width="20.33203125" style="4" customWidth="1"/>
    <col min="5" max="5" width="33.109375" style="4" customWidth="1"/>
    <col min="6" max="6" width="12.5546875" style="4" customWidth="1"/>
    <col min="7" max="7" width="17.5546875" style="4" customWidth="1"/>
    <col min="8" max="8" width="15.5546875" style="4" customWidth="1"/>
    <col min="9" max="9" width="13.33203125" style="4" customWidth="1"/>
    <col min="10" max="16384" width="8.6640625" style="4"/>
  </cols>
  <sheetData>
    <row r="1" spans="1:7" ht="25.2" customHeight="1" x14ac:dyDescent="0.25">
      <c r="A1" s="742" t="str">
        <f>"Exterior Lighting - "&amp;Prototype!A2</f>
        <v>Exterior Lighting - RestaurantFastFood</v>
      </c>
      <c r="B1" s="742"/>
      <c r="C1" s="742"/>
      <c r="D1" s="742"/>
    </row>
    <row r="2" spans="1:7" ht="37.200000000000003" customHeight="1" x14ac:dyDescent="0.25">
      <c r="A2" s="128" t="s">
        <v>506</v>
      </c>
      <c r="B2" s="128" t="s">
        <v>507</v>
      </c>
      <c r="C2" s="128" t="s">
        <v>508</v>
      </c>
      <c r="D2" s="128" t="s">
        <v>287</v>
      </c>
    </row>
    <row r="3" spans="1:7" ht="22.2" customHeight="1" x14ac:dyDescent="0.25">
      <c r="A3" s="131">
        <f>G17</f>
        <v>351.02796799999999</v>
      </c>
      <c r="B3" s="131">
        <f>G18</f>
        <v>116.756164</v>
      </c>
      <c r="C3" s="131">
        <f>B3+A3</f>
        <v>467.784132</v>
      </c>
      <c r="D3" s="528" t="s">
        <v>509</v>
      </c>
    </row>
    <row r="8" spans="1:7" ht="22.2" customHeight="1" x14ac:dyDescent="0.25">
      <c r="A8" s="657" t="s">
        <v>510</v>
      </c>
      <c r="B8" s="657"/>
      <c r="C8" s="657"/>
      <c r="D8" s="657"/>
      <c r="E8" s="657"/>
      <c r="F8" s="657"/>
      <c r="G8" s="108"/>
    </row>
    <row r="9" spans="1:7" ht="57.6" customHeight="1" x14ac:dyDescent="0.25">
      <c r="A9" s="127" t="s">
        <v>511</v>
      </c>
      <c r="B9" s="743" t="s">
        <v>512</v>
      </c>
      <c r="C9" s="744"/>
      <c r="D9" s="128" t="s">
        <v>513</v>
      </c>
      <c r="E9" s="128" t="s">
        <v>514</v>
      </c>
      <c r="F9" s="128" t="s">
        <v>513</v>
      </c>
      <c r="G9" s="128" t="s">
        <v>515</v>
      </c>
    </row>
    <row r="10" spans="1:7" ht="19.2" customHeight="1" x14ac:dyDescent="0.25">
      <c r="A10" s="129" t="s">
        <v>516</v>
      </c>
      <c r="B10" s="151"/>
      <c r="C10" s="178"/>
      <c r="D10" s="530"/>
      <c r="E10" s="530">
        <v>200</v>
      </c>
      <c r="F10" s="530" t="s">
        <v>517</v>
      </c>
      <c r="G10" s="179">
        <f>$E10</f>
        <v>200</v>
      </c>
    </row>
    <row r="11" spans="1:7" ht="52.8" x14ac:dyDescent="0.25">
      <c r="A11" s="126" t="s">
        <v>518</v>
      </c>
      <c r="B11" s="167" t="s">
        <v>519</v>
      </c>
      <c r="C11" s="180">
        <f>B24/250*400</f>
        <v>4001.4720000000002</v>
      </c>
      <c r="D11" s="530" t="s">
        <v>520</v>
      </c>
      <c r="E11" s="530">
        <v>1.9E-2</v>
      </c>
      <c r="F11" s="530" t="s">
        <v>521</v>
      </c>
      <c r="G11" s="179">
        <f>$E11*C11</f>
        <v>76.027968000000001</v>
      </c>
    </row>
    <row r="12" spans="1:7" ht="18.600000000000001" customHeight="1" x14ac:dyDescent="0.25">
      <c r="A12" s="129" t="s">
        <v>522</v>
      </c>
      <c r="B12" s="167" t="s">
        <v>523</v>
      </c>
      <c r="C12" s="178">
        <v>1</v>
      </c>
      <c r="D12" s="530" t="s">
        <v>524</v>
      </c>
      <c r="E12" s="530">
        <v>15</v>
      </c>
      <c r="F12" s="530" t="s">
        <v>525</v>
      </c>
      <c r="G12" s="179">
        <f>E12*C12</f>
        <v>15</v>
      </c>
    </row>
    <row r="13" spans="1:7" ht="26.4" x14ac:dyDescent="0.25">
      <c r="A13" s="129" t="s">
        <v>526</v>
      </c>
      <c r="B13" s="167" t="s">
        <v>527</v>
      </c>
      <c r="C13" s="177">
        <f>B24*0.1</f>
        <v>250.09200000000001</v>
      </c>
      <c r="D13" s="530" t="s">
        <v>520</v>
      </c>
      <c r="E13" s="530">
        <v>7.0000000000000001E-3</v>
      </c>
      <c r="F13" s="530" t="s">
        <v>521</v>
      </c>
      <c r="G13" s="179">
        <f>E13*C13</f>
        <v>1.7506440000000001</v>
      </c>
    </row>
    <row r="14" spans="1:7" ht="96" customHeight="1" x14ac:dyDescent="0.25">
      <c r="A14" s="129" t="s">
        <v>528</v>
      </c>
      <c r="B14" s="167" t="s">
        <v>529</v>
      </c>
      <c r="C14" s="177">
        <f>B23*0.5*B26</f>
        <v>1000</v>
      </c>
      <c r="D14" s="530" t="s">
        <v>520</v>
      </c>
      <c r="E14" s="530">
        <v>0.1</v>
      </c>
      <c r="F14" s="530" t="s">
        <v>521</v>
      </c>
      <c r="G14" s="179">
        <f>E14*C14</f>
        <v>100</v>
      </c>
    </row>
    <row r="15" spans="1:7" ht="29.4" customHeight="1" x14ac:dyDescent="0.3">
      <c r="A15" s="181" t="s">
        <v>530</v>
      </c>
      <c r="B15" s="167" t="s">
        <v>531</v>
      </c>
      <c r="C15" s="177">
        <f>ROUND(B24/1500,0)</f>
        <v>2</v>
      </c>
      <c r="D15" s="530" t="s">
        <v>524</v>
      </c>
      <c r="E15" s="530">
        <v>30</v>
      </c>
      <c r="F15" s="530" t="s">
        <v>525</v>
      </c>
      <c r="G15" s="179">
        <f t="shared" ref="G15:G16" si="0">E15*C15</f>
        <v>60</v>
      </c>
    </row>
    <row r="16" spans="1:7" ht="33.6" customHeight="1" x14ac:dyDescent="0.3">
      <c r="A16" t="s">
        <v>532</v>
      </c>
      <c r="B16" s="167" t="s">
        <v>533</v>
      </c>
      <c r="C16" s="177">
        <f>1/5*B24</f>
        <v>500.18400000000003</v>
      </c>
      <c r="D16" s="530" t="s">
        <v>520</v>
      </c>
      <c r="E16" s="530">
        <v>0.03</v>
      </c>
      <c r="F16" s="530" t="s">
        <v>521</v>
      </c>
      <c r="G16" s="179">
        <f t="shared" si="0"/>
        <v>15.005520000000001</v>
      </c>
    </row>
    <row r="17" spans="1:7" ht="13.8" x14ac:dyDescent="0.25">
      <c r="A17" s="741" t="s">
        <v>534</v>
      </c>
      <c r="B17" s="741"/>
      <c r="C17" s="741"/>
      <c r="D17" s="741"/>
      <c r="E17" s="741"/>
      <c r="F17" s="741"/>
      <c r="G17" s="130">
        <f>G11+G10+G12+G15</f>
        <v>351.02796799999999</v>
      </c>
    </row>
    <row r="18" spans="1:7" ht="13.8" x14ac:dyDescent="0.25">
      <c r="A18" s="741" t="s">
        <v>535</v>
      </c>
      <c r="B18" s="741"/>
      <c r="C18" s="741"/>
      <c r="D18" s="741"/>
      <c r="E18" s="741"/>
      <c r="F18" s="741"/>
      <c r="G18" s="130">
        <f>G13+G14+G16</f>
        <v>116.756164</v>
      </c>
    </row>
    <row r="19" spans="1:7" ht="13.8" x14ac:dyDescent="0.25">
      <c r="A19" s="741" t="s">
        <v>536</v>
      </c>
      <c r="B19" s="741"/>
      <c r="C19" s="741"/>
      <c r="D19" s="741"/>
      <c r="E19" s="741"/>
      <c r="F19" s="741"/>
      <c r="G19" s="130">
        <f t="shared" ref="G19" si="1">G17+G18</f>
        <v>467.784132</v>
      </c>
    </row>
    <row r="20" spans="1:7" ht="13.8" x14ac:dyDescent="0.25">
      <c r="A20" s="532"/>
      <c r="B20" s="532"/>
      <c r="C20" s="532"/>
      <c r="D20" s="532"/>
      <c r="E20" s="532"/>
      <c r="F20" s="532"/>
      <c r="G20" s="119"/>
    </row>
    <row r="21" spans="1:7" x14ac:dyDescent="0.25">
      <c r="C21" s="527"/>
      <c r="F21" s="120"/>
    </row>
    <row r="22" spans="1:7" x14ac:dyDescent="0.25">
      <c r="B22" s="72"/>
      <c r="C22" s="527"/>
      <c r="F22" s="120"/>
    </row>
    <row r="23" spans="1:7" x14ac:dyDescent="0.25">
      <c r="A23" s="4" t="s">
        <v>537</v>
      </c>
      <c r="B23" s="176">
        <f>(50+50)*2</f>
        <v>200</v>
      </c>
      <c r="C23" s="527"/>
      <c r="F23" s="120"/>
    </row>
    <row r="24" spans="1:7" x14ac:dyDescent="0.25">
      <c r="A24" s="4" t="s">
        <v>538</v>
      </c>
      <c r="B24" s="182">
        <f>Zones!H6</f>
        <v>2500.92</v>
      </c>
      <c r="F24" s="120"/>
    </row>
    <row r="25" spans="1:7" x14ac:dyDescent="0.25">
      <c r="A25" s="4" t="s">
        <v>539</v>
      </c>
      <c r="B25" s="176">
        <v>1</v>
      </c>
      <c r="F25" s="120"/>
    </row>
    <row r="26" spans="1:7" x14ac:dyDescent="0.25">
      <c r="A26" s="4" t="s">
        <v>98</v>
      </c>
      <c r="B26" s="115">
        <v>10</v>
      </c>
    </row>
    <row r="27" spans="1:7" x14ac:dyDescent="0.25">
      <c r="B27" s="115"/>
    </row>
    <row r="28" spans="1:7" x14ac:dyDescent="0.25">
      <c r="B28" s="115"/>
    </row>
    <row r="29" spans="1:7" x14ac:dyDescent="0.25">
      <c r="B29" s="115"/>
    </row>
  </sheetData>
  <mergeCells count="6">
    <mergeCell ref="A17:F17"/>
    <mergeCell ref="A18:F18"/>
    <mergeCell ref="A19:F19"/>
    <mergeCell ref="A1:D1"/>
    <mergeCell ref="B9:C9"/>
    <mergeCell ref="A8:F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H12"/>
  <sheetViews>
    <sheetView zoomScaleNormal="100" workbookViewId="0">
      <selection sqref="A1:F1"/>
    </sheetView>
  </sheetViews>
  <sheetFormatPr defaultColWidth="8.6640625" defaultRowHeight="13.2" x14ac:dyDescent="0.25"/>
  <cols>
    <col min="1" max="1" width="36.44140625" style="4" customWidth="1"/>
    <col min="2" max="2" width="38.33203125" style="4" customWidth="1"/>
    <col min="3" max="3" width="35.6640625" style="4" customWidth="1"/>
    <col min="4" max="4" width="37.44140625" style="4" customWidth="1"/>
    <col min="5" max="5" width="30.6640625" style="4" customWidth="1"/>
    <col min="6" max="6" width="53.6640625" style="4" customWidth="1"/>
    <col min="7" max="7" width="35.33203125" style="4" customWidth="1"/>
    <col min="8" max="8" width="18.6640625" style="4" customWidth="1"/>
    <col min="9" max="9" width="14.33203125" style="4" customWidth="1"/>
    <col min="10" max="10" width="8.6640625" style="4"/>
    <col min="11" max="11" width="10.5546875" style="4" bestFit="1" customWidth="1"/>
    <col min="12" max="12" width="16.33203125" style="4" customWidth="1"/>
    <col min="13" max="13" width="10.6640625" style="4" bestFit="1" customWidth="1"/>
    <col min="14" max="14" width="10.5546875" style="4" bestFit="1" customWidth="1"/>
    <col min="15" max="16384" width="8.6640625" style="4"/>
  </cols>
  <sheetData>
    <row r="1" spans="1:8" ht="23.4" customHeight="1" x14ac:dyDescent="0.25">
      <c r="A1" s="745" t="str">
        <f>"Equipment - "&amp;Prototype!A2</f>
        <v>Equipment - RestaurantFastFood</v>
      </c>
      <c r="B1" s="746"/>
      <c r="C1" s="746"/>
      <c r="D1" s="746"/>
      <c r="E1" s="746"/>
      <c r="F1" s="746"/>
    </row>
    <row r="2" spans="1:8" ht="29.4" customHeight="1" x14ac:dyDescent="0.25">
      <c r="A2" s="125" t="s">
        <v>486</v>
      </c>
      <c r="B2" s="125" t="s">
        <v>540</v>
      </c>
      <c r="C2" s="213" t="s">
        <v>541</v>
      </c>
      <c r="D2" s="125" t="s">
        <v>542</v>
      </c>
      <c r="E2" s="125" t="s">
        <v>543</v>
      </c>
      <c r="F2" s="125" t="s">
        <v>287</v>
      </c>
      <c r="G2" s="6"/>
    </row>
    <row r="3" spans="1:8" ht="41.25" customHeight="1" x14ac:dyDescent="0.25">
      <c r="A3" s="528" t="str">
        <f>Zones!C3</f>
        <v>Dining Area (Cafeteria/Fast Food)</v>
      </c>
      <c r="B3" s="212">
        <v>0.5</v>
      </c>
      <c r="C3" s="210"/>
      <c r="D3" s="6">
        <v>0.25</v>
      </c>
      <c r="E3" s="530"/>
      <c r="F3" s="211" t="s">
        <v>544</v>
      </c>
      <c r="G3" s="7"/>
    </row>
    <row r="4" spans="1:8" ht="81" customHeight="1" x14ac:dyDescent="0.25">
      <c r="A4" s="528" t="str">
        <f>Zones!C4</f>
        <v>Kitchen/Food Preparation Area</v>
      </c>
      <c r="B4" s="530">
        <v>1.5</v>
      </c>
      <c r="C4" s="258">
        <v>590</v>
      </c>
      <c r="D4" s="530">
        <v>1.1200000000000001</v>
      </c>
      <c r="E4" s="530">
        <f>17.54*2500/1250</f>
        <v>35.08</v>
      </c>
      <c r="F4" s="246" t="s">
        <v>545</v>
      </c>
      <c r="G4" s="7"/>
      <c r="H4" s="46"/>
    </row>
    <row r="5" spans="1:8" ht="30.75" customHeight="1" x14ac:dyDescent="0.25">
      <c r="A5" s="528" t="str">
        <f>Zones!C5</f>
        <v>Attic</v>
      </c>
      <c r="B5" s="528"/>
      <c r="C5" s="528"/>
      <c r="D5" s="528"/>
      <c r="E5" s="528"/>
      <c r="F5" s="528"/>
      <c r="G5" s="7"/>
      <c r="H5" s="46"/>
    </row>
    <row r="6" spans="1:8" ht="18" customHeight="1" x14ac:dyDescent="0.25">
      <c r="A6" s="199" t="s">
        <v>546</v>
      </c>
      <c r="B6" s="259"/>
      <c r="C6" s="199"/>
      <c r="D6" s="6"/>
      <c r="F6" s="6"/>
      <c r="G6" s="7"/>
      <c r="H6" s="16"/>
    </row>
    <row r="7" spans="1:8" x14ac:dyDescent="0.25">
      <c r="A7" s="214" t="s">
        <v>547</v>
      </c>
      <c r="B7" s="79"/>
      <c r="C7" s="79"/>
    </row>
    <row r="8" spans="1:8" x14ac:dyDescent="0.25">
      <c r="A8" s="4" t="s">
        <v>548</v>
      </c>
    </row>
    <row r="9" spans="1:8" x14ac:dyDescent="0.25">
      <c r="A9" s="5"/>
    </row>
    <row r="10" spans="1:8" x14ac:dyDescent="0.25">
      <c r="A10" s="5"/>
    </row>
    <row r="11" spans="1:8" x14ac:dyDescent="0.25">
      <c r="A11" s="5"/>
    </row>
    <row r="12" spans="1:8" x14ac:dyDescent="0.25">
      <c r="A12" s="5"/>
    </row>
  </sheetData>
  <mergeCells count="1">
    <mergeCell ref="A1:F1"/>
  </mergeCells>
  <phoneticPr fontId="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sheetPr codeName="Sheet11"/>
  <dimension ref="A1:AO10071"/>
  <sheetViews>
    <sheetView zoomScale="85" zoomScaleNormal="85" workbookViewId="0">
      <selection sqref="A1:AC1"/>
    </sheetView>
  </sheetViews>
  <sheetFormatPr defaultColWidth="9.33203125" defaultRowHeight="11.4" x14ac:dyDescent="0.3"/>
  <cols>
    <col min="1" max="1" width="17.109375" style="33" customWidth="1"/>
    <col min="2" max="2" width="17.88671875" style="33" customWidth="1"/>
    <col min="3" max="3" width="37.88671875" style="33" customWidth="1"/>
    <col min="4" max="4" width="26" style="33" customWidth="1"/>
    <col min="5" max="5" width="9.33203125" style="33"/>
    <col min="6" max="29" width="5.6640625" style="33" customWidth="1"/>
    <col min="30" max="16384" width="9.33203125" style="33"/>
  </cols>
  <sheetData>
    <row r="1" spans="1:39" ht="24" customHeight="1" x14ac:dyDescent="0.3">
      <c r="A1" s="696" t="str">
        <f>"Schedules - "&amp;Prototype!A2</f>
        <v>Schedules - RestaurantFastFood</v>
      </c>
      <c r="B1" s="696"/>
      <c r="C1" s="696"/>
      <c r="D1" s="696"/>
      <c r="E1" s="696"/>
      <c r="F1" s="696"/>
      <c r="G1" s="696"/>
      <c r="H1" s="696"/>
      <c r="I1" s="696"/>
      <c r="J1" s="696"/>
      <c r="K1" s="696"/>
      <c r="L1" s="696"/>
      <c r="M1" s="696"/>
      <c r="N1" s="696"/>
      <c r="O1" s="696"/>
      <c r="P1" s="696"/>
      <c r="Q1" s="696"/>
      <c r="R1" s="696"/>
      <c r="S1" s="696"/>
      <c r="T1" s="696"/>
      <c r="U1" s="696"/>
      <c r="V1" s="696"/>
      <c r="W1" s="696"/>
      <c r="X1" s="696"/>
      <c r="Y1" s="696"/>
      <c r="Z1" s="696"/>
      <c r="AA1" s="696"/>
      <c r="AB1" s="696"/>
      <c r="AC1" s="749"/>
      <c r="AD1" s="34"/>
      <c r="AE1" s="34"/>
      <c r="AF1" s="34"/>
      <c r="AG1" s="34"/>
      <c r="AH1" s="34"/>
      <c r="AI1" s="35"/>
      <c r="AJ1" s="35"/>
      <c r="AK1" s="35"/>
    </row>
    <row r="2" spans="1:39" ht="24" customHeight="1" x14ac:dyDescent="0.3">
      <c r="A2" s="747" t="s">
        <v>549</v>
      </c>
      <c r="B2" s="747" t="s">
        <v>206</v>
      </c>
      <c r="C2" s="747" t="s">
        <v>550</v>
      </c>
      <c r="D2" s="747" t="s">
        <v>287</v>
      </c>
      <c r="E2" s="747" t="s">
        <v>551</v>
      </c>
      <c r="F2" s="754" t="s">
        <v>552</v>
      </c>
      <c r="G2" s="754"/>
      <c r="H2" s="754"/>
      <c r="I2" s="754"/>
      <c r="J2" s="754"/>
      <c r="K2" s="754"/>
      <c r="L2" s="754"/>
      <c r="M2" s="754"/>
      <c r="N2" s="754"/>
      <c r="O2" s="754"/>
      <c r="P2" s="754"/>
      <c r="Q2" s="754"/>
      <c r="R2" s="754"/>
      <c r="S2" s="754"/>
      <c r="T2" s="754"/>
      <c r="U2" s="754"/>
      <c r="V2" s="754"/>
      <c r="W2" s="754"/>
      <c r="X2" s="754"/>
      <c r="Y2" s="754"/>
      <c r="Z2" s="754"/>
      <c r="AA2" s="754"/>
      <c r="AB2" s="754"/>
      <c r="AC2" s="754"/>
      <c r="AD2" s="34"/>
      <c r="AE2" s="34"/>
      <c r="AF2" s="34"/>
      <c r="AG2" s="34"/>
      <c r="AH2" s="34"/>
      <c r="AI2" s="35"/>
      <c r="AJ2" s="35"/>
      <c r="AK2" s="35"/>
    </row>
    <row r="3" spans="1:39" ht="25.2" customHeight="1" thickBot="1" x14ac:dyDescent="0.35">
      <c r="A3" s="748"/>
      <c r="B3" s="748"/>
      <c r="C3" s="748"/>
      <c r="D3" s="748"/>
      <c r="E3" s="748"/>
      <c r="F3" s="549">
        <v>1</v>
      </c>
      <c r="G3" s="549">
        <v>2</v>
      </c>
      <c r="H3" s="549">
        <v>3</v>
      </c>
      <c r="I3" s="549">
        <v>4</v>
      </c>
      <c r="J3" s="549">
        <v>5</v>
      </c>
      <c r="K3" s="549">
        <v>6</v>
      </c>
      <c r="L3" s="549">
        <v>7</v>
      </c>
      <c r="M3" s="549">
        <v>8</v>
      </c>
      <c r="N3" s="549">
        <v>9</v>
      </c>
      <c r="O3" s="549">
        <v>10</v>
      </c>
      <c r="P3" s="549">
        <v>11</v>
      </c>
      <c r="Q3" s="549">
        <v>12</v>
      </c>
      <c r="R3" s="549">
        <v>13</v>
      </c>
      <c r="S3" s="549">
        <v>14</v>
      </c>
      <c r="T3" s="549">
        <v>15</v>
      </c>
      <c r="U3" s="549">
        <v>16</v>
      </c>
      <c r="V3" s="549">
        <v>17</v>
      </c>
      <c r="W3" s="549">
        <v>18</v>
      </c>
      <c r="X3" s="549">
        <v>19</v>
      </c>
      <c r="Y3" s="549">
        <v>20</v>
      </c>
      <c r="Z3" s="549">
        <v>21</v>
      </c>
      <c r="AA3" s="549">
        <v>22</v>
      </c>
      <c r="AB3" s="549">
        <v>23</v>
      </c>
      <c r="AC3" s="549">
        <v>24</v>
      </c>
      <c r="AD3" s="35"/>
      <c r="AE3" s="35"/>
      <c r="AF3" s="35"/>
      <c r="AG3" s="35"/>
      <c r="AH3" s="35"/>
      <c r="AI3" s="35"/>
      <c r="AJ3" s="35"/>
      <c r="AK3" s="35"/>
    </row>
    <row r="4" spans="1:39" ht="32.4" customHeight="1" thickBot="1" x14ac:dyDescent="0.35">
      <c r="A4" s="764" t="s">
        <v>106</v>
      </c>
      <c r="B4" s="755" t="s">
        <v>216</v>
      </c>
      <c r="C4" s="755" t="s">
        <v>553</v>
      </c>
      <c r="D4" s="758" t="s">
        <v>554</v>
      </c>
      <c r="E4" s="307" t="s">
        <v>555</v>
      </c>
      <c r="F4" s="216">
        <v>0.05</v>
      </c>
      <c r="G4" s="216">
        <v>0</v>
      </c>
      <c r="H4" s="216">
        <v>0</v>
      </c>
      <c r="I4" s="216">
        <v>0</v>
      </c>
      <c r="J4" s="216">
        <v>0</v>
      </c>
      <c r="K4" s="216">
        <v>0.05</v>
      </c>
      <c r="L4" s="216">
        <v>0.1</v>
      </c>
      <c r="M4" s="216">
        <v>0.4</v>
      </c>
      <c r="N4" s="216">
        <v>0.4</v>
      </c>
      <c r="O4" s="216">
        <v>0.4</v>
      </c>
      <c r="P4" s="216">
        <v>0.2</v>
      </c>
      <c r="Q4" s="216">
        <v>0.5</v>
      </c>
      <c r="R4" s="216">
        <v>0.8</v>
      </c>
      <c r="S4" s="216">
        <v>0.7</v>
      </c>
      <c r="T4" s="216">
        <v>0.4</v>
      </c>
      <c r="U4" s="216">
        <v>0.2</v>
      </c>
      <c r="V4" s="216">
        <v>0.25</v>
      </c>
      <c r="W4" s="216">
        <v>0.5</v>
      </c>
      <c r="X4" s="216">
        <v>0.8</v>
      </c>
      <c r="Y4" s="216">
        <v>0.8</v>
      </c>
      <c r="Z4" s="216">
        <v>0.8</v>
      </c>
      <c r="AA4" s="216">
        <v>0.5</v>
      </c>
      <c r="AB4" s="216">
        <v>0.35</v>
      </c>
      <c r="AC4" s="217">
        <v>0.2</v>
      </c>
      <c r="AD4" s="35"/>
      <c r="AE4" s="35"/>
      <c r="AF4" s="35"/>
      <c r="AG4" s="35"/>
      <c r="AH4" s="35"/>
      <c r="AI4" s="35"/>
      <c r="AJ4" s="35"/>
      <c r="AK4" s="35"/>
    </row>
    <row r="5" spans="1:39" ht="32.4" customHeight="1" thickBot="1" x14ac:dyDescent="0.35">
      <c r="A5" s="765"/>
      <c r="B5" s="756"/>
      <c r="C5" s="756"/>
      <c r="D5" s="759"/>
      <c r="E5" s="308" t="s">
        <v>556</v>
      </c>
      <c r="F5" s="82">
        <v>0.05</v>
      </c>
      <c r="G5" s="82">
        <v>0</v>
      </c>
      <c r="H5" s="82">
        <v>0</v>
      </c>
      <c r="I5" s="82">
        <v>0</v>
      </c>
      <c r="J5" s="82">
        <v>0</v>
      </c>
      <c r="K5" s="82">
        <v>0</v>
      </c>
      <c r="L5" s="82">
        <v>0.05</v>
      </c>
      <c r="M5" s="82">
        <v>0.5</v>
      </c>
      <c r="N5" s="82">
        <v>0.5</v>
      </c>
      <c r="O5" s="82">
        <v>0.4</v>
      </c>
      <c r="P5" s="82">
        <v>0.2</v>
      </c>
      <c r="Q5" s="82">
        <v>0.45</v>
      </c>
      <c r="R5" s="82">
        <v>0.5</v>
      </c>
      <c r="S5" s="82">
        <v>0.5</v>
      </c>
      <c r="T5" s="82">
        <v>0.35</v>
      </c>
      <c r="U5" s="82">
        <v>0.3</v>
      </c>
      <c r="V5" s="82">
        <v>0.3</v>
      </c>
      <c r="W5" s="82">
        <v>0.3</v>
      </c>
      <c r="X5" s="82">
        <v>0.7</v>
      </c>
      <c r="Y5" s="82">
        <v>0.9</v>
      </c>
      <c r="Z5" s="82">
        <v>0.7</v>
      </c>
      <c r="AA5" s="82">
        <v>0.65</v>
      </c>
      <c r="AB5" s="82">
        <v>0.55000000000000004</v>
      </c>
      <c r="AC5" s="219">
        <v>0.35</v>
      </c>
      <c r="AD5" s="35"/>
      <c r="AE5" s="35"/>
      <c r="AF5" s="35"/>
      <c r="AG5" s="35"/>
      <c r="AH5" s="35"/>
      <c r="AI5" s="35"/>
      <c r="AJ5" s="35"/>
      <c r="AK5" s="35"/>
    </row>
    <row r="6" spans="1:39" ht="32.4" customHeight="1" thickBot="1" x14ac:dyDescent="0.35">
      <c r="A6" s="766"/>
      <c r="B6" s="757"/>
      <c r="C6" s="757"/>
      <c r="D6" s="760"/>
      <c r="E6" s="309" t="s">
        <v>557</v>
      </c>
      <c r="F6" s="221">
        <v>0.05</v>
      </c>
      <c r="G6" s="221">
        <v>0</v>
      </c>
      <c r="H6" s="221">
        <v>0</v>
      </c>
      <c r="I6" s="221">
        <v>0</v>
      </c>
      <c r="J6" s="221">
        <v>0</v>
      </c>
      <c r="K6" s="221">
        <v>0</v>
      </c>
      <c r="L6" s="221">
        <v>0.05</v>
      </c>
      <c r="M6" s="221">
        <v>0.5</v>
      </c>
      <c r="N6" s="221">
        <v>0.5</v>
      </c>
      <c r="O6" s="221">
        <v>0.2</v>
      </c>
      <c r="P6" s="221">
        <v>0.2</v>
      </c>
      <c r="Q6" s="221">
        <v>0.3</v>
      </c>
      <c r="R6" s="221">
        <v>0.5</v>
      </c>
      <c r="S6" s="221">
        <v>0.5</v>
      </c>
      <c r="T6" s="221">
        <v>0.3</v>
      </c>
      <c r="U6" s="221">
        <v>0.2</v>
      </c>
      <c r="V6" s="221">
        <v>0.25</v>
      </c>
      <c r="W6" s="221">
        <v>0.35</v>
      </c>
      <c r="X6" s="221">
        <v>0.55000000000000004</v>
      </c>
      <c r="Y6" s="221">
        <v>0.65</v>
      </c>
      <c r="Z6" s="221">
        <v>0.7</v>
      </c>
      <c r="AA6" s="221">
        <v>0.35</v>
      </c>
      <c r="AB6" s="221">
        <v>0.2</v>
      </c>
      <c r="AC6" s="222">
        <v>0.2</v>
      </c>
      <c r="AD6" s="35"/>
      <c r="AE6" s="35"/>
      <c r="AF6" s="35"/>
      <c r="AG6" s="35"/>
      <c r="AH6" s="35"/>
      <c r="AI6" s="35"/>
      <c r="AJ6" s="35"/>
      <c r="AK6" s="35"/>
    </row>
    <row r="7" spans="1:39" ht="37.950000000000003" customHeight="1" thickBot="1" x14ac:dyDescent="0.35">
      <c r="A7" s="767" t="str">
        <f>A4</f>
        <v>Dining</v>
      </c>
      <c r="B7" s="761" t="s">
        <v>216</v>
      </c>
      <c r="C7" s="761" t="s">
        <v>558</v>
      </c>
      <c r="D7" s="762" t="s">
        <v>559</v>
      </c>
      <c r="E7" s="88" t="s">
        <v>555</v>
      </c>
      <c r="F7" s="89">
        <v>0.15</v>
      </c>
      <c r="G7" s="89">
        <v>0.15</v>
      </c>
      <c r="H7" s="89">
        <v>0.15</v>
      </c>
      <c r="I7" s="89">
        <v>0.15</v>
      </c>
      <c r="J7" s="89">
        <v>0.15</v>
      </c>
      <c r="K7" s="89">
        <v>0.2</v>
      </c>
      <c r="L7" s="234">
        <v>0.3</v>
      </c>
      <c r="M7" s="234">
        <f t="shared" ref="M7:AA7" si="0">M10-5%</f>
        <v>0.66999999999999993</v>
      </c>
      <c r="N7" s="234">
        <f t="shared" si="0"/>
        <v>0.73</v>
      </c>
      <c r="O7" s="234">
        <f t="shared" si="0"/>
        <v>0.75</v>
      </c>
      <c r="P7" s="234">
        <f t="shared" si="0"/>
        <v>0.85</v>
      </c>
      <c r="Q7" s="234">
        <f t="shared" si="0"/>
        <v>0.85</v>
      </c>
      <c r="R7" s="234">
        <f t="shared" si="0"/>
        <v>0.85</v>
      </c>
      <c r="S7" s="234">
        <f t="shared" si="0"/>
        <v>0.83</v>
      </c>
      <c r="T7" s="234">
        <f t="shared" si="0"/>
        <v>0.72</v>
      </c>
      <c r="U7" s="234">
        <f t="shared" si="0"/>
        <v>0.64999999999999991</v>
      </c>
      <c r="V7" s="234">
        <f t="shared" si="0"/>
        <v>0.66999999999999993</v>
      </c>
      <c r="W7" s="234">
        <f t="shared" si="0"/>
        <v>0.75</v>
      </c>
      <c r="X7" s="234">
        <f t="shared" si="0"/>
        <v>0.85</v>
      </c>
      <c r="Y7" s="234">
        <f t="shared" si="0"/>
        <v>0.85</v>
      </c>
      <c r="Z7" s="234">
        <f t="shared" si="0"/>
        <v>0.85</v>
      </c>
      <c r="AA7" s="234">
        <f t="shared" si="0"/>
        <v>0.75</v>
      </c>
      <c r="AB7" s="234">
        <f>AB10-5%</f>
        <v>0.56999999999999995</v>
      </c>
      <c r="AC7" s="90">
        <v>0.3</v>
      </c>
      <c r="AD7" s="35"/>
      <c r="AE7" s="35"/>
      <c r="AF7" s="35"/>
      <c r="AG7" s="35"/>
      <c r="AH7" s="35"/>
      <c r="AI7" s="35"/>
      <c r="AJ7" s="35"/>
      <c r="AK7" s="35"/>
    </row>
    <row r="8" spans="1:39" ht="37.950000000000003" customHeight="1" thickBot="1" x14ac:dyDescent="0.35">
      <c r="A8" s="768"/>
      <c r="B8" s="752"/>
      <c r="C8" s="752"/>
      <c r="D8" s="763"/>
      <c r="E8" s="81" t="s">
        <v>556</v>
      </c>
      <c r="F8" s="235">
        <f>F11</f>
        <v>0.15</v>
      </c>
      <c r="G8" s="82">
        <v>0.15</v>
      </c>
      <c r="H8" s="82">
        <v>0.15</v>
      </c>
      <c r="I8" s="82">
        <v>0.15</v>
      </c>
      <c r="J8" s="82">
        <v>0.15</v>
      </c>
      <c r="K8" s="235">
        <f>K11</f>
        <v>0.2</v>
      </c>
      <c r="L8" s="82">
        <v>0.3</v>
      </c>
      <c r="M8" s="235">
        <f t="shared" ref="M8:AA8" si="1">M11-5%</f>
        <v>0.66999999999999993</v>
      </c>
      <c r="N8" s="235">
        <f t="shared" si="1"/>
        <v>0.73</v>
      </c>
      <c r="O8" s="235">
        <f t="shared" si="1"/>
        <v>0.75</v>
      </c>
      <c r="P8" s="235">
        <f t="shared" si="1"/>
        <v>0.85</v>
      </c>
      <c r="Q8" s="235">
        <f t="shared" si="1"/>
        <v>0.85</v>
      </c>
      <c r="R8" s="235">
        <f t="shared" si="1"/>
        <v>0.85</v>
      </c>
      <c r="S8" s="235">
        <f t="shared" si="1"/>
        <v>0.83</v>
      </c>
      <c r="T8" s="235">
        <f t="shared" si="1"/>
        <v>0.72</v>
      </c>
      <c r="U8" s="235">
        <f t="shared" si="1"/>
        <v>0.64999999999999991</v>
      </c>
      <c r="V8" s="235">
        <f t="shared" si="1"/>
        <v>0.66999999999999993</v>
      </c>
      <c r="W8" s="235">
        <f t="shared" si="1"/>
        <v>0.75</v>
      </c>
      <c r="X8" s="235">
        <f t="shared" si="1"/>
        <v>0.85</v>
      </c>
      <c r="Y8" s="235">
        <f t="shared" si="1"/>
        <v>0.85</v>
      </c>
      <c r="Z8" s="235">
        <f t="shared" si="1"/>
        <v>0.85</v>
      </c>
      <c r="AA8" s="235">
        <f t="shared" si="1"/>
        <v>0.75</v>
      </c>
      <c r="AB8" s="235">
        <f>AB11-5%</f>
        <v>0.56999999999999995</v>
      </c>
      <c r="AC8" s="83">
        <v>0.3</v>
      </c>
      <c r="AD8" s="35"/>
      <c r="AE8" s="35"/>
      <c r="AF8" s="35"/>
      <c r="AG8" s="35"/>
      <c r="AH8" s="35"/>
      <c r="AI8" s="35"/>
      <c r="AJ8" s="35"/>
      <c r="AK8" s="35"/>
    </row>
    <row r="9" spans="1:39" ht="37.950000000000003" customHeight="1" thickBot="1" x14ac:dyDescent="0.35">
      <c r="A9" s="768"/>
      <c r="B9" s="752"/>
      <c r="C9" s="752"/>
      <c r="D9" s="763"/>
      <c r="E9" s="84" t="s">
        <v>557</v>
      </c>
      <c r="F9" s="85">
        <v>0.2</v>
      </c>
      <c r="G9" s="85">
        <v>0.15</v>
      </c>
      <c r="H9" s="85">
        <v>0.15</v>
      </c>
      <c r="I9" s="85">
        <v>0.15</v>
      </c>
      <c r="J9" s="85">
        <v>0.15</v>
      </c>
      <c r="K9" s="85">
        <v>0.15</v>
      </c>
      <c r="L9" s="85">
        <v>0.3</v>
      </c>
      <c r="M9" s="236">
        <f t="shared" ref="M9:AA9" si="2">M12-5%</f>
        <v>0.66999999999999993</v>
      </c>
      <c r="N9" s="236">
        <f t="shared" si="2"/>
        <v>0.73</v>
      </c>
      <c r="O9" s="236">
        <f t="shared" si="2"/>
        <v>0.75</v>
      </c>
      <c r="P9" s="236">
        <f t="shared" si="2"/>
        <v>0.85</v>
      </c>
      <c r="Q9" s="236">
        <f t="shared" si="2"/>
        <v>0.85</v>
      </c>
      <c r="R9" s="236">
        <f t="shared" si="2"/>
        <v>0.85</v>
      </c>
      <c r="S9" s="236">
        <f t="shared" si="2"/>
        <v>0.83</v>
      </c>
      <c r="T9" s="236">
        <f t="shared" si="2"/>
        <v>0.72</v>
      </c>
      <c r="U9" s="236">
        <f t="shared" si="2"/>
        <v>0.64999999999999991</v>
      </c>
      <c r="V9" s="236">
        <f t="shared" si="2"/>
        <v>0.66999999999999993</v>
      </c>
      <c r="W9" s="236">
        <f t="shared" si="2"/>
        <v>0.75</v>
      </c>
      <c r="X9" s="236">
        <f t="shared" si="2"/>
        <v>0.85</v>
      </c>
      <c r="Y9" s="236">
        <f t="shared" si="2"/>
        <v>0.85</v>
      </c>
      <c r="Z9" s="236">
        <f t="shared" si="2"/>
        <v>0.85</v>
      </c>
      <c r="AA9" s="236">
        <f t="shared" si="2"/>
        <v>0.75</v>
      </c>
      <c r="AB9" s="236">
        <f>AB12-5%</f>
        <v>0.56999999999999995</v>
      </c>
      <c r="AC9" s="86">
        <v>0.3</v>
      </c>
      <c r="AD9" s="35"/>
      <c r="AE9" s="35"/>
      <c r="AF9" s="35"/>
      <c r="AG9" s="35"/>
      <c r="AH9" s="35"/>
      <c r="AI9" s="35"/>
      <c r="AJ9" s="35"/>
      <c r="AK9" s="35"/>
    </row>
    <row r="10" spans="1:39" ht="38.700000000000003" customHeight="1" thickBot="1" x14ac:dyDescent="0.35">
      <c r="A10" s="768" t="str">
        <f>A4</f>
        <v>Dining</v>
      </c>
      <c r="B10" s="752" t="s">
        <v>216</v>
      </c>
      <c r="C10" s="752" t="s">
        <v>560</v>
      </c>
      <c r="D10" s="753" t="s">
        <v>561</v>
      </c>
      <c r="E10" s="215" t="s">
        <v>555</v>
      </c>
      <c r="F10" s="216">
        <v>0.15</v>
      </c>
      <c r="G10" s="216">
        <v>0.15</v>
      </c>
      <c r="H10" s="216">
        <v>0.15</v>
      </c>
      <c r="I10" s="216">
        <v>0.15</v>
      </c>
      <c r="J10" s="216">
        <v>0.15</v>
      </c>
      <c r="K10" s="216">
        <v>0.2</v>
      </c>
      <c r="L10" s="228">
        <v>0.3</v>
      </c>
      <c r="M10" s="228">
        <v>0.72</v>
      </c>
      <c r="N10" s="228">
        <v>0.78</v>
      </c>
      <c r="O10" s="228">
        <v>0.8</v>
      </c>
      <c r="P10" s="216">
        <v>0.9</v>
      </c>
      <c r="Q10" s="216">
        <v>0.9</v>
      </c>
      <c r="R10" s="216">
        <v>0.9</v>
      </c>
      <c r="S10" s="228">
        <v>0.88</v>
      </c>
      <c r="T10" s="228">
        <v>0.77</v>
      </c>
      <c r="U10" s="228">
        <v>0.7</v>
      </c>
      <c r="V10" s="228">
        <v>0.72</v>
      </c>
      <c r="W10" s="228">
        <v>0.8</v>
      </c>
      <c r="X10" s="216">
        <v>0.9</v>
      </c>
      <c r="Y10" s="216">
        <v>0.9</v>
      </c>
      <c r="Z10" s="216">
        <v>0.9</v>
      </c>
      <c r="AA10" s="228">
        <v>0.8</v>
      </c>
      <c r="AB10" s="228">
        <v>0.62</v>
      </c>
      <c r="AC10" s="217">
        <v>0.3</v>
      </c>
      <c r="AD10" s="35"/>
      <c r="AE10" s="35"/>
      <c r="AF10" s="35"/>
      <c r="AG10" s="35"/>
      <c r="AH10" s="35"/>
      <c r="AI10" s="35"/>
      <c r="AJ10" s="35"/>
      <c r="AK10" s="35"/>
      <c r="AM10" s="44"/>
    </row>
    <row r="11" spans="1:39" ht="38.700000000000003" customHeight="1" thickBot="1" x14ac:dyDescent="0.35">
      <c r="A11" s="768"/>
      <c r="B11" s="752"/>
      <c r="C11" s="752"/>
      <c r="D11" s="753"/>
      <c r="E11" s="218" t="s">
        <v>556</v>
      </c>
      <c r="F11" s="226">
        <v>0.15</v>
      </c>
      <c r="G11" s="82">
        <v>0.15</v>
      </c>
      <c r="H11" s="82">
        <v>0.15</v>
      </c>
      <c r="I11" s="82">
        <v>0.15</v>
      </c>
      <c r="J11" s="82">
        <v>0.15</v>
      </c>
      <c r="K11" s="226">
        <v>0.2</v>
      </c>
      <c r="L11" s="82">
        <v>0.3</v>
      </c>
      <c r="M11" s="226">
        <v>0.72</v>
      </c>
      <c r="N11" s="226">
        <v>0.78</v>
      </c>
      <c r="O11" s="226">
        <v>0.8</v>
      </c>
      <c r="P11" s="226">
        <v>0.9</v>
      </c>
      <c r="Q11" s="226">
        <v>0.9</v>
      </c>
      <c r="R11" s="226">
        <v>0.9</v>
      </c>
      <c r="S11" s="226">
        <v>0.88</v>
      </c>
      <c r="T11" s="226">
        <v>0.77</v>
      </c>
      <c r="U11" s="226">
        <v>0.7</v>
      </c>
      <c r="V11" s="226">
        <v>0.72</v>
      </c>
      <c r="W11" s="226">
        <v>0.8</v>
      </c>
      <c r="X11" s="82">
        <v>0.9</v>
      </c>
      <c r="Y11" s="82">
        <v>0.9</v>
      </c>
      <c r="Z11" s="82">
        <v>0.9</v>
      </c>
      <c r="AA11" s="226">
        <v>0.8</v>
      </c>
      <c r="AB11" s="226">
        <v>0.62</v>
      </c>
      <c r="AC11" s="219">
        <v>0.3</v>
      </c>
      <c r="AD11" s="35"/>
      <c r="AE11" s="35"/>
      <c r="AF11" s="35"/>
      <c r="AG11" s="35"/>
      <c r="AH11" s="35"/>
      <c r="AI11" s="35"/>
      <c r="AJ11" s="35"/>
      <c r="AK11" s="35"/>
      <c r="AM11" s="44"/>
    </row>
    <row r="12" spans="1:39" ht="38.700000000000003" customHeight="1" thickBot="1" x14ac:dyDescent="0.35">
      <c r="A12" s="768"/>
      <c r="B12" s="752"/>
      <c r="C12" s="752"/>
      <c r="D12" s="753"/>
      <c r="E12" s="220" t="s">
        <v>557</v>
      </c>
      <c r="F12" s="227">
        <v>0.2</v>
      </c>
      <c r="G12" s="221">
        <v>0.15</v>
      </c>
      <c r="H12" s="221">
        <v>0.15</v>
      </c>
      <c r="I12" s="221">
        <v>0.15</v>
      </c>
      <c r="J12" s="221">
        <v>0.15</v>
      </c>
      <c r="K12" s="227">
        <v>0.15</v>
      </c>
      <c r="L12" s="221">
        <v>0.3</v>
      </c>
      <c r="M12" s="227">
        <v>0.72</v>
      </c>
      <c r="N12" s="227">
        <v>0.78</v>
      </c>
      <c r="O12" s="227">
        <v>0.8</v>
      </c>
      <c r="P12" s="227">
        <v>0.9</v>
      </c>
      <c r="Q12" s="227">
        <v>0.9</v>
      </c>
      <c r="R12" s="227">
        <v>0.9</v>
      </c>
      <c r="S12" s="227">
        <v>0.88</v>
      </c>
      <c r="T12" s="227">
        <v>0.77</v>
      </c>
      <c r="U12" s="227">
        <v>0.7</v>
      </c>
      <c r="V12" s="227">
        <v>0.72</v>
      </c>
      <c r="W12" s="227">
        <v>0.8</v>
      </c>
      <c r="X12" s="227">
        <v>0.9</v>
      </c>
      <c r="Y12" s="227">
        <v>0.9</v>
      </c>
      <c r="Z12" s="227">
        <v>0.9</v>
      </c>
      <c r="AA12" s="227">
        <v>0.8</v>
      </c>
      <c r="AB12" s="227">
        <v>0.62</v>
      </c>
      <c r="AC12" s="222">
        <v>0.3</v>
      </c>
      <c r="AD12" s="35"/>
      <c r="AE12" s="35"/>
      <c r="AF12" s="35"/>
      <c r="AG12" s="35"/>
      <c r="AH12" s="35"/>
      <c r="AI12" s="35"/>
      <c r="AJ12" s="35"/>
      <c r="AK12" s="35"/>
      <c r="AM12" s="44"/>
    </row>
    <row r="13" spans="1:39" ht="38.4" customHeight="1" thickBot="1" x14ac:dyDescent="0.35">
      <c r="A13" s="768" t="str">
        <f>A4</f>
        <v>Dining</v>
      </c>
      <c r="B13" s="752" t="s">
        <v>216</v>
      </c>
      <c r="C13" s="750" t="s">
        <v>562</v>
      </c>
      <c r="D13" s="751" t="s">
        <v>563</v>
      </c>
      <c r="E13" s="215" t="s">
        <v>555</v>
      </c>
      <c r="F13" s="216">
        <v>1</v>
      </c>
      <c r="G13" s="231">
        <v>0</v>
      </c>
      <c r="H13" s="231">
        <v>0</v>
      </c>
      <c r="I13" s="216">
        <v>0</v>
      </c>
      <c r="J13" s="231">
        <v>1</v>
      </c>
      <c r="K13" s="231">
        <v>1</v>
      </c>
      <c r="L13" s="216">
        <v>1</v>
      </c>
      <c r="M13" s="216">
        <v>1</v>
      </c>
      <c r="N13" s="216">
        <v>1</v>
      </c>
      <c r="O13" s="216">
        <v>1</v>
      </c>
      <c r="P13" s="216">
        <v>1</v>
      </c>
      <c r="Q13" s="216">
        <v>1</v>
      </c>
      <c r="R13" s="216">
        <v>1</v>
      </c>
      <c r="S13" s="216">
        <v>1</v>
      </c>
      <c r="T13" s="216">
        <v>1</v>
      </c>
      <c r="U13" s="216">
        <v>1</v>
      </c>
      <c r="V13" s="216">
        <v>1</v>
      </c>
      <c r="W13" s="216">
        <v>1</v>
      </c>
      <c r="X13" s="216">
        <v>1</v>
      </c>
      <c r="Y13" s="216">
        <v>1</v>
      </c>
      <c r="Z13" s="216">
        <v>1</v>
      </c>
      <c r="AA13" s="216">
        <v>1</v>
      </c>
      <c r="AB13" s="216">
        <v>1</v>
      </c>
      <c r="AC13" s="217">
        <v>1</v>
      </c>
      <c r="AD13" s="35"/>
      <c r="AE13" s="35"/>
      <c r="AF13" s="35"/>
      <c r="AG13" s="35"/>
      <c r="AH13" s="35"/>
      <c r="AI13" s="35"/>
      <c r="AJ13" s="35"/>
      <c r="AK13" s="35"/>
      <c r="AM13" s="44"/>
    </row>
    <row r="14" spans="1:39" ht="38.700000000000003" customHeight="1" x14ac:dyDescent="0.3">
      <c r="A14" s="768"/>
      <c r="B14" s="752"/>
      <c r="C14" s="750"/>
      <c r="D14" s="751"/>
      <c r="E14" s="218" t="s">
        <v>556</v>
      </c>
      <c r="F14" s="82">
        <v>1</v>
      </c>
      <c r="G14" s="234">
        <v>0</v>
      </c>
      <c r="H14" s="234">
        <v>0</v>
      </c>
      <c r="I14" s="82">
        <v>0</v>
      </c>
      <c r="J14" s="82">
        <v>0</v>
      </c>
      <c r="K14" s="235">
        <v>1</v>
      </c>
      <c r="L14" s="235">
        <v>1</v>
      </c>
      <c r="M14" s="235">
        <v>1</v>
      </c>
      <c r="N14" s="82">
        <v>1</v>
      </c>
      <c r="O14" s="82">
        <v>1</v>
      </c>
      <c r="P14" s="82">
        <v>1</v>
      </c>
      <c r="Q14" s="82">
        <v>1</v>
      </c>
      <c r="R14" s="82">
        <v>1</v>
      </c>
      <c r="S14" s="82">
        <v>1</v>
      </c>
      <c r="T14" s="82">
        <v>1</v>
      </c>
      <c r="U14" s="82">
        <v>1</v>
      </c>
      <c r="V14" s="82">
        <v>1</v>
      </c>
      <c r="W14" s="82">
        <v>1</v>
      </c>
      <c r="X14" s="82">
        <v>1</v>
      </c>
      <c r="Y14" s="82">
        <v>1</v>
      </c>
      <c r="Z14" s="82">
        <v>1</v>
      </c>
      <c r="AA14" s="82">
        <v>1</v>
      </c>
      <c r="AB14" s="82">
        <v>1</v>
      </c>
      <c r="AC14" s="219">
        <v>1</v>
      </c>
      <c r="AD14" s="35"/>
      <c r="AE14" s="35"/>
      <c r="AF14" s="35"/>
      <c r="AG14" s="35"/>
      <c r="AH14" s="35"/>
      <c r="AI14" s="35"/>
      <c r="AJ14" s="35"/>
      <c r="AK14" s="35"/>
      <c r="AM14" s="44"/>
    </row>
    <row r="15" spans="1:39" ht="38.4" customHeight="1" thickBot="1" x14ac:dyDescent="0.35">
      <c r="A15" s="768"/>
      <c r="B15" s="752"/>
      <c r="C15" s="750"/>
      <c r="D15" s="751"/>
      <c r="E15" s="220" t="s">
        <v>557</v>
      </c>
      <c r="F15" s="221">
        <v>1</v>
      </c>
      <c r="G15" s="237">
        <v>0</v>
      </c>
      <c r="H15" s="237">
        <v>0</v>
      </c>
      <c r="I15" s="221">
        <v>0</v>
      </c>
      <c r="J15" s="221">
        <v>0</v>
      </c>
      <c r="K15" s="238">
        <v>1</v>
      </c>
      <c r="L15" s="238">
        <v>1</v>
      </c>
      <c r="M15" s="238">
        <v>1</v>
      </c>
      <c r="N15" s="238">
        <v>1</v>
      </c>
      <c r="O15" s="221">
        <v>1</v>
      </c>
      <c r="P15" s="221">
        <v>1</v>
      </c>
      <c r="Q15" s="221">
        <v>1</v>
      </c>
      <c r="R15" s="221">
        <v>1</v>
      </c>
      <c r="S15" s="221">
        <v>1</v>
      </c>
      <c r="T15" s="221">
        <v>1</v>
      </c>
      <c r="U15" s="221">
        <v>1</v>
      </c>
      <c r="V15" s="221">
        <v>1</v>
      </c>
      <c r="W15" s="221">
        <v>1</v>
      </c>
      <c r="X15" s="221">
        <v>1</v>
      </c>
      <c r="Y15" s="221">
        <v>1</v>
      </c>
      <c r="Z15" s="221">
        <v>1</v>
      </c>
      <c r="AA15" s="221">
        <v>1</v>
      </c>
      <c r="AB15" s="221">
        <v>1</v>
      </c>
      <c r="AC15" s="222">
        <v>1</v>
      </c>
      <c r="AD15" s="35"/>
      <c r="AE15" s="35"/>
      <c r="AF15" s="35"/>
      <c r="AG15" s="35"/>
      <c r="AH15" s="35"/>
      <c r="AI15" s="35"/>
      <c r="AJ15" s="35"/>
      <c r="AK15" s="35"/>
      <c r="AM15" s="44"/>
    </row>
    <row r="16" spans="1:39" ht="38.700000000000003" customHeight="1" x14ac:dyDescent="0.3">
      <c r="A16" s="768" t="str">
        <f>A7</f>
        <v>Dining</v>
      </c>
      <c r="B16" s="752" t="s">
        <v>216</v>
      </c>
      <c r="C16" s="750" t="s">
        <v>564</v>
      </c>
      <c r="D16" s="763" t="s">
        <v>565</v>
      </c>
      <c r="E16" s="88" t="s">
        <v>555</v>
      </c>
      <c r="F16" s="89">
        <v>0.2</v>
      </c>
      <c r="G16" s="234">
        <v>0</v>
      </c>
      <c r="H16" s="234">
        <v>0</v>
      </c>
      <c r="I16" s="89">
        <v>0</v>
      </c>
      <c r="J16" s="89">
        <v>0</v>
      </c>
      <c r="K16" s="234">
        <v>0.6</v>
      </c>
      <c r="L16" s="234">
        <v>0.6</v>
      </c>
      <c r="M16" s="89">
        <v>0.6</v>
      </c>
      <c r="N16" s="89">
        <v>0.55000000000000004</v>
      </c>
      <c r="O16" s="89">
        <v>0.45</v>
      </c>
      <c r="P16" s="89">
        <v>0.4</v>
      </c>
      <c r="Q16" s="89">
        <v>0.45</v>
      </c>
      <c r="R16" s="89">
        <v>0.4</v>
      </c>
      <c r="S16" s="89">
        <v>0.35</v>
      </c>
      <c r="T16" s="89">
        <v>0.3</v>
      </c>
      <c r="U16" s="89">
        <v>0.3</v>
      </c>
      <c r="V16" s="89">
        <v>0.3</v>
      </c>
      <c r="W16" s="89">
        <v>0.4</v>
      </c>
      <c r="X16" s="89">
        <v>0.55000000000000004</v>
      </c>
      <c r="Y16" s="89">
        <v>0.6</v>
      </c>
      <c r="Z16" s="89">
        <v>0.5</v>
      </c>
      <c r="AA16" s="89">
        <v>0.55000000000000004</v>
      </c>
      <c r="AB16" s="89">
        <v>0.45</v>
      </c>
      <c r="AC16" s="90">
        <v>0.25</v>
      </c>
      <c r="AD16" s="35"/>
      <c r="AE16" s="35"/>
      <c r="AF16" s="35"/>
      <c r="AG16" s="35"/>
      <c r="AH16" s="35"/>
      <c r="AI16" s="35"/>
      <c r="AJ16" s="35"/>
      <c r="AK16" s="35"/>
      <c r="AM16" s="44"/>
    </row>
    <row r="17" spans="1:39" ht="38.700000000000003" customHeight="1" x14ac:dyDescent="0.3">
      <c r="A17" s="768"/>
      <c r="B17" s="752"/>
      <c r="C17" s="750"/>
      <c r="D17" s="763"/>
      <c r="E17" s="81" t="s">
        <v>556</v>
      </c>
      <c r="F17" s="82">
        <v>0.2</v>
      </c>
      <c r="G17" s="235">
        <v>0</v>
      </c>
      <c r="H17" s="235">
        <v>0</v>
      </c>
      <c r="I17" s="82">
        <v>0</v>
      </c>
      <c r="J17" s="82">
        <v>0</v>
      </c>
      <c r="K17" s="82">
        <v>0</v>
      </c>
      <c r="L17" s="235">
        <v>0.5</v>
      </c>
      <c r="M17" s="235">
        <v>0.5</v>
      </c>
      <c r="N17" s="235">
        <v>0.5</v>
      </c>
      <c r="O17" s="82">
        <v>0.5</v>
      </c>
      <c r="P17" s="82">
        <v>0.45</v>
      </c>
      <c r="Q17" s="82">
        <v>0.5</v>
      </c>
      <c r="R17" s="82">
        <v>0.5</v>
      </c>
      <c r="S17" s="82">
        <v>0.45</v>
      </c>
      <c r="T17" s="82">
        <v>0.4</v>
      </c>
      <c r="U17" s="82">
        <v>0.4</v>
      </c>
      <c r="V17" s="82">
        <v>0.35</v>
      </c>
      <c r="W17" s="82">
        <v>0.4</v>
      </c>
      <c r="X17" s="82">
        <v>0.55000000000000004</v>
      </c>
      <c r="Y17" s="82">
        <v>0.55000000000000004</v>
      </c>
      <c r="Z17" s="82">
        <v>0.5</v>
      </c>
      <c r="AA17" s="82">
        <v>0.55000000000000004</v>
      </c>
      <c r="AB17" s="82">
        <v>0.4</v>
      </c>
      <c r="AC17" s="83">
        <v>0.3</v>
      </c>
      <c r="AD17" s="35"/>
      <c r="AE17" s="35"/>
      <c r="AF17" s="35"/>
      <c r="AG17" s="35"/>
      <c r="AH17" s="35"/>
      <c r="AI17" s="35"/>
      <c r="AJ17" s="35"/>
      <c r="AK17" s="35"/>
      <c r="AM17" s="44"/>
    </row>
    <row r="18" spans="1:39" ht="38.700000000000003" customHeight="1" x14ac:dyDescent="0.3">
      <c r="A18" s="768"/>
      <c r="B18" s="752"/>
      <c r="C18" s="750"/>
      <c r="D18" s="763"/>
      <c r="E18" s="84" t="s">
        <v>557</v>
      </c>
      <c r="F18" s="85">
        <v>0.25</v>
      </c>
      <c r="G18" s="236">
        <v>0</v>
      </c>
      <c r="H18" s="236">
        <v>0</v>
      </c>
      <c r="I18" s="85">
        <v>0</v>
      </c>
      <c r="J18" s="85">
        <v>0</v>
      </c>
      <c r="K18" s="85">
        <v>0</v>
      </c>
      <c r="L18" s="236">
        <v>0.5</v>
      </c>
      <c r="M18" s="236">
        <v>0.5</v>
      </c>
      <c r="N18" s="236">
        <v>0.5</v>
      </c>
      <c r="O18" s="236">
        <v>0.5</v>
      </c>
      <c r="P18" s="85">
        <v>0.5</v>
      </c>
      <c r="Q18" s="85">
        <v>0.5</v>
      </c>
      <c r="R18" s="85">
        <v>0.4</v>
      </c>
      <c r="S18" s="85">
        <v>0.4</v>
      </c>
      <c r="T18" s="85">
        <v>0.3</v>
      </c>
      <c r="U18" s="85">
        <v>0.3</v>
      </c>
      <c r="V18" s="85">
        <v>0.3</v>
      </c>
      <c r="W18" s="85">
        <v>0.4</v>
      </c>
      <c r="X18" s="85">
        <v>0.5</v>
      </c>
      <c r="Y18" s="85">
        <v>0.5</v>
      </c>
      <c r="Z18" s="85">
        <v>0.4</v>
      </c>
      <c r="AA18" s="85">
        <v>0.5</v>
      </c>
      <c r="AB18" s="85">
        <v>0.4</v>
      </c>
      <c r="AC18" s="86">
        <v>0.2</v>
      </c>
      <c r="AD18" s="35"/>
      <c r="AE18" s="35"/>
      <c r="AF18" s="35"/>
      <c r="AG18" s="35"/>
      <c r="AH18" s="35"/>
      <c r="AI18" s="35"/>
      <c r="AJ18" s="35"/>
      <c r="AK18" s="35"/>
      <c r="AM18" s="44"/>
    </row>
    <row r="19" spans="1:39" ht="38.700000000000003" customHeight="1" x14ac:dyDescent="0.3">
      <c r="A19" s="764" t="str">
        <f>A4</f>
        <v>Dining</v>
      </c>
      <c r="B19" s="755" t="s">
        <v>216</v>
      </c>
      <c r="C19" s="793" t="s">
        <v>285</v>
      </c>
      <c r="D19" s="758" t="s">
        <v>566</v>
      </c>
      <c r="E19" s="323" t="s">
        <v>555</v>
      </c>
      <c r="F19" s="231">
        <v>0.25</v>
      </c>
      <c r="G19" s="231">
        <v>0</v>
      </c>
      <c r="H19" s="231">
        <v>0</v>
      </c>
      <c r="I19" s="216">
        <v>1</v>
      </c>
      <c r="J19" s="231">
        <v>0.25</v>
      </c>
      <c r="K19" s="239">
        <v>0.25</v>
      </c>
      <c r="L19" s="230">
        <v>0.25</v>
      </c>
      <c r="M19" s="230">
        <v>0.25</v>
      </c>
      <c r="N19" s="230">
        <v>0.25</v>
      </c>
      <c r="O19" s="216">
        <v>0.25</v>
      </c>
      <c r="P19" s="216">
        <v>0.25</v>
      </c>
      <c r="Q19" s="216">
        <v>0.25</v>
      </c>
      <c r="R19" s="216">
        <v>0.25</v>
      </c>
      <c r="S19" s="216">
        <v>0.25</v>
      </c>
      <c r="T19" s="216">
        <v>0.25</v>
      </c>
      <c r="U19" s="216">
        <v>0.25</v>
      </c>
      <c r="V19" s="231">
        <v>0.25</v>
      </c>
      <c r="W19" s="216">
        <v>0.25</v>
      </c>
      <c r="X19" s="216">
        <v>0.25</v>
      </c>
      <c r="Y19" s="216">
        <v>0.25</v>
      </c>
      <c r="Z19" s="216">
        <v>0.25</v>
      </c>
      <c r="AA19" s="216">
        <v>0.25</v>
      </c>
      <c r="AB19" s="216">
        <v>0.25</v>
      </c>
      <c r="AC19" s="217">
        <v>0.25</v>
      </c>
      <c r="AD19" s="35"/>
      <c r="AE19" s="35"/>
      <c r="AF19" s="35"/>
      <c r="AG19" s="35"/>
      <c r="AH19" s="35"/>
      <c r="AI19" s="35"/>
      <c r="AJ19" s="35"/>
      <c r="AK19" s="35"/>
      <c r="AM19" s="44"/>
    </row>
    <row r="20" spans="1:39" ht="38.700000000000003" customHeight="1" x14ac:dyDescent="0.3">
      <c r="A20" s="765"/>
      <c r="B20" s="756"/>
      <c r="C20" s="789"/>
      <c r="D20" s="759"/>
      <c r="E20" s="81" t="s">
        <v>556</v>
      </c>
      <c r="F20" s="235">
        <v>0.25</v>
      </c>
      <c r="G20" s="235">
        <v>0</v>
      </c>
      <c r="H20" s="82">
        <v>0</v>
      </c>
      <c r="I20" s="82">
        <v>1</v>
      </c>
      <c r="J20" s="82">
        <v>1</v>
      </c>
      <c r="K20" s="235">
        <v>0.25</v>
      </c>
      <c r="L20" s="235">
        <v>0.25</v>
      </c>
      <c r="M20" s="235">
        <v>0.25</v>
      </c>
      <c r="N20" s="82">
        <v>0.25</v>
      </c>
      <c r="O20" s="82">
        <v>0.25</v>
      </c>
      <c r="P20" s="82">
        <v>0.25</v>
      </c>
      <c r="Q20" s="82">
        <v>0.25</v>
      </c>
      <c r="R20" s="82">
        <v>0.25</v>
      </c>
      <c r="S20" s="82">
        <v>0.25</v>
      </c>
      <c r="T20" s="82">
        <v>0.25</v>
      </c>
      <c r="U20" s="82">
        <v>0.25</v>
      </c>
      <c r="V20" s="82">
        <v>0.25</v>
      </c>
      <c r="W20" s="82">
        <v>0.25</v>
      </c>
      <c r="X20" s="82">
        <v>0.25</v>
      </c>
      <c r="Y20" s="82">
        <v>0.25</v>
      </c>
      <c r="Z20" s="82">
        <v>0.25</v>
      </c>
      <c r="AA20" s="82">
        <v>0.25</v>
      </c>
      <c r="AB20" s="82">
        <v>0.25</v>
      </c>
      <c r="AC20" s="219">
        <v>0.25</v>
      </c>
      <c r="AD20" s="35"/>
      <c r="AE20" s="35"/>
      <c r="AF20" s="35"/>
      <c r="AG20" s="35"/>
      <c r="AH20" s="35"/>
      <c r="AI20" s="35"/>
      <c r="AJ20" s="35"/>
      <c r="AK20" s="35"/>
      <c r="AM20" s="44"/>
    </row>
    <row r="21" spans="1:39" ht="38.700000000000003" customHeight="1" x14ac:dyDescent="0.3">
      <c r="A21" s="766"/>
      <c r="B21" s="757"/>
      <c r="C21" s="784"/>
      <c r="D21" s="760"/>
      <c r="E21" s="84" t="s">
        <v>557</v>
      </c>
      <c r="F21" s="236">
        <v>0.25</v>
      </c>
      <c r="G21" s="236">
        <v>0</v>
      </c>
      <c r="H21" s="236">
        <v>0</v>
      </c>
      <c r="I21" s="85">
        <v>1</v>
      </c>
      <c r="J21" s="85">
        <v>1</v>
      </c>
      <c r="K21" s="356">
        <v>0.25</v>
      </c>
      <c r="L21" s="356">
        <v>0.25</v>
      </c>
      <c r="M21" s="356">
        <v>0.25</v>
      </c>
      <c r="N21" s="356">
        <v>0.25</v>
      </c>
      <c r="O21" s="85">
        <v>0.25</v>
      </c>
      <c r="P21" s="85">
        <v>0.25</v>
      </c>
      <c r="Q21" s="85">
        <v>0.25</v>
      </c>
      <c r="R21" s="85">
        <v>0.25</v>
      </c>
      <c r="S21" s="85">
        <v>0.25</v>
      </c>
      <c r="T21" s="85">
        <v>0.25</v>
      </c>
      <c r="U21" s="85">
        <v>0.25</v>
      </c>
      <c r="V21" s="85">
        <v>0.25</v>
      </c>
      <c r="W21" s="85">
        <v>0.25</v>
      </c>
      <c r="X21" s="85">
        <v>0.25</v>
      </c>
      <c r="Y21" s="85">
        <v>0.25</v>
      </c>
      <c r="Z21" s="85">
        <v>0.25</v>
      </c>
      <c r="AA21" s="85">
        <v>0.25</v>
      </c>
      <c r="AB21" s="85">
        <v>0.25</v>
      </c>
      <c r="AC21" s="357">
        <v>0.25</v>
      </c>
      <c r="AD21" s="35"/>
      <c r="AE21" s="35"/>
      <c r="AF21" s="35"/>
      <c r="AG21" s="35"/>
      <c r="AH21" s="35"/>
      <c r="AI21" s="35"/>
      <c r="AJ21" s="35"/>
      <c r="AK21" s="35"/>
      <c r="AM21" s="44"/>
    </row>
    <row r="22" spans="1:39" ht="38.700000000000003" customHeight="1" x14ac:dyDescent="0.3">
      <c r="A22" s="800" t="str">
        <f>A7</f>
        <v>Dining</v>
      </c>
      <c r="B22" s="774" t="s">
        <v>216</v>
      </c>
      <c r="C22" s="804" t="s">
        <v>567</v>
      </c>
      <c r="D22" s="762" t="s">
        <v>568</v>
      </c>
      <c r="E22" s="361" t="s">
        <v>555</v>
      </c>
      <c r="F22" s="232">
        <v>0.9</v>
      </c>
      <c r="G22" s="232">
        <v>0.9</v>
      </c>
      <c r="H22" s="232">
        <v>0.9</v>
      </c>
      <c r="I22" s="232">
        <v>0.9</v>
      </c>
      <c r="J22" s="232">
        <v>0.9</v>
      </c>
      <c r="K22" s="232">
        <v>0.9</v>
      </c>
      <c r="L22" s="232">
        <v>0.9</v>
      </c>
      <c r="M22" s="232">
        <v>0.9</v>
      </c>
      <c r="N22" s="232">
        <v>0.9</v>
      </c>
      <c r="O22" s="232">
        <v>0.9</v>
      </c>
      <c r="P22" s="92">
        <v>0.9</v>
      </c>
      <c r="Q22" s="92">
        <v>0.9</v>
      </c>
      <c r="R22" s="92">
        <v>0.9</v>
      </c>
      <c r="S22" s="92">
        <v>0.9</v>
      </c>
      <c r="T22" s="92">
        <v>0.9</v>
      </c>
      <c r="U22" s="92">
        <v>0.9</v>
      </c>
      <c r="V22" s="92">
        <v>0.9</v>
      </c>
      <c r="W22" s="92">
        <v>0.9</v>
      </c>
      <c r="X22" s="92">
        <v>0.9</v>
      </c>
      <c r="Y22" s="92">
        <v>0.9</v>
      </c>
      <c r="Z22" s="92">
        <v>0.9</v>
      </c>
      <c r="AA22" s="92">
        <v>0.9</v>
      </c>
      <c r="AB22" s="92">
        <v>0.9</v>
      </c>
      <c r="AC22" s="93">
        <v>0.9</v>
      </c>
      <c r="AD22" s="35"/>
      <c r="AE22" s="35"/>
      <c r="AF22" s="35"/>
      <c r="AG22" s="35"/>
      <c r="AH22" s="35"/>
      <c r="AI22" s="35"/>
      <c r="AJ22" s="35"/>
      <c r="AK22" s="35"/>
      <c r="AM22" s="44"/>
    </row>
    <row r="23" spans="1:39" ht="38.700000000000003" customHeight="1" x14ac:dyDescent="0.3">
      <c r="A23" s="801"/>
      <c r="B23" s="756"/>
      <c r="C23" s="750"/>
      <c r="D23" s="763"/>
      <c r="E23" s="362" t="s">
        <v>556</v>
      </c>
      <c r="F23" s="233">
        <v>0.9</v>
      </c>
      <c r="G23" s="233">
        <v>0.9</v>
      </c>
      <c r="H23" s="233">
        <v>0.9</v>
      </c>
      <c r="I23" s="233">
        <v>0.9</v>
      </c>
      <c r="J23" s="233">
        <v>0.9</v>
      </c>
      <c r="K23" s="233">
        <v>0.9</v>
      </c>
      <c r="L23" s="233">
        <v>0.9</v>
      </c>
      <c r="M23" s="233">
        <v>0.9</v>
      </c>
      <c r="N23" s="233">
        <v>0.9</v>
      </c>
      <c r="O23" s="233">
        <v>0.9</v>
      </c>
      <c r="P23" s="95">
        <v>0.9</v>
      </c>
      <c r="Q23" s="95">
        <v>0.9</v>
      </c>
      <c r="R23" s="95">
        <v>0.9</v>
      </c>
      <c r="S23" s="95">
        <v>0.9</v>
      </c>
      <c r="T23" s="95">
        <v>0.9</v>
      </c>
      <c r="U23" s="95">
        <v>0.9</v>
      </c>
      <c r="V23" s="95">
        <v>0.9</v>
      </c>
      <c r="W23" s="95">
        <v>0.9</v>
      </c>
      <c r="X23" s="95">
        <v>0.9</v>
      </c>
      <c r="Y23" s="95">
        <v>0.9</v>
      </c>
      <c r="Z23" s="95">
        <v>0.9</v>
      </c>
      <c r="AA23" s="95">
        <v>0.9</v>
      </c>
      <c r="AB23" s="95">
        <v>0.9</v>
      </c>
      <c r="AC23" s="96">
        <v>0.9</v>
      </c>
      <c r="AD23" s="35"/>
      <c r="AE23" s="35"/>
      <c r="AF23" s="35"/>
      <c r="AG23" s="35"/>
      <c r="AH23" s="35"/>
      <c r="AI23" s="35"/>
      <c r="AJ23" s="35"/>
      <c r="AK23" s="35"/>
      <c r="AM23" s="44"/>
    </row>
    <row r="24" spans="1:39" ht="38.700000000000003" customHeight="1" thickBot="1" x14ac:dyDescent="0.35">
      <c r="A24" s="802"/>
      <c r="B24" s="803"/>
      <c r="C24" s="805"/>
      <c r="D24" s="806"/>
      <c r="E24" s="363" t="s">
        <v>557</v>
      </c>
      <c r="F24" s="364">
        <v>0.9</v>
      </c>
      <c r="G24" s="364">
        <v>0.9</v>
      </c>
      <c r="H24" s="364">
        <v>0.9</v>
      </c>
      <c r="I24" s="364">
        <v>0.9</v>
      </c>
      <c r="J24" s="364">
        <v>0.9</v>
      </c>
      <c r="K24" s="364">
        <v>0.9</v>
      </c>
      <c r="L24" s="364">
        <v>0.9</v>
      </c>
      <c r="M24" s="364">
        <v>0.9</v>
      </c>
      <c r="N24" s="364">
        <v>0.9</v>
      </c>
      <c r="O24" s="364">
        <v>0.9</v>
      </c>
      <c r="P24" s="101">
        <v>0.9</v>
      </c>
      <c r="Q24" s="101">
        <v>0.9</v>
      </c>
      <c r="R24" s="101">
        <v>0.9</v>
      </c>
      <c r="S24" s="101">
        <v>0.9</v>
      </c>
      <c r="T24" s="101">
        <v>0.9</v>
      </c>
      <c r="U24" s="101">
        <v>0.9</v>
      </c>
      <c r="V24" s="101">
        <v>0.9</v>
      </c>
      <c r="W24" s="101">
        <v>0.9</v>
      </c>
      <c r="X24" s="101">
        <v>0.9</v>
      </c>
      <c r="Y24" s="101">
        <v>0.9</v>
      </c>
      <c r="Z24" s="101">
        <v>0.9</v>
      </c>
      <c r="AA24" s="101">
        <v>0.9</v>
      </c>
      <c r="AB24" s="101">
        <v>0.9</v>
      </c>
      <c r="AC24" s="102">
        <v>0.9</v>
      </c>
      <c r="AD24" s="35"/>
      <c r="AE24" s="35"/>
      <c r="AF24" s="35"/>
      <c r="AG24" s="35"/>
      <c r="AH24" s="35"/>
      <c r="AI24" s="35"/>
      <c r="AJ24" s="35"/>
      <c r="AK24" s="35"/>
      <c r="AM24" s="44"/>
    </row>
    <row r="25" spans="1:39" ht="38.700000000000003" customHeight="1" thickBot="1" x14ac:dyDescent="0.35">
      <c r="A25" s="807" t="str">
        <f>A4</f>
        <v>Dining</v>
      </c>
      <c r="B25" s="810" t="str">
        <f>B16</f>
        <v>Restaurant</v>
      </c>
      <c r="C25" s="794" t="s">
        <v>569</v>
      </c>
      <c r="D25" s="796" t="s">
        <v>568</v>
      </c>
      <c r="E25" s="358" t="s">
        <v>555</v>
      </c>
      <c r="F25" s="359">
        <f>IF(F13=1,Thermostat!$C$3,Thermostat!$C$4)</f>
        <v>70</v>
      </c>
      <c r="G25" s="359">
        <f>IF(G13=1,Thermostat!$C$3,Thermostat!$C$4)</f>
        <v>60</v>
      </c>
      <c r="H25" s="359">
        <f>IF(H13=1,Thermostat!$C$3,Thermostat!$C$4)</f>
        <v>60</v>
      </c>
      <c r="I25" s="359">
        <f>IF(I13=1,Thermostat!$C$3,Thermostat!$C$4)</f>
        <v>60</v>
      </c>
      <c r="J25" s="359">
        <f>IF(J13=1,Thermostat!$C$3,Thermostat!$C$4)</f>
        <v>70</v>
      </c>
      <c r="K25" s="359">
        <f>IF(K13=1,Thermostat!$C$3,Thermostat!$C$4)</f>
        <v>70</v>
      </c>
      <c r="L25" s="359">
        <f>IF(L13=1,Thermostat!$C$3,Thermostat!$C$4)</f>
        <v>70</v>
      </c>
      <c r="M25" s="359">
        <f>IF(M13=1,Thermostat!$C$3,Thermostat!$C$4)</f>
        <v>70</v>
      </c>
      <c r="N25" s="359">
        <f>IF(N13=1,Thermostat!$C$3,Thermostat!$C$4)</f>
        <v>70</v>
      </c>
      <c r="O25" s="359">
        <f>IF(O13=1,Thermostat!$C$3,Thermostat!$C$4)</f>
        <v>70</v>
      </c>
      <c r="P25" s="359">
        <f>IF(P13=1,Thermostat!$C$3,Thermostat!$C$4)</f>
        <v>70</v>
      </c>
      <c r="Q25" s="359">
        <f>IF(Q13=1,Thermostat!$C$3,Thermostat!$C$4)</f>
        <v>70</v>
      </c>
      <c r="R25" s="359">
        <f>IF(R13=1,Thermostat!$C$3,Thermostat!$C$4)</f>
        <v>70</v>
      </c>
      <c r="S25" s="359">
        <f>IF(S13=1,Thermostat!$C$3,Thermostat!$C$4)</f>
        <v>70</v>
      </c>
      <c r="T25" s="359">
        <f>IF(T13=1,Thermostat!$C$3,Thermostat!$C$4)</f>
        <v>70</v>
      </c>
      <c r="U25" s="359">
        <f>IF(U13=1,Thermostat!$C$3,Thermostat!$C$4)</f>
        <v>70</v>
      </c>
      <c r="V25" s="359">
        <f>IF(V13=1,Thermostat!$C$3,Thermostat!$C$4)</f>
        <v>70</v>
      </c>
      <c r="W25" s="359">
        <f>IF(W13=1,Thermostat!$C$3,Thermostat!$C$4)</f>
        <v>70</v>
      </c>
      <c r="X25" s="359">
        <f>IF(X13=1,Thermostat!$C$3,Thermostat!$C$4)</f>
        <v>70</v>
      </c>
      <c r="Y25" s="359">
        <f>IF(Y13=1,Thermostat!$C$3,Thermostat!$C$4)</f>
        <v>70</v>
      </c>
      <c r="Z25" s="359">
        <f>IF(Z13=1,Thermostat!$C$3,Thermostat!$C$4)</f>
        <v>70</v>
      </c>
      <c r="AA25" s="359">
        <f>IF(AA13=1,Thermostat!$C$3,Thermostat!$C$4)</f>
        <v>70</v>
      </c>
      <c r="AB25" s="359">
        <f>IF(AB13=1,Thermostat!$C$3,Thermostat!$C$4)</f>
        <v>70</v>
      </c>
      <c r="AC25" s="360">
        <f>IF(AC13=1,Thermostat!$C$3,Thermostat!$C$4)</f>
        <v>70</v>
      </c>
      <c r="AD25" s="35"/>
      <c r="AE25" s="35"/>
      <c r="AF25" s="35"/>
      <c r="AG25" s="35"/>
      <c r="AH25" s="35"/>
      <c r="AI25" s="35"/>
      <c r="AJ25" s="35"/>
      <c r="AK25" s="35"/>
      <c r="AM25" s="44"/>
    </row>
    <row r="26" spans="1:39" ht="38.700000000000003" customHeight="1" thickBot="1" x14ac:dyDescent="0.35">
      <c r="A26" s="808"/>
      <c r="B26" s="811"/>
      <c r="C26" s="794"/>
      <c r="D26" s="797"/>
      <c r="E26" s="310" t="s">
        <v>556</v>
      </c>
      <c r="F26" s="311">
        <f>IF(F14=1,Thermostat!$C$3,Thermostat!$C$4)</f>
        <v>70</v>
      </c>
      <c r="G26" s="311">
        <f>IF(G14=1,Thermostat!$C$3,Thermostat!$C$4)</f>
        <v>60</v>
      </c>
      <c r="H26" s="311">
        <f>IF(H14=1,Thermostat!$C$3,Thermostat!$C$4)</f>
        <v>60</v>
      </c>
      <c r="I26" s="311">
        <f>IF(I14=1,Thermostat!$C$3,Thermostat!$C$4)</f>
        <v>60</v>
      </c>
      <c r="J26" s="311">
        <f>IF(J14=1,Thermostat!$C$3,Thermostat!$C$4)</f>
        <v>60</v>
      </c>
      <c r="K26" s="311">
        <f>IF(K14=1,Thermostat!$C$3,Thermostat!$C$4)</f>
        <v>70</v>
      </c>
      <c r="L26" s="311">
        <f>IF(L14=1,Thermostat!$C$3,Thermostat!$C$4)</f>
        <v>70</v>
      </c>
      <c r="M26" s="311">
        <f>IF(M14=1,Thermostat!$C$3,Thermostat!$C$4)</f>
        <v>70</v>
      </c>
      <c r="N26" s="311">
        <f>IF(N14=1,Thermostat!$C$3,Thermostat!$C$4)</f>
        <v>70</v>
      </c>
      <c r="O26" s="311">
        <f>IF(O14=1,Thermostat!$C$3,Thermostat!$C$4)</f>
        <v>70</v>
      </c>
      <c r="P26" s="311">
        <f>IF(P14=1,Thermostat!$C$3,Thermostat!$C$4)</f>
        <v>70</v>
      </c>
      <c r="Q26" s="311">
        <f>IF(Q14=1,Thermostat!$C$3,Thermostat!$C$4)</f>
        <v>70</v>
      </c>
      <c r="R26" s="311">
        <f>IF(R14=1,Thermostat!$C$3,Thermostat!$C$4)</f>
        <v>70</v>
      </c>
      <c r="S26" s="311">
        <f>IF(S14=1,Thermostat!$C$3,Thermostat!$C$4)</f>
        <v>70</v>
      </c>
      <c r="T26" s="311">
        <f>IF(T14=1,Thermostat!$C$3,Thermostat!$C$4)</f>
        <v>70</v>
      </c>
      <c r="U26" s="311">
        <f>IF(U14=1,Thermostat!$C$3,Thermostat!$C$4)</f>
        <v>70</v>
      </c>
      <c r="V26" s="311">
        <f>IF(V14=1,Thermostat!$C$3,Thermostat!$C$4)</f>
        <v>70</v>
      </c>
      <c r="W26" s="311">
        <f>IF(W14=1,Thermostat!$C$3,Thermostat!$C$4)</f>
        <v>70</v>
      </c>
      <c r="X26" s="311">
        <f>IF(X14=1,Thermostat!$C$3,Thermostat!$C$4)</f>
        <v>70</v>
      </c>
      <c r="Y26" s="311">
        <f>IF(Y14=1,Thermostat!$C$3,Thermostat!$C$4)</f>
        <v>70</v>
      </c>
      <c r="Z26" s="311">
        <f>IF(Z14=1,Thermostat!$C$3,Thermostat!$C$4)</f>
        <v>70</v>
      </c>
      <c r="AA26" s="311">
        <f>IF(AA14=1,Thermostat!$C$3,Thermostat!$C$4)</f>
        <v>70</v>
      </c>
      <c r="AB26" s="311">
        <f>IF(AB14=1,Thermostat!$C$3,Thermostat!$C$4)</f>
        <v>70</v>
      </c>
      <c r="AC26" s="312">
        <f>IF(AC14=1,Thermostat!$C$3,Thermostat!$C$4)</f>
        <v>70</v>
      </c>
      <c r="AD26" s="35"/>
      <c r="AE26" s="35"/>
      <c r="AF26" s="35"/>
      <c r="AG26" s="35"/>
      <c r="AH26" s="35"/>
      <c r="AI26" s="35"/>
      <c r="AJ26" s="35"/>
      <c r="AK26" s="35"/>
      <c r="AM26" s="44"/>
    </row>
    <row r="27" spans="1:39" ht="38.700000000000003" customHeight="1" x14ac:dyDescent="0.3">
      <c r="A27" s="809"/>
      <c r="B27" s="812"/>
      <c r="C27" s="795"/>
      <c r="D27" s="798"/>
      <c r="E27" s="313" t="s">
        <v>557</v>
      </c>
      <c r="F27" s="311">
        <f>IF(F15=1,Thermostat!$C$3,Thermostat!$C$4)</f>
        <v>70</v>
      </c>
      <c r="G27" s="311">
        <f>IF(G15=1,Thermostat!$C$3,Thermostat!$C$4)</f>
        <v>60</v>
      </c>
      <c r="H27" s="311">
        <f>IF(H15=1,Thermostat!$C$3,Thermostat!$C$4)</f>
        <v>60</v>
      </c>
      <c r="I27" s="311">
        <f>IF(I15=1,Thermostat!$C$3,Thermostat!$C$4)</f>
        <v>60</v>
      </c>
      <c r="J27" s="311">
        <f>IF(J15=1,Thermostat!$C$3,Thermostat!$C$4)</f>
        <v>60</v>
      </c>
      <c r="K27" s="311">
        <f>IF(K15=1,Thermostat!$C$3,Thermostat!$C$4)</f>
        <v>70</v>
      </c>
      <c r="L27" s="311">
        <f>IF(L15=1,Thermostat!$C$3,Thermostat!$C$4)</f>
        <v>70</v>
      </c>
      <c r="M27" s="311">
        <f>IF(M15=1,Thermostat!$C$3,Thermostat!$C$4)</f>
        <v>70</v>
      </c>
      <c r="N27" s="311">
        <f>IF(N15=1,Thermostat!$C$3,Thermostat!$C$4)</f>
        <v>70</v>
      </c>
      <c r="O27" s="311">
        <f>IF(O15=1,Thermostat!$C$3,Thermostat!$C$4)</f>
        <v>70</v>
      </c>
      <c r="P27" s="311">
        <f>IF(P15=1,Thermostat!$C$3,Thermostat!$C$4)</f>
        <v>70</v>
      </c>
      <c r="Q27" s="311">
        <f>IF(Q15=1,Thermostat!$C$3,Thermostat!$C$4)</f>
        <v>70</v>
      </c>
      <c r="R27" s="311">
        <f>IF(R15=1,Thermostat!$C$3,Thermostat!$C$4)</f>
        <v>70</v>
      </c>
      <c r="S27" s="311">
        <f>IF(S15=1,Thermostat!$C$3,Thermostat!$C$4)</f>
        <v>70</v>
      </c>
      <c r="T27" s="311">
        <f>IF(T15=1,Thermostat!$C$3,Thermostat!$C$4)</f>
        <v>70</v>
      </c>
      <c r="U27" s="311">
        <f>IF(U15=1,Thermostat!$C$3,Thermostat!$C$4)</f>
        <v>70</v>
      </c>
      <c r="V27" s="311">
        <f>IF(V15=1,Thermostat!$C$3,Thermostat!$C$4)</f>
        <v>70</v>
      </c>
      <c r="W27" s="311">
        <f>IF(W15=1,Thermostat!$C$3,Thermostat!$C$4)</f>
        <v>70</v>
      </c>
      <c r="X27" s="311">
        <f>IF(X15=1,Thermostat!$C$3,Thermostat!$C$4)</f>
        <v>70</v>
      </c>
      <c r="Y27" s="311">
        <f>IF(Y15=1,Thermostat!$C$3,Thermostat!$C$4)</f>
        <v>70</v>
      </c>
      <c r="Z27" s="311">
        <f>IF(Z15=1,Thermostat!$C$3,Thermostat!$C$4)</f>
        <v>70</v>
      </c>
      <c r="AA27" s="311">
        <f>IF(AA15=1,Thermostat!$C$3,Thermostat!$C$4)</f>
        <v>70</v>
      </c>
      <c r="AB27" s="311">
        <f>IF(AB15=1,Thermostat!$C$3,Thermostat!$C$4)</f>
        <v>70</v>
      </c>
      <c r="AC27" s="312">
        <f>IF(AC15=1,Thermostat!$C$3,Thermostat!$C$4)</f>
        <v>70</v>
      </c>
      <c r="AD27" s="35"/>
      <c r="AE27" s="35"/>
      <c r="AF27" s="35"/>
      <c r="AG27" s="35"/>
      <c r="AH27" s="35"/>
      <c r="AI27" s="35"/>
      <c r="AJ27" s="35"/>
      <c r="AK27" s="35"/>
      <c r="AM27" s="44"/>
    </row>
    <row r="28" spans="1:39" ht="38.700000000000003" customHeight="1" x14ac:dyDescent="0.3">
      <c r="A28" s="813" t="str">
        <f>A4</f>
        <v>Dining</v>
      </c>
      <c r="B28" s="816" t="str">
        <f>B19</f>
        <v>Restaurant</v>
      </c>
      <c r="C28" s="820" t="s">
        <v>570</v>
      </c>
      <c r="D28" s="769" t="s">
        <v>568</v>
      </c>
      <c r="E28" s="314" t="s">
        <v>555</v>
      </c>
      <c r="F28" s="315">
        <f>IF(F13=1,Thermostat!$C$5,Thermostat!$C$6)</f>
        <v>75</v>
      </c>
      <c r="G28" s="315">
        <f>IF(G13=1,Thermostat!$C$5,Thermostat!$C$6)</f>
        <v>85</v>
      </c>
      <c r="H28" s="315">
        <f>IF(H13=1,Thermostat!$C$5,Thermostat!$C$6)</f>
        <v>85</v>
      </c>
      <c r="I28" s="315">
        <f>IF(I13=1,Thermostat!$C$5,Thermostat!$C$6)</f>
        <v>85</v>
      </c>
      <c r="J28" s="315">
        <f>IF(J13=1,Thermostat!$C$5,Thermostat!$C$6)</f>
        <v>75</v>
      </c>
      <c r="K28" s="315">
        <f>IF(K13=1,Thermostat!$C$5,Thermostat!$C$6)</f>
        <v>75</v>
      </c>
      <c r="L28" s="315">
        <f>IF(L13=1,Thermostat!$C$5,Thermostat!$C$6)</f>
        <v>75</v>
      </c>
      <c r="M28" s="315">
        <f>IF(M13=1,Thermostat!$C$5,Thermostat!$C$6)</f>
        <v>75</v>
      </c>
      <c r="N28" s="315">
        <f>IF(N13=1,Thermostat!$C$5,Thermostat!$C$6)</f>
        <v>75</v>
      </c>
      <c r="O28" s="315">
        <f>IF(O13=1,Thermostat!$C$5,Thermostat!$C$6)</f>
        <v>75</v>
      </c>
      <c r="P28" s="315">
        <f>IF(P13=1,Thermostat!$C$5,Thermostat!$C$6)</f>
        <v>75</v>
      </c>
      <c r="Q28" s="315">
        <f>IF(Q13=1,Thermostat!$C$5,Thermostat!$C$6)</f>
        <v>75</v>
      </c>
      <c r="R28" s="315">
        <f>IF(R13=1,Thermostat!$C$5,Thermostat!$C$6)</f>
        <v>75</v>
      </c>
      <c r="S28" s="315">
        <f>IF(S13=1,Thermostat!$C$5,Thermostat!$C$6)</f>
        <v>75</v>
      </c>
      <c r="T28" s="315">
        <f>IF(T13=1,Thermostat!$C$5,Thermostat!$C$6)</f>
        <v>75</v>
      </c>
      <c r="U28" s="315">
        <f>IF(U13=1,Thermostat!$C$5,Thermostat!$C$6)</f>
        <v>75</v>
      </c>
      <c r="V28" s="315">
        <f>IF(V13=1,Thermostat!$C$5,Thermostat!$C$6)</f>
        <v>75</v>
      </c>
      <c r="W28" s="315">
        <f>IF(W13=1,Thermostat!$C$5,Thermostat!$C$6)</f>
        <v>75</v>
      </c>
      <c r="X28" s="315">
        <f>IF(X13=1,Thermostat!$C$5,Thermostat!$C$6)</f>
        <v>75</v>
      </c>
      <c r="Y28" s="315">
        <f>IF(Y13=1,Thermostat!$C$5,Thermostat!$C$6)</f>
        <v>75</v>
      </c>
      <c r="Z28" s="315">
        <f>IF(Z13=1,Thermostat!$C$5,Thermostat!$C$6)</f>
        <v>75</v>
      </c>
      <c r="AA28" s="315">
        <f>IF(AA13=1,Thermostat!$C$5,Thermostat!$C$6)</f>
        <v>75</v>
      </c>
      <c r="AB28" s="315">
        <f>IF(AB13=1,Thermostat!$C$5,Thermostat!$C$6)</f>
        <v>75</v>
      </c>
      <c r="AC28" s="316">
        <f>IF(AC13=1,Thermostat!$C$5,Thermostat!$C$6)</f>
        <v>75</v>
      </c>
      <c r="AD28" s="35"/>
      <c r="AE28" s="35"/>
      <c r="AF28" s="35"/>
      <c r="AG28" s="35"/>
      <c r="AH28" s="35"/>
      <c r="AI28" s="35"/>
      <c r="AJ28" s="35"/>
      <c r="AK28" s="35"/>
      <c r="AM28" s="44"/>
    </row>
    <row r="29" spans="1:39" ht="38.700000000000003" customHeight="1" x14ac:dyDescent="0.3">
      <c r="A29" s="814"/>
      <c r="B29" s="817"/>
      <c r="C29" s="821"/>
      <c r="D29" s="770"/>
      <c r="E29" s="317" t="s">
        <v>556</v>
      </c>
      <c r="F29" s="318">
        <f>IF(F14=1,Thermostat!$C$5,Thermostat!$C$6)</f>
        <v>75</v>
      </c>
      <c r="G29" s="318">
        <f>IF(G14=1,Thermostat!$C$5,Thermostat!$C$6)</f>
        <v>85</v>
      </c>
      <c r="H29" s="318">
        <f>IF(H14=1,Thermostat!$C$5,Thermostat!$C$6)</f>
        <v>85</v>
      </c>
      <c r="I29" s="318">
        <f>IF(I14=1,Thermostat!$C$5,Thermostat!$C$6)</f>
        <v>85</v>
      </c>
      <c r="J29" s="318">
        <f>IF(J14=1,Thermostat!$C$5,Thermostat!$C$6)</f>
        <v>85</v>
      </c>
      <c r="K29" s="318">
        <f>IF(K14=1,Thermostat!$C$5,Thermostat!$C$6)</f>
        <v>75</v>
      </c>
      <c r="L29" s="318">
        <f>IF(L14=1,Thermostat!$C$5,Thermostat!$C$6)</f>
        <v>75</v>
      </c>
      <c r="M29" s="318">
        <f>IF(M14=1,Thermostat!$C$5,Thermostat!$C$6)</f>
        <v>75</v>
      </c>
      <c r="N29" s="318">
        <f>IF(N14=1,Thermostat!$C$5,Thermostat!$C$6)</f>
        <v>75</v>
      </c>
      <c r="O29" s="318">
        <f>IF(O14=1,Thermostat!$C$5,Thermostat!$C$6)</f>
        <v>75</v>
      </c>
      <c r="P29" s="318">
        <f>IF(P14=1,Thermostat!$C$5,Thermostat!$C$6)</f>
        <v>75</v>
      </c>
      <c r="Q29" s="318">
        <f>IF(Q14=1,Thermostat!$C$5,Thermostat!$C$6)</f>
        <v>75</v>
      </c>
      <c r="R29" s="318">
        <f>IF(R14=1,Thermostat!$C$5,Thermostat!$C$6)</f>
        <v>75</v>
      </c>
      <c r="S29" s="318">
        <f>IF(S14=1,Thermostat!$C$5,Thermostat!$C$6)</f>
        <v>75</v>
      </c>
      <c r="T29" s="318">
        <f>IF(T14=1,Thermostat!$C$5,Thermostat!$C$6)</f>
        <v>75</v>
      </c>
      <c r="U29" s="318">
        <f>IF(U14=1,Thermostat!$C$5,Thermostat!$C$6)</f>
        <v>75</v>
      </c>
      <c r="V29" s="318">
        <f>IF(V14=1,Thermostat!$C$5,Thermostat!$C$6)</f>
        <v>75</v>
      </c>
      <c r="W29" s="318">
        <f>IF(W14=1,Thermostat!$C$5,Thermostat!$C$6)</f>
        <v>75</v>
      </c>
      <c r="X29" s="318">
        <f>IF(X14=1,Thermostat!$C$5,Thermostat!$C$6)</f>
        <v>75</v>
      </c>
      <c r="Y29" s="318">
        <f>IF(Y14=1,Thermostat!$C$5,Thermostat!$C$6)</f>
        <v>75</v>
      </c>
      <c r="Z29" s="318">
        <f>IF(Z14=1,Thermostat!$C$5,Thermostat!$C$6)</f>
        <v>75</v>
      </c>
      <c r="AA29" s="318">
        <f>IF(AA14=1,Thermostat!$C$5,Thermostat!$C$6)</f>
        <v>75</v>
      </c>
      <c r="AB29" s="318">
        <f>IF(AB14=1,Thermostat!$C$5,Thermostat!$C$6)</f>
        <v>75</v>
      </c>
      <c r="AC29" s="319">
        <f>IF(AC14=1,Thermostat!$C$5,Thermostat!$C$6)</f>
        <v>75</v>
      </c>
      <c r="AD29" s="35"/>
      <c r="AE29" s="35"/>
      <c r="AF29" s="35"/>
      <c r="AG29" s="35"/>
      <c r="AH29" s="35"/>
      <c r="AI29" s="35"/>
      <c r="AJ29" s="35"/>
      <c r="AK29" s="35"/>
      <c r="AM29" s="44"/>
    </row>
    <row r="30" spans="1:39" ht="38.700000000000003" customHeight="1" x14ac:dyDescent="0.3">
      <c r="A30" s="815"/>
      <c r="B30" s="818"/>
      <c r="C30" s="822"/>
      <c r="D30" s="771"/>
      <c r="E30" s="320" t="s">
        <v>557</v>
      </c>
      <c r="F30" s="321">
        <f>IF(F15=1,Thermostat!$C$5,Thermostat!$C$6)</f>
        <v>75</v>
      </c>
      <c r="G30" s="321">
        <f>IF(G15=1,Thermostat!$C$5,Thermostat!$C$6)</f>
        <v>85</v>
      </c>
      <c r="H30" s="321">
        <f>IF(H15=1,Thermostat!$C$5,Thermostat!$C$6)</f>
        <v>85</v>
      </c>
      <c r="I30" s="321">
        <f>IF(I15=1,Thermostat!$C$5,Thermostat!$C$6)</f>
        <v>85</v>
      </c>
      <c r="J30" s="321">
        <f>IF(J15=1,Thermostat!$C$5,Thermostat!$C$6)</f>
        <v>85</v>
      </c>
      <c r="K30" s="321">
        <f>IF(K15=1,Thermostat!$C$5,Thermostat!$C$6)</f>
        <v>75</v>
      </c>
      <c r="L30" s="321">
        <f>IF(L15=1,Thermostat!$C$5,Thermostat!$C$6)</f>
        <v>75</v>
      </c>
      <c r="M30" s="321">
        <f>IF(M15=1,Thermostat!$C$5,Thermostat!$C$6)</f>
        <v>75</v>
      </c>
      <c r="N30" s="321">
        <f>IF(N15=1,Thermostat!$C$5,Thermostat!$C$6)</f>
        <v>75</v>
      </c>
      <c r="O30" s="321">
        <f>IF(O15=1,Thermostat!$C$5,Thermostat!$C$6)</f>
        <v>75</v>
      </c>
      <c r="P30" s="321">
        <f>IF(P15=1,Thermostat!$C$5,Thermostat!$C$6)</f>
        <v>75</v>
      </c>
      <c r="Q30" s="321">
        <f>IF(Q15=1,Thermostat!$C$5,Thermostat!$C$6)</f>
        <v>75</v>
      </c>
      <c r="R30" s="321">
        <f>IF(R15=1,Thermostat!$C$5,Thermostat!$C$6)</f>
        <v>75</v>
      </c>
      <c r="S30" s="321">
        <f>IF(S15=1,Thermostat!$C$5,Thermostat!$C$6)</f>
        <v>75</v>
      </c>
      <c r="T30" s="321">
        <f>IF(T15=1,Thermostat!$C$5,Thermostat!$C$6)</f>
        <v>75</v>
      </c>
      <c r="U30" s="321">
        <f>IF(U15=1,Thermostat!$C$5,Thermostat!$C$6)</f>
        <v>75</v>
      </c>
      <c r="V30" s="321">
        <f>IF(V15=1,Thermostat!$C$5,Thermostat!$C$6)</f>
        <v>75</v>
      </c>
      <c r="W30" s="321">
        <f>IF(W15=1,Thermostat!$C$5,Thermostat!$C$6)</f>
        <v>75</v>
      </c>
      <c r="X30" s="321">
        <f>IF(X15=1,Thermostat!$C$5,Thermostat!$C$6)</f>
        <v>75</v>
      </c>
      <c r="Y30" s="321">
        <f>IF(Y15=1,Thermostat!$C$5,Thermostat!$C$6)</f>
        <v>75</v>
      </c>
      <c r="Z30" s="321">
        <f>IF(Z15=1,Thermostat!$C$5,Thermostat!$C$6)</f>
        <v>75</v>
      </c>
      <c r="AA30" s="321">
        <f>IF(AA15=1,Thermostat!$C$5,Thermostat!$C$6)</f>
        <v>75</v>
      </c>
      <c r="AB30" s="321">
        <f>IF(AB15=1,Thermostat!$C$5,Thermostat!$C$6)</f>
        <v>75</v>
      </c>
      <c r="AC30" s="322">
        <f>IF(AC15=1,Thermostat!$C$5,Thermostat!$C$6)</f>
        <v>75</v>
      </c>
      <c r="AD30" s="35"/>
      <c r="AE30" s="35"/>
      <c r="AF30" s="35"/>
      <c r="AG30" s="35"/>
      <c r="AH30" s="35"/>
      <c r="AI30" s="35"/>
      <c r="AJ30" s="35"/>
      <c r="AK30" s="35"/>
      <c r="AM30" s="44"/>
    </row>
    <row r="31" spans="1:39" ht="29.4" customHeight="1" x14ac:dyDescent="0.3">
      <c r="A31" s="819" t="s">
        <v>107</v>
      </c>
      <c r="B31" s="819"/>
      <c r="C31" s="819"/>
      <c r="D31" s="819"/>
      <c r="E31" s="819"/>
      <c r="F31" s="819"/>
      <c r="G31" s="819"/>
      <c r="H31" s="819"/>
      <c r="I31" s="819"/>
      <c r="J31" s="819"/>
      <c r="K31" s="819"/>
      <c r="L31" s="819"/>
      <c r="M31" s="819"/>
      <c r="N31" s="819"/>
      <c r="O31" s="819"/>
      <c r="P31" s="819"/>
      <c r="Q31" s="819"/>
      <c r="R31" s="819"/>
      <c r="S31" s="819"/>
      <c r="T31" s="819"/>
      <c r="U31" s="819"/>
      <c r="V31" s="819"/>
      <c r="W31" s="819"/>
      <c r="X31" s="819"/>
      <c r="Y31" s="819"/>
      <c r="Z31" s="819"/>
      <c r="AA31" s="819"/>
      <c r="AB31" s="819"/>
      <c r="AC31" s="819"/>
      <c r="AD31" s="36"/>
      <c r="AE31" s="35"/>
      <c r="AF31" s="35"/>
      <c r="AG31" s="35"/>
      <c r="AH31" s="35"/>
      <c r="AI31" s="35"/>
      <c r="AJ31" s="35"/>
      <c r="AK31" s="35"/>
    </row>
    <row r="32" spans="1:39" ht="33" customHeight="1" thickBot="1" x14ac:dyDescent="0.35">
      <c r="A32" s="764" t="s">
        <v>107</v>
      </c>
      <c r="B32" s="755" t="s">
        <v>107</v>
      </c>
      <c r="C32" s="755" t="s">
        <v>571</v>
      </c>
      <c r="D32" s="790" t="s">
        <v>554</v>
      </c>
      <c r="E32" s="307" t="s">
        <v>555</v>
      </c>
      <c r="F32" s="216">
        <v>0.05</v>
      </c>
      <c r="G32" s="216">
        <v>0</v>
      </c>
      <c r="H32" s="216">
        <v>0</v>
      </c>
      <c r="I32" s="216">
        <v>0</v>
      </c>
      <c r="J32" s="216">
        <v>0</v>
      </c>
      <c r="K32" s="216">
        <v>0.05</v>
      </c>
      <c r="L32" s="216">
        <v>0.1</v>
      </c>
      <c r="M32" s="216">
        <v>0.4</v>
      </c>
      <c r="N32" s="216">
        <v>0.4</v>
      </c>
      <c r="O32" s="216">
        <v>0.4</v>
      </c>
      <c r="P32" s="216">
        <v>0.2</v>
      </c>
      <c r="Q32" s="216">
        <v>0.5</v>
      </c>
      <c r="R32" s="216">
        <v>0.8</v>
      </c>
      <c r="S32" s="216">
        <v>0.7</v>
      </c>
      <c r="T32" s="216">
        <v>0.4</v>
      </c>
      <c r="U32" s="216">
        <v>0.2</v>
      </c>
      <c r="V32" s="216">
        <v>0.25</v>
      </c>
      <c r="W32" s="216">
        <v>0.5</v>
      </c>
      <c r="X32" s="216">
        <v>0.8</v>
      </c>
      <c r="Y32" s="216">
        <v>0.8</v>
      </c>
      <c r="Z32" s="216">
        <v>0.8</v>
      </c>
      <c r="AA32" s="216">
        <v>0.5</v>
      </c>
      <c r="AB32" s="216">
        <v>0.35</v>
      </c>
      <c r="AC32" s="217">
        <v>0.2</v>
      </c>
      <c r="AD32" s="35"/>
      <c r="AE32" s="35"/>
      <c r="AF32" s="35"/>
      <c r="AG32" s="35"/>
      <c r="AH32" s="35"/>
      <c r="AI32" s="35"/>
      <c r="AJ32" s="35"/>
      <c r="AK32" s="35"/>
    </row>
    <row r="33" spans="1:39" ht="33" customHeight="1" thickBot="1" x14ac:dyDescent="0.35">
      <c r="A33" s="765"/>
      <c r="B33" s="756"/>
      <c r="C33" s="756"/>
      <c r="D33" s="791"/>
      <c r="E33" s="308" t="s">
        <v>556</v>
      </c>
      <c r="F33" s="82">
        <v>0.05</v>
      </c>
      <c r="G33" s="82">
        <v>0</v>
      </c>
      <c r="H33" s="82">
        <v>0</v>
      </c>
      <c r="I33" s="82">
        <v>0</v>
      </c>
      <c r="J33" s="82">
        <v>0</v>
      </c>
      <c r="K33" s="82">
        <v>0</v>
      </c>
      <c r="L33" s="82">
        <v>0.05</v>
      </c>
      <c r="M33" s="82">
        <v>0.5</v>
      </c>
      <c r="N33" s="82">
        <v>0.5</v>
      </c>
      <c r="O33" s="82">
        <v>0.4</v>
      </c>
      <c r="P33" s="82">
        <v>0.2</v>
      </c>
      <c r="Q33" s="82">
        <v>0.45</v>
      </c>
      <c r="R33" s="82">
        <v>0.5</v>
      </c>
      <c r="S33" s="82">
        <v>0.5</v>
      </c>
      <c r="T33" s="82">
        <v>0.35</v>
      </c>
      <c r="U33" s="82">
        <v>0.3</v>
      </c>
      <c r="V33" s="82">
        <v>0.3</v>
      </c>
      <c r="W33" s="82">
        <v>0.3</v>
      </c>
      <c r="X33" s="82">
        <v>0.7</v>
      </c>
      <c r="Y33" s="82">
        <v>0.9</v>
      </c>
      <c r="Z33" s="82">
        <v>0.7</v>
      </c>
      <c r="AA33" s="82">
        <v>0.65</v>
      </c>
      <c r="AB33" s="82">
        <v>0.55000000000000004</v>
      </c>
      <c r="AC33" s="219">
        <v>0.35</v>
      </c>
      <c r="AD33" s="35"/>
      <c r="AE33" s="35"/>
      <c r="AF33" s="35"/>
      <c r="AG33" s="35"/>
      <c r="AH33" s="35"/>
      <c r="AI33" s="35"/>
      <c r="AJ33" s="35"/>
      <c r="AK33" s="35"/>
    </row>
    <row r="34" spans="1:39" ht="33" customHeight="1" thickBot="1" x14ac:dyDescent="0.35">
      <c r="A34" s="799"/>
      <c r="B34" s="752"/>
      <c r="C34" s="752"/>
      <c r="D34" s="792"/>
      <c r="E34" s="309" t="s">
        <v>557</v>
      </c>
      <c r="F34" s="221">
        <v>0.05</v>
      </c>
      <c r="G34" s="221">
        <v>0</v>
      </c>
      <c r="H34" s="221">
        <v>0</v>
      </c>
      <c r="I34" s="221">
        <v>0</v>
      </c>
      <c r="J34" s="221">
        <v>0</v>
      </c>
      <c r="K34" s="221">
        <v>0</v>
      </c>
      <c r="L34" s="221">
        <v>0.05</v>
      </c>
      <c r="M34" s="221">
        <v>0.5</v>
      </c>
      <c r="N34" s="221">
        <v>0.5</v>
      </c>
      <c r="O34" s="221">
        <v>0.2</v>
      </c>
      <c r="P34" s="221">
        <v>0.2</v>
      </c>
      <c r="Q34" s="221">
        <v>0.3</v>
      </c>
      <c r="R34" s="221">
        <v>0.5</v>
      </c>
      <c r="S34" s="221">
        <v>0.5</v>
      </c>
      <c r="T34" s="221">
        <v>0.3</v>
      </c>
      <c r="U34" s="221">
        <v>0.2</v>
      </c>
      <c r="V34" s="221">
        <v>0.25</v>
      </c>
      <c r="W34" s="221">
        <v>0.35</v>
      </c>
      <c r="X34" s="221">
        <v>0.55000000000000004</v>
      </c>
      <c r="Y34" s="221">
        <v>0.65</v>
      </c>
      <c r="Z34" s="221">
        <v>0.7</v>
      </c>
      <c r="AA34" s="221">
        <v>0.35</v>
      </c>
      <c r="AB34" s="221">
        <v>0.2</v>
      </c>
      <c r="AC34" s="222">
        <v>0.2</v>
      </c>
      <c r="AD34" s="35"/>
      <c r="AE34" s="35"/>
      <c r="AF34" s="35"/>
      <c r="AG34" s="35"/>
      <c r="AH34" s="35"/>
      <c r="AI34" s="35"/>
      <c r="AJ34" s="35"/>
      <c r="AK34" s="35"/>
    </row>
    <row r="35" spans="1:39" ht="34.950000000000003" customHeight="1" thickBot="1" x14ac:dyDescent="0.35">
      <c r="A35" s="764" t="s">
        <v>107</v>
      </c>
      <c r="B35" s="755" t="s">
        <v>107</v>
      </c>
      <c r="C35" s="772" t="s">
        <v>558</v>
      </c>
      <c r="D35" s="758" t="s">
        <v>559</v>
      </c>
      <c r="E35" s="88" t="s">
        <v>555</v>
      </c>
      <c r="F35" s="89">
        <v>0.15</v>
      </c>
      <c r="G35" s="89">
        <v>0.15</v>
      </c>
      <c r="H35" s="89">
        <v>0.15</v>
      </c>
      <c r="I35" s="89">
        <v>0.15</v>
      </c>
      <c r="J35" s="89">
        <v>0.15</v>
      </c>
      <c r="K35" s="89">
        <v>0.2</v>
      </c>
      <c r="L35" s="234">
        <v>0.3</v>
      </c>
      <c r="M35" s="234">
        <f t="shared" ref="M35:AB35" si="3">M38-5%</f>
        <v>0.66999999999999993</v>
      </c>
      <c r="N35" s="234">
        <f t="shared" si="3"/>
        <v>0.73</v>
      </c>
      <c r="O35" s="234">
        <f t="shared" si="3"/>
        <v>0.75</v>
      </c>
      <c r="P35" s="234">
        <f t="shared" si="3"/>
        <v>0.85</v>
      </c>
      <c r="Q35" s="234">
        <f t="shared" si="3"/>
        <v>0.85</v>
      </c>
      <c r="R35" s="234">
        <f t="shared" si="3"/>
        <v>0.85</v>
      </c>
      <c r="S35" s="234">
        <f t="shared" si="3"/>
        <v>0.83</v>
      </c>
      <c r="T35" s="234">
        <f t="shared" si="3"/>
        <v>0.72</v>
      </c>
      <c r="U35" s="234">
        <f t="shared" si="3"/>
        <v>0.64999999999999991</v>
      </c>
      <c r="V35" s="234">
        <f t="shared" si="3"/>
        <v>0.66999999999999993</v>
      </c>
      <c r="W35" s="234">
        <f t="shared" si="3"/>
        <v>0.75</v>
      </c>
      <c r="X35" s="234">
        <f t="shared" si="3"/>
        <v>0.85</v>
      </c>
      <c r="Y35" s="234">
        <f t="shared" si="3"/>
        <v>0.85</v>
      </c>
      <c r="Z35" s="234">
        <f t="shared" si="3"/>
        <v>0.85</v>
      </c>
      <c r="AA35" s="234">
        <f t="shared" si="3"/>
        <v>0.75</v>
      </c>
      <c r="AB35" s="234">
        <f t="shared" si="3"/>
        <v>0.56999999999999995</v>
      </c>
      <c r="AC35" s="90">
        <v>0.3</v>
      </c>
      <c r="AD35" s="156"/>
      <c r="AE35" s="35"/>
      <c r="AF35" s="35"/>
      <c r="AG35" s="35"/>
      <c r="AH35" s="35"/>
      <c r="AI35" s="35"/>
      <c r="AJ35" s="35"/>
      <c r="AK35" s="35"/>
      <c r="AM35" s="44"/>
    </row>
    <row r="36" spans="1:39" ht="36" customHeight="1" thickBot="1" x14ac:dyDescent="0.35">
      <c r="A36" s="765"/>
      <c r="B36" s="756"/>
      <c r="C36" s="773"/>
      <c r="D36" s="759"/>
      <c r="E36" s="81" t="s">
        <v>556</v>
      </c>
      <c r="F36" s="235">
        <f>F39</f>
        <v>0.15</v>
      </c>
      <c r="G36" s="82">
        <v>0.15</v>
      </c>
      <c r="H36" s="82">
        <v>0.15</v>
      </c>
      <c r="I36" s="82">
        <v>0.15</v>
      </c>
      <c r="J36" s="82">
        <v>0.15</v>
      </c>
      <c r="K36" s="235">
        <f>K39</f>
        <v>0.2</v>
      </c>
      <c r="L36" s="82">
        <v>0.3</v>
      </c>
      <c r="M36" s="235">
        <f t="shared" ref="M36:AB36" si="4">M39-5%</f>
        <v>0.66999999999999993</v>
      </c>
      <c r="N36" s="235">
        <f t="shared" si="4"/>
        <v>0.73</v>
      </c>
      <c r="O36" s="235">
        <f t="shared" si="4"/>
        <v>0.75</v>
      </c>
      <c r="P36" s="235">
        <f t="shared" si="4"/>
        <v>0.85</v>
      </c>
      <c r="Q36" s="235">
        <f t="shared" si="4"/>
        <v>0.85</v>
      </c>
      <c r="R36" s="235">
        <f t="shared" si="4"/>
        <v>0.85</v>
      </c>
      <c r="S36" s="235">
        <f t="shared" si="4"/>
        <v>0.83</v>
      </c>
      <c r="T36" s="235">
        <f t="shared" si="4"/>
        <v>0.72</v>
      </c>
      <c r="U36" s="235">
        <f t="shared" si="4"/>
        <v>0.64999999999999991</v>
      </c>
      <c r="V36" s="235">
        <f t="shared" si="4"/>
        <v>0.66999999999999993</v>
      </c>
      <c r="W36" s="235">
        <f t="shared" si="4"/>
        <v>0.75</v>
      </c>
      <c r="X36" s="235">
        <f t="shared" si="4"/>
        <v>0.85</v>
      </c>
      <c r="Y36" s="235">
        <f t="shared" si="4"/>
        <v>0.85</v>
      </c>
      <c r="Z36" s="235">
        <f t="shared" si="4"/>
        <v>0.85</v>
      </c>
      <c r="AA36" s="235">
        <f t="shared" si="4"/>
        <v>0.75</v>
      </c>
      <c r="AB36" s="235">
        <f t="shared" si="4"/>
        <v>0.56999999999999995</v>
      </c>
      <c r="AC36" s="83">
        <v>0.3</v>
      </c>
      <c r="AD36" s="156"/>
      <c r="AE36" s="35"/>
      <c r="AF36" s="35"/>
      <c r="AG36" s="35"/>
      <c r="AH36" s="35"/>
      <c r="AI36" s="35"/>
      <c r="AJ36" s="35"/>
      <c r="AK36" s="35"/>
      <c r="AM36" s="44"/>
    </row>
    <row r="37" spans="1:39" ht="32.4" customHeight="1" thickBot="1" x14ac:dyDescent="0.35">
      <c r="A37" s="766"/>
      <c r="B37" s="757"/>
      <c r="C37" s="757"/>
      <c r="D37" s="760"/>
      <c r="E37" s="84" t="s">
        <v>557</v>
      </c>
      <c r="F37" s="85">
        <v>0.2</v>
      </c>
      <c r="G37" s="85">
        <v>0.15</v>
      </c>
      <c r="H37" s="85">
        <v>0.15</v>
      </c>
      <c r="I37" s="85">
        <v>0.15</v>
      </c>
      <c r="J37" s="85">
        <v>0.15</v>
      </c>
      <c r="K37" s="85">
        <v>0.15</v>
      </c>
      <c r="L37" s="85">
        <v>0.3</v>
      </c>
      <c r="M37" s="236">
        <f t="shared" ref="M37:AB37" si="5">M40-5%</f>
        <v>0.66999999999999993</v>
      </c>
      <c r="N37" s="236">
        <f t="shared" si="5"/>
        <v>0.73</v>
      </c>
      <c r="O37" s="236">
        <f t="shared" si="5"/>
        <v>0.75</v>
      </c>
      <c r="P37" s="236">
        <f t="shared" si="5"/>
        <v>0.85</v>
      </c>
      <c r="Q37" s="236">
        <f t="shared" si="5"/>
        <v>0.85</v>
      </c>
      <c r="R37" s="236">
        <f t="shared" si="5"/>
        <v>0.85</v>
      </c>
      <c r="S37" s="236">
        <f t="shared" si="5"/>
        <v>0.83</v>
      </c>
      <c r="T37" s="236">
        <f t="shared" si="5"/>
        <v>0.72</v>
      </c>
      <c r="U37" s="236">
        <f t="shared" si="5"/>
        <v>0.64999999999999991</v>
      </c>
      <c r="V37" s="236">
        <f t="shared" si="5"/>
        <v>0.66999999999999993</v>
      </c>
      <c r="W37" s="236">
        <f t="shared" si="5"/>
        <v>0.75</v>
      </c>
      <c r="X37" s="236">
        <f t="shared" si="5"/>
        <v>0.85</v>
      </c>
      <c r="Y37" s="236">
        <f t="shared" si="5"/>
        <v>0.85</v>
      </c>
      <c r="Z37" s="236">
        <f t="shared" si="5"/>
        <v>0.85</v>
      </c>
      <c r="AA37" s="236">
        <f t="shared" si="5"/>
        <v>0.75</v>
      </c>
      <c r="AB37" s="236">
        <f t="shared" si="5"/>
        <v>0.56999999999999995</v>
      </c>
      <c r="AC37" s="86">
        <v>0.3</v>
      </c>
      <c r="AD37" s="156"/>
      <c r="AE37" s="35"/>
      <c r="AF37" s="35"/>
      <c r="AG37" s="35"/>
      <c r="AH37" s="35"/>
      <c r="AI37" s="35"/>
      <c r="AJ37" s="35"/>
      <c r="AK37" s="35"/>
      <c r="AM37" s="44"/>
    </row>
    <row r="38" spans="1:39" ht="38.700000000000003" customHeight="1" x14ac:dyDescent="0.3">
      <c r="A38" s="785" t="s">
        <v>107</v>
      </c>
      <c r="B38" s="774" t="s">
        <v>107</v>
      </c>
      <c r="C38" s="787" t="s">
        <v>560</v>
      </c>
      <c r="D38" s="788" t="s">
        <v>561</v>
      </c>
      <c r="E38" s="323" t="s">
        <v>555</v>
      </c>
      <c r="F38" s="216">
        <v>0.15</v>
      </c>
      <c r="G38" s="216">
        <v>0.15</v>
      </c>
      <c r="H38" s="216">
        <v>0.15</v>
      </c>
      <c r="I38" s="216">
        <v>0.15</v>
      </c>
      <c r="J38" s="216">
        <v>0.15</v>
      </c>
      <c r="K38" s="216">
        <v>0.2</v>
      </c>
      <c r="L38" s="228">
        <v>0.3</v>
      </c>
      <c r="M38" s="228">
        <v>0.72</v>
      </c>
      <c r="N38" s="228">
        <v>0.78</v>
      </c>
      <c r="O38" s="228">
        <v>0.8</v>
      </c>
      <c r="P38" s="216">
        <v>0.9</v>
      </c>
      <c r="Q38" s="216">
        <v>0.9</v>
      </c>
      <c r="R38" s="216">
        <v>0.9</v>
      </c>
      <c r="S38" s="228">
        <v>0.88</v>
      </c>
      <c r="T38" s="228">
        <v>0.77</v>
      </c>
      <c r="U38" s="228">
        <v>0.7</v>
      </c>
      <c r="V38" s="228">
        <v>0.72</v>
      </c>
      <c r="W38" s="228">
        <v>0.8</v>
      </c>
      <c r="X38" s="216">
        <v>0.9</v>
      </c>
      <c r="Y38" s="216">
        <v>0.9</v>
      </c>
      <c r="Z38" s="216">
        <v>0.9</v>
      </c>
      <c r="AA38" s="228">
        <v>0.8</v>
      </c>
      <c r="AB38" s="228">
        <v>0.62</v>
      </c>
      <c r="AC38" s="217">
        <v>0.3</v>
      </c>
      <c r="AD38" s="35"/>
      <c r="AE38" s="35"/>
      <c r="AF38" s="35"/>
      <c r="AG38" s="35"/>
      <c r="AH38" s="35"/>
      <c r="AI38" s="35"/>
      <c r="AJ38" s="35"/>
      <c r="AK38" s="35"/>
      <c r="AM38" s="44"/>
    </row>
    <row r="39" spans="1:39" ht="33" customHeight="1" x14ac:dyDescent="0.3">
      <c r="A39" s="785"/>
      <c r="B39" s="774"/>
      <c r="C39" s="787"/>
      <c r="D39" s="788"/>
      <c r="E39" s="81" t="s">
        <v>556</v>
      </c>
      <c r="F39" s="226">
        <v>0.15</v>
      </c>
      <c r="G39" s="82">
        <v>0.15</v>
      </c>
      <c r="H39" s="82">
        <v>0.15</v>
      </c>
      <c r="I39" s="82">
        <v>0.15</v>
      </c>
      <c r="J39" s="82">
        <v>0.15</v>
      </c>
      <c r="K39" s="226">
        <v>0.2</v>
      </c>
      <c r="L39" s="82">
        <v>0.3</v>
      </c>
      <c r="M39" s="226">
        <v>0.72</v>
      </c>
      <c r="N39" s="226">
        <v>0.78</v>
      </c>
      <c r="O39" s="226">
        <v>0.8</v>
      </c>
      <c r="P39" s="226">
        <v>0.9</v>
      </c>
      <c r="Q39" s="226">
        <v>0.9</v>
      </c>
      <c r="R39" s="226">
        <v>0.9</v>
      </c>
      <c r="S39" s="226">
        <v>0.88</v>
      </c>
      <c r="T39" s="226">
        <v>0.77</v>
      </c>
      <c r="U39" s="226">
        <v>0.7</v>
      </c>
      <c r="V39" s="226">
        <v>0.72</v>
      </c>
      <c r="W39" s="226">
        <v>0.8</v>
      </c>
      <c r="X39" s="82">
        <v>0.9</v>
      </c>
      <c r="Y39" s="82">
        <v>0.9</v>
      </c>
      <c r="Z39" s="82">
        <v>0.9</v>
      </c>
      <c r="AA39" s="226">
        <v>0.8</v>
      </c>
      <c r="AB39" s="226">
        <v>0.62</v>
      </c>
      <c r="AC39" s="219">
        <v>0.3</v>
      </c>
      <c r="AD39" s="35"/>
      <c r="AE39" s="35"/>
      <c r="AF39" s="35"/>
      <c r="AG39" s="35"/>
      <c r="AH39" s="35"/>
      <c r="AI39" s="35"/>
      <c r="AJ39" s="35"/>
      <c r="AK39" s="35"/>
      <c r="AM39" s="44"/>
    </row>
    <row r="40" spans="1:39" ht="38.700000000000003" customHeight="1" thickBot="1" x14ac:dyDescent="0.35">
      <c r="A40" s="786"/>
      <c r="B40" s="761"/>
      <c r="C40" s="761"/>
      <c r="D40" s="788"/>
      <c r="E40" s="324" t="s">
        <v>557</v>
      </c>
      <c r="F40" s="227">
        <v>0.2</v>
      </c>
      <c r="G40" s="221">
        <v>0.15</v>
      </c>
      <c r="H40" s="221">
        <v>0.15</v>
      </c>
      <c r="I40" s="221">
        <v>0.15</v>
      </c>
      <c r="J40" s="221">
        <v>0.15</v>
      </c>
      <c r="K40" s="227">
        <v>0.15</v>
      </c>
      <c r="L40" s="221">
        <v>0.3</v>
      </c>
      <c r="M40" s="227">
        <v>0.72</v>
      </c>
      <c r="N40" s="227">
        <v>0.78</v>
      </c>
      <c r="O40" s="227">
        <v>0.8</v>
      </c>
      <c r="P40" s="227">
        <v>0.9</v>
      </c>
      <c r="Q40" s="227">
        <v>0.9</v>
      </c>
      <c r="R40" s="227">
        <v>0.9</v>
      </c>
      <c r="S40" s="227">
        <v>0.88</v>
      </c>
      <c r="T40" s="227">
        <v>0.77</v>
      </c>
      <c r="U40" s="227">
        <v>0.7</v>
      </c>
      <c r="V40" s="227">
        <v>0.72</v>
      </c>
      <c r="W40" s="227">
        <v>0.8</v>
      </c>
      <c r="X40" s="227">
        <v>0.9</v>
      </c>
      <c r="Y40" s="227">
        <v>0.9</v>
      </c>
      <c r="Z40" s="227">
        <v>0.9</v>
      </c>
      <c r="AA40" s="227">
        <v>0.8</v>
      </c>
      <c r="AB40" s="227">
        <v>0.62</v>
      </c>
      <c r="AC40" s="222">
        <v>0.3</v>
      </c>
      <c r="AD40" s="35"/>
      <c r="AE40" s="35"/>
      <c r="AF40" s="35"/>
      <c r="AG40" s="35"/>
      <c r="AH40" s="35"/>
      <c r="AI40" s="35"/>
      <c r="AJ40" s="35"/>
      <c r="AK40" s="35"/>
      <c r="AM40" s="44"/>
    </row>
    <row r="41" spans="1:39" ht="38.700000000000003" customHeight="1" thickBot="1" x14ac:dyDescent="0.35">
      <c r="A41" s="764" t="s">
        <v>107</v>
      </c>
      <c r="B41" s="755" t="s">
        <v>107</v>
      </c>
      <c r="C41" s="793" t="s">
        <v>562</v>
      </c>
      <c r="D41" s="758" t="s">
        <v>563</v>
      </c>
      <c r="E41" s="323" t="s">
        <v>555</v>
      </c>
      <c r="F41" s="216">
        <v>1</v>
      </c>
      <c r="G41" s="231">
        <v>0</v>
      </c>
      <c r="H41" s="231">
        <v>0</v>
      </c>
      <c r="I41" s="216">
        <v>0</v>
      </c>
      <c r="J41" s="231">
        <v>1</v>
      </c>
      <c r="K41" s="231">
        <v>1</v>
      </c>
      <c r="L41" s="216">
        <v>1</v>
      </c>
      <c r="M41" s="216">
        <v>1</v>
      </c>
      <c r="N41" s="216">
        <v>1</v>
      </c>
      <c r="O41" s="216">
        <v>1</v>
      </c>
      <c r="P41" s="216">
        <v>1</v>
      </c>
      <c r="Q41" s="216">
        <v>1</v>
      </c>
      <c r="R41" s="216">
        <v>1</v>
      </c>
      <c r="S41" s="216">
        <v>1</v>
      </c>
      <c r="T41" s="216">
        <v>1</v>
      </c>
      <c r="U41" s="216">
        <v>1</v>
      </c>
      <c r="V41" s="216">
        <v>1</v>
      </c>
      <c r="W41" s="216">
        <v>1</v>
      </c>
      <c r="X41" s="216">
        <v>1</v>
      </c>
      <c r="Y41" s="216">
        <v>1</v>
      </c>
      <c r="Z41" s="216">
        <v>1</v>
      </c>
      <c r="AA41" s="216">
        <v>1</v>
      </c>
      <c r="AB41" s="216">
        <v>1</v>
      </c>
      <c r="AC41" s="217">
        <v>1</v>
      </c>
      <c r="AD41" s="35"/>
      <c r="AE41" s="35"/>
      <c r="AF41" s="35"/>
      <c r="AG41" s="35"/>
      <c r="AH41" s="35"/>
      <c r="AI41" s="35"/>
      <c r="AJ41" s="35"/>
      <c r="AK41" s="35"/>
      <c r="AM41" s="44"/>
    </row>
    <row r="42" spans="1:39" ht="38.700000000000003" customHeight="1" thickBot="1" x14ac:dyDescent="0.35">
      <c r="A42" s="765"/>
      <c r="B42" s="756"/>
      <c r="C42" s="823"/>
      <c r="D42" s="759"/>
      <c r="E42" s="81" t="s">
        <v>556</v>
      </c>
      <c r="F42" s="82">
        <v>1</v>
      </c>
      <c r="G42" s="234">
        <v>0</v>
      </c>
      <c r="H42" s="234">
        <v>0</v>
      </c>
      <c r="I42" s="82">
        <v>0</v>
      </c>
      <c r="J42" s="82">
        <v>0</v>
      </c>
      <c r="K42" s="235">
        <v>1</v>
      </c>
      <c r="L42" s="235">
        <v>1</v>
      </c>
      <c r="M42" s="235">
        <v>1</v>
      </c>
      <c r="N42" s="82">
        <v>1</v>
      </c>
      <c r="O42" s="82">
        <v>1</v>
      </c>
      <c r="P42" s="82">
        <v>1</v>
      </c>
      <c r="Q42" s="82">
        <v>1</v>
      </c>
      <c r="R42" s="82">
        <v>1</v>
      </c>
      <c r="S42" s="82">
        <v>1</v>
      </c>
      <c r="T42" s="82">
        <v>1</v>
      </c>
      <c r="U42" s="82">
        <v>1</v>
      </c>
      <c r="V42" s="82">
        <v>1</v>
      </c>
      <c r="W42" s="82">
        <v>1</v>
      </c>
      <c r="X42" s="82">
        <v>1</v>
      </c>
      <c r="Y42" s="82">
        <v>1</v>
      </c>
      <c r="Z42" s="82">
        <v>1</v>
      </c>
      <c r="AA42" s="82">
        <v>1</v>
      </c>
      <c r="AB42" s="82">
        <v>1</v>
      </c>
      <c r="AC42" s="219">
        <v>1</v>
      </c>
      <c r="AD42" s="35"/>
      <c r="AE42" s="35"/>
      <c r="AF42" s="35"/>
      <c r="AG42" s="35"/>
      <c r="AH42" s="35"/>
      <c r="AI42" s="35"/>
      <c r="AJ42" s="35"/>
      <c r="AK42" s="35"/>
      <c r="AM42" s="44"/>
    </row>
    <row r="43" spans="1:39" ht="38.700000000000003" customHeight="1" thickBot="1" x14ac:dyDescent="0.35">
      <c r="A43" s="766"/>
      <c r="B43" s="757"/>
      <c r="C43" s="824"/>
      <c r="D43" s="760"/>
      <c r="E43" s="324" t="s">
        <v>557</v>
      </c>
      <c r="F43" s="221">
        <v>1</v>
      </c>
      <c r="G43" s="237">
        <v>0</v>
      </c>
      <c r="H43" s="237">
        <v>0</v>
      </c>
      <c r="I43" s="221">
        <v>0</v>
      </c>
      <c r="J43" s="221">
        <v>0</v>
      </c>
      <c r="K43" s="238">
        <v>1</v>
      </c>
      <c r="L43" s="238">
        <v>1</v>
      </c>
      <c r="M43" s="238">
        <v>1</v>
      </c>
      <c r="N43" s="238">
        <v>1</v>
      </c>
      <c r="O43" s="221">
        <v>1</v>
      </c>
      <c r="P43" s="221">
        <v>1</v>
      </c>
      <c r="Q43" s="221">
        <v>1</v>
      </c>
      <c r="R43" s="221">
        <v>1</v>
      </c>
      <c r="S43" s="221">
        <v>1</v>
      </c>
      <c r="T43" s="221">
        <v>1</v>
      </c>
      <c r="U43" s="221">
        <v>1</v>
      </c>
      <c r="V43" s="221">
        <v>1</v>
      </c>
      <c r="W43" s="221">
        <v>1</v>
      </c>
      <c r="X43" s="221">
        <v>1</v>
      </c>
      <c r="Y43" s="221">
        <v>1</v>
      </c>
      <c r="Z43" s="221">
        <v>1</v>
      </c>
      <c r="AA43" s="221">
        <v>1</v>
      </c>
      <c r="AB43" s="221">
        <v>1</v>
      </c>
      <c r="AC43" s="222">
        <v>1</v>
      </c>
      <c r="AD43" s="35"/>
      <c r="AE43" s="35"/>
      <c r="AF43" s="35"/>
      <c r="AG43" s="35"/>
      <c r="AH43" s="35"/>
      <c r="AI43" s="35"/>
      <c r="AJ43" s="35"/>
      <c r="AK43" s="35"/>
      <c r="AM43" s="44"/>
    </row>
    <row r="44" spans="1:39" ht="33.6" customHeight="1" thickBot="1" x14ac:dyDescent="0.35">
      <c r="A44" s="786" t="s">
        <v>107</v>
      </c>
      <c r="B44" s="761" t="s">
        <v>107</v>
      </c>
      <c r="C44" s="804" t="s">
        <v>564</v>
      </c>
      <c r="D44" s="780" t="s">
        <v>565</v>
      </c>
      <c r="E44" s="88" t="s">
        <v>555</v>
      </c>
      <c r="F44" s="89">
        <v>0.2</v>
      </c>
      <c r="G44" s="234">
        <v>0</v>
      </c>
      <c r="H44" s="234">
        <v>0</v>
      </c>
      <c r="I44" s="89">
        <v>0</v>
      </c>
      <c r="J44" s="89">
        <v>0</v>
      </c>
      <c r="K44" s="234">
        <v>0.2</v>
      </c>
      <c r="L44" s="234">
        <v>0.2</v>
      </c>
      <c r="M44" s="234">
        <v>0.3</v>
      </c>
      <c r="N44" s="234">
        <v>0.3</v>
      </c>
      <c r="O44" s="89">
        <v>0.3</v>
      </c>
      <c r="P44" s="89">
        <v>0.4</v>
      </c>
      <c r="Q44" s="89">
        <v>0.45</v>
      </c>
      <c r="R44" s="89">
        <v>0.4</v>
      </c>
      <c r="S44" s="89">
        <v>0.35</v>
      </c>
      <c r="T44" s="89">
        <v>0.3</v>
      </c>
      <c r="U44" s="89">
        <v>0.3</v>
      </c>
      <c r="V44" s="89">
        <v>0.3</v>
      </c>
      <c r="W44" s="89">
        <v>0.4</v>
      </c>
      <c r="X44" s="89">
        <v>0.55000000000000004</v>
      </c>
      <c r="Y44" s="89">
        <v>0.6</v>
      </c>
      <c r="Z44" s="89">
        <v>0.5</v>
      </c>
      <c r="AA44" s="89">
        <v>0.55000000000000004</v>
      </c>
      <c r="AB44" s="89">
        <v>0.45</v>
      </c>
      <c r="AC44" s="398">
        <v>0.2</v>
      </c>
      <c r="AD44" s="35"/>
      <c r="AE44" s="35"/>
      <c r="AF44" s="35"/>
      <c r="AG44" s="35"/>
      <c r="AH44" s="35"/>
      <c r="AI44" s="35"/>
      <c r="AJ44" s="35"/>
      <c r="AK44" s="35"/>
    </row>
    <row r="45" spans="1:39" ht="33.6" customHeight="1" thickBot="1" x14ac:dyDescent="0.35">
      <c r="A45" s="799"/>
      <c r="B45" s="752"/>
      <c r="C45" s="750"/>
      <c r="D45" s="759"/>
      <c r="E45" s="81" t="s">
        <v>556</v>
      </c>
      <c r="F45" s="82">
        <v>0.2</v>
      </c>
      <c r="G45" s="235">
        <v>0</v>
      </c>
      <c r="H45" s="235">
        <v>0</v>
      </c>
      <c r="I45" s="82">
        <v>0</v>
      </c>
      <c r="J45" s="82">
        <v>0</v>
      </c>
      <c r="K45" s="82">
        <v>0</v>
      </c>
      <c r="L45" s="235">
        <v>0.2</v>
      </c>
      <c r="M45" s="235">
        <v>0.2</v>
      </c>
      <c r="N45" s="235">
        <v>0.3</v>
      </c>
      <c r="O45" s="235">
        <v>0.3</v>
      </c>
      <c r="P45" s="82">
        <v>0.45</v>
      </c>
      <c r="Q45" s="82">
        <v>0.5</v>
      </c>
      <c r="R45" s="82">
        <v>0.5</v>
      </c>
      <c r="S45" s="82">
        <v>0.45</v>
      </c>
      <c r="T45" s="82">
        <v>0.4</v>
      </c>
      <c r="U45" s="82">
        <v>0.4</v>
      </c>
      <c r="V45" s="82">
        <v>0.35</v>
      </c>
      <c r="W45" s="82">
        <v>0.4</v>
      </c>
      <c r="X45" s="82">
        <v>0.55000000000000004</v>
      </c>
      <c r="Y45" s="82">
        <v>0.55000000000000004</v>
      </c>
      <c r="Z45" s="82">
        <v>0.5</v>
      </c>
      <c r="AA45" s="82">
        <v>0.55000000000000004</v>
      </c>
      <c r="AB45" s="82">
        <v>0.4</v>
      </c>
      <c r="AC45" s="399">
        <v>0.2</v>
      </c>
      <c r="AD45" s="35"/>
      <c r="AE45" s="35"/>
      <c r="AF45" s="35"/>
      <c r="AG45" s="35"/>
      <c r="AH45" s="35"/>
      <c r="AI45" s="35"/>
      <c r="AJ45" s="35"/>
      <c r="AK45" s="35"/>
    </row>
    <row r="46" spans="1:39" ht="33.6" customHeight="1" thickBot="1" x14ac:dyDescent="0.35">
      <c r="A46" s="799"/>
      <c r="B46" s="752"/>
      <c r="C46" s="750"/>
      <c r="D46" s="759"/>
      <c r="E46" s="84" t="s">
        <v>557</v>
      </c>
      <c r="F46" s="85">
        <v>0.25</v>
      </c>
      <c r="G46" s="236">
        <v>0</v>
      </c>
      <c r="H46" s="236">
        <v>0</v>
      </c>
      <c r="I46" s="85">
        <v>0</v>
      </c>
      <c r="J46" s="85">
        <v>0</v>
      </c>
      <c r="K46" s="85">
        <v>0</v>
      </c>
      <c r="L46" s="236">
        <v>0.2</v>
      </c>
      <c r="M46" s="236">
        <v>0.2</v>
      </c>
      <c r="N46" s="236">
        <v>0.3</v>
      </c>
      <c r="O46" s="236">
        <v>0.3</v>
      </c>
      <c r="P46" s="236">
        <v>0.3</v>
      </c>
      <c r="Q46" s="85">
        <v>0.5</v>
      </c>
      <c r="R46" s="85">
        <v>0.4</v>
      </c>
      <c r="S46" s="85">
        <v>0.4</v>
      </c>
      <c r="T46" s="85">
        <v>0.3</v>
      </c>
      <c r="U46" s="85">
        <v>0.3</v>
      </c>
      <c r="V46" s="85">
        <v>0.3</v>
      </c>
      <c r="W46" s="85">
        <v>0.4</v>
      </c>
      <c r="X46" s="85">
        <v>0.5</v>
      </c>
      <c r="Y46" s="85">
        <v>0.5</v>
      </c>
      <c r="Z46" s="85">
        <v>0.4</v>
      </c>
      <c r="AA46" s="85">
        <v>0.5</v>
      </c>
      <c r="AB46" s="85">
        <v>0.4</v>
      </c>
      <c r="AC46" s="86">
        <v>0.2</v>
      </c>
      <c r="AD46" s="35"/>
      <c r="AE46" s="35"/>
      <c r="AF46" s="35"/>
      <c r="AG46" s="35"/>
      <c r="AH46" s="35"/>
      <c r="AI46" s="35"/>
      <c r="AJ46" s="35"/>
      <c r="AK46" s="35"/>
    </row>
    <row r="47" spans="1:39" ht="38.700000000000003" customHeight="1" thickBot="1" x14ac:dyDescent="0.35">
      <c r="A47" s="765" t="s">
        <v>107</v>
      </c>
      <c r="B47" s="756" t="s">
        <v>107</v>
      </c>
      <c r="C47" s="789" t="s">
        <v>285</v>
      </c>
      <c r="D47" s="759" t="s">
        <v>566</v>
      </c>
      <c r="E47" s="323" t="s">
        <v>555</v>
      </c>
      <c r="F47" s="231">
        <v>0.25</v>
      </c>
      <c r="G47" s="231">
        <v>0</v>
      </c>
      <c r="H47" s="231">
        <v>0</v>
      </c>
      <c r="I47" s="216">
        <v>1</v>
      </c>
      <c r="J47" s="231">
        <v>0.25</v>
      </c>
      <c r="K47" s="239">
        <v>0.25</v>
      </c>
      <c r="L47" s="230">
        <v>0.25</v>
      </c>
      <c r="M47" s="230">
        <v>0.25</v>
      </c>
      <c r="N47" s="230">
        <v>0.25</v>
      </c>
      <c r="O47" s="216">
        <v>0.25</v>
      </c>
      <c r="P47" s="216">
        <v>0.25</v>
      </c>
      <c r="Q47" s="216">
        <v>0.25</v>
      </c>
      <c r="R47" s="216">
        <v>0.25</v>
      </c>
      <c r="S47" s="216">
        <v>0.25</v>
      </c>
      <c r="T47" s="216">
        <v>0.25</v>
      </c>
      <c r="U47" s="216">
        <v>0.25</v>
      </c>
      <c r="V47" s="231">
        <v>0.25</v>
      </c>
      <c r="W47" s="216">
        <v>0.25</v>
      </c>
      <c r="X47" s="216">
        <v>0.25</v>
      </c>
      <c r="Y47" s="216">
        <v>0.25</v>
      </c>
      <c r="Z47" s="216">
        <v>0.25</v>
      </c>
      <c r="AA47" s="216">
        <v>0.25</v>
      </c>
      <c r="AB47" s="216">
        <v>0.25</v>
      </c>
      <c r="AC47" s="217">
        <v>0.25</v>
      </c>
      <c r="AD47" s="35"/>
      <c r="AE47" s="35"/>
      <c r="AF47" s="35"/>
      <c r="AG47" s="35"/>
      <c r="AH47" s="35"/>
      <c r="AI47" s="35"/>
      <c r="AJ47" s="35"/>
      <c r="AK47" s="35"/>
      <c r="AM47" s="44"/>
    </row>
    <row r="48" spans="1:39" ht="38.700000000000003" customHeight="1" thickBot="1" x14ac:dyDescent="0.35">
      <c r="A48" s="765"/>
      <c r="B48" s="756"/>
      <c r="C48" s="789"/>
      <c r="D48" s="759"/>
      <c r="E48" s="81" t="s">
        <v>556</v>
      </c>
      <c r="F48" s="235">
        <v>0.25</v>
      </c>
      <c r="G48" s="235">
        <v>0</v>
      </c>
      <c r="H48" s="82">
        <v>0</v>
      </c>
      <c r="I48" s="82">
        <v>1</v>
      </c>
      <c r="J48" s="82">
        <v>1</v>
      </c>
      <c r="K48" s="235">
        <v>0.25</v>
      </c>
      <c r="L48" s="235">
        <v>0.25</v>
      </c>
      <c r="M48" s="235">
        <v>0.25</v>
      </c>
      <c r="N48" s="82">
        <v>0.25</v>
      </c>
      <c r="O48" s="82">
        <v>0.25</v>
      </c>
      <c r="P48" s="82">
        <v>0.25</v>
      </c>
      <c r="Q48" s="82">
        <v>0.25</v>
      </c>
      <c r="R48" s="82">
        <v>0.25</v>
      </c>
      <c r="S48" s="82">
        <v>0.25</v>
      </c>
      <c r="T48" s="82">
        <v>0.25</v>
      </c>
      <c r="U48" s="82">
        <v>0.25</v>
      </c>
      <c r="V48" s="82">
        <v>0.25</v>
      </c>
      <c r="W48" s="82">
        <v>0.25</v>
      </c>
      <c r="X48" s="82">
        <v>0.25</v>
      </c>
      <c r="Y48" s="82">
        <v>0.25</v>
      </c>
      <c r="Z48" s="82">
        <v>0.25</v>
      </c>
      <c r="AA48" s="82">
        <v>0.25</v>
      </c>
      <c r="AB48" s="82">
        <v>0.25</v>
      </c>
      <c r="AC48" s="219">
        <v>0.25</v>
      </c>
      <c r="AD48" s="35"/>
      <c r="AE48" s="35"/>
      <c r="AF48" s="35"/>
      <c r="AG48" s="35"/>
      <c r="AH48" s="35"/>
      <c r="AI48" s="35"/>
      <c r="AJ48" s="35"/>
      <c r="AK48" s="35"/>
      <c r="AM48" s="44"/>
    </row>
    <row r="49" spans="1:41" ht="38.700000000000003" customHeight="1" thickBot="1" x14ac:dyDescent="0.35">
      <c r="A49" s="799"/>
      <c r="B49" s="752"/>
      <c r="C49" s="750"/>
      <c r="D49" s="759"/>
      <c r="E49" s="324" t="s">
        <v>557</v>
      </c>
      <c r="F49" s="238">
        <v>0.25</v>
      </c>
      <c r="G49" s="238">
        <v>0</v>
      </c>
      <c r="H49" s="238">
        <v>0</v>
      </c>
      <c r="I49" s="221">
        <v>1</v>
      </c>
      <c r="J49" s="221">
        <v>1</v>
      </c>
      <c r="K49" s="237">
        <v>0.25</v>
      </c>
      <c r="L49" s="237">
        <v>0.25</v>
      </c>
      <c r="M49" s="237">
        <v>0.25</v>
      </c>
      <c r="N49" s="237">
        <v>0.25</v>
      </c>
      <c r="O49" s="221">
        <v>0.25</v>
      </c>
      <c r="P49" s="221">
        <v>0.25</v>
      </c>
      <c r="Q49" s="221">
        <v>0.25</v>
      </c>
      <c r="R49" s="221">
        <v>0.25</v>
      </c>
      <c r="S49" s="221">
        <v>0.25</v>
      </c>
      <c r="T49" s="221">
        <v>0.25</v>
      </c>
      <c r="U49" s="221">
        <v>0.25</v>
      </c>
      <c r="V49" s="221">
        <v>0.25</v>
      </c>
      <c r="W49" s="221">
        <v>0.25</v>
      </c>
      <c r="X49" s="221">
        <v>0.25</v>
      </c>
      <c r="Y49" s="221">
        <v>0.25</v>
      </c>
      <c r="Z49" s="221">
        <v>0.25</v>
      </c>
      <c r="AA49" s="221">
        <v>0.25</v>
      </c>
      <c r="AB49" s="221">
        <v>0.25</v>
      </c>
      <c r="AC49" s="222">
        <v>0.25</v>
      </c>
      <c r="AD49" s="35"/>
      <c r="AE49" s="35"/>
      <c r="AF49" s="35"/>
      <c r="AG49" s="35"/>
      <c r="AH49" s="35"/>
      <c r="AI49" s="35"/>
      <c r="AJ49" s="35"/>
      <c r="AK49" s="35"/>
      <c r="AM49" s="44"/>
      <c r="AO49" s="106"/>
    </row>
    <row r="50" spans="1:41" ht="30.6" customHeight="1" thickBot="1" x14ac:dyDescent="0.35">
      <c r="A50" s="764" t="s">
        <v>107</v>
      </c>
      <c r="B50" s="755" t="s">
        <v>107</v>
      </c>
      <c r="C50" s="782" t="s">
        <v>572</v>
      </c>
      <c r="D50" s="758" t="s">
        <v>565</v>
      </c>
      <c r="E50" s="91" t="s">
        <v>555</v>
      </c>
      <c r="F50" s="92">
        <v>0</v>
      </c>
      <c r="G50" s="92">
        <v>0</v>
      </c>
      <c r="H50" s="92">
        <v>0</v>
      </c>
      <c r="I50" s="92">
        <v>0</v>
      </c>
      <c r="J50" s="92">
        <v>0</v>
      </c>
      <c r="K50" s="240">
        <v>1</v>
      </c>
      <c r="L50" s="92">
        <v>1</v>
      </c>
      <c r="M50" s="92">
        <v>1</v>
      </c>
      <c r="N50" s="92">
        <v>1</v>
      </c>
      <c r="O50" s="92">
        <v>1</v>
      </c>
      <c r="P50" s="92">
        <v>1</v>
      </c>
      <c r="Q50" s="92">
        <v>1</v>
      </c>
      <c r="R50" s="92">
        <v>1</v>
      </c>
      <c r="S50" s="92">
        <v>1</v>
      </c>
      <c r="T50" s="92">
        <v>1</v>
      </c>
      <c r="U50" s="92">
        <v>1</v>
      </c>
      <c r="V50" s="92">
        <v>1</v>
      </c>
      <c r="W50" s="92">
        <v>1</v>
      </c>
      <c r="X50" s="92">
        <v>1</v>
      </c>
      <c r="Y50" s="92">
        <v>0</v>
      </c>
      <c r="Z50" s="92">
        <v>0</v>
      </c>
      <c r="AA50" s="92">
        <v>0</v>
      </c>
      <c r="AB50" s="92">
        <v>0</v>
      </c>
      <c r="AC50" s="93">
        <v>0</v>
      </c>
      <c r="AD50" s="35"/>
      <c r="AE50" s="35"/>
      <c r="AF50" s="35"/>
      <c r="AG50" s="35"/>
      <c r="AH50" s="35"/>
      <c r="AI50" s="35"/>
      <c r="AJ50" s="35"/>
      <c r="AK50" s="35"/>
    </row>
    <row r="51" spans="1:41" ht="30.6" customHeight="1" thickBot="1" x14ac:dyDescent="0.35">
      <c r="A51" s="765"/>
      <c r="B51" s="756"/>
      <c r="C51" s="783"/>
      <c r="D51" s="759"/>
      <c r="E51" s="94" t="s">
        <v>556</v>
      </c>
      <c r="F51" s="95">
        <v>0</v>
      </c>
      <c r="G51" s="95">
        <v>0</v>
      </c>
      <c r="H51" s="95">
        <v>0</v>
      </c>
      <c r="I51" s="95">
        <v>0</v>
      </c>
      <c r="J51" s="95">
        <v>0</v>
      </c>
      <c r="K51" s="95">
        <v>0</v>
      </c>
      <c r="L51" s="241">
        <v>1</v>
      </c>
      <c r="M51" s="241">
        <v>1</v>
      </c>
      <c r="N51" s="95">
        <v>1</v>
      </c>
      <c r="O51" s="95">
        <v>1</v>
      </c>
      <c r="P51" s="95">
        <v>1</v>
      </c>
      <c r="Q51" s="95">
        <v>1</v>
      </c>
      <c r="R51" s="95">
        <v>1</v>
      </c>
      <c r="S51" s="95">
        <v>1</v>
      </c>
      <c r="T51" s="95">
        <v>1</v>
      </c>
      <c r="U51" s="95">
        <v>1</v>
      </c>
      <c r="V51" s="95">
        <v>1</v>
      </c>
      <c r="W51" s="95">
        <v>1</v>
      </c>
      <c r="X51" s="95">
        <v>1</v>
      </c>
      <c r="Y51" s="95">
        <v>0</v>
      </c>
      <c r="Z51" s="95">
        <v>0</v>
      </c>
      <c r="AA51" s="95">
        <v>0</v>
      </c>
      <c r="AB51" s="95">
        <v>0</v>
      </c>
      <c r="AC51" s="96">
        <v>0</v>
      </c>
      <c r="AD51" s="35"/>
      <c r="AE51" s="35"/>
      <c r="AF51" s="35"/>
      <c r="AG51" s="35"/>
      <c r="AH51" s="35"/>
      <c r="AI51" s="35"/>
      <c r="AJ51" s="35"/>
      <c r="AK51" s="35"/>
    </row>
    <row r="52" spans="1:41" ht="30.6" customHeight="1" thickBot="1" x14ac:dyDescent="0.35">
      <c r="A52" s="766"/>
      <c r="B52" s="757"/>
      <c r="C52" s="784"/>
      <c r="D52" s="760"/>
      <c r="E52" s="97" t="s">
        <v>557</v>
      </c>
      <c r="F52" s="98">
        <v>0</v>
      </c>
      <c r="G52" s="98">
        <v>0</v>
      </c>
      <c r="H52" s="98">
        <v>0</v>
      </c>
      <c r="I52" s="98">
        <v>0</v>
      </c>
      <c r="J52" s="98">
        <v>0</v>
      </c>
      <c r="K52" s="98">
        <v>0</v>
      </c>
      <c r="L52" s="242">
        <v>1</v>
      </c>
      <c r="M52" s="242">
        <v>1</v>
      </c>
      <c r="N52" s="242">
        <v>1</v>
      </c>
      <c r="O52" s="98">
        <v>1</v>
      </c>
      <c r="P52" s="98">
        <v>1</v>
      </c>
      <c r="Q52" s="98">
        <v>1</v>
      </c>
      <c r="R52" s="98">
        <v>1</v>
      </c>
      <c r="S52" s="98">
        <v>1</v>
      </c>
      <c r="T52" s="98">
        <v>1</v>
      </c>
      <c r="U52" s="98">
        <v>1</v>
      </c>
      <c r="V52" s="98">
        <v>1</v>
      </c>
      <c r="W52" s="98">
        <v>1</v>
      </c>
      <c r="X52" s="98">
        <v>1</v>
      </c>
      <c r="Y52" s="98">
        <v>0</v>
      </c>
      <c r="Z52" s="98">
        <v>0</v>
      </c>
      <c r="AA52" s="98">
        <v>0</v>
      </c>
      <c r="AB52" s="98">
        <v>0</v>
      </c>
      <c r="AC52" s="99">
        <v>0</v>
      </c>
      <c r="AD52" s="35"/>
      <c r="AE52" s="35"/>
      <c r="AF52" s="35"/>
      <c r="AG52" s="35"/>
      <c r="AH52" s="35"/>
      <c r="AI52" s="35"/>
      <c r="AJ52" s="35"/>
      <c r="AK52" s="35"/>
    </row>
    <row r="53" spans="1:41" ht="30.6" customHeight="1" thickBot="1" x14ac:dyDescent="0.35">
      <c r="A53" s="785" t="s">
        <v>107</v>
      </c>
      <c r="B53" s="774" t="s">
        <v>107</v>
      </c>
      <c r="C53" s="823" t="s">
        <v>573</v>
      </c>
      <c r="D53" s="780" t="s">
        <v>574</v>
      </c>
      <c r="E53" s="80" t="s">
        <v>555</v>
      </c>
      <c r="F53" s="152">
        <v>0</v>
      </c>
      <c r="G53" s="152">
        <v>0</v>
      </c>
      <c r="H53" s="152">
        <v>0</v>
      </c>
      <c r="I53" s="152">
        <v>0</v>
      </c>
      <c r="J53" s="152">
        <v>0</v>
      </c>
      <c r="K53" s="118">
        <v>1</v>
      </c>
      <c r="L53" s="152">
        <v>0.5</v>
      </c>
      <c r="M53" s="152">
        <v>1</v>
      </c>
      <c r="N53" s="152">
        <v>0.5</v>
      </c>
      <c r="O53" s="152">
        <v>1</v>
      </c>
      <c r="P53" s="152">
        <v>0.5</v>
      </c>
      <c r="Q53" s="152">
        <v>1</v>
      </c>
      <c r="R53" s="152">
        <v>0.5</v>
      </c>
      <c r="S53" s="152">
        <v>1</v>
      </c>
      <c r="T53" s="152">
        <v>0.5</v>
      </c>
      <c r="U53" s="152">
        <v>1</v>
      </c>
      <c r="V53" s="152">
        <v>0.5</v>
      </c>
      <c r="W53" s="152">
        <v>1</v>
      </c>
      <c r="X53" s="152">
        <v>0.5</v>
      </c>
      <c r="Y53" s="152">
        <v>0</v>
      </c>
      <c r="Z53" s="152">
        <v>0</v>
      </c>
      <c r="AA53" s="152">
        <v>0</v>
      </c>
      <c r="AB53" s="152">
        <v>0</v>
      </c>
      <c r="AC53" s="153">
        <v>0</v>
      </c>
      <c r="AD53" s="35"/>
      <c r="AE53" s="35"/>
      <c r="AF53" s="35"/>
      <c r="AG53" s="35"/>
      <c r="AH53" s="35"/>
      <c r="AI53" s="35"/>
      <c r="AJ53" s="35"/>
      <c r="AK53" s="35"/>
    </row>
    <row r="54" spans="1:41" ht="30.6" customHeight="1" thickBot="1" x14ac:dyDescent="0.35">
      <c r="A54" s="765"/>
      <c r="B54" s="756"/>
      <c r="C54" s="789"/>
      <c r="D54" s="759"/>
      <c r="E54" s="81" t="s">
        <v>556</v>
      </c>
      <c r="F54" s="154">
        <v>0</v>
      </c>
      <c r="G54" s="154">
        <v>0</v>
      </c>
      <c r="H54" s="154">
        <v>0</v>
      </c>
      <c r="I54" s="154">
        <v>0</v>
      </c>
      <c r="J54" s="154">
        <v>0</v>
      </c>
      <c r="K54" s="154">
        <v>0</v>
      </c>
      <c r="L54" s="234">
        <v>0.5</v>
      </c>
      <c r="M54" s="235">
        <v>1</v>
      </c>
      <c r="N54" s="235">
        <v>0.5</v>
      </c>
      <c r="O54" s="154">
        <v>1</v>
      </c>
      <c r="P54" s="154">
        <v>0.5</v>
      </c>
      <c r="Q54" s="154">
        <v>1</v>
      </c>
      <c r="R54" s="154">
        <v>0.5</v>
      </c>
      <c r="S54" s="154">
        <v>1</v>
      </c>
      <c r="T54" s="154">
        <v>0.5</v>
      </c>
      <c r="U54" s="154">
        <v>1</v>
      </c>
      <c r="V54" s="154">
        <v>0.5</v>
      </c>
      <c r="W54" s="154">
        <v>1</v>
      </c>
      <c r="X54" s="154">
        <v>0.5</v>
      </c>
      <c r="Y54" s="154">
        <v>0</v>
      </c>
      <c r="Z54" s="154">
        <v>0</v>
      </c>
      <c r="AA54" s="154">
        <v>0</v>
      </c>
      <c r="AB54" s="154">
        <v>0</v>
      </c>
      <c r="AC54" s="155">
        <v>0</v>
      </c>
      <c r="AD54" s="35"/>
      <c r="AE54" s="35"/>
      <c r="AF54" s="35"/>
      <c r="AG54" s="35"/>
      <c r="AH54" s="35"/>
      <c r="AI54" s="35"/>
      <c r="AJ54" s="35"/>
      <c r="AK54" s="35"/>
    </row>
    <row r="55" spans="1:41" ht="30.6" customHeight="1" thickBot="1" x14ac:dyDescent="0.35">
      <c r="A55" s="765"/>
      <c r="B55" s="756"/>
      <c r="C55" s="789"/>
      <c r="D55" s="759"/>
      <c r="E55" s="87" t="s">
        <v>557</v>
      </c>
      <c r="F55" s="157">
        <v>0</v>
      </c>
      <c r="G55" s="157">
        <v>0</v>
      </c>
      <c r="H55" s="157">
        <v>0</v>
      </c>
      <c r="I55" s="157">
        <v>0</v>
      </c>
      <c r="J55" s="157">
        <v>0</v>
      </c>
      <c r="K55" s="157">
        <v>0</v>
      </c>
      <c r="L55" s="243">
        <v>0.5</v>
      </c>
      <c r="M55" s="243">
        <v>1</v>
      </c>
      <c r="N55" s="243">
        <v>0.5</v>
      </c>
      <c r="O55" s="157">
        <v>1</v>
      </c>
      <c r="P55" s="157">
        <v>0.5</v>
      </c>
      <c r="Q55" s="157">
        <v>1</v>
      </c>
      <c r="R55" s="157">
        <v>0.5</v>
      </c>
      <c r="S55" s="157">
        <v>1</v>
      </c>
      <c r="T55" s="157">
        <v>0.5</v>
      </c>
      <c r="U55" s="157">
        <v>1</v>
      </c>
      <c r="V55" s="157">
        <v>0.5</v>
      </c>
      <c r="W55" s="157">
        <v>1</v>
      </c>
      <c r="X55" s="157">
        <v>0.5</v>
      </c>
      <c r="Y55" s="157">
        <v>0</v>
      </c>
      <c r="Z55" s="157">
        <v>0</v>
      </c>
      <c r="AA55" s="157">
        <v>0</v>
      </c>
      <c r="AB55" s="157">
        <v>0</v>
      </c>
      <c r="AC55" s="158">
        <v>0</v>
      </c>
      <c r="AD55" s="35"/>
      <c r="AE55" s="35"/>
      <c r="AF55" s="35"/>
      <c r="AG55" s="35"/>
      <c r="AH55" s="35"/>
      <c r="AI55" s="35"/>
      <c r="AJ55" s="35"/>
      <c r="AK55" s="35"/>
    </row>
    <row r="56" spans="1:41" ht="30.6" customHeight="1" x14ac:dyDescent="0.3">
      <c r="A56" s="765" t="s">
        <v>107</v>
      </c>
      <c r="B56" s="756" t="s">
        <v>107</v>
      </c>
      <c r="C56" s="783" t="s">
        <v>567</v>
      </c>
      <c r="D56" s="759" t="s">
        <v>568</v>
      </c>
      <c r="E56" s="91" t="s">
        <v>555</v>
      </c>
      <c r="F56" s="92">
        <v>0.9</v>
      </c>
      <c r="G56" s="92">
        <v>0.9</v>
      </c>
      <c r="H56" s="92">
        <v>0.9</v>
      </c>
      <c r="I56" s="92">
        <v>0.9</v>
      </c>
      <c r="J56" s="92">
        <v>0.9</v>
      </c>
      <c r="K56" s="92">
        <v>0.9</v>
      </c>
      <c r="L56" s="92">
        <v>0.9</v>
      </c>
      <c r="M56" s="92">
        <v>0.9</v>
      </c>
      <c r="N56" s="92">
        <v>0.9</v>
      </c>
      <c r="O56" s="92">
        <v>0.9</v>
      </c>
      <c r="P56" s="92">
        <v>0.9</v>
      </c>
      <c r="Q56" s="92">
        <v>0.9</v>
      </c>
      <c r="R56" s="92">
        <v>0.9</v>
      </c>
      <c r="S56" s="92">
        <v>0.9</v>
      </c>
      <c r="T56" s="92">
        <v>0.9</v>
      </c>
      <c r="U56" s="92">
        <v>0.9</v>
      </c>
      <c r="V56" s="92">
        <v>0.9</v>
      </c>
      <c r="W56" s="92">
        <v>0.9</v>
      </c>
      <c r="X56" s="92">
        <v>0.9</v>
      </c>
      <c r="Y56" s="92">
        <v>0.9</v>
      </c>
      <c r="Z56" s="92">
        <v>0.9</v>
      </c>
      <c r="AA56" s="92">
        <v>0.9</v>
      </c>
      <c r="AB56" s="92">
        <v>0.9</v>
      </c>
      <c r="AC56" s="93">
        <v>0.9</v>
      </c>
      <c r="AD56" s="35"/>
      <c r="AE56" s="35"/>
      <c r="AF56" s="35"/>
      <c r="AG56" s="35"/>
      <c r="AH56" s="35"/>
      <c r="AI56" s="35"/>
      <c r="AJ56" s="35"/>
      <c r="AK56" s="35"/>
    </row>
    <row r="57" spans="1:41" ht="30.6" customHeight="1" x14ac:dyDescent="0.3">
      <c r="A57" s="834"/>
      <c r="B57" s="775"/>
      <c r="C57" s="778"/>
      <c r="D57" s="780"/>
      <c r="E57" s="94" t="s">
        <v>556</v>
      </c>
      <c r="F57" s="95">
        <v>0.9</v>
      </c>
      <c r="G57" s="95">
        <v>0.9</v>
      </c>
      <c r="H57" s="95">
        <v>0.9</v>
      </c>
      <c r="I57" s="95">
        <v>0.9</v>
      </c>
      <c r="J57" s="95">
        <v>0.9</v>
      </c>
      <c r="K57" s="95">
        <v>0.9</v>
      </c>
      <c r="L57" s="95">
        <v>0.9</v>
      </c>
      <c r="M57" s="95">
        <v>0.9</v>
      </c>
      <c r="N57" s="95">
        <v>0.9</v>
      </c>
      <c r="O57" s="95">
        <v>0.9</v>
      </c>
      <c r="P57" s="95">
        <v>0.9</v>
      </c>
      <c r="Q57" s="95">
        <v>0.9</v>
      </c>
      <c r="R57" s="95">
        <v>0.9</v>
      </c>
      <c r="S57" s="95">
        <v>0.9</v>
      </c>
      <c r="T57" s="95">
        <v>0.9</v>
      </c>
      <c r="U57" s="95">
        <v>0.9</v>
      </c>
      <c r="V57" s="95">
        <v>0.9</v>
      </c>
      <c r="W57" s="95">
        <v>0.9</v>
      </c>
      <c r="X57" s="95">
        <v>0.9</v>
      </c>
      <c r="Y57" s="95">
        <v>0.9</v>
      </c>
      <c r="Z57" s="95">
        <v>0.9</v>
      </c>
      <c r="AA57" s="95">
        <v>0.9</v>
      </c>
      <c r="AB57" s="95">
        <v>0.9</v>
      </c>
      <c r="AC57" s="96">
        <v>0.9</v>
      </c>
      <c r="AD57" s="35"/>
      <c r="AE57" s="35"/>
      <c r="AF57" s="35"/>
      <c r="AG57" s="35"/>
      <c r="AH57" s="35"/>
      <c r="AI57" s="35"/>
      <c r="AJ57" s="35"/>
      <c r="AK57" s="35"/>
    </row>
    <row r="58" spans="1:41" ht="30.6" customHeight="1" thickBot="1" x14ac:dyDescent="0.35">
      <c r="A58" s="835"/>
      <c r="B58" s="776"/>
      <c r="C58" s="779"/>
      <c r="D58" s="781"/>
      <c r="E58" s="100" t="s">
        <v>557</v>
      </c>
      <c r="F58" s="101">
        <v>0.9</v>
      </c>
      <c r="G58" s="101">
        <v>0.9</v>
      </c>
      <c r="H58" s="101">
        <v>0.9</v>
      </c>
      <c r="I58" s="101">
        <v>0.9</v>
      </c>
      <c r="J58" s="101">
        <v>0.9</v>
      </c>
      <c r="K58" s="101">
        <v>0.9</v>
      </c>
      <c r="L58" s="101">
        <v>0.9</v>
      </c>
      <c r="M58" s="101">
        <v>0.9</v>
      </c>
      <c r="N58" s="101">
        <v>0.9</v>
      </c>
      <c r="O58" s="101">
        <v>0.9</v>
      </c>
      <c r="P58" s="101">
        <v>0.9</v>
      </c>
      <c r="Q58" s="101">
        <v>0.9</v>
      </c>
      <c r="R58" s="101">
        <v>0.9</v>
      </c>
      <c r="S58" s="101">
        <v>0.9</v>
      </c>
      <c r="T58" s="101">
        <v>0.9</v>
      </c>
      <c r="U58" s="101">
        <v>0.9</v>
      </c>
      <c r="V58" s="101">
        <v>0.9</v>
      </c>
      <c r="W58" s="101">
        <v>0.9</v>
      </c>
      <c r="X58" s="101">
        <v>0.9</v>
      </c>
      <c r="Y58" s="101">
        <v>0.9</v>
      </c>
      <c r="Z58" s="101">
        <v>0.9</v>
      </c>
      <c r="AA58" s="101">
        <v>0.9</v>
      </c>
      <c r="AB58" s="101">
        <v>0.9</v>
      </c>
      <c r="AC58" s="102">
        <v>0.9</v>
      </c>
      <c r="AD58" s="35"/>
      <c r="AE58" s="35"/>
      <c r="AF58" s="35"/>
      <c r="AG58" s="35"/>
      <c r="AH58" s="35"/>
      <c r="AI58" s="35"/>
      <c r="AJ58" s="35"/>
      <c r="AK58" s="35"/>
    </row>
    <row r="59" spans="1:41" ht="30.6" customHeight="1" x14ac:dyDescent="0.3">
      <c r="A59" s="765" t="s">
        <v>107</v>
      </c>
      <c r="B59" s="756" t="s">
        <v>107</v>
      </c>
      <c r="C59" s="777" t="s">
        <v>575</v>
      </c>
      <c r="D59" s="759" t="s">
        <v>576</v>
      </c>
      <c r="E59" s="103" t="s">
        <v>555</v>
      </c>
      <c r="F59" s="104">
        <v>0.5</v>
      </c>
      <c r="G59" s="104">
        <v>0</v>
      </c>
      <c r="H59" s="104">
        <v>0</v>
      </c>
      <c r="I59" s="104">
        <v>0</v>
      </c>
      <c r="J59" s="104">
        <v>0</v>
      </c>
      <c r="K59" s="104">
        <v>0</v>
      </c>
      <c r="L59" s="244">
        <v>0.5</v>
      </c>
      <c r="M59" s="244">
        <v>0.9</v>
      </c>
      <c r="N59" s="244">
        <v>0.9</v>
      </c>
      <c r="O59" s="244">
        <v>0.9</v>
      </c>
      <c r="P59" s="104">
        <v>0.9</v>
      </c>
      <c r="Q59" s="104">
        <v>0.9</v>
      </c>
      <c r="R59" s="104">
        <v>0.9</v>
      </c>
      <c r="S59" s="104">
        <v>0.9</v>
      </c>
      <c r="T59" s="104">
        <v>0.75</v>
      </c>
      <c r="U59" s="104">
        <v>0.75</v>
      </c>
      <c r="V59" s="104">
        <v>0.75</v>
      </c>
      <c r="W59" s="104">
        <v>0.9</v>
      </c>
      <c r="X59" s="104">
        <v>0.9</v>
      </c>
      <c r="Y59" s="104">
        <v>0.9</v>
      </c>
      <c r="Z59" s="104">
        <v>0.9</v>
      </c>
      <c r="AA59" s="104">
        <v>0.75</v>
      </c>
      <c r="AB59" s="104">
        <v>0.5</v>
      </c>
      <c r="AC59" s="105">
        <v>0.5</v>
      </c>
      <c r="AD59" s="35"/>
      <c r="AE59" s="35"/>
      <c r="AF59" s="35"/>
      <c r="AG59" s="35"/>
      <c r="AH59" s="35"/>
      <c r="AI59" s="35"/>
      <c r="AJ59" s="35"/>
      <c r="AK59" s="35"/>
    </row>
    <row r="60" spans="1:41" ht="30.6" customHeight="1" x14ac:dyDescent="0.3">
      <c r="A60" s="834"/>
      <c r="B60" s="775"/>
      <c r="C60" s="778"/>
      <c r="D60" s="780"/>
      <c r="E60" s="94" t="s">
        <v>556</v>
      </c>
      <c r="F60" s="95">
        <v>0.5</v>
      </c>
      <c r="G60" s="95">
        <v>0</v>
      </c>
      <c r="H60" s="95">
        <v>0</v>
      </c>
      <c r="I60" s="95">
        <v>0</v>
      </c>
      <c r="J60" s="95">
        <v>0</v>
      </c>
      <c r="K60" s="95">
        <v>0</v>
      </c>
      <c r="L60" s="241">
        <v>0.5</v>
      </c>
      <c r="M60" s="241">
        <v>0.9</v>
      </c>
      <c r="N60" s="241">
        <v>0.9</v>
      </c>
      <c r="O60" s="241">
        <v>0.9</v>
      </c>
      <c r="P60" s="95">
        <v>0.9</v>
      </c>
      <c r="Q60" s="95">
        <v>0.9</v>
      </c>
      <c r="R60" s="95">
        <v>0.9</v>
      </c>
      <c r="S60" s="95">
        <v>0.9</v>
      </c>
      <c r="T60" s="95">
        <v>0.75</v>
      </c>
      <c r="U60" s="95">
        <v>0.75</v>
      </c>
      <c r="V60" s="95">
        <v>0.75</v>
      </c>
      <c r="W60" s="95">
        <v>0.9</v>
      </c>
      <c r="X60" s="95">
        <v>0.9</v>
      </c>
      <c r="Y60" s="95">
        <v>0.9</v>
      </c>
      <c r="Z60" s="95">
        <v>0.9</v>
      </c>
      <c r="AA60" s="95">
        <v>0.75</v>
      </c>
      <c r="AB60" s="95">
        <v>0.75</v>
      </c>
      <c r="AC60" s="96">
        <v>0.5</v>
      </c>
      <c r="AD60" s="35"/>
      <c r="AE60" s="35"/>
      <c r="AF60" s="35"/>
      <c r="AG60" s="35"/>
      <c r="AH60" s="35"/>
      <c r="AI60" s="35"/>
      <c r="AJ60" s="35"/>
      <c r="AK60" s="35"/>
    </row>
    <row r="61" spans="1:41" ht="30.6" customHeight="1" thickBot="1" x14ac:dyDescent="0.35">
      <c r="A61" s="835"/>
      <c r="B61" s="776"/>
      <c r="C61" s="779"/>
      <c r="D61" s="781"/>
      <c r="E61" s="100" t="s">
        <v>557</v>
      </c>
      <c r="F61" s="101">
        <v>0.5</v>
      </c>
      <c r="G61" s="101">
        <v>0</v>
      </c>
      <c r="H61" s="101">
        <v>0</v>
      </c>
      <c r="I61" s="101">
        <v>0</v>
      </c>
      <c r="J61" s="101">
        <v>0</v>
      </c>
      <c r="K61" s="101">
        <v>0</v>
      </c>
      <c r="L61" s="245">
        <v>0.5</v>
      </c>
      <c r="M61" s="245">
        <v>0.9</v>
      </c>
      <c r="N61" s="245">
        <v>0.9</v>
      </c>
      <c r="O61" s="245">
        <v>0.9</v>
      </c>
      <c r="P61" s="101">
        <v>0.9</v>
      </c>
      <c r="Q61" s="101">
        <v>0.9</v>
      </c>
      <c r="R61" s="101">
        <v>0.9</v>
      </c>
      <c r="S61" s="101">
        <v>0.9</v>
      </c>
      <c r="T61" s="101">
        <v>0.75</v>
      </c>
      <c r="U61" s="101">
        <v>0.75</v>
      </c>
      <c r="V61" s="101">
        <v>0.75</v>
      </c>
      <c r="W61" s="101">
        <v>0.9</v>
      </c>
      <c r="X61" s="101">
        <v>0.9</v>
      </c>
      <c r="Y61" s="101">
        <v>0.9</v>
      </c>
      <c r="Z61" s="101">
        <v>0.9</v>
      </c>
      <c r="AA61" s="101">
        <v>0.75</v>
      </c>
      <c r="AB61" s="101">
        <v>0.5</v>
      </c>
      <c r="AC61" s="102">
        <v>0.5</v>
      </c>
      <c r="AD61" s="35"/>
      <c r="AE61" s="35"/>
      <c r="AF61" s="35"/>
      <c r="AG61" s="35"/>
      <c r="AH61" s="35"/>
      <c r="AI61" s="35"/>
      <c r="AJ61" s="35"/>
      <c r="AK61" s="35"/>
    </row>
    <row r="62" spans="1:41" ht="30.6" customHeight="1" x14ac:dyDescent="0.3">
      <c r="A62" s="814" t="str">
        <f>A56</f>
        <v>Kitchen</v>
      </c>
      <c r="B62" s="817" t="str">
        <f>B56</f>
        <v>Kitchen</v>
      </c>
      <c r="C62" s="821" t="s">
        <v>569</v>
      </c>
      <c r="D62" s="831" t="s">
        <v>577</v>
      </c>
      <c r="E62" s="365" t="s">
        <v>555</v>
      </c>
      <c r="F62" s="325">
        <f>IF(F41=1,Thermostat!$C$7,Thermostat!$C$8)</f>
        <v>66</v>
      </c>
      <c r="G62" s="325">
        <f>IF(G41=1,Thermostat!$C$7,Thermostat!$C$8)</f>
        <v>60</v>
      </c>
      <c r="H62" s="325">
        <f>IF(H41=1,Thermostat!$C$7,Thermostat!$C$8)</f>
        <v>60</v>
      </c>
      <c r="I62" s="325">
        <f>IF(I41=1,Thermostat!$C$7,Thermostat!$C$8)</f>
        <v>60</v>
      </c>
      <c r="J62" s="325">
        <f>IF(J41=1,Thermostat!$C$7,Thermostat!$C$8)</f>
        <v>66</v>
      </c>
      <c r="K62" s="325">
        <f>IF(K41=1,Thermostat!$C$7,Thermostat!$C$8)</f>
        <v>66</v>
      </c>
      <c r="L62" s="325">
        <f>IF(L41=1,Thermostat!$C$7,Thermostat!$C$8)</f>
        <v>66</v>
      </c>
      <c r="M62" s="325">
        <f>IF(M41=1,Thermostat!$C$7,Thermostat!$C$8)</f>
        <v>66</v>
      </c>
      <c r="N62" s="325">
        <f>IF(N41=1,Thermostat!$C$7,Thermostat!$C$8)</f>
        <v>66</v>
      </c>
      <c r="O62" s="325">
        <f>IF(O41=1,Thermostat!$C$7,Thermostat!$C$8)</f>
        <v>66</v>
      </c>
      <c r="P62" s="325">
        <f>IF(P41=1,Thermostat!$C$7,Thermostat!$C$8)</f>
        <v>66</v>
      </c>
      <c r="Q62" s="325">
        <f>IF(Q41=1,Thermostat!$C$7,Thermostat!$C$8)</f>
        <v>66</v>
      </c>
      <c r="R62" s="325">
        <f>IF(R41=1,Thermostat!$C$7,Thermostat!$C$8)</f>
        <v>66</v>
      </c>
      <c r="S62" s="325">
        <f>IF(S41=1,Thermostat!$C$7,Thermostat!$C$8)</f>
        <v>66</v>
      </c>
      <c r="T62" s="325">
        <f>IF(T41=1,Thermostat!$C$7,Thermostat!$C$8)</f>
        <v>66</v>
      </c>
      <c r="U62" s="325">
        <f>IF(U41=1,Thermostat!$C$7,Thermostat!$C$8)</f>
        <v>66</v>
      </c>
      <c r="V62" s="325">
        <f>IF(V41=1,Thermostat!$C$7,Thermostat!$C$8)</f>
        <v>66</v>
      </c>
      <c r="W62" s="325">
        <f>IF(W41=1,Thermostat!$C$7,Thermostat!$C$8)</f>
        <v>66</v>
      </c>
      <c r="X62" s="325">
        <f>IF(X41=1,Thermostat!$C$7,Thermostat!$C$8)</f>
        <v>66</v>
      </c>
      <c r="Y62" s="325">
        <f>IF(Y41=1,Thermostat!$C$7,Thermostat!$C$8)</f>
        <v>66</v>
      </c>
      <c r="Z62" s="325">
        <f>IF(Z41=1,Thermostat!$C$7,Thermostat!$C$8)</f>
        <v>66</v>
      </c>
      <c r="AA62" s="325">
        <f>IF(AA41=1,Thermostat!$C$7,Thermostat!$C$8)</f>
        <v>66</v>
      </c>
      <c r="AB62" s="325">
        <f>IF(AB41=1,Thermostat!$C$7,Thermostat!$C$8)</f>
        <v>66</v>
      </c>
      <c r="AC62" s="326">
        <f>IF(AC41=1,Thermostat!$C$7,Thermostat!$C$8)</f>
        <v>66</v>
      </c>
      <c r="AD62" s="35"/>
      <c r="AE62" s="35"/>
      <c r="AF62" s="35"/>
      <c r="AG62" s="35"/>
      <c r="AH62" s="35"/>
      <c r="AI62" s="35"/>
      <c r="AJ62" s="35"/>
      <c r="AK62" s="35"/>
    </row>
    <row r="63" spans="1:41" ht="30.6" customHeight="1" x14ac:dyDescent="0.3">
      <c r="A63" s="825"/>
      <c r="B63" s="827"/>
      <c r="C63" s="829"/>
      <c r="D63" s="832"/>
      <c r="E63" s="366" t="s">
        <v>556</v>
      </c>
      <c r="F63" s="311">
        <f>IF(F42=1,Thermostat!$C$7,Thermostat!$C$8)</f>
        <v>66</v>
      </c>
      <c r="G63" s="311">
        <f>IF(G42=1,Thermostat!$C$7,Thermostat!$C$8)</f>
        <v>60</v>
      </c>
      <c r="H63" s="311">
        <f>IF(H42=1,Thermostat!$C$7,Thermostat!$C$8)</f>
        <v>60</v>
      </c>
      <c r="I63" s="311">
        <f>IF(I42=1,Thermostat!$C$7,Thermostat!$C$8)</f>
        <v>60</v>
      </c>
      <c r="J63" s="311">
        <f>IF(J42=1,Thermostat!$C$7,Thermostat!$C$8)</f>
        <v>60</v>
      </c>
      <c r="K63" s="311">
        <f>IF(K42=1,Thermostat!$C$7,Thermostat!$C$8)</f>
        <v>66</v>
      </c>
      <c r="L63" s="311">
        <f>IF(L42=1,Thermostat!$C$7,Thermostat!$C$8)</f>
        <v>66</v>
      </c>
      <c r="M63" s="311">
        <f>IF(M42=1,Thermostat!$C$7,Thermostat!$C$8)</f>
        <v>66</v>
      </c>
      <c r="N63" s="311">
        <f>IF(N42=1,Thermostat!$C$7,Thermostat!$C$8)</f>
        <v>66</v>
      </c>
      <c r="O63" s="311">
        <f>IF(O42=1,Thermostat!$C$7,Thermostat!$C$8)</f>
        <v>66</v>
      </c>
      <c r="P63" s="311">
        <f>IF(P42=1,Thermostat!$C$7,Thermostat!$C$8)</f>
        <v>66</v>
      </c>
      <c r="Q63" s="311">
        <f>IF(Q42=1,Thermostat!$C$7,Thermostat!$C$8)</f>
        <v>66</v>
      </c>
      <c r="R63" s="311">
        <f>IF(R42=1,Thermostat!$C$7,Thermostat!$C$8)</f>
        <v>66</v>
      </c>
      <c r="S63" s="311">
        <f>IF(S42=1,Thermostat!$C$7,Thermostat!$C$8)</f>
        <v>66</v>
      </c>
      <c r="T63" s="311">
        <f>IF(T42=1,Thermostat!$C$7,Thermostat!$C$8)</f>
        <v>66</v>
      </c>
      <c r="U63" s="311">
        <f>IF(U42=1,Thermostat!$C$7,Thermostat!$C$8)</f>
        <v>66</v>
      </c>
      <c r="V63" s="311">
        <f>IF(V42=1,Thermostat!$C$7,Thermostat!$C$8)</f>
        <v>66</v>
      </c>
      <c r="W63" s="311">
        <f>IF(W42=1,Thermostat!$C$7,Thermostat!$C$8)</f>
        <v>66</v>
      </c>
      <c r="X63" s="311">
        <f>IF(X42=1,Thermostat!$C$7,Thermostat!$C$8)</f>
        <v>66</v>
      </c>
      <c r="Y63" s="311">
        <f>IF(Y42=1,Thermostat!$C$7,Thermostat!$C$8)</f>
        <v>66</v>
      </c>
      <c r="Z63" s="311">
        <f>IF(Z42=1,Thermostat!$C$7,Thermostat!$C$8)</f>
        <v>66</v>
      </c>
      <c r="AA63" s="311">
        <f>IF(AA42=1,Thermostat!$C$7,Thermostat!$C$8)</f>
        <v>66</v>
      </c>
      <c r="AB63" s="311">
        <f>IF(AB42=1,Thermostat!$C$7,Thermostat!$C$8)</f>
        <v>66</v>
      </c>
      <c r="AC63" s="327">
        <f>IF(AC42=1,Thermostat!$C$7,Thermostat!$C$8)</f>
        <v>66</v>
      </c>
      <c r="AD63" s="35"/>
      <c r="AE63" s="35"/>
      <c r="AF63" s="35"/>
      <c r="AG63" s="35"/>
      <c r="AH63" s="35"/>
      <c r="AI63" s="35"/>
      <c r="AJ63" s="35"/>
      <c r="AK63" s="35"/>
    </row>
    <row r="64" spans="1:41" ht="30.6" customHeight="1" thickBot="1" x14ac:dyDescent="0.35">
      <c r="A64" s="826"/>
      <c r="B64" s="828"/>
      <c r="C64" s="830"/>
      <c r="D64" s="833"/>
      <c r="E64" s="367" t="s">
        <v>557</v>
      </c>
      <c r="F64" s="311">
        <f>IF(F43=1,Thermostat!$C$7,Thermostat!$C$8)</f>
        <v>66</v>
      </c>
      <c r="G64" s="311">
        <f>IF(G43=1,Thermostat!$C$7,Thermostat!$C$8)</f>
        <v>60</v>
      </c>
      <c r="H64" s="311">
        <f>IF(H43=1,Thermostat!$C$7,Thermostat!$C$8)</f>
        <v>60</v>
      </c>
      <c r="I64" s="311">
        <f>IF(I43=1,Thermostat!$C$7,Thermostat!$C$8)</f>
        <v>60</v>
      </c>
      <c r="J64" s="311">
        <f>IF(J43=1,Thermostat!$C$7,Thermostat!$C$8)</f>
        <v>60</v>
      </c>
      <c r="K64" s="311">
        <f>IF(K43=1,Thermostat!$C$7,Thermostat!$C$8)</f>
        <v>66</v>
      </c>
      <c r="L64" s="311">
        <f>IF(L43=1,Thermostat!$C$7,Thermostat!$C$8)</f>
        <v>66</v>
      </c>
      <c r="M64" s="311">
        <f>IF(M43=1,Thermostat!$C$7,Thermostat!$C$8)</f>
        <v>66</v>
      </c>
      <c r="N64" s="311">
        <f>IF(N43=1,Thermostat!$C$7,Thermostat!$C$8)</f>
        <v>66</v>
      </c>
      <c r="O64" s="311">
        <f>IF(O43=1,Thermostat!$C$7,Thermostat!$C$8)</f>
        <v>66</v>
      </c>
      <c r="P64" s="311">
        <f>IF(P43=1,Thermostat!$C$7,Thermostat!$C$8)</f>
        <v>66</v>
      </c>
      <c r="Q64" s="311">
        <f>IF(Q43=1,Thermostat!$C$7,Thermostat!$C$8)</f>
        <v>66</v>
      </c>
      <c r="R64" s="311">
        <f>IF(R43=1,Thermostat!$C$7,Thermostat!$C$8)</f>
        <v>66</v>
      </c>
      <c r="S64" s="311">
        <f>IF(S43=1,Thermostat!$C$7,Thermostat!$C$8)</f>
        <v>66</v>
      </c>
      <c r="T64" s="311">
        <f>IF(T43=1,Thermostat!$C$7,Thermostat!$C$8)</f>
        <v>66</v>
      </c>
      <c r="U64" s="311">
        <f>IF(U43=1,Thermostat!$C$7,Thermostat!$C$8)</f>
        <v>66</v>
      </c>
      <c r="V64" s="311">
        <f>IF(V43=1,Thermostat!$C$7,Thermostat!$C$8)</f>
        <v>66</v>
      </c>
      <c r="W64" s="311">
        <f>IF(W43=1,Thermostat!$C$7,Thermostat!$C$8)</f>
        <v>66</v>
      </c>
      <c r="X64" s="311">
        <f>IF(X43=1,Thermostat!$C$7,Thermostat!$C$8)</f>
        <v>66</v>
      </c>
      <c r="Y64" s="311">
        <f>IF(Y43=1,Thermostat!$C$7,Thermostat!$C$8)</f>
        <v>66</v>
      </c>
      <c r="Z64" s="311">
        <f>IF(Z43=1,Thermostat!$C$7,Thermostat!$C$8)</f>
        <v>66</v>
      </c>
      <c r="AA64" s="311">
        <f>IF(AA43=1,Thermostat!$C$7,Thermostat!$C$8)</f>
        <v>66</v>
      </c>
      <c r="AB64" s="311">
        <f>IF(AB43=1,Thermostat!$C$7,Thermostat!$C$8)</f>
        <v>66</v>
      </c>
      <c r="AC64" s="327">
        <f>IF(AC43=1,Thermostat!$C$7,Thermostat!$C$8)</f>
        <v>66</v>
      </c>
      <c r="AD64" s="35"/>
      <c r="AE64" s="35"/>
      <c r="AF64" s="35"/>
      <c r="AG64" s="35"/>
      <c r="AH64" s="35"/>
      <c r="AI64" s="35"/>
      <c r="AJ64" s="35"/>
      <c r="AK64" s="35"/>
    </row>
    <row r="65" spans="1:37" ht="30.6" customHeight="1" x14ac:dyDescent="0.3">
      <c r="A65" s="813" t="str">
        <f>A59</f>
        <v>Kitchen</v>
      </c>
      <c r="B65" s="816" t="str">
        <f>B59</f>
        <v>Kitchen</v>
      </c>
      <c r="C65" s="820" t="s">
        <v>570</v>
      </c>
      <c r="D65" s="848" t="s">
        <v>577</v>
      </c>
      <c r="E65" s="368" t="s">
        <v>555</v>
      </c>
      <c r="F65" s="315">
        <f>IF(F41=1,Thermostat!$C$9,Thermostat!$C$10)</f>
        <v>79</v>
      </c>
      <c r="G65" s="315">
        <f>IF(G41=1,Thermostat!$C$9,Thermostat!$C$10)</f>
        <v>86</v>
      </c>
      <c r="H65" s="315">
        <f>IF(H41=1,Thermostat!$C$9,Thermostat!$C$10)</f>
        <v>86</v>
      </c>
      <c r="I65" s="315">
        <f>IF(I41=1,Thermostat!$C$9,Thermostat!$C$10)</f>
        <v>86</v>
      </c>
      <c r="J65" s="315">
        <f>IF(J41=1,Thermostat!$C$9,Thermostat!$C$10)</f>
        <v>79</v>
      </c>
      <c r="K65" s="315">
        <f>IF(K41=1,Thermostat!$C$9,Thermostat!$C$10)</f>
        <v>79</v>
      </c>
      <c r="L65" s="315">
        <f>IF(L41=1,Thermostat!$C$9,Thermostat!$C$10)</f>
        <v>79</v>
      </c>
      <c r="M65" s="315">
        <f>IF(M41=1,Thermostat!$C$9,Thermostat!$C$10)</f>
        <v>79</v>
      </c>
      <c r="N65" s="315">
        <f>IF(N41=1,Thermostat!$C$9,Thermostat!$C$10)</f>
        <v>79</v>
      </c>
      <c r="O65" s="315">
        <f>IF(O41=1,Thermostat!$C$9,Thermostat!$C$10)</f>
        <v>79</v>
      </c>
      <c r="P65" s="315">
        <f>IF(P41=1,Thermostat!$C$9,Thermostat!$C$10)</f>
        <v>79</v>
      </c>
      <c r="Q65" s="315">
        <f>IF(Q41=1,Thermostat!$C$9,Thermostat!$C$10)</f>
        <v>79</v>
      </c>
      <c r="R65" s="315">
        <f>IF(R41=1,Thermostat!$C$9,Thermostat!$C$10)</f>
        <v>79</v>
      </c>
      <c r="S65" s="315">
        <f>IF(S41=1,Thermostat!$C$9,Thermostat!$C$10)</f>
        <v>79</v>
      </c>
      <c r="T65" s="315">
        <f>IF(T41=1,Thermostat!$C$9,Thermostat!$C$10)</f>
        <v>79</v>
      </c>
      <c r="U65" s="315">
        <f>IF(U41=1,Thermostat!$C$9,Thermostat!$C$10)</f>
        <v>79</v>
      </c>
      <c r="V65" s="315">
        <f>IF(V41=1,Thermostat!$C$9,Thermostat!$C$10)</f>
        <v>79</v>
      </c>
      <c r="W65" s="315">
        <f>IF(W41=1,Thermostat!$C$9,Thermostat!$C$10)</f>
        <v>79</v>
      </c>
      <c r="X65" s="315">
        <f>IF(X41=1,Thermostat!$C$9,Thermostat!$C$10)</f>
        <v>79</v>
      </c>
      <c r="Y65" s="315">
        <f>IF(Y41=1,Thermostat!$C$9,Thermostat!$C$10)</f>
        <v>79</v>
      </c>
      <c r="Z65" s="315">
        <f>IF(Z41=1,Thermostat!$C$9,Thermostat!$C$10)</f>
        <v>79</v>
      </c>
      <c r="AA65" s="315">
        <f>IF(AA41=1,Thermostat!$C$9,Thermostat!$C$10)</f>
        <v>79</v>
      </c>
      <c r="AB65" s="315">
        <f>IF(AB41=1,Thermostat!$C$9,Thermostat!$C$10)</f>
        <v>79</v>
      </c>
      <c r="AC65" s="328">
        <f>IF(AC41=1,Thermostat!$C$9,Thermostat!$C$10)</f>
        <v>79</v>
      </c>
      <c r="AD65" s="35"/>
      <c r="AE65" s="35"/>
      <c r="AF65" s="35"/>
      <c r="AG65" s="35"/>
      <c r="AH65" s="35"/>
      <c r="AI65" s="35"/>
      <c r="AJ65" s="35"/>
      <c r="AK65" s="35"/>
    </row>
    <row r="66" spans="1:37" ht="30.6" customHeight="1" x14ac:dyDescent="0.3">
      <c r="A66" s="825"/>
      <c r="B66" s="827"/>
      <c r="C66" s="829"/>
      <c r="D66" s="832"/>
      <c r="E66" s="369" t="s">
        <v>556</v>
      </c>
      <c r="F66" s="318">
        <f>IF(F42=1,Thermostat!$C$9,Thermostat!$C$10)</f>
        <v>79</v>
      </c>
      <c r="G66" s="318">
        <f>IF(G42=1,Thermostat!$C$9,Thermostat!$C$10)</f>
        <v>86</v>
      </c>
      <c r="H66" s="318">
        <f>IF(H42=1,Thermostat!$C$9,Thermostat!$C$10)</f>
        <v>86</v>
      </c>
      <c r="I66" s="318">
        <f>IF(I42=1,Thermostat!$C$9,Thermostat!$C$10)</f>
        <v>86</v>
      </c>
      <c r="J66" s="318">
        <f>IF(J42=1,Thermostat!$C$9,Thermostat!$C$10)</f>
        <v>86</v>
      </c>
      <c r="K66" s="318">
        <f>IF(K42=1,Thermostat!$C$9,Thermostat!$C$10)</f>
        <v>79</v>
      </c>
      <c r="L66" s="318">
        <f>IF(L42=1,Thermostat!$C$9,Thermostat!$C$10)</f>
        <v>79</v>
      </c>
      <c r="M66" s="318">
        <f>IF(M42=1,Thermostat!$C$9,Thermostat!$C$10)</f>
        <v>79</v>
      </c>
      <c r="N66" s="318">
        <f>IF(N42=1,Thermostat!$C$9,Thermostat!$C$10)</f>
        <v>79</v>
      </c>
      <c r="O66" s="318">
        <f>IF(O42=1,Thermostat!$C$9,Thermostat!$C$10)</f>
        <v>79</v>
      </c>
      <c r="P66" s="318">
        <f>IF(P42=1,Thermostat!$C$9,Thermostat!$C$10)</f>
        <v>79</v>
      </c>
      <c r="Q66" s="318">
        <f>IF(Q42=1,Thermostat!$C$9,Thermostat!$C$10)</f>
        <v>79</v>
      </c>
      <c r="R66" s="318">
        <f>IF(R42=1,Thermostat!$C$9,Thermostat!$C$10)</f>
        <v>79</v>
      </c>
      <c r="S66" s="318">
        <f>IF(S42=1,Thermostat!$C$9,Thermostat!$C$10)</f>
        <v>79</v>
      </c>
      <c r="T66" s="318">
        <f>IF(T42=1,Thermostat!$C$9,Thermostat!$C$10)</f>
        <v>79</v>
      </c>
      <c r="U66" s="318">
        <f>IF(U42=1,Thermostat!$C$9,Thermostat!$C$10)</f>
        <v>79</v>
      </c>
      <c r="V66" s="318">
        <f>IF(V42=1,Thermostat!$C$9,Thermostat!$C$10)</f>
        <v>79</v>
      </c>
      <c r="W66" s="318">
        <f>IF(W42=1,Thermostat!$C$9,Thermostat!$C$10)</f>
        <v>79</v>
      </c>
      <c r="X66" s="318">
        <f>IF(X42=1,Thermostat!$C$9,Thermostat!$C$10)</f>
        <v>79</v>
      </c>
      <c r="Y66" s="318">
        <f>IF(Y42=1,Thermostat!$C$9,Thermostat!$C$10)</f>
        <v>79</v>
      </c>
      <c r="Z66" s="318">
        <f>IF(Z42=1,Thermostat!$C$9,Thermostat!$C$10)</f>
        <v>79</v>
      </c>
      <c r="AA66" s="318">
        <f>IF(AA42=1,Thermostat!$C$9,Thermostat!$C$10)</f>
        <v>79</v>
      </c>
      <c r="AB66" s="318">
        <f>IF(AB42=1,Thermostat!$C$9,Thermostat!$C$10)</f>
        <v>79</v>
      </c>
      <c r="AC66" s="329">
        <f>IF(AC42=1,Thermostat!$C$9,Thermostat!$C$10)</f>
        <v>79</v>
      </c>
      <c r="AD66" s="35"/>
      <c r="AE66" s="35"/>
      <c r="AF66" s="35"/>
      <c r="AG66" s="35"/>
      <c r="AH66" s="35"/>
      <c r="AI66" s="35"/>
      <c r="AJ66" s="35"/>
      <c r="AK66" s="35"/>
    </row>
    <row r="67" spans="1:37" ht="30.6" customHeight="1" thickBot="1" x14ac:dyDescent="0.35">
      <c r="A67" s="868"/>
      <c r="B67" s="869"/>
      <c r="C67" s="870"/>
      <c r="D67" s="849"/>
      <c r="E67" s="370" t="s">
        <v>557</v>
      </c>
      <c r="F67" s="330">
        <f>IF(F43=1,Thermostat!$C$9,Thermostat!$C$10)</f>
        <v>79</v>
      </c>
      <c r="G67" s="330">
        <f>IF(G43=1,Thermostat!$C$9,Thermostat!$C$10)</f>
        <v>86</v>
      </c>
      <c r="H67" s="330">
        <f>IF(H43=1,Thermostat!$C$9,Thermostat!$C$10)</f>
        <v>86</v>
      </c>
      <c r="I67" s="330">
        <f>IF(I43=1,Thermostat!$C$9,Thermostat!$C$10)</f>
        <v>86</v>
      </c>
      <c r="J67" s="330">
        <f>IF(J43=1,Thermostat!$C$9,Thermostat!$C$10)</f>
        <v>86</v>
      </c>
      <c r="K67" s="330">
        <f>IF(K43=1,Thermostat!$C$9,Thermostat!$C$10)</f>
        <v>79</v>
      </c>
      <c r="L67" s="330">
        <f>IF(L43=1,Thermostat!$C$9,Thermostat!$C$10)</f>
        <v>79</v>
      </c>
      <c r="M67" s="330">
        <f>IF(M43=1,Thermostat!$C$9,Thermostat!$C$10)</f>
        <v>79</v>
      </c>
      <c r="N67" s="330">
        <f>IF(N43=1,Thermostat!$C$9,Thermostat!$C$10)</f>
        <v>79</v>
      </c>
      <c r="O67" s="330">
        <f>IF(O43=1,Thermostat!$C$9,Thermostat!$C$10)</f>
        <v>79</v>
      </c>
      <c r="P67" s="330">
        <f>IF(P43=1,Thermostat!$C$9,Thermostat!$C$10)</f>
        <v>79</v>
      </c>
      <c r="Q67" s="330">
        <f>IF(Q43=1,Thermostat!$C$9,Thermostat!$C$10)</f>
        <v>79</v>
      </c>
      <c r="R67" s="330">
        <f>IF(R43=1,Thermostat!$C$9,Thermostat!$C$10)</f>
        <v>79</v>
      </c>
      <c r="S67" s="330">
        <f>IF(S43=1,Thermostat!$C$9,Thermostat!$C$10)</f>
        <v>79</v>
      </c>
      <c r="T67" s="330">
        <f>IF(T43=1,Thermostat!$C$9,Thermostat!$C$10)</f>
        <v>79</v>
      </c>
      <c r="U67" s="330">
        <f>IF(U43=1,Thermostat!$C$9,Thermostat!$C$10)</f>
        <v>79</v>
      </c>
      <c r="V67" s="330">
        <f>IF(V43=1,Thermostat!$C$9,Thermostat!$C$10)</f>
        <v>79</v>
      </c>
      <c r="W67" s="330">
        <f>IF(W43=1,Thermostat!$C$9,Thermostat!$C$10)</f>
        <v>79</v>
      </c>
      <c r="X67" s="330">
        <f>IF(X43=1,Thermostat!$C$9,Thermostat!$C$10)</f>
        <v>79</v>
      </c>
      <c r="Y67" s="330">
        <f>IF(Y43=1,Thermostat!$C$9,Thermostat!$C$10)</f>
        <v>79</v>
      </c>
      <c r="Z67" s="330">
        <f>IF(Z43=1,Thermostat!$C$9,Thermostat!$C$10)</f>
        <v>79</v>
      </c>
      <c r="AA67" s="330">
        <f>IF(AA43=1,Thermostat!$C$9,Thermostat!$C$10)</f>
        <v>79</v>
      </c>
      <c r="AB67" s="330">
        <f>IF(AB43=1,Thermostat!$C$9,Thermostat!$C$10)</f>
        <v>79</v>
      </c>
      <c r="AC67" s="331">
        <f>IF(AC43=1,Thermostat!$C$9,Thermostat!$C$10)</f>
        <v>79</v>
      </c>
      <c r="AD67" s="35"/>
      <c r="AE67" s="35"/>
      <c r="AF67" s="35"/>
      <c r="AG67" s="35"/>
      <c r="AH67" s="35"/>
      <c r="AI67" s="35"/>
      <c r="AJ67" s="35"/>
      <c r="AK67" s="35"/>
    </row>
    <row r="68" spans="1:37" ht="30.6" customHeight="1" thickBot="1" x14ac:dyDescent="0.35">
      <c r="A68" s="866" t="s">
        <v>578</v>
      </c>
      <c r="B68" s="819"/>
      <c r="C68" s="819"/>
      <c r="D68" s="819"/>
      <c r="E68" s="819"/>
      <c r="F68" s="819"/>
      <c r="G68" s="819"/>
      <c r="H68" s="819"/>
      <c r="I68" s="819"/>
      <c r="J68" s="819"/>
      <c r="K68" s="819"/>
      <c r="L68" s="819"/>
      <c r="M68" s="819"/>
      <c r="N68" s="819"/>
      <c r="O68" s="819"/>
      <c r="P68" s="819"/>
      <c r="Q68" s="819"/>
      <c r="R68" s="819"/>
      <c r="S68" s="819"/>
      <c r="T68" s="819"/>
      <c r="U68" s="819"/>
      <c r="V68" s="819"/>
      <c r="W68" s="819"/>
      <c r="X68" s="819"/>
      <c r="Y68" s="819"/>
      <c r="Z68" s="819"/>
      <c r="AA68" s="819"/>
      <c r="AB68" s="819"/>
      <c r="AC68" s="867"/>
      <c r="AD68" s="35"/>
      <c r="AE68" s="35"/>
      <c r="AF68" s="35"/>
      <c r="AG68" s="35"/>
      <c r="AH68" s="35"/>
      <c r="AI68" s="35"/>
      <c r="AJ68" s="35"/>
      <c r="AK68" s="35"/>
    </row>
    <row r="69" spans="1:37" ht="30.6" customHeight="1" x14ac:dyDescent="0.3">
      <c r="A69" s="850"/>
      <c r="B69" s="853" t="s">
        <v>202</v>
      </c>
      <c r="C69" s="821" t="s">
        <v>579</v>
      </c>
      <c r="D69" s="857"/>
      <c r="E69" s="352" t="s">
        <v>555</v>
      </c>
      <c r="F69" s="353">
        <v>1</v>
      </c>
      <c r="G69" s="353">
        <v>1</v>
      </c>
      <c r="H69" s="353">
        <v>1</v>
      </c>
      <c r="I69" s="353">
        <v>1</v>
      </c>
      <c r="J69" s="353">
        <v>1</v>
      </c>
      <c r="K69" s="353">
        <v>1</v>
      </c>
      <c r="L69" s="353">
        <v>1</v>
      </c>
      <c r="M69" s="353">
        <v>1</v>
      </c>
      <c r="N69" s="353">
        <v>1</v>
      </c>
      <c r="O69" s="353">
        <v>1</v>
      </c>
      <c r="P69" s="353">
        <v>1</v>
      </c>
      <c r="Q69" s="353">
        <v>1</v>
      </c>
      <c r="R69" s="353">
        <v>1</v>
      </c>
      <c r="S69" s="353">
        <v>1</v>
      </c>
      <c r="T69" s="353">
        <v>1</v>
      </c>
      <c r="U69" s="353">
        <v>1</v>
      </c>
      <c r="V69" s="353">
        <v>1</v>
      </c>
      <c r="W69" s="353">
        <v>1</v>
      </c>
      <c r="X69" s="353">
        <v>1</v>
      </c>
      <c r="Y69" s="353">
        <v>1</v>
      </c>
      <c r="Z69" s="353">
        <v>1</v>
      </c>
      <c r="AA69" s="353">
        <v>1</v>
      </c>
      <c r="AB69" s="353">
        <v>1</v>
      </c>
      <c r="AC69" s="354">
        <v>1</v>
      </c>
      <c r="AD69" s="35"/>
      <c r="AE69" s="35"/>
      <c r="AF69" s="35"/>
      <c r="AG69" s="35"/>
      <c r="AH69" s="35"/>
      <c r="AI69" s="35"/>
      <c r="AJ69" s="35"/>
      <c r="AK69" s="35"/>
    </row>
    <row r="70" spans="1:37" ht="30.6" customHeight="1" x14ac:dyDescent="0.3">
      <c r="A70" s="851"/>
      <c r="B70" s="854"/>
      <c r="C70" s="795"/>
      <c r="D70" s="858"/>
      <c r="E70" s="347" t="s">
        <v>556</v>
      </c>
      <c r="F70" s="318">
        <v>1</v>
      </c>
      <c r="G70" s="318">
        <v>1</v>
      </c>
      <c r="H70" s="318">
        <v>1</v>
      </c>
      <c r="I70" s="318">
        <v>1</v>
      </c>
      <c r="J70" s="318">
        <v>1</v>
      </c>
      <c r="K70" s="318">
        <v>1</v>
      </c>
      <c r="L70" s="318">
        <v>1</v>
      </c>
      <c r="M70" s="318">
        <v>1</v>
      </c>
      <c r="N70" s="318">
        <v>1</v>
      </c>
      <c r="O70" s="318">
        <v>1</v>
      </c>
      <c r="P70" s="318">
        <v>1</v>
      </c>
      <c r="Q70" s="318">
        <v>1</v>
      </c>
      <c r="R70" s="318">
        <v>1</v>
      </c>
      <c r="S70" s="318">
        <v>1</v>
      </c>
      <c r="T70" s="318">
        <v>1</v>
      </c>
      <c r="U70" s="318">
        <v>1</v>
      </c>
      <c r="V70" s="318">
        <v>1</v>
      </c>
      <c r="W70" s="318">
        <v>1</v>
      </c>
      <c r="X70" s="318">
        <v>1</v>
      </c>
      <c r="Y70" s="318">
        <v>1</v>
      </c>
      <c r="Z70" s="318">
        <v>1</v>
      </c>
      <c r="AA70" s="318">
        <v>1</v>
      </c>
      <c r="AB70" s="318">
        <v>1</v>
      </c>
      <c r="AC70" s="329">
        <v>1</v>
      </c>
      <c r="AD70" s="35"/>
      <c r="AE70" s="35"/>
      <c r="AF70" s="35"/>
      <c r="AG70" s="35"/>
      <c r="AH70" s="35"/>
      <c r="AI70" s="35"/>
      <c r="AJ70" s="35"/>
      <c r="AK70" s="35"/>
    </row>
    <row r="71" spans="1:37" ht="30.6" customHeight="1" thickBot="1" x14ac:dyDescent="0.35">
      <c r="A71" s="852"/>
      <c r="B71" s="855"/>
      <c r="C71" s="856"/>
      <c r="D71" s="859"/>
      <c r="E71" s="355" t="s">
        <v>557</v>
      </c>
      <c r="F71" s="330">
        <v>1</v>
      </c>
      <c r="G71" s="330">
        <v>1</v>
      </c>
      <c r="H71" s="330">
        <v>1</v>
      </c>
      <c r="I71" s="330">
        <v>1</v>
      </c>
      <c r="J71" s="330">
        <v>1</v>
      </c>
      <c r="K71" s="330">
        <v>1</v>
      </c>
      <c r="L71" s="330">
        <v>1</v>
      </c>
      <c r="M71" s="330">
        <v>1</v>
      </c>
      <c r="N71" s="330">
        <v>1</v>
      </c>
      <c r="O71" s="330">
        <v>1</v>
      </c>
      <c r="P71" s="330">
        <v>1</v>
      </c>
      <c r="Q71" s="330">
        <v>1</v>
      </c>
      <c r="R71" s="330">
        <v>1</v>
      </c>
      <c r="S71" s="330">
        <v>1</v>
      </c>
      <c r="T71" s="330">
        <v>1</v>
      </c>
      <c r="U71" s="330">
        <v>1</v>
      </c>
      <c r="V71" s="330">
        <v>1</v>
      </c>
      <c r="W71" s="330">
        <v>1</v>
      </c>
      <c r="X71" s="330">
        <v>1</v>
      </c>
      <c r="Y71" s="330">
        <v>1</v>
      </c>
      <c r="Z71" s="330">
        <v>1</v>
      </c>
      <c r="AA71" s="330">
        <v>1</v>
      </c>
      <c r="AB71" s="330">
        <v>1</v>
      </c>
      <c r="AC71" s="331">
        <v>1</v>
      </c>
      <c r="AD71" s="35"/>
      <c r="AE71" s="35"/>
      <c r="AF71" s="35"/>
      <c r="AG71" s="35"/>
      <c r="AH71" s="35"/>
      <c r="AI71" s="35"/>
      <c r="AJ71" s="35"/>
      <c r="AK71" s="35"/>
    </row>
    <row r="72" spans="1:37" ht="30.6" customHeight="1" x14ac:dyDescent="0.3">
      <c r="A72" s="807"/>
      <c r="B72" s="862" t="s">
        <v>202</v>
      </c>
      <c r="C72" s="794" t="s">
        <v>580</v>
      </c>
      <c r="D72" s="858"/>
      <c r="E72" s="346" t="s">
        <v>555</v>
      </c>
      <c r="F72" s="397">
        <v>0</v>
      </c>
      <c r="G72" s="397">
        <v>0</v>
      </c>
      <c r="H72" s="397">
        <v>0</v>
      </c>
      <c r="I72" s="397">
        <v>0</v>
      </c>
      <c r="J72" s="397">
        <v>0</v>
      </c>
      <c r="K72" s="397">
        <v>1</v>
      </c>
      <c r="L72" s="397">
        <v>1</v>
      </c>
      <c r="M72" s="397">
        <v>1</v>
      </c>
      <c r="N72" s="397">
        <v>1</v>
      </c>
      <c r="O72" s="397">
        <v>1</v>
      </c>
      <c r="P72" s="397">
        <v>1</v>
      </c>
      <c r="Q72" s="397">
        <v>1</v>
      </c>
      <c r="R72" s="397">
        <v>1</v>
      </c>
      <c r="S72" s="397">
        <v>1</v>
      </c>
      <c r="T72" s="397">
        <v>1</v>
      </c>
      <c r="U72" s="397">
        <v>1</v>
      </c>
      <c r="V72" s="397">
        <v>1</v>
      </c>
      <c r="W72" s="397">
        <v>1</v>
      </c>
      <c r="X72" s="397">
        <v>1</v>
      </c>
      <c r="Y72" s="397">
        <v>1</v>
      </c>
      <c r="Z72" s="397">
        <v>1</v>
      </c>
      <c r="AA72" s="397">
        <v>1</v>
      </c>
      <c r="AB72" s="397">
        <v>0</v>
      </c>
      <c r="AC72" s="351">
        <v>0</v>
      </c>
      <c r="AD72" s="35"/>
      <c r="AE72" s="35"/>
      <c r="AF72" s="35"/>
      <c r="AG72" s="35"/>
      <c r="AH72" s="35"/>
      <c r="AI72" s="35"/>
      <c r="AJ72" s="35"/>
      <c r="AK72" s="35"/>
    </row>
    <row r="73" spans="1:37" ht="30.6" customHeight="1" x14ac:dyDescent="0.3">
      <c r="A73" s="860"/>
      <c r="B73" s="854"/>
      <c r="C73" s="795"/>
      <c r="D73" s="858"/>
      <c r="E73" s="347" t="s">
        <v>556</v>
      </c>
      <c r="F73" s="318">
        <v>0</v>
      </c>
      <c r="G73" s="318">
        <v>0</v>
      </c>
      <c r="H73" s="318">
        <v>0</v>
      </c>
      <c r="I73" s="318">
        <v>0</v>
      </c>
      <c r="J73" s="318">
        <v>0</v>
      </c>
      <c r="K73" s="318">
        <v>1</v>
      </c>
      <c r="L73" s="318">
        <v>1</v>
      </c>
      <c r="M73" s="318">
        <v>1</v>
      </c>
      <c r="N73" s="318">
        <v>1</v>
      </c>
      <c r="O73" s="318">
        <v>1</v>
      </c>
      <c r="P73" s="318">
        <v>1</v>
      </c>
      <c r="Q73" s="318">
        <v>1</v>
      </c>
      <c r="R73" s="318">
        <v>1</v>
      </c>
      <c r="S73" s="318">
        <v>1</v>
      </c>
      <c r="T73" s="318">
        <v>1</v>
      </c>
      <c r="U73" s="318">
        <v>1</v>
      </c>
      <c r="V73" s="318">
        <v>1</v>
      </c>
      <c r="W73" s="318">
        <v>1</v>
      </c>
      <c r="X73" s="318">
        <v>1</v>
      </c>
      <c r="Y73" s="318">
        <v>1</v>
      </c>
      <c r="Z73" s="318">
        <v>1</v>
      </c>
      <c r="AA73" s="318">
        <v>1</v>
      </c>
      <c r="AB73" s="318">
        <v>1</v>
      </c>
      <c r="AC73" s="349">
        <v>1</v>
      </c>
      <c r="AD73" s="35"/>
      <c r="AE73" s="35"/>
      <c r="AF73" s="35"/>
      <c r="AG73" s="35"/>
      <c r="AH73" s="35"/>
      <c r="AI73" s="35"/>
      <c r="AJ73" s="35"/>
      <c r="AK73" s="35"/>
    </row>
    <row r="74" spans="1:37" ht="30.6" customHeight="1" thickBot="1" x14ac:dyDescent="0.35">
      <c r="A74" s="861"/>
      <c r="B74" s="863"/>
      <c r="C74" s="864"/>
      <c r="D74" s="865"/>
      <c r="E74" s="348" t="s">
        <v>557</v>
      </c>
      <c r="F74" s="321">
        <v>0</v>
      </c>
      <c r="G74" s="321">
        <v>0</v>
      </c>
      <c r="H74" s="321">
        <v>0</v>
      </c>
      <c r="I74" s="321">
        <v>0</v>
      </c>
      <c r="J74" s="321">
        <v>0</v>
      </c>
      <c r="K74" s="321">
        <v>1</v>
      </c>
      <c r="L74" s="321">
        <v>1</v>
      </c>
      <c r="M74" s="321">
        <v>1</v>
      </c>
      <c r="N74" s="321">
        <v>1</v>
      </c>
      <c r="O74" s="321">
        <v>1</v>
      </c>
      <c r="P74" s="321">
        <v>1</v>
      </c>
      <c r="Q74" s="321">
        <v>1</v>
      </c>
      <c r="R74" s="321">
        <v>1</v>
      </c>
      <c r="S74" s="321">
        <v>1</v>
      </c>
      <c r="T74" s="321">
        <v>1</v>
      </c>
      <c r="U74" s="321">
        <v>1</v>
      </c>
      <c r="V74" s="321">
        <v>1</v>
      </c>
      <c r="W74" s="321">
        <v>1</v>
      </c>
      <c r="X74" s="321">
        <v>1</v>
      </c>
      <c r="Y74" s="321">
        <v>1</v>
      </c>
      <c r="Z74" s="321">
        <v>1</v>
      </c>
      <c r="AA74" s="321">
        <v>1</v>
      </c>
      <c r="AB74" s="321">
        <v>1</v>
      </c>
      <c r="AC74" s="350">
        <v>1</v>
      </c>
      <c r="AD74" s="35"/>
      <c r="AE74" s="35"/>
      <c r="AF74" s="35"/>
      <c r="AG74" s="35"/>
      <c r="AH74" s="35"/>
      <c r="AI74" s="35"/>
      <c r="AJ74" s="35"/>
      <c r="AK74" s="35"/>
    </row>
    <row r="75" spans="1:37" ht="30.6" customHeight="1" x14ac:dyDescent="0.3">
      <c r="A75" s="801" t="s">
        <v>106</v>
      </c>
      <c r="B75" s="756" t="s">
        <v>202</v>
      </c>
      <c r="C75" s="823" t="s">
        <v>581</v>
      </c>
      <c r="D75" s="841" t="s">
        <v>582</v>
      </c>
      <c r="E75" s="215" t="s">
        <v>555</v>
      </c>
      <c r="F75" s="333">
        <v>161.19999999999999</v>
      </c>
      <c r="G75" s="333">
        <v>161.19999999999999</v>
      </c>
      <c r="H75" s="333">
        <v>161.19999999999999</v>
      </c>
      <c r="I75" s="333">
        <v>161.19999999999999</v>
      </c>
      <c r="J75" s="333">
        <v>161.19999999999999</v>
      </c>
      <c r="K75" s="333">
        <v>161.19999999999999</v>
      </c>
      <c r="L75" s="333">
        <v>161.19999999999999</v>
      </c>
      <c r="M75" s="333">
        <v>161.19999999999999</v>
      </c>
      <c r="N75" s="333">
        <v>161.19999999999999</v>
      </c>
      <c r="O75" s="333">
        <v>161.19999999999999</v>
      </c>
      <c r="P75" s="333">
        <v>161.19999999999999</v>
      </c>
      <c r="Q75" s="333">
        <v>161.19999999999999</v>
      </c>
      <c r="R75" s="333">
        <v>161.19999999999999</v>
      </c>
      <c r="S75" s="333">
        <v>161.19999999999999</v>
      </c>
      <c r="T75" s="333">
        <v>161.19999999999999</v>
      </c>
      <c r="U75" s="333">
        <v>161.19999999999999</v>
      </c>
      <c r="V75" s="333">
        <v>161.19999999999999</v>
      </c>
      <c r="W75" s="333">
        <v>161.19999999999999</v>
      </c>
      <c r="X75" s="333">
        <v>161.19999999999999</v>
      </c>
      <c r="Y75" s="333">
        <v>161.19999999999999</v>
      </c>
      <c r="Z75" s="333">
        <v>161.19999999999999</v>
      </c>
      <c r="AA75" s="333">
        <v>161.19999999999999</v>
      </c>
      <c r="AB75" s="333">
        <v>161.19999999999999</v>
      </c>
      <c r="AC75" s="334">
        <v>161.19999999999999</v>
      </c>
      <c r="AD75" s="35"/>
      <c r="AE75" s="35"/>
      <c r="AF75" s="35"/>
      <c r="AG75" s="35"/>
      <c r="AH75" s="35"/>
      <c r="AI75" s="35"/>
      <c r="AJ75" s="35"/>
      <c r="AK75" s="35"/>
    </row>
    <row r="76" spans="1:37" ht="30.6" customHeight="1" x14ac:dyDescent="0.3">
      <c r="A76" s="836"/>
      <c r="B76" s="775"/>
      <c r="C76" s="839"/>
      <c r="D76" s="842"/>
      <c r="E76" s="218" t="s">
        <v>556</v>
      </c>
      <c r="F76" s="335">
        <v>161.19999999999999</v>
      </c>
      <c r="G76" s="336">
        <v>161.19999999999999</v>
      </c>
      <c r="H76" s="336">
        <v>161.19999999999999</v>
      </c>
      <c r="I76" s="335">
        <v>161.19999999999999</v>
      </c>
      <c r="J76" s="335">
        <v>161.19999999999999</v>
      </c>
      <c r="K76" s="335">
        <v>161.19999999999999</v>
      </c>
      <c r="L76" s="335">
        <v>161.19999999999999</v>
      </c>
      <c r="M76" s="335">
        <v>161.19999999999999</v>
      </c>
      <c r="N76" s="335">
        <v>161.19999999999999</v>
      </c>
      <c r="O76" s="335">
        <v>161.19999999999999</v>
      </c>
      <c r="P76" s="335">
        <v>161.19999999999999</v>
      </c>
      <c r="Q76" s="335">
        <v>161.19999999999999</v>
      </c>
      <c r="R76" s="335">
        <v>161.19999999999999</v>
      </c>
      <c r="S76" s="335">
        <v>161.19999999999999</v>
      </c>
      <c r="T76" s="335">
        <v>161.19999999999999</v>
      </c>
      <c r="U76" s="335">
        <v>161.19999999999999</v>
      </c>
      <c r="V76" s="335">
        <v>161.19999999999999</v>
      </c>
      <c r="W76" s="335">
        <v>161.19999999999999</v>
      </c>
      <c r="X76" s="335">
        <v>161.19999999999999</v>
      </c>
      <c r="Y76" s="335">
        <v>161.19999999999999</v>
      </c>
      <c r="Z76" s="335">
        <v>161.19999999999999</v>
      </c>
      <c r="AA76" s="335">
        <v>161.19999999999999</v>
      </c>
      <c r="AB76" s="335">
        <v>161.19999999999999</v>
      </c>
      <c r="AC76" s="337">
        <v>161.19999999999999</v>
      </c>
      <c r="AD76" s="35"/>
      <c r="AE76" s="35"/>
      <c r="AF76" s="35"/>
      <c r="AG76" s="35"/>
      <c r="AH76" s="35"/>
      <c r="AI76" s="35"/>
      <c r="AJ76" s="35"/>
      <c r="AK76" s="35"/>
    </row>
    <row r="77" spans="1:37" ht="30.6" customHeight="1" thickBot="1" x14ac:dyDescent="0.35">
      <c r="A77" s="837"/>
      <c r="B77" s="838"/>
      <c r="C77" s="840"/>
      <c r="D77" s="843"/>
      <c r="E77" s="332" t="s">
        <v>557</v>
      </c>
      <c r="F77" s="338">
        <v>161.19999999999999</v>
      </c>
      <c r="G77" s="339">
        <v>161.19999999999999</v>
      </c>
      <c r="H77" s="339">
        <v>161.19999999999999</v>
      </c>
      <c r="I77" s="338">
        <v>161.19999999999999</v>
      </c>
      <c r="J77" s="338">
        <v>161.19999999999999</v>
      </c>
      <c r="K77" s="338">
        <v>161.19999999999999</v>
      </c>
      <c r="L77" s="338">
        <v>161.19999999999999</v>
      </c>
      <c r="M77" s="338">
        <v>161.19999999999999</v>
      </c>
      <c r="N77" s="338">
        <v>161.19999999999999</v>
      </c>
      <c r="O77" s="338">
        <v>161.19999999999999</v>
      </c>
      <c r="P77" s="338">
        <v>161.19999999999999</v>
      </c>
      <c r="Q77" s="338">
        <v>161.19999999999999</v>
      </c>
      <c r="R77" s="338">
        <v>161.19999999999999</v>
      </c>
      <c r="S77" s="338">
        <v>161.19999999999999</v>
      </c>
      <c r="T77" s="338">
        <v>161.19999999999999</v>
      </c>
      <c r="U77" s="338">
        <v>161.19999999999999</v>
      </c>
      <c r="V77" s="338">
        <v>161.19999999999999</v>
      </c>
      <c r="W77" s="338">
        <v>161.19999999999999</v>
      </c>
      <c r="X77" s="338">
        <v>161.19999999999999</v>
      </c>
      <c r="Y77" s="338">
        <v>161.19999999999999</v>
      </c>
      <c r="Z77" s="338">
        <v>161.19999999999999</v>
      </c>
      <c r="AA77" s="338">
        <v>161.19999999999999</v>
      </c>
      <c r="AB77" s="338">
        <v>161.19999999999999</v>
      </c>
      <c r="AC77" s="340">
        <v>161.19999999999999</v>
      </c>
      <c r="AD77" s="35"/>
      <c r="AE77" s="35"/>
      <c r="AF77" s="35"/>
      <c r="AG77" s="35"/>
      <c r="AH77" s="35"/>
      <c r="AI77" s="35"/>
      <c r="AJ77" s="35"/>
      <c r="AK77" s="35"/>
    </row>
    <row r="78" spans="1:37" ht="30.6" customHeight="1" x14ac:dyDescent="0.3">
      <c r="A78" s="844" t="s">
        <v>107</v>
      </c>
      <c r="B78" s="755" t="s">
        <v>202</v>
      </c>
      <c r="C78" s="847" t="s">
        <v>583</v>
      </c>
      <c r="D78" s="848" t="s">
        <v>582</v>
      </c>
      <c r="E78" s="80" t="s">
        <v>555</v>
      </c>
      <c r="F78" s="341">
        <v>219.8</v>
      </c>
      <c r="G78" s="341">
        <v>219.8</v>
      </c>
      <c r="H78" s="341">
        <v>219.8</v>
      </c>
      <c r="I78" s="341">
        <v>219.8</v>
      </c>
      <c r="J78" s="341">
        <v>219.8</v>
      </c>
      <c r="K78" s="341">
        <v>219.8</v>
      </c>
      <c r="L78" s="341">
        <v>219.8</v>
      </c>
      <c r="M78" s="341">
        <v>219.8</v>
      </c>
      <c r="N78" s="341">
        <v>219.8</v>
      </c>
      <c r="O78" s="341">
        <v>219.8</v>
      </c>
      <c r="P78" s="341">
        <v>219.8</v>
      </c>
      <c r="Q78" s="341">
        <v>219.8</v>
      </c>
      <c r="R78" s="341">
        <v>219.8</v>
      </c>
      <c r="S78" s="341">
        <v>219.8</v>
      </c>
      <c r="T78" s="341">
        <v>219.8</v>
      </c>
      <c r="U78" s="341">
        <v>219.8</v>
      </c>
      <c r="V78" s="341">
        <v>219.8</v>
      </c>
      <c r="W78" s="341">
        <v>219.8</v>
      </c>
      <c r="X78" s="341">
        <v>219.8</v>
      </c>
      <c r="Y78" s="341">
        <v>219.8</v>
      </c>
      <c r="Z78" s="341">
        <v>219.8</v>
      </c>
      <c r="AA78" s="341">
        <v>219.8</v>
      </c>
      <c r="AB78" s="341">
        <v>219.8</v>
      </c>
      <c r="AC78" s="342">
        <v>219.8</v>
      </c>
      <c r="AD78" s="35"/>
      <c r="AE78" s="35"/>
      <c r="AF78" s="35"/>
      <c r="AG78" s="35"/>
      <c r="AH78" s="35"/>
      <c r="AI78" s="35"/>
      <c r="AJ78" s="35"/>
      <c r="AK78" s="35"/>
    </row>
    <row r="79" spans="1:37" ht="30.6" customHeight="1" x14ac:dyDescent="0.3">
      <c r="A79" s="786"/>
      <c r="B79" s="775"/>
      <c r="C79" s="804"/>
      <c r="D79" s="832"/>
      <c r="E79" s="81" t="s">
        <v>556</v>
      </c>
      <c r="F79" s="335">
        <v>219.8</v>
      </c>
      <c r="G79" s="335">
        <v>219.8</v>
      </c>
      <c r="H79" s="335">
        <v>219.8</v>
      </c>
      <c r="I79" s="335">
        <v>219.8</v>
      </c>
      <c r="J79" s="335">
        <v>219.8</v>
      </c>
      <c r="K79" s="335">
        <v>219.8</v>
      </c>
      <c r="L79" s="335">
        <v>219.8</v>
      </c>
      <c r="M79" s="335">
        <v>219.8</v>
      </c>
      <c r="N79" s="335">
        <v>219.8</v>
      </c>
      <c r="O79" s="335">
        <v>219.8</v>
      </c>
      <c r="P79" s="335">
        <v>219.8</v>
      </c>
      <c r="Q79" s="335">
        <v>219.8</v>
      </c>
      <c r="R79" s="335">
        <v>219.8</v>
      </c>
      <c r="S79" s="335">
        <v>219.8</v>
      </c>
      <c r="T79" s="335">
        <v>219.8</v>
      </c>
      <c r="U79" s="335">
        <v>219.8</v>
      </c>
      <c r="V79" s="335">
        <v>219.8</v>
      </c>
      <c r="W79" s="335">
        <v>219.8</v>
      </c>
      <c r="X79" s="335">
        <v>219.8</v>
      </c>
      <c r="Y79" s="335">
        <v>219.8</v>
      </c>
      <c r="Z79" s="335">
        <v>219.8</v>
      </c>
      <c r="AA79" s="335">
        <v>219.8</v>
      </c>
      <c r="AB79" s="335">
        <v>219.8</v>
      </c>
      <c r="AC79" s="343">
        <v>219.8</v>
      </c>
      <c r="AD79" s="35"/>
      <c r="AE79" s="35"/>
      <c r="AF79" s="35"/>
      <c r="AG79" s="35"/>
      <c r="AH79" s="35"/>
      <c r="AI79" s="35"/>
      <c r="AJ79" s="35"/>
      <c r="AK79" s="35"/>
    </row>
    <row r="80" spans="1:37" ht="30.6" customHeight="1" thickBot="1" x14ac:dyDescent="0.35">
      <c r="A80" s="845"/>
      <c r="B80" s="846"/>
      <c r="C80" s="824"/>
      <c r="D80" s="849"/>
      <c r="E80" s="87" t="s">
        <v>557</v>
      </c>
      <c r="F80" s="344">
        <v>219.8</v>
      </c>
      <c r="G80" s="344">
        <v>219.8</v>
      </c>
      <c r="H80" s="344">
        <v>219.8</v>
      </c>
      <c r="I80" s="344">
        <v>219.8</v>
      </c>
      <c r="J80" s="344">
        <v>219.8</v>
      </c>
      <c r="K80" s="344">
        <v>219.8</v>
      </c>
      <c r="L80" s="344">
        <v>219.8</v>
      </c>
      <c r="M80" s="344">
        <v>219.8</v>
      </c>
      <c r="N80" s="344">
        <v>219.8</v>
      </c>
      <c r="O80" s="344">
        <v>219.8</v>
      </c>
      <c r="P80" s="344">
        <v>219.8</v>
      </c>
      <c r="Q80" s="344">
        <v>219.8</v>
      </c>
      <c r="R80" s="344">
        <v>219.8</v>
      </c>
      <c r="S80" s="344">
        <v>219.8</v>
      </c>
      <c r="T80" s="344">
        <v>219.8</v>
      </c>
      <c r="U80" s="344">
        <v>219.8</v>
      </c>
      <c r="V80" s="344">
        <v>219.8</v>
      </c>
      <c r="W80" s="344">
        <v>219.8</v>
      </c>
      <c r="X80" s="344">
        <v>219.8</v>
      </c>
      <c r="Y80" s="344">
        <v>219.8</v>
      </c>
      <c r="Z80" s="344">
        <v>219.8</v>
      </c>
      <c r="AA80" s="344">
        <v>219.8</v>
      </c>
      <c r="AB80" s="344">
        <v>219.8</v>
      </c>
      <c r="AC80" s="345">
        <v>219.8</v>
      </c>
      <c r="AD80" s="35"/>
      <c r="AE80" s="35"/>
      <c r="AF80" s="35"/>
      <c r="AG80" s="35"/>
      <c r="AH80" s="35"/>
      <c r="AI80" s="35"/>
      <c r="AJ80" s="35"/>
      <c r="AK80" s="35"/>
    </row>
    <row r="81" spans="2:41" x14ac:dyDescent="0.3">
      <c r="B81" s="306"/>
      <c r="C81" s="306"/>
      <c r="D81" s="306"/>
      <c r="F81" s="229"/>
      <c r="G81" s="229"/>
      <c r="H81" s="229"/>
      <c r="I81" s="229"/>
      <c r="J81" s="229"/>
      <c r="K81" s="229"/>
      <c r="L81" s="229"/>
      <c r="M81" s="229"/>
      <c r="N81" s="229"/>
      <c r="O81" s="229"/>
      <c r="P81" s="229"/>
      <c r="Q81" s="229"/>
      <c r="R81" s="229"/>
      <c r="S81" s="229"/>
      <c r="T81" s="229"/>
      <c r="U81" s="229"/>
      <c r="V81" s="229"/>
      <c r="W81" s="229"/>
      <c r="X81" s="229"/>
      <c r="Y81" s="229"/>
      <c r="Z81" s="229"/>
      <c r="AA81" s="229"/>
      <c r="AB81" s="229"/>
      <c r="AC81" s="229"/>
      <c r="AD81" s="35"/>
      <c r="AE81" s="35"/>
      <c r="AF81" s="35"/>
      <c r="AG81" s="35"/>
      <c r="AH81" s="35"/>
      <c r="AI81" s="35"/>
      <c r="AJ81" s="35"/>
      <c r="AK81" s="35"/>
      <c r="AM81" s="44"/>
      <c r="AO81" s="106"/>
    </row>
    <row r="82" spans="2:41" x14ac:dyDescent="0.3">
      <c r="B82" s="306"/>
      <c r="C82" s="306"/>
      <c r="D82" s="306"/>
      <c r="F82" s="229"/>
      <c r="G82" s="229"/>
      <c r="H82" s="229"/>
      <c r="I82" s="229"/>
      <c r="J82" s="229"/>
      <c r="K82" s="229"/>
      <c r="L82" s="229"/>
      <c r="M82" s="229"/>
      <c r="N82" s="229"/>
      <c r="O82" s="229"/>
      <c r="P82" s="229"/>
      <c r="Q82" s="229"/>
      <c r="R82" s="229"/>
      <c r="S82" s="229"/>
      <c r="T82" s="229"/>
      <c r="U82" s="229"/>
      <c r="V82" s="229"/>
      <c r="W82" s="229"/>
      <c r="X82" s="229"/>
      <c r="Y82" s="229"/>
      <c r="Z82" s="229"/>
      <c r="AA82" s="229"/>
      <c r="AB82" s="229"/>
      <c r="AC82" s="229"/>
      <c r="AD82" s="35"/>
      <c r="AE82" s="35"/>
      <c r="AF82" s="35"/>
      <c r="AG82" s="35"/>
      <c r="AH82" s="35"/>
      <c r="AI82" s="35"/>
      <c r="AJ82" s="35"/>
      <c r="AK82" s="35"/>
      <c r="AM82" s="44"/>
      <c r="AO82" s="106"/>
    </row>
    <row r="83" spans="2:41" x14ac:dyDescent="0.3">
      <c r="B83" s="306"/>
      <c r="C83" s="306"/>
      <c r="D83" s="306"/>
      <c r="F83" s="229"/>
      <c r="G83" s="229"/>
      <c r="H83" s="229"/>
      <c r="I83" s="229"/>
      <c r="J83" s="229"/>
      <c r="K83" s="229"/>
      <c r="L83" s="229"/>
      <c r="M83" s="229"/>
      <c r="N83" s="229"/>
      <c r="O83" s="229"/>
      <c r="P83" s="229"/>
      <c r="Q83" s="229"/>
      <c r="R83" s="229"/>
      <c r="S83" s="229"/>
      <c r="T83" s="229"/>
      <c r="U83" s="229"/>
      <c r="V83" s="229"/>
      <c r="W83" s="229"/>
      <c r="X83" s="229"/>
      <c r="Y83" s="229"/>
      <c r="Z83" s="229"/>
      <c r="AA83" s="229"/>
      <c r="AB83" s="229"/>
      <c r="AC83" s="229"/>
      <c r="AD83" s="35"/>
      <c r="AE83" s="35"/>
      <c r="AF83" s="35"/>
      <c r="AG83" s="35"/>
      <c r="AH83" s="35"/>
      <c r="AI83" s="35"/>
      <c r="AJ83" s="35"/>
      <c r="AK83" s="35"/>
      <c r="AM83" s="44"/>
      <c r="AO83" s="106"/>
    </row>
    <row r="84" spans="2:41" x14ac:dyDescent="0.3">
      <c r="B84" s="306"/>
      <c r="C84" s="306"/>
      <c r="D84" s="306"/>
      <c r="F84" s="229"/>
      <c r="G84" s="229"/>
      <c r="H84" s="229"/>
      <c r="I84" s="229"/>
      <c r="J84" s="229"/>
      <c r="K84" s="229"/>
      <c r="L84" s="229"/>
      <c r="M84" s="229"/>
      <c r="N84" s="229"/>
      <c r="O84" s="229"/>
      <c r="P84" s="229"/>
      <c r="Q84" s="229"/>
      <c r="R84" s="229"/>
      <c r="S84" s="229"/>
      <c r="T84" s="229"/>
      <c r="U84" s="229"/>
      <c r="V84" s="229"/>
      <c r="W84" s="229"/>
      <c r="X84" s="229"/>
      <c r="Y84" s="229"/>
      <c r="Z84" s="229"/>
      <c r="AA84" s="229"/>
      <c r="AB84" s="229"/>
      <c r="AC84" s="229"/>
      <c r="AD84" s="35"/>
      <c r="AE84" s="35"/>
      <c r="AF84" s="35"/>
      <c r="AG84" s="35"/>
      <c r="AH84" s="35"/>
      <c r="AI84" s="35"/>
      <c r="AJ84" s="35"/>
      <c r="AK84" s="35"/>
      <c r="AM84" s="44"/>
      <c r="AO84" s="106"/>
    </row>
    <row r="85" spans="2:41" x14ac:dyDescent="0.3">
      <c r="B85" s="306"/>
      <c r="C85" s="306"/>
      <c r="D85" s="306"/>
      <c r="F85" s="229"/>
      <c r="G85" s="229"/>
      <c r="H85" s="229"/>
      <c r="I85" s="229"/>
      <c r="J85" s="229"/>
      <c r="K85" s="229"/>
      <c r="L85" s="229"/>
      <c r="M85" s="229"/>
      <c r="N85" s="229"/>
      <c r="O85" s="229"/>
      <c r="P85" s="229"/>
      <c r="Q85" s="229"/>
      <c r="R85" s="229"/>
      <c r="S85" s="229"/>
      <c r="T85" s="229"/>
      <c r="U85" s="229"/>
      <c r="V85" s="229"/>
      <c r="W85" s="229"/>
      <c r="X85" s="229"/>
      <c r="Y85" s="229"/>
      <c r="Z85" s="229"/>
      <c r="AA85" s="229"/>
      <c r="AB85" s="229"/>
      <c r="AC85" s="229"/>
      <c r="AD85" s="35"/>
      <c r="AE85" s="35"/>
      <c r="AF85" s="35"/>
      <c r="AG85" s="35"/>
      <c r="AH85" s="35"/>
      <c r="AI85" s="35"/>
      <c r="AJ85" s="35"/>
      <c r="AK85" s="35"/>
      <c r="AM85" s="44"/>
      <c r="AO85" s="106"/>
    </row>
    <row r="86" spans="2:41" x14ac:dyDescent="0.3">
      <c r="B86" s="306"/>
      <c r="C86" s="306"/>
      <c r="D86" s="306"/>
      <c r="F86" s="229"/>
      <c r="G86" s="229"/>
      <c r="H86" s="229"/>
      <c r="I86" s="229"/>
      <c r="J86" s="229"/>
      <c r="K86" s="229"/>
      <c r="L86" s="229"/>
      <c r="M86" s="229"/>
      <c r="N86" s="229"/>
      <c r="O86" s="229"/>
      <c r="P86" s="229"/>
      <c r="Q86" s="229"/>
      <c r="R86" s="229"/>
      <c r="S86" s="229"/>
      <c r="T86" s="229"/>
      <c r="U86" s="229"/>
      <c r="V86" s="229"/>
      <c r="W86" s="229"/>
      <c r="X86" s="229"/>
      <c r="Y86" s="229"/>
      <c r="Z86" s="229"/>
      <c r="AA86" s="229"/>
      <c r="AB86" s="229"/>
      <c r="AC86" s="229"/>
      <c r="AD86" s="35"/>
      <c r="AE86" s="35"/>
      <c r="AF86" s="35"/>
      <c r="AG86" s="35"/>
      <c r="AH86" s="35"/>
      <c r="AI86" s="35"/>
      <c r="AJ86" s="35"/>
      <c r="AK86" s="35"/>
      <c r="AM86" s="44"/>
      <c r="AO86" s="106"/>
    </row>
    <row r="87" spans="2:41" x14ac:dyDescent="0.3">
      <c r="B87" s="306"/>
      <c r="C87" s="306"/>
      <c r="D87" s="306"/>
      <c r="F87" s="229"/>
      <c r="G87" s="229"/>
      <c r="H87" s="229"/>
      <c r="I87" s="229"/>
      <c r="J87" s="229"/>
      <c r="K87" s="229"/>
      <c r="L87" s="229"/>
      <c r="M87" s="229"/>
      <c r="N87" s="229"/>
      <c r="O87" s="229"/>
      <c r="P87" s="229"/>
      <c r="Q87" s="229"/>
      <c r="R87" s="229"/>
      <c r="S87" s="229"/>
      <c r="T87" s="229"/>
      <c r="U87" s="229"/>
      <c r="V87" s="229"/>
      <c r="W87" s="229"/>
      <c r="X87" s="229"/>
      <c r="Y87" s="229"/>
      <c r="Z87" s="229"/>
      <c r="AA87" s="229"/>
      <c r="AB87" s="229"/>
      <c r="AC87" s="229"/>
      <c r="AD87" s="35"/>
      <c r="AE87" s="35"/>
      <c r="AF87" s="35"/>
      <c r="AG87" s="35"/>
      <c r="AH87" s="35"/>
      <c r="AI87" s="35"/>
      <c r="AJ87" s="35"/>
      <c r="AK87" s="35"/>
      <c r="AM87" s="44"/>
      <c r="AO87" s="106"/>
    </row>
    <row r="88" spans="2:41" x14ac:dyDescent="0.3">
      <c r="B88" s="306"/>
      <c r="C88" s="306"/>
      <c r="D88" s="306"/>
      <c r="F88" s="229"/>
      <c r="G88" s="229"/>
      <c r="H88" s="229"/>
      <c r="I88" s="229"/>
      <c r="J88" s="229"/>
      <c r="K88" s="229"/>
      <c r="L88" s="229"/>
      <c r="M88" s="229"/>
      <c r="N88" s="229"/>
      <c r="O88" s="229"/>
      <c r="P88" s="229"/>
      <c r="Q88" s="229"/>
      <c r="R88" s="229"/>
      <c r="S88" s="229"/>
      <c r="T88" s="229"/>
      <c r="U88" s="229"/>
      <c r="V88" s="229"/>
      <c r="W88" s="229"/>
      <c r="X88" s="229"/>
      <c r="Y88" s="229"/>
      <c r="Z88" s="229"/>
      <c r="AA88" s="229"/>
      <c r="AB88" s="229"/>
      <c r="AC88" s="229"/>
      <c r="AD88" s="35"/>
      <c r="AE88" s="35"/>
      <c r="AF88" s="35"/>
      <c r="AG88" s="35"/>
      <c r="AH88" s="35"/>
      <c r="AI88" s="35"/>
      <c r="AJ88" s="35"/>
      <c r="AK88" s="35"/>
      <c r="AM88" s="44"/>
      <c r="AO88" s="106"/>
    </row>
    <row r="89" spans="2:41" x14ac:dyDescent="0.3">
      <c r="B89" s="306"/>
      <c r="C89" s="306"/>
      <c r="D89" s="306"/>
      <c r="F89" s="229"/>
      <c r="G89" s="229"/>
      <c r="H89" s="229"/>
      <c r="I89" s="229"/>
      <c r="J89" s="229"/>
      <c r="K89" s="229"/>
      <c r="L89" s="229"/>
      <c r="M89" s="229"/>
      <c r="N89" s="229"/>
      <c r="O89" s="229"/>
      <c r="P89" s="229"/>
      <c r="Q89" s="229"/>
      <c r="R89" s="229"/>
      <c r="S89" s="229"/>
      <c r="T89" s="229"/>
      <c r="U89" s="229"/>
      <c r="V89" s="229"/>
      <c r="W89" s="229"/>
      <c r="X89" s="229"/>
      <c r="Y89" s="229"/>
      <c r="Z89" s="229"/>
      <c r="AA89" s="229"/>
      <c r="AB89" s="229"/>
      <c r="AC89" s="229"/>
      <c r="AD89" s="35"/>
      <c r="AE89" s="35"/>
      <c r="AF89" s="35"/>
      <c r="AG89" s="35"/>
      <c r="AH89" s="35"/>
      <c r="AI89" s="35"/>
      <c r="AJ89" s="35"/>
      <c r="AK89" s="35"/>
      <c r="AM89" s="44"/>
      <c r="AO89" s="106"/>
    </row>
    <row r="90" spans="2:41" x14ac:dyDescent="0.3">
      <c r="B90" s="306"/>
      <c r="C90" s="306"/>
      <c r="D90" s="306"/>
      <c r="F90" s="229"/>
      <c r="G90" s="229"/>
      <c r="H90" s="229"/>
      <c r="I90" s="229"/>
      <c r="J90" s="229"/>
      <c r="K90" s="229"/>
      <c r="L90" s="229"/>
      <c r="M90" s="229"/>
      <c r="N90" s="229"/>
      <c r="O90" s="229"/>
      <c r="P90" s="229"/>
      <c r="Q90" s="229"/>
      <c r="R90" s="229"/>
      <c r="S90" s="229"/>
      <c r="T90" s="229"/>
      <c r="U90" s="229"/>
      <c r="V90" s="229"/>
      <c r="W90" s="229"/>
      <c r="X90" s="229"/>
      <c r="Y90" s="229"/>
      <c r="Z90" s="229"/>
      <c r="AA90" s="229"/>
      <c r="AB90" s="229"/>
      <c r="AC90" s="229"/>
      <c r="AD90" s="35"/>
      <c r="AE90" s="35"/>
      <c r="AF90" s="35"/>
      <c r="AG90" s="35"/>
      <c r="AH90" s="35"/>
      <c r="AI90" s="35"/>
      <c r="AJ90" s="35"/>
      <c r="AK90" s="35"/>
      <c r="AM90" s="44"/>
      <c r="AO90" s="106"/>
    </row>
    <row r="10071" spans="6:6" x14ac:dyDescent="0.3">
      <c r="F10071" s="33" t="s">
        <v>584</v>
      </c>
    </row>
  </sheetData>
  <dataConsolidate/>
  <mergeCells count="109">
    <mergeCell ref="A75:A77"/>
    <mergeCell ref="B75:B77"/>
    <mergeCell ref="C75:C77"/>
    <mergeCell ref="D75:D77"/>
    <mergeCell ref="A78:A80"/>
    <mergeCell ref="B78:B80"/>
    <mergeCell ref="C78:C80"/>
    <mergeCell ref="D78:D80"/>
    <mergeCell ref="A44:A46"/>
    <mergeCell ref="A47:A49"/>
    <mergeCell ref="A69:A71"/>
    <mergeCell ref="B69:B71"/>
    <mergeCell ref="C69:C71"/>
    <mergeCell ref="D69:D71"/>
    <mergeCell ref="A72:A74"/>
    <mergeCell ref="B72:B74"/>
    <mergeCell ref="C72:C74"/>
    <mergeCell ref="D72:D74"/>
    <mergeCell ref="A68:AC68"/>
    <mergeCell ref="A65:A67"/>
    <mergeCell ref="B65:B67"/>
    <mergeCell ref="C65:C67"/>
    <mergeCell ref="D65:D67"/>
    <mergeCell ref="A59:A61"/>
    <mergeCell ref="D44:D46"/>
    <mergeCell ref="A35:A37"/>
    <mergeCell ref="A62:A64"/>
    <mergeCell ref="B62:B64"/>
    <mergeCell ref="C62:C64"/>
    <mergeCell ref="D62:D64"/>
    <mergeCell ref="A53:A55"/>
    <mergeCell ref="B53:B55"/>
    <mergeCell ref="C53:C55"/>
    <mergeCell ref="D53:D55"/>
    <mergeCell ref="A56:A58"/>
    <mergeCell ref="B56:B58"/>
    <mergeCell ref="C56:C58"/>
    <mergeCell ref="D56:D58"/>
    <mergeCell ref="A16:A18"/>
    <mergeCell ref="B32:B34"/>
    <mergeCell ref="C32:C34"/>
    <mergeCell ref="D32:D34"/>
    <mergeCell ref="B16:B18"/>
    <mergeCell ref="C16:C18"/>
    <mergeCell ref="D16:D18"/>
    <mergeCell ref="B19:B21"/>
    <mergeCell ref="C19:C21"/>
    <mergeCell ref="D19:D21"/>
    <mergeCell ref="C25:C27"/>
    <mergeCell ref="D25:D27"/>
    <mergeCell ref="A32:A34"/>
    <mergeCell ref="A19:A21"/>
    <mergeCell ref="A22:A24"/>
    <mergeCell ref="B22:B24"/>
    <mergeCell ref="C22:C24"/>
    <mergeCell ref="D22:D24"/>
    <mergeCell ref="A25:A27"/>
    <mergeCell ref="B25:B27"/>
    <mergeCell ref="A28:A30"/>
    <mergeCell ref="B28:B30"/>
    <mergeCell ref="A31:AC31"/>
    <mergeCell ref="C28:C30"/>
    <mergeCell ref="D28:D30"/>
    <mergeCell ref="B35:B37"/>
    <mergeCell ref="C35:C37"/>
    <mergeCell ref="D35:D37"/>
    <mergeCell ref="B38:B40"/>
    <mergeCell ref="B59:B61"/>
    <mergeCell ref="C59:C61"/>
    <mergeCell ref="D59:D61"/>
    <mergeCell ref="A50:A52"/>
    <mergeCell ref="B50:B52"/>
    <mergeCell ref="C50:C52"/>
    <mergeCell ref="D50:D52"/>
    <mergeCell ref="A38:A40"/>
    <mergeCell ref="A41:A43"/>
    <mergeCell ref="C38:C40"/>
    <mergeCell ref="D38:D40"/>
    <mergeCell ref="B47:B49"/>
    <mergeCell ref="C47:C49"/>
    <mergeCell ref="D47:D49"/>
    <mergeCell ref="B41:B43"/>
    <mergeCell ref="C41:C43"/>
    <mergeCell ref="D41:D43"/>
    <mergeCell ref="B44:B46"/>
    <mergeCell ref="C44:C46"/>
    <mergeCell ref="A2:A3"/>
    <mergeCell ref="A1:AC1"/>
    <mergeCell ref="C13:C15"/>
    <mergeCell ref="D13:D15"/>
    <mergeCell ref="B10:B12"/>
    <mergeCell ref="C10:C12"/>
    <mergeCell ref="D10:D12"/>
    <mergeCell ref="B2:B3"/>
    <mergeCell ref="C2:C3"/>
    <mergeCell ref="D2:D3"/>
    <mergeCell ref="E2:E3"/>
    <mergeCell ref="F2:AC2"/>
    <mergeCell ref="B4:B6"/>
    <mergeCell ref="C4:C6"/>
    <mergeCell ref="D4:D6"/>
    <mergeCell ref="B7:B9"/>
    <mergeCell ref="C7:C9"/>
    <mergeCell ref="D7:D9"/>
    <mergeCell ref="B13:B15"/>
    <mergeCell ref="A4:A6"/>
    <mergeCell ref="A7:A9"/>
    <mergeCell ref="A10:A12"/>
    <mergeCell ref="A13:A15"/>
  </mergeCells>
  <phoneticPr fontId="5"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Y134"/>
  <sheetViews>
    <sheetView zoomScale="70" zoomScaleNormal="70" workbookViewId="0">
      <selection sqref="A1:H1"/>
    </sheetView>
  </sheetViews>
  <sheetFormatPr defaultColWidth="8.6640625" defaultRowHeight="13.2" x14ac:dyDescent="0.25"/>
  <cols>
    <col min="1" max="2" width="8.6640625" style="4"/>
    <col min="3" max="5" width="13.109375" style="4" customWidth="1"/>
    <col min="6" max="8" width="19.33203125" style="4" customWidth="1"/>
    <col min="9" max="12" width="13.109375" style="4" customWidth="1"/>
    <col min="13" max="13" width="8.6640625" style="4"/>
    <col min="14" max="14" width="13.6640625" style="4" customWidth="1"/>
    <col min="15" max="15" width="7" style="4" customWidth="1"/>
    <col min="16" max="18" width="17.6640625" style="4" customWidth="1"/>
    <col min="19" max="19" width="14.5546875" style="4" customWidth="1"/>
    <col min="20" max="23" width="14.6640625" style="4" customWidth="1"/>
    <col min="24" max="26" width="13.6640625" style="4" customWidth="1"/>
    <col min="27" max="27" width="10.6640625" style="4" customWidth="1"/>
    <col min="28" max="29" width="8.6640625" style="4"/>
    <col min="30" max="30" width="13.6640625" style="4" customWidth="1"/>
    <col min="31" max="33" width="8.6640625" style="4"/>
    <col min="34" max="34" width="12.44140625" style="4" customWidth="1"/>
    <col min="35" max="16384" width="8.6640625" style="4"/>
  </cols>
  <sheetData>
    <row r="1" spans="1:23" ht="27" customHeight="1" x14ac:dyDescent="0.25">
      <c r="A1" s="877" t="str">
        <f>"CalBEM Energy Consumption - "&amp;Prototype!A2</f>
        <v>CalBEM Energy Consumption - RestaurantFastFood</v>
      </c>
      <c r="B1" s="878"/>
      <c r="C1" s="878"/>
      <c r="D1" s="878"/>
      <c r="E1" s="878"/>
      <c r="F1" s="878"/>
      <c r="G1" s="878"/>
      <c r="H1" s="878"/>
      <c r="I1" s="879" t="s">
        <v>585</v>
      </c>
      <c r="J1" s="879"/>
      <c r="K1" s="879"/>
      <c r="L1" s="879"/>
      <c r="N1" s="876" t="s">
        <v>586</v>
      </c>
      <c r="O1" s="657"/>
      <c r="P1" s="657"/>
      <c r="Q1" s="657"/>
      <c r="R1" s="657"/>
      <c r="S1" s="657"/>
      <c r="T1" s="657"/>
      <c r="U1" s="657"/>
      <c r="V1" s="657"/>
      <c r="W1" s="225"/>
    </row>
    <row r="2" spans="1:23" ht="39.6" customHeight="1" x14ac:dyDescent="0.25">
      <c r="A2" s="373" t="s">
        <v>7</v>
      </c>
      <c r="B2" s="374" t="s">
        <v>587</v>
      </c>
      <c r="C2" s="375" t="s">
        <v>588</v>
      </c>
      <c r="D2" s="376" t="s">
        <v>589</v>
      </c>
      <c r="E2" s="377" t="s">
        <v>590</v>
      </c>
      <c r="F2" s="375" t="s">
        <v>591</v>
      </c>
      <c r="G2" s="378" t="s">
        <v>592</v>
      </c>
      <c r="H2" s="379" t="s">
        <v>593</v>
      </c>
      <c r="I2" s="380" t="s">
        <v>594</v>
      </c>
      <c r="J2" s="381" t="s">
        <v>595</v>
      </c>
      <c r="K2" s="381" t="s">
        <v>596</v>
      </c>
      <c r="L2" s="382" t="s">
        <v>597</v>
      </c>
      <c r="N2" s="32" t="s">
        <v>7</v>
      </c>
      <c r="O2" s="37" t="s">
        <v>587</v>
      </c>
      <c r="P2" s="391" t="s">
        <v>598</v>
      </c>
      <c r="Q2" s="391" t="s">
        <v>599</v>
      </c>
      <c r="R2" s="391" t="s">
        <v>600</v>
      </c>
      <c r="S2" s="391" t="s">
        <v>601</v>
      </c>
      <c r="T2" s="391" t="s">
        <v>595</v>
      </c>
      <c r="U2" s="391" t="s">
        <v>596</v>
      </c>
      <c r="V2" s="391" t="s">
        <v>602</v>
      </c>
      <c r="W2" s="393"/>
    </row>
    <row r="3" spans="1:23" ht="19.2" customHeight="1" x14ac:dyDescent="0.3">
      <c r="A3" s="874" t="s">
        <v>603</v>
      </c>
      <c r="B3" s="623">
        <v>1</v>
      </c>
      <c r="C3" s="624"/>
      <c r="D3" s="625"/>
      <c r="E3" s="626"/>
      <c r="F3" s="1"/>
      <c r="G3" s="1"/>
      <c r="H3" s="394"/>
      <c r="I3" s="383">
        <v>442.6</v>
      </c>
      <c r="J3" s="384">
        <f>I3*1.25</f>
        <v>553.25</v>
      </c>
      <c r="K3" s="56">
        <f>0.75*I3</f>
        <v>331.95000000000005</v>
      </c>
      <c r="L3" s="385">
        <f>J3-K3</f>
        <v>221.29999999999995</v>
      </c>
      <c r="N3" s="871" t="s">
        <v>216</v>
      </c>
      <c r="O3" s="31">
        <v>1</v>
      </c>
      <c r="P3" s="165">
        <v>2670.2480256623271</v>
      </c>
      <c r="Q3" s="392">
        <v>140.21338150362919</v>
      </c>
      <c r="R3" s="392">
        <v>188.39676346573083</v>
      </c>
      <c r="S3" s="627">
        <f>Q3+R3</f>
        <v>328.61014496936002</v>
      </c>
      <c r="T3" s="627">
        <f>S3*1.25</f>
        <v>410.76268121170006</v>
      </c>
      <c r="U3" s="627">
        <f>S3*0.75</f>
        <v>246.45760872702002</v>
      </c>
      <c r="V3" s="627">
        <f>T3-U3</f>
        <v>164.30507248468004</v>
      </c>
      <c r="W3" s="390"/>
    </row>
    <row r="4" spans="1:23" ht="19.2" customHeight="1" x14ac:dyDescent="0.3">
      <c r="A4" s="874"/>
      <c r="B4" s="623">
        <v>2</v>
      </c>
      <c r="C4" s="624"/>
      <c r="D4" s="625"/>
      <c r="E4" s="626"/>
      <c r="F4" s="1"/>
      <c r="G4" s="1"/>
      <c r="H4" s="394"/>
      <c r="I4" s="383">
        <v>442.6</v>
      </c>
      <c r="J4" s="384">
        <f t="shared" ref="J4:J18" si="0">I4*1.25</f>
        <v>553.25</v>
      </c>
      <c r="K4" s="56">
        <f t="shared" ref="K4:K18" si="1">0.75*I4</f>
        <v>331.95000000000005</v>
      </c>
      <c r="L4" s="385">
        <f t="shared" ref="L4:L18" si="2">J4-K4</f>
        <v>221.29999999999995</v>
      </c>
      <c r="N4" s="872"/>
      <c r="O4" s="31">
        <v>2</v>
      </c>
      <c r="P4" s="165">
        <v>4962.8202372006817</v>
      </c>
      <c r="Q4" s="392">
        <v>115.43441558226802</v>
      </c>
      <c r="R4" s="392">
        <v>178.59593571391775</v>
      </c>
      <c r="S4" s="627">
        <f t="shared" ref="S4:S18" si="3">Q4+R4</f>
        <v>294.03035129618576</v>
      </c>
      <c r="T4" s="627">
        <f t="shared" ref="T4:T18" si="4">S4*1.25</f>
        <v>367.53793912023218</v>
      </c>
      <c r="U4" s="627">
        <f t="shared" ref="U4:U18" si="5">S4*0.75</f>
        <v>220.52276347213933</v>
      </c>
      <c r="V4" s="627">
        <f t="shared" ref="V4:V18" si="6">T4-U4</f>
        <v>147.01517564809285</v>
      </c>
      <c r="W4" s="390"/>
    </row>
    <row r="5" spans="1:23" ht="19.2" customHeight="1" x14ac:dyDescent="0.3">
      <c r="A5" s="874"/>
      <c r="B5" s="623">
        <v>3</v>
      </c>
      <c r="C5" s="624"/>
      <c r="D5" s="625"/>
      <c r="E5" s="626"/>
      <c r="F5" s="1"/>
      <c r="G5" s="1"/>
      <c r="H5" s="394"/>
      <c r="I5" s="383">
        <v>442.6</v>
      </c>
      <c r="J5" s="384">
        <f t="shared" si="0"/>
        <v>553.25</v>
      </c>
      <c r="K5" s="56">
        <f t="shared" si="1"/>
        <v>331.95000000000005</v>
      </c>
      <c r="L5" s="385">
        <f t="shared" si="2"/>
        <v>221.29999999999995</v>
      </c>
      <c r="N5" s="872"/>
      <c r="O5" s="31">
        <v>3</v>
      </c>
      <c r="P5" s="165">
        <v>23016.188800795153</v>
      </c>
      <c r="Q5" s="392">
        <v>121.68254521688108</v>
      </c>
      <c r="R5" s="392">
        <v>177.66531929741396</v>
      </c>
      <c r="S5" s="627">
        <f t="shared" si="3"/>
        <v>299.34786451429505</v>
      </c>
      <c r="T5" s="627">
        <f t="shared" si="4"/>
        <v>374.1848306428688</v>
      </c>
      <c r="U5" s="627">
        <f t="shared" si="5"/>
        <v>224.5108983857213</v>
      </c>
      <c r="V5" s="627">
        <f t="shared" si="6"/>
        <v>149.6739322571475</v>
      </c>
      <c r="W5" s="390"/>
    </row>
    <row r="6" spans="1:23" ht="19.2" customHeight="1" x14ac:dyDescent="0.3">
      <c r="A6" s="874"/>
      <c r="B6" s="623">
        <v>4</v>
      </c>
      <c r="C6" s="624"/>
      <c r="D6" s="625"/>
      <c r="E6" s="626"/>
      <c r="F6" s="1"/>
      <c r="G6" s="1"/>
      <c r="H6" s="394"/>
      <c r="I6" s="383">
        <v>442.6</v>
      </c>
      <c r="J6" s="384">
        <f t="shared" si="0"/>
        <v>553.25</v>
      </c>
      <c r="K6" s="56">
        <f t="shared" si="1"/>
        <v>331.95000000000005</v>
      </c>
      <c r="L6" s="385">
        <f t="shared" si="2"/>
        <v>221.29999999999995</v>
      </c>
      <c r="N6" s="872"/>
      <c r="O6" s="31">
        <v>4</v>
      </c>
      <c r="P6" s="165">
        <v>11906.950094339501</v>
      </c>
      <c r="Q6" s="392">
        <v>121.67946974211769</v>
      </c>
      <c r="R6" s="392">
        <v>177.22979612539538</v>
      </c>
      <c r="S6" s="627">
        <f t="shared" si="3"/>
        <v>298.90926586751306</v>
      </c>
      <c r="T6" s="627">
        <f t="shared" si="4"/>
        <v>373.63658233439133</v>
      </c>
      <c r="U6" s="627">
        <f t="shared" si="5"/>
        <v>224.18194940063478</v>
      </c>
      <c r="V6" s="627">
        <f t="shared" si="6"/>
        <v>149.45463293375656</v>
      </c>
      <c r="W6" s="390"/>
    </row>
    <row r="7" spans="1:23" ht="19.2" customHeight="1" x14ac:dyDescent="0.3">
      <c r="A7" s="874"/>
      <c r="B7" s="623">
        <v>5</v>
      </c>
      <c r="C7" s="624"/>
      <c r="D7" s="625"/>
      <c r="E7" s="626"/>
      <c r="F7" s="1"/>
      <c r="G7" s="1"/>
      <c r="H7" s="394"/>
      <c r="I7" s="383">
        <v>442.6</v>
      </c>
      <c r="J7" s="384">
        <f t="shared" si="0"/>
        <v>553.25</v>
      </c>
      <c r="K7" s="56">
        <f t="shared" si="1"/>
        <v>331.95000000000005</v>
      </c>
      <c r="L7" s="385">
        <f t="shared" si="2"/>
        <v>221.29999999999995</v>
      </c>
      <c r="N7" s="872"/>
      <c r="O7" s="31">
        <v>5</v>
      </c>
      <c r="P7" s="165">
        <v>2232.1751752228543</v>
      </c>
      <c r="Q7" s="392">
        <v>116.89706808804395</v>
      </c>
      <c r="R7" s="392">
        <v>182.67997772737826</v>
      </c>
      <c r="S7" s="627">
        <f t="shared" si="3"/>
        <v>299.5770458154222</v>
      </c>
      <c r="T7" s="627">
        <f t="shared" si="4"/>
        <v>374.47130726927776</v>
      </c>
      <c r="U7" s="627">
        <f t="shared" si="5"/>
        <v>224.68278436156663</v>
      </c>
      <c r="V7" s="627">
        <f t="shared" si="6"/>
        <v>149.78852290771113</v>
      </c>
      <c r="W7" s="390"/>
    </row>
    <row r="8" spans="1:23" ht="19.2" customHeight="1" x14ac:dyDescent="0.3">
      <c r="A8" s="874"/>
      <c r="B8" s="623">
        <v>6</v>
      </c>
      <c r="C8" s="624"/>
      <c r="D8" s="625"/>
      <c r="E8" s="626"/>
      <c r="F8" s="1"/>
      <c r="G8" s="1"/>
      <c r="H8" s="394"/>
      <c r="I8" s="383">
        <v>442.6</v>
      </c>
      <c r="J8" s="384">
        <f t="shared" si="0"/>
        <v>553.25</v>
      </c>
      <c r="K8" s="56">
        <f t="shared" si="1"/>
        <v>331.95000000000005</v>
      </c>
      <c r="L8" s="385">
        <f t="shared" si="2"/>
        <v>221.29999999999995</v>
      </c>
      <c r="N8" s="872"/>
      <c r="O8" s="31">
        <v>6</v>
      </c>
      <c r="P8" s="165">
        <v>19264.557709840425</v>
      </c>
      <c r="Q8" s="392">
        <v>114.30760646839242</v>
      </c>
      <c r="R8" s="392">
        <v>210.8626210635226</v>
      </c>
      <c r="S8" s="627">
        <f t="shared" si="3"/>
        <v>325.17022753191503</v>
      </c>
      <c r="T8" s="627">
        <f t="shared" si="4"/>
        <v>406.4627844148938</v>
      </c>
      <c r="U8" s="627">
        <f t="shared" si="5"/>
        <v>243.87767064893626</v>
      </c>
      <c r="V8" s="627">
        <f t="shared" si="6"/>
        <v>162.58511376595754</v>
      </c>
      <c r="W8" s="390"/>
    </row>
    <row r="9" spans="1:23" ht="19.2" customHeight="1" x14ac:dyDescent="0.3">
      <c r="A9" s="874"/>
      <c r="B9" s="623">
        <v>7</v>
      </c>
      <c r="C9" s="624"/>
      <c r="D9" s="625"/>
      <c r="E9" s="626"/>
      <c r="F9" s="1"/>
      <c r="G9" s="1"/>
      <c r="H9" s="394"/>
      <c r="I9" s="383">
        <v>442.6</v>
      </c>
      <c r="J9" s="384">
        <f t="shared" si="0"/>
        <v>553.25</v>
      </c>
      <c r="K9" s="56">
        <f t="shared" si="1"/>
        <v>331.95000000000005</v>
      </c>
      <c r="L9" s="385">
        <f t="shared" si="2"/>
        <v>221.29999999999995</v>
      </c>
      <c r="N9" s="872"/>
      <c r="O9" s="31">
        <v>7</v>
      </c>
      <c r="P9" s="165">
        <v>11474.843705067249</v>
      </c>
      <c r="Q9" s="392">
        <v>139.92699069303819</v>
      </c>
      <c r="R9" s="392">
        <v>228.2706023973343</v>
      </c>
      <c r="S9" s="627">
        <f t="shared" si="3"/>
        <v>368.19759309037249</v>
      </c>
      <c r="T9" s="627">
        <f t="shared" si="4"/>
        <v>460.24699136296562</v>
      </c>
      <c r="U9" s="627">
        <f t="shared" si="5"/>
        <v>276.14819481777937</v>
      </c>
      <c r="V9" s="627">
        <f t="shared" si="6"/>
        <v>184.09879654518625</v>
      </c>
      <c r="W9" s="390"/>
    </row>
    <row r="10" spans="1:23" ht="19.2" customHeight="1" x14ac:dyDescent="0.3">
      <c r="A10" s="874"/>
      <c r="B10" s="623">
        <v>8</v>
      </c>
      <c r="C10" s="624"/>
      <c r="D10" s="625"/>
      <c r="E10" s="626"/>
      <c r="F10" s="1"/>
      <c r="G10" s="1"/>
      <c r="H10" s="394"/>
      <c r="I10" s="383">
        <v>442.6</v>
      </c>
      <c r="J10" s="384">
        <f t="shared" si="0"/>
        <v>553.25</v>
      </c>
      <c r="K10" s="56">
        <f t="shared" si="1"/>
        <v>331.95000000000005</v>
      </c>
      <c r="L10" s="385">
        <f t="shared" si="2"/>
        <v>221.29999999999995</v>
      </c>
      <c r="N10" s="872"/>
      <c r="O10" s="31">
        <v>8</v>
      </c>
      <c r="P10" s="165">
        <v>29165.646847720276</v>
      </c>
      <c r="Q10" s="392">
        <v>124.09734330449336</v>
      </c>
      <c r="R10" s="392">
        <v>226.01400300671699</v>
      </c>
      <c r="S10" s="627">
        <f t="shared" si="3"/>
        <v>350.11134631121035</v>
      </c>
      <c r="T10" s="627">
        <f t="shared" si="4"/>
        <v>437.63918288901294</v>
      </c>
      <c r="U10" s="627">
        <f t="shared" si="5"/>
        <v>262.58350973340777</v>
      </c>
      <c r="V10" s="627">
        <f t="shared" si="6"/>
        <v>175.05567315560518</v>
      </c>
      <c r="W10" s="390"/>
    </row>
    <row r="11" spans="1:23" ht="19.2" customHeight="1" x14ac:dyDescent="0.3">
      <c r="A11" s="874"/>
      <c r="B11" s="623">
        <v>9</v>
      </c>
      <c r="C11" s="624"/>
      <c r="D11" s="625"/>
      <c r="E11" s="626"/>
      <c r="F11" s="1"/>
      <c r="G11" s="1"/>
      <c r="H11" s="394"/>
      <c r="I11" s="383">
        <v>442.6</v>
      </c>
      <c r="J11" s="384">
        <f t="shared" si="0"/>
        <v>553.25</v>
      </c>
      <c r="K11" s="56">
        <f t="shared" si="1"/>
        <v>331.95000000000005</v>
      </c>
      <c r="L11" s="385">
        <f t="shared" si="2"/>
        <v>221.29999999999995</v>
      </c>
      <c r="N11" s="872"/>
      <c r="O11" s="31">
        <v>9</v>
      </c>
      <c r="P11" s="165">
        <v>44906.607163572553</v>
      </c>
      <c r="Q11" s="392">
        <v>111.94888584545326</v>
      </c>
      <c r="R11" s="392">
        <v>217.895288890361</v>
      </c>
      <c r="S11" s="627">
        <f t="shared" si="3"/>
        <v>329.84417473581425</v>
      </c>
      <c r="T11" s="627">
        <f t="shared" si="4"/>
        <v>412.30521841976781</v>
      </c>
      <c r="U11" s="627">
        <f t="shared" si="5"/>
        <v>247.38313105186069</v>
      </c>
      <c r="V11" s="627">
        <f t="shared" si="6"/>
        <v>164.92208736790712</v>
      </c>
      <c r="W11" s="390"/>
    </row>
    <row r="12" spans="1:23" ht="19.2" customHeight="1" x14ac:dyDescent="0.3">
      <c r="A12" s="874"/>
      <c r="B12" s="623">
        <v>10</v>
      </c>
      <c r="C12" s="624"/>
      <c r="D12" s="625"/>
      <c r="E12" s="626"/>
      <c r="F12" s="1"/>
      <c r="G12" s="1"/>
      <c r="H12" s="394"/>
      <c r="I12" s="383">
        <v>442.6</v>
      </c>
      <c r="J12" s="384">
        <f t="shared" si="0"/>
        <v>553.25</v>
      </c>
      <c r="K12" s="56">
        <f t="shared" si="1"/>
        <v>331.95000000000005</v>
      </c>
      <c r="L12" s="385">
        <f t="shared" si="2"/>
        <v>221.29999999999995</v>
      </c>
      <c r="N12" s="872"/>
      <c r="O12" s="31">
        <v>10</v>
      </c>
      <c r="P12" s="165">
        <v>24025.703324145445</v>
      </c>
      <c r="Q12" s="392">
        <v>129.08381432015861</v>
      </c>
      <c r="R12" s="392">
        <v>231.92373420740969</v>
      </c>
      <c r="S12" s="627">
        <f t="shared" si="3"/>
        <v>361.0075485275683</v>
      </c>
      <c r="T12" s="627">
        <f t="shared" si="4"/>
        <v>451.25943565946039</v>
      </c>
      <c r="U12" s="627">
        <f t="shared" si="5"/>
        <v>270.75566139567621</v>
      </c>
      <c r="V12" s="627">
        <f t="shared" si="6"/>
        <v>180.50377426378418</v>
      </c>
      <c r="W12" s="390"/>
    </row>
    <row r="13" spans="1:23" ht="19.2" customHeight="1" x14ac:dyDescent="0.3">
      <c r="A13" s="874"/>
      <c r="B13" s="623">
        <v>11</v>
      </c>
      <c r="C13" s="624"/>
      <c r="D13" s="625"/>
      <c r="E13" s="626"/>
      <c r="F13" s="1"/>
      <c r="G13" s="1"/>
      <c r="H13" s="394"/>
      <c r="I13" s="383">
        <v>442.6</v>
      </c>
      <c r="J13" s="384">
        <f t="shared" si="0"/>
        <v>553.25</v>
      </c>
      <c r="K13" s="56">
        <f t="shared" si="1"/>
        <v>331.95000000000005</v>
      </c>
      <c r="L13" s="385">
        <f t="shared" si="2"/>
        <v>221.29999999999995</v>
      </c>
      <c r="N13" s="872"/>
      <c r="O13" s="31">
        <v>11</v>
      </c>
      <c r="P13" s="165">
        <v>8514.5666141905203</v>
      </c>
      <c r="Q13" s="392">
        <v>141.13316598515738</v>
      </c>
      <c r="R13" s="392">
        <v>172.39687990856154</v>
      </c>
      <c r="S13" s="627">
        <f t="shared" si="3"/>
        <v>313.53004589371892</v>
      </c>
      <c r="T13" s="627">
        <f t="shared" si="4"/>
        <v>391.91255736714868</v>
      </c>
      <c r="U13" s="627">
        <f t="shared" si="5"/>
        <v>235.14753442028919</v>
      </c>
      <c r="V13" s="627">
        <f t="shared" si="6"/>
        <v>156.76502294685949</v>
      </c>
      <c r="W13" s="390"/>
    </row>
    <row r="14" spans="1:23" ht="19.2" customHeight="1" x14ac:dyDescent="0.3">
      <c r="A14" s="874"/>
      <c r="B14" s="623">
        <v>12</v>
      </c>
      <c r="C14" s="624"/>
      <c r="D14" s="625"/>
      <c r="E14" s="626"/>
      <c r="F14" s="1"/>
      <c r="G14" s="1"/>
      <c r="H14" s="394"/>
      <c r="I14" s="383">
        <v>442.6</v>
      </c>
      <c r="J14" s="384">
        <f t="shared" si="0"/>
        <v>553.25</v>
      </c>
      <c r="K14" s="56">
        <f t="shared" si="1"/>
        <v>331.95000000000005</v>
      </c>
      <c r="L14" s="385">
        <f t="shared" si="2"/>
        <v>221.29999999999995</v>
      </c>
      <c r="N14" s="872"/>
      <c r="O14" s="31">
        <v>12</v>
      </c>
      <c r="P14" s="165">
        <v>37639.220350511998</v>
      </c>
      <c r="Q14" s="392">
        <v>145.52445498182462</v>
      </c>
      <c r="R14" s="392">
        <v>191.73773864813649</v>
      </c>
      <c r="S14" s="627">
        <f t="shared" si="3"/>
        <v>337.26219362996108</v>
      </c>
      <c r="T14" s="627">
        <f t="shared" si="4"/>
        <v>421.57774203745134</v>
      </c>
      <c r="U14" s="627">
        <f t="shared" si="5"/>
        <v>252.94664522247081</v>
      </c>
      <c r="V14" s="627">
        <f t="shared" si="6"/>
        <v>168.63109681498054</v>
      </c>
      <c r="W14" s="390"/>
    </row>
    <row r="15" spans="1:23" ht="19.2" customHeight="1" x14ac:dyDescent="0.3">
      <c r="A15" s="874"/>
      <c r="B15" s="623">
        <v>13</v>
      </c>
      <c r="C15" s="624"/>
      <c r="D15" s="625"/>
      <c r="E15" s="626"/>
      <c r="F15" s="1"/>
      <c r="G15" s="1"/>
      <c r="H15" s="394"/>
      <c r="I15" s="383">
        <v>442.6</v>
      </c>
      <c r="J15" s="384">
        <f t="shared" si="0"/>
        <v>553.25</v>
      </c>
      <c r="K15" s="56">
        <f t="shared" si="1"/>
        <v>331.95000000000005</v>
      </c>
      <c r="L15" s="385">
        <f t="shared" si="2"/>
        <v>221.29999999999995</v>
      </c>
      <c r="N15" s="872"/>
      <c r="O15" s="31">
        <v>13</v>
      </c>
      <c r="P15" s="165">
        <v>12120.121471824446</v>
      </c>
      <c r="Q15" s="392">
        <v>147.93231721130871</v>
      </c>
      <c r="R15" s="392">
        <v>194.1850066127044</v>
      </c>
      <c r="S15" s="627">
        <f t="shared" si="3"/>
        <v>342.11732382401311</v>
      </c>
      <c r="T15" s="627">
        <f t="shared" si="4"/>
        <v>427.64665478001638</v>
      </c>
      <c r="U15" s="627">
        <f t="shared" si="5"/>
        <v>256.58799286800985</v>
      </c>
      <c r="V15" s="627">
        <f t="shared" si="6"/>
        <v>171.05866191200653</v>
      </c>
      <c r="W15" s="390"/>
    </row>
    <row r="16" spans="1:23" ht="19.2" customHeight="1" x14ac:dyDescent="0.3">
      <c r="A16" s="874"/>
      <c r="B16" s="623">
        <v>14</v>
      </c>
      <c r="C16" s="624"/>
      <c r="D16" s="625"/>
      <c r="E16" s="626"/>
      <c r="F16" s="1"/>
      <c r="G16" s="1"/>
      <c r="H16" s="394"/>
      <c r="I16" s="383">
        <v>442.6</v>
      </c>
      <c r="J16" s="384">
        <f t="shared" si="0"/>
        <v>553.25</v>
      </c>
      <c r="K16" s="56">
        <f t="shared" si="1"/>
        <v>331.95000000000005</v>
      </c>
      <c r="L16" s="385">
        <f t="shared" si="2"/>
        <v>221.29999999999995</v>
      </c>
      <c r="N16" s="872"/>
      <c r="O16" s="31">
        <v>14</v>
      </c>
      <c r="P16" s="165">
        <v>6251.7396423401924</v>
      </c>
      <c r="Q16" s="392">
        <v>119.76581800490224</v>
      </c>
      <c r="R16" s="392">
        <v>215.32540861567716</v>
      </c>
      <c r="S16" s="627">
        <f t="shared" si="3"/>
        <v>335.09122662057939</v>
      </c>
      <c r="T16" s="627">
        <f t="shared" si="4"/>
        <v>418.86403327572424</v>
      </c>
      <c r="U16" s="627">
        <f t="shared" si="5"/>
        <v>251.31841996543454</v>
      </c>
      <c r="V16" s="627">
        <f t="shared" si="6"/>
        <v>167.5456133102897</v>
      </c>
      <c r="W16" s="390"/>
    </row>
    <row r="17" spans="1:23" ht="19.2" customHeight="1" x14ac:dyDescent="0.3">
      <c r="A17" s="874"/>
      <c r="B17" s="623">
        <v>15</v>
      </c>
      <c r="C17" s="624"/>
      <c r="D17" s="625"/>
      <c r="E17" s="626"/>
      <c r="F17" s="1"/>
      <c r="G17" s="1"/>
      <c r="H17" s="394"/>
      <c r="I17" s="383">
        <v>442.6</v>
      </c>
      <c r="J17" s="384">
        <f t="shared" si="0"/>
        <v>553.25</v>
      </c>
      <c r="K17" s="56">
        <f t="shared" si="1"/>
        <v>331.95000000000005</v>
      </c>
      <c r="L17" s="385">
        <f t="shared" si="2"/>
        <v>221.29999999999995</v>
      </c>
      <c r="N17" s="872"/>
      <c r="O17" s="31">
        <v>15</v>
      </c>
      <c r="P17" s="165">
        <v>12622.504869331902</v>
      </c>
      <c r="Q17" s="392">
        <v>139.19634494603389</v>
      </c>
      <c r="R17" s="392">
        <v>260.79219260027367</v>
      </c>
      <c r="S17" s="627">
        <f t="shared" si="3"/>
        <v>399.98853754630755</v>
      </c>
      <c r="T17" s="627">
        <f t="shared" si="4"/>
        <v>499.98567193288443</v>
      </c>
      <c r="U17" s="627">
        <f t="shared" si="5"/>
        <v>299.99140315973068</v>
      </c>
      <c r="V17" s="627">
        <f t="shared" si="6"/>
        <v>199.99426877315375</v>
      </c>
      <c r="W17" s="390"/>
    </row>
    <row r="18" spans="1:23" ht="19.2" customHeight="1" x14ac:dyDescent="0.3">
      <c r="A18" s="875"/>
      <c r="B18" s="628">
        <v>16</v>
      </c>
      <c r="C18" s="629"/>
      <c r="D18" s="630"/>
      <c r="E18" s="631"/>
      <c r="F18" s="395"/>
      <c r="G18" s="395"/>
      <c r="H18" s="396"/>
      <c r="I18" s="386">
        <v>442.6</v>
      </c>
      <c r="J18" s="387">
        <f t="shared" si="0"/>
        <v>553.25</v>
      </c>
      <c r="K18" s="388">
        <f t="shared" si="1"/>
        <v>331.95000000000005</v>
      </c>
      <c r="L18" s="389">
        <f t="shared" si="2"/>
        <v>221.29999999999995</v>
      </c>
      <c r="N18" s="873"/>
      <c r="O18" s="31">
        <v>16</v>
      </c>
      <c r="P18" s="165">
        <v>23693.285258809548</v>
      </c>
      <c r="Q18" s="392">
        <v>127.46411521096162</v>
      </c>
      <c r="R18" s="392">
        <v>198.83728167839649</v>
      </c>
      <c r="S18" s="627">
        <f t="shared" si="3"/>
        <v>326.3013968893581</v>
      </c>
      <c r="T18" s="627">
        <f t="shared" si="4"/>
        <v>407.87674611169763</v>
      </c>
      <c r="U18" s="627">
        <f t="shared" si="5"/>
        <v>244.72604766701858</v>
      </c>
      <c r="V18" s="627">
        <f t="shared" si="6"/>
        <v>163.15069844467905</v>
      </c>
      <c r="W18" s="390"/>
    </row>
    <row r="19" spans="1:23" x14ac:dyDescent="0.25">
      <c r="P19" s="62"/>
    </row>
    <row r="20" spans="1:23" x14ac:dyDescent="0.25">
      <c r="N20" s="4" t="s">
        <v>604</v>
      </c>
    </row>
    <row r="21" spans="1:23" x14ac:dyDescent="0.25">
      <c r="N21" s="4" t="s">
        <v>605</v>
      </c>
    </row>
    <row r="22" spans="1:23" ht="14.4" x14ac:dyDescent="0.3">
      <c r="I22"/>
      <c r="N22" s="4" t="s">
        <v>606</v>
      </c>
    </row>
    <row r="23" spans="1:23" ht="14.4" x14ac:dyDescent="0.3">
      <c r="B23"/>
    </row>
    <row r="50" spans="2:25" s="19" customFormat="1" hidden="1" x14ac:dyDescent="0.25">
      <c r="N50" s="19" t="s">
        <v>229</v>
      </c>
      <c r="R50" s="20"/>
      <c r="S50" s="20"/>
      <c r="T50" s="20"/>
      <c r="U50" s="20"/>
      <c r="V50" s="20"/>
      <c r="W50" s="20"/>
      <c r="X50" s="21"/>
      <c r="Y50" s="22"/>
    </row>
    <row r="51" spans="2:25" s="5" customFormat="1" hidden="1" x14ac:dyDescent="0.25">
      <c r="R51" s="160"/>
      <c r="S51" s="160"/>
      <c r="T51" s="160"/>
      <c r="U51" s="160"/>
      <c r="V51" s="160"/>
      <c r="W51" s="160"/>
      <c r="X51" s="161"/>
      <c r="Y51" s="162"/>
    </row>
    <row r="52" spans="2:25" s="5" customFormat="1" ht="14.4" hidden="1" x14ac:dyDescent="0.3">
      <c r="B52" s="5" t="s">
        <v>607</v>
      </c>
      <c r="N52" s="5" t="s">
        <v>608</v>
      </c>
      <c r="O52" s="114" t="s">
        <v>53</v>
      </c>
      <c r="P52" s="4"/>
      <c r="Q52" s="4"/>
      <c r="R52" s="160"/>
      <c r="S52" s="160"/>
      <c r="T52" s="160"/>
      <c r="U52" s="160"/>
      <c r="V52" s="160"/>
      <c r="W52" s="160"/>
      <c r="X52" s="161"/>
      <c r="Y52" s="162"/>
    </row>
    <row r="53" spans="2:25" ht="14.4" hidden="1" x14ac:dyDescent="0.3">
      <c r="B53" s="114" t="s">
        <v>609</v>
      </c>
    </row>
    <row r="54" spans="2:25" hidden="1" x14ac:dyDescent="0.25"/>
    <row r="55" spans="2:25" hidden="1" x14ac:dyDescent="0.25"/>
    <row r="56" spans="2:25" hidden="1" x14ac:dyDescent="0.25"/>
    <row r="57" spans="2:25" hidden="1" x14ac:dyDescent="0.25"/>
    <row r="58" spans="2:25" hidden="1" x14ac:dyDescent="0.25"/>
    <row r="59" spans="2:25" hidden="1" x14ac:dyDescent="0.25"/>
    <row r="60" spans="2:25" hidden="1" x14ac:dyDescent="0.25"/>
    <row r="61" spans="2:25" hidden="1" x14ac:dyDescent="0.25"/>
    <row r="62" spans="2:25" hidden="1" x14ac:dyDescent="0.25"/>
    <row r="63" spans="2:25" hidden="1" x14ac:dyDescent="0.25"/>
    <row r="64" spans="2:25"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idden="1" x14ac:dyDescent="0.25"/>
    <row r="78" hidden="1" x14ac:dyDescent="0.25"/>
    <row r="79" hidden="1" x14ac:dyDescent="0.25"/>
    <row r="80"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sheetData>
  <mergeCells count="5">
    <mergeCell ref="N3:N18"/>
    <mergeCell ref="A3:A18"/>
    <mergeCell ref="N1:V1"/>
    <mergeCell ref="A1:H1"/>
    <mergeCell ref="I1:L1"/>
  </mergeCells>
  <hyperlinks>
    <hyperlink ref="O52" r:id="rId1" display="https://www.eia.gov/consumption/commercial/pba/food-service.php" xr:uid="{9069EF0D-67DD-43E6-B31B-C965F6A51904}"/>
    <hyperlink ref="B53" r:id="rId2" display="https://portfoliomanager.energystar.gov/pm/targetFinder?execution=e1s1" xr:uid="{6C4949DD-D55E-4C52-B59D-42B562697220}"/>
  </hyperlinks>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29"/>
  <sheetViews>
    <sheetView zoomScaleNormal="100" workbookViewId="0">
      <selection sqref="A1:G1"/>
    </sheetView>
  </sheetViews>
  <sheetFormatPr defaultColWidth="8.6640625" defaultRowHeight="13.2" x14ac:dyDescent="0.25"/>
  <cols>
    <col min="1" max="1" width="18.109375" style="4" customWidth="1"/>
    <col min="2" max="2" width="12" style="4" customWidth="1"/>
    <col min="3" max="6" width="13.6640625" style="4" customWidth="1"/>
    <col min="7" max="7" width="13.33203125" style="4" customWidth="1"/>
    <col min="8" max="8" width="12.6640625" style="4" bestFit="1" customWidth="1"/>
    <col min="9" max="9" width="8.6640625" style="4"/>
    <col min="10" max="10" width="19" style="4" customWidth="1"/>
    <col min="11" max="11" width="14.109375" style="4" customWidth="1"/>
    <col min="12" max="12" width="10.33203125" style="4" customWidth="1"/>
    <col min="13" max="27" width="5.6640625" style="4" customWidth="1"/>
    <col min="28" max="16384" width="8.6640625" style="4"/>
  </cols>
  <sheetData>
    <row r="1" spans="1:28" ht="28.95" customHeight="1" x14ac:dyDescent="0.25">
      <c r="A1" s="675" t="str">
        <f>"% of Floor Area per CZ and Vintage Bin - Restaurant"</f>
        <v>% of Floor Area per CZ and Vintage Bin - Restaurant</v>
      </c>
      <c r="B1" s="675"/>
      <c r="C1" s="675"/>
      <c r="D1" s="675"/>
      <c r="E1" s="675"/>
      <c r="F1" s="675"/>
      <c r="G1" s="675"/>
      <c r="J1" s="675" t="str">
        <f>"% of Floor Area per CZ and Vintage Bin - Restaurant"</f>
        <v>% of Floor Area per CZ and Vintage Bin - Restaurant</v>
      </c>
      <c r="K1" s="675"/>
      <c r="L1" s="675"/>
      <c r="M1" s="675"/>
      <c r="N1" s="675"/>
      <c r="O1" s="675"/>
      <c r="P1" s="675"/>
      <c r="Q1" s="675"/>
      <c r="R1" s="675"/>
      <c r="S1" s="675"/>
      <c r="T1" s="675"/>
      <c r="U1" s="675"/>
      <c r="V1" s="675"/>
      <c r="W1" s="675"/>
      <c r="X1" s="675"/>
      <c r="Y1" s="675"/>
      <c r="Z1" s="675"/>
      <c r="AA1" s="675"/>
    </row>
    <row r="2" spans="1:28" ht="21" customHeight="1" x14ac:dyDescent="0.25">
      <c r="A2" s="881" t="s">
        <v>7</v>
      </c>
      <c r="B2" s="881" t="s">
        <v>587</v>
      </c>
      <c r="C2" s="881" t="s">
        <v>610</v>
      </c>
      <c r="D2" s="881"/>
      <c r="E2" s="881"/>
      <c r="F2" s="881"/>
      <c r="G2" s="881"/>
      <c r="J2" s="881" t="s">
        <v>7</v>
      </c>
      <c r="K2" s="881" t="s">
        <v>610</v>
      </c>
      <c r="L2" s="881" t="s">
        <v>587</v>
      </c>
      <c r="M2" s="881"/>
      <c r="N2" s="881"/>
      <c r="O2" s="881"/>
      <c r="P2" s="881"/>
      <c r="Q2" s="881"/>
      <c r="R2" s="881"/>
      <c r="S2" s="881"/>
      <c r="T2" s="881"/>
      <c r="U2" s="881"/>
      <c r="V2" s="881"/>
      <c r="W2" s="881"/>
      <c r="X2" s="881"/>
      <c r="Y2" s="881"/>
      <c r="Z2" s="881"/>
      <c r="AA2" s="881"/>
    </row>
    <row r="3" spans="1:28" ht="21" customHeight="1" x14ac:dyDescent="0.25">
      <c r="A3" s="881"/>
      <c r="B3" s="881"/>
      <c r="C3" s="552" t="s">
        <v>611</v>
      </c>
      <c r="D3" s="552" t="s">
        <v>258</v>
      </c>
      <c r="E3" s="552" t="s">
        <v>260</v>
      </c>
      <c r="F3" s="552" t="s">
        <v>262</v>
      </c>
      <c r="G3" s="552" t="s">
        <v>612</v>
      </c>
      <c r="J3" s="881"/>
      <c r="K3" s="881"/>
      <c r="L3" s="552">
        <v>1</v>
      </c>
      <c r="M3" s="552">
        <v>2</v>
      </c>
      <c r="N3" s="552">
        <v>3</v>
      </c>
      <c r="O3" s="552">
        <v>4</v>
      </c>
      <c r="P3" s="552">
        <v>5</v>
      </c>
      <c r="Q3" s="552">
        <v>6</v>
      </c>
      <c r="R3" s="552">
        <v>7</v>
      </c>
      <c r="S3" s="552">
        <v>8</v>
      </c>
      <c r="T3" s="552">
        <v>9</v>
      </c>
      <c r="U3" s="552">
        <v>10</v>
      </c>
      <c r="V3" s="552">
        <v>11</v>
      </c>
      <c r="W3" s="552">
        <v>12</v>
      </c>
      <c r="X3" s="552">
        <v>13</v>
      </c>
      <c r="Y3" s="552">
        <v>14</v>
      </c>
      <c r="Z3" s="552">
        <v>15</v>
      </c>
      <c r="AA3" s="552">
        <v>16</v>
      </c>
    </row>
    <row r="4" spans="1:28" ht="16.95" customHeight="1" x14ac:dyDescent="0.25">
      <c r="A4" s="672" t="s">
        <v>216</v>
      </c>
      <c r="B4" s="143">
        <v>1</v>
      </c>
      <c r="C4" s="163"/>
      <c r="D4" s="163"/>
      <c r="E4" s="163"/>
      <c r="F4" s="163"/>
      <c r="G4" s="164"/>
      <c r="H4" s="54">
        <f>SUM(C4:G4)</f>
        <v>0</v>
      </c>
      <c r="J4" s="880" t="s">
        <v>216</v>
      </c>
      <c r="K4" s="551" t="s">
        <v>611</v>
      </c>
      <c r="L4" s="551"/>
      <c r="M4" s="551"/>
      <c r="N4" s="551"/>
      <c r="O4" s="551"/>
      <c r="P4" s="551"/>
      <c r="Q4" s="551"/>
      <c r="R4" s="551"/>
      <c r="S4" s="551"/>
      <c r="T4" s="551"/>
      <c r="U4" s="551"/>
      <c r="V4" s="551"/>
      <c r="W4" s="551"/>
      <c r="X4" s="551"/>
      <c r="Y4" s="551"/>
      <c r="Z4" s="551"/>
      <c r="AA4" s="551"/>
      <c r="AB4" s="54">
        <f t="shared" ref="AB4:AB9" si="0">SUM(L4:AA4)</f>
        <v>0</v>
      </c>
    </row>
    <row r="5" spans="1:28" ht="16.95" customHeight="1" x14ac:dyDescent="0.25">
      <c r="A5" s="672"/>
      <c r="B5" s="143">
        <v>2</v>
      </c>
      <c r="C5" s="163"/>
      <c r="D5" s="163"/>
      <c r="E5" s="163"/>
      <c r="F5" s="163"/>
      <c r="G5" s="164"/>
      <c r="H5" s="54">
        <f t="shared" ref="H5:H20" si="1">SUM(C5:G5)</f>
        <v>0</v>
      </c>
      <c r="J5" s="880"/>
      <c r="K5" s="551" t="s">
        <v>258</v>
      </c>
      <c r="L5" s="551"/>
      <c r="M5" s="551"/>
      <c r="N5" s="551"/>
      <c r="O5" s="551"/>
      <c r="P5" s="551"/>
      <c r="Q5" s="551"/>
      <c r="R5" s="551"/>
      <c r="S5" s="551"/>
      <c r="T5" s="551"/>
      <c r="U5" s="551"/>
      <c r="V5" s="551"/>
      <c r="W5" s="551"/>
      <c r="X5" s="551"/>
      <c r="Y5" s="551"/>
      <c r="Z5" s="551"/>
      <c r="AA5" s="551"/>
      <c r="AB5" s="54">
        <f t="shared" si="0"/>
        <v>0</v>
      </c>
    </row>
    <row r="6" spans="1:28" ht="16.95" customHeight="1" x14ac:dyDescent="0.25">
      <c r="A6" s="672"/>
      <c r="B6" s="143">
        <v>3</v>
      </c>
      <c r="C6" s="163"/>
      <c r="D6" s="163"/>
      <c r="E6" s="163"/>
      <c r="F6" s="163"/>
      <c r="G6" s="164"/>
      <c r="H6" s="54">
        <f t="shared" si="1"/>
        <v>0</v>
      </c>
      <c r="J6" s="880"/>
      <c r="K6" s="551" t="s">
        <v>260</v>
      </c>
      <c r="L6" s="551"/>
      <c r="M6" s="551"/>
      <c r="N6" s="551"/>
      <c r="O6" s="551"/>
      <c r="P6" s="551"/>
      <c r="Q6" s="551"/>
      <c r="R6" s="551"/>
      <c r="S6" s="551"/>
      <c r="T6" s="551"/>
      <c r="U6" s="551"/>
      <c r="V6" s="551"/>
      <c r="W6" s="551"/>
      <c r="X6" s="551"/>
      <c r="Y6" s="551"/>
      <c r="Z6" s="551"/>
      <c r="AA6" s="551"/>
      <c r="AB6" s="54">
        <f t="shared" si="0"/>
        <v>0</v>
      </c>
    </row>
    <row r="7" spans="1:28" ht="16.95" customHeight="1" x14ac:dyDescent="0.25">
      <c r="A7" s="672"/>
      <c r="B7" s="143">
        <v>4</v>
      </c>
      <c r="C7" s="163"/>
      <c r="D7" s="163"/>
      <c r="E7" s="163"/>
      <c r="F7" s="163"/>
      <c r="G7" s="164"/>
      <c r="H7" s="54">
        <f t="shared" si="1"/>
        <v>0</v>
      </c>
      <c r="J7" s="880"/>
      <c r="K7" s="551" t="s">
        <v>262</v>
      </c>
      <c r="L7" s="551"/>
      <c r="M7" s="551"/>
      <c r="N7" s="551"/>
      <c r="O7" s="551"/>
      <c r="P7" s="551"/>
      <c r="Q7" s="551"/>
      <c r="R7" s="551"/>
      <c r="S7" s="551"/>
      <c r="T7" s="551"/>
      <c r="U7" s="551"/>
      <c r="V7" s="551"/>
      <c r="W7" s="551"/>
      <c r="X7" s="551"/>
      <c r="Y7" s="551"/>
      <c r="Z7" s="551"/>
      <c r="AA7" s="551"/>
      <c r="AB7" s="54">
        <f t="shared" si="0"/>
        <v>0</v>
      </c>
    </row>
    <row r="8" spans="1:28" ht="16.95" customHeight="1" x14ac:dyDescent="0.25">
      <c r="A8" s="672"/>
      <c r="B8" s="143">
        <v>5</v>
      </c>
      <c r="C8" s="163"/>
      <c r="D8" s="163"/>
      <c r="E8" s="163"/>
      <c r="F8" s="163"/>
      <c r="G8" s="164"/>
      <c r="H8" s="54">
        <f t="shared" si="1"/>
        <v>0</v>
      </c>
      <c r="J8" s="880"/>
      <c r="K8" s="551" t="s">
        <v>612</v>
      </c>
      <c r="L8" s="551"/>
      <c r="M8" s="551"/>
      <c r="N8" s="551"/>
      <c r="O8" s="551"/>
      <c r="P8" s="551"/>
      <c r="Q8" s="551"/>
      <c r="R8" s="551"/>
      <c r="S8" s="551"/>
      <c r="T8" s="551"/>
      <c r="U8" s="551"/>
      <c r="V8" s="551"/>
      <c r="W8" s="551"/>
      <c r="X8" s="551"/>
      <c r="Y8" s="551"/>
      <c r="Z8" s="551"/>
      <c r="AA8" s="551"/>
      <c r="AB8" s="54">
        <f t="shared" si="0"/>
        <v>0</v>
      </c>
    </row>
    <row r="9" spans="1:28" ht="16.95" customHeight="1" x14ac:dyDescent="0.25">
      <c r="A9" s="672"/>
      <c r="B9" s="143">
        <v>6</v>
      </c>
      <c r="C9" s="163"/>
      <c r="D9" s="163"/>
      <c r="E9" s="163"/>
      <c r="F9" s="163"/>
      <c r="G9" s="164"/>
      <c r="H9" s="54">
        <f t="shared" si="1"/>
        <v>0</v>
      </c>
      <c r="J9" s="880"/>
      <c r="K9" s="551" t="s">
        <v>97</v>
      </c>
      <c r="L9" s="551"/>
      <c r="M9" s="551"/>
      <c r="N9" s="551"/>
      <c r="O9" s="551"/>
      <c r="P9" s="551"/>
      <c r="Q9" s="551"/>
      <c r="R9" s="551"/>
      <c r="S9" s="551"/>
      <c r="T9" s="551"/>
      <c r="U9" s="551"/>
      <c r="V9" s="551"/>
      <c r="W9" s="551"/>
      <c r="X9" s="551"/>
      <c r="Y9" s="551"/>
      <c r="Z9" s="551"/>
      <c r="AA9" s="551"/>
      <c r="AB9" s="54">
        <f t="shared" si="0"/>
        <v>0</v>
      </c>
    </row>
    <row r="10" spans="1:28" ht="16.95" customHeight="1" x14ac:dyDescent="0.25">
      <c r="A10" s="672"/>
      <c r="B10" s="143">
        <v>7</v>
      </c>
      <c r="C10" s="163"/>
      <c r="D10" s="163"/>
      <c r="E10" s="163"/>
      <c r="F10" s="163"/>
      <c r="G10" s="164"/>
      <c r="H10" s="54">
        <f t="shared" si="1"/>
        <v>0</v>
      </c>
      <c r="J10" s="7"/>
      <c r="K10" s="52"/>
      <c r="L10" s="25"/>
      <c r="M10" s="25"/>
      <c r="N10" s="25"/>
      <c r="O10" s="25"/>
      <c r="P10" s="53"/>
    </row>
    <row r="11" spans="1:28" ht="16.95" customHeight="1" x14ac:dyDescent="0.25">
      <c r="A11" s="672"/>
      <c r="B11" s="143">
        <v>8</v>
      </c>
      <c r="C11" s="163"/>
      <c r="D11" s="163"/>
      <c r="E11" s="163"/>
      <c r="F11" s="163"/>
      <c r="G11" s="164"/>
      <c r="H11" s="54">
        <f t="shared" si="1"/>
        <v>0</v>
      </c>
      <c r="J11" s="7"/>
      <c r="K11" s="52"/>
      <c r="L11" s="25"/>
      <c r="M11" s="25"/>
      <c r="N11" s="25"/>
      <c r="O11" s="25"/>
      <c r="P11" s="53"/>
    </row>
    <row r="12" spans="1:28" ht="16.95" customHeight="1" x14ac:dyDescent="0.25">
      <c r="A12" s="672"/>
      <c r="B12" s="143">
        <v>9</v>
      </c>
      <c r="C12" s="163"/>
      <c r="D12" s="163"/>
      <c r="E12" s="163"/>
      <c r="F12" s="163"/>
      <c r="G12" s="164"/>
      <c r="H12" s="54">
        <f t="shared" si="1"/>
        <v>0</v>
      </c>
      <c r="J12" s="7"/>
      <c r="K12" s="52"/>
      <c r="L12" s="25"/>
      <c r="M12" s="25"/>
      <c r="N12" s="25"/>
      <c r="O12" s="25"/>
      <c r="P12" s="53"/>
    </row>
    <row r="13" spans="1:28" ht="16.95" customHeight="1" x14ac:dyDescent="0.25">
      <c r="A13" s="672"/>
      <c r="B13" s="143">
        <v>10</v>
      </c>
      <c r="C13" s="163"/>
      <c r="D13" s="163"/>
      <c r="E13" s="163"/>
      <c r="F13" s="163"/>
      <c r="G13" s="164"/>
      <c r="H13" s="54">
        <f t="shared" si="1"/>
        <v>0</v>
      </c>
      <c r="J13" s="7"/>
      <c r="K13" s="52"/>
      <c r="L13" s="25"/>
      <c r="M13" s="25"/>
      <c r="N13" s="25"/>
      <c r="O13" s="25"/>
      <c r="P13" s="53"/>
    </row>
    <row r="14" spans="1:28" ht="16.95" customHeight="1" x14ac:dyDescent="0.25">
      <c r="A14" s="672"/>
      <c r="B14" s="143">
        <v>11</v>
      </c>
      <c r="C14" s="163"/>
      <c r="D14" s="163"/>
      <c r="E14" s="163"/>
      <c r="F14" s="163"/>
      <c r="G14" s="164"/>
      <c r="H14" s="54">
        <f t="shared" si="1"/>
        <v>0</v>
      </c>
      <c r="J14" s="7"/>
      <c r="K14" s="52"/>
      <c r="L14" s="25"/>
      <c r="M14" s="25"/>
      <c r="N14" s="25"/>
      <c r="O14" s="25"/>
      <c r="P14" s="53"/>
    </row>
    <row r="15" spans="1:28" ht="16.95" customHeight="1" x14ac:dyDescent="0.25">
      <c r="A15" s="672"/>
      <c r="B15" s="143">
        <v>12</v>
      </c>
      <c r="C15" s="163"/>
      <c r="D15" s="163"/>
      <c r="E15" s="163"/>
      <c r="F15" s="163"/>
      <c r="G15" s="164"/>
      <c r="H15" s="54">
        <f t="shared" si="1"/>
        <v>0</v>
      </c>
      <c r="J15" s="7"/>
      <c r="K15" s="52"/>
      <c r="L15" s="25"/>
      <c r="M15" s="25"/>
      <c r="N15" s="25"/>
      <c r="O15" s="25"/>
      <c r="P15" s="53"/>
    </row>
    <row r="16" spans="1:28" ht="16.95" customHeight="1" x14ac:dyDescent="0.25">
      <c r="A16" s="672"/>
      <c r="B16" s="143">
        <v>13</v>
      </c>
      <c r="C16" s="163"/>
      <c r="D16" s="163"/>
      <c r="E16" s="163"/>
      <c r="F16" s="163"/>
      <c r="G16" s="164"/>
      <c r="H16" s="54">
        <f t="shared" si="1"/>
        <v>0</v>
      </c>
      <c r="J16" s="7"/>
      <c r="K16" s="52"/>
      <c r="L16" s="25"/>
      <c r="M16" s="25"/>
      <c r="N16" s="25"/>
      <c r="O16" s="25"/>
      <c r="P16" s="53"/>
    </row>
    <row r="17" spans="1:16" ht="16.95" customHeight="1" x14ac:dyDescent="0.25">
      <c r="A17" s="672"/>
      <c r="B17" s="143">
        <v>14</v>
      </c>
      <c r="C17" s="163"/>
      <c r="D17" s="163"/>
      <c r="E17" s="163"/>
      <c r="F17" s="163"/>
      <c r="G17" s="164"/>
      <c r="H17" s="54">
        <f t="shared" si="1"/>
        <v>0</v>
      </c>
      <c r="J17" s="7"/>
      <c r="K17" s="52"/>
      <c r="L17" s="25"/>
      <c r="M17" s="25"/>
      <c r="N17" s="25"/>
      <c r="O17" s="25"/>
      <c r="P17" s="53"/>
    </row>
    <row r="18" spans="1:16" ht="16.95" customHeight="1" x14ac:dyDescent="0.25">
      <c r="A18" s="672"/>
      <c r="B18" s="143">
        <v>15</v>
      </c>
      <c r="C18" s="163"/>
      <c r="D18" s="163"/>
      <c r="E18" s="163"/>
      <c r="F18" s="163"/>
      <c r="G18" s="164"/>
      <c r="H18" s="54">
        <f t="shared" si="1"/>
        <v>0</v>
      </c>
      <c r="J18" s="7"/>
      <c r="K18" s="52"/>
      <c r="L18" s="25"/>
      <c r="M18" s="25"/>
      <c r="N18" s="25"/>
      <c r="O18" s="25"/>
      <c r="P18" s="53"/>
    </row>
    <row r="19" spans="1:16" ht="16.95" customHeight="1" x14ac:dyDescent="0.25">
      <c r="A19" s="672"/>
      <c r="B19" s="143">
        <v>16</v>
      </c>
      <c r="C19" s="164"/>
      <c r="D19" s="164"/>
      <c r="E19" s="164"/>
      <c r="F19" s="164"/>
      <c r="G19" s="164"/>
      <c r="H19" s="54">
        <f t="shared" si="1"/>
        <v>0</v>
      </c>
      <c r="J19" s="7"/>
      <c r="K19" s="52"/>
      <c r="L19" s="25"/>
      <c r="M19" s="25"/>
      <c r="N19" s="25"/>
      <c r="O19" s="25"/>
      <c r="P19" s="53"/>
    </row>
    <row r="20" spans="1:16" x14ac:dyDescent="0.25">
      <c r="A20" s="672"/>
      <c r="B20" s="142" t="s">
        <v>613</v>
      </c>
      <c r="C20" s="164"/>
      <c r="D20" s="164"/>
      <c r="E20" s="164"/>
      <c r="F20" s="164"/>
      <c r="G20" s="164"/>
      <c r="H20" s="54">
        <f t="shared" si="1"/>
        <v>0</v>
      </c>
    </row>
    <row r="22" spans="1:16" x14ac:dyDescent="0.25">
      <c r="A22" s="4" t="s">
        <v>614</v>
      </c>
    </row>
    <row r="23" spans="1:16" x14ac:dyDescent="0.25">
      <c r="A23" s="4" t="s">
        <v>605</v>
      </c>
    </row>
    <row r="24" spans="1:16" x14ac:dyDescent="0.25">
      <c r="A24" s="4" t="s">
        <v>606</v>
      </c>
    </row>
    <row r="29" spans="1:16" s="19" customFormat="1" hidden="1" x14ac:dyDescent="0.25">
      <c r="A29" s="19" t="s">
        <v>229</v>
      </c>
      <c r="E29" s="20"/>
      <c r="F29" s="21"/>
      <c r="G29" s="22"/>
    </row>
  </sheetData>
  <mergeCells count="10">
    <mergeCell ref="J4:J9"/>
    <mergeCell ref="A4:A20"/>
    <mergeCell ref="J1:AA1"/>
    <mergeCell ref="C2:G2"/>
    <mergeCell ref="L2:AA2"/>
    <mergeCell ref="K2:K3"/>
    <mergeCell ref="J2:J3"/>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3"/>
  <sheetViews>
    <sheetView zoomScaleNormal="70" workbookViewId="0">
      <selection sqref="A1:H1"/>
    </sheetView>
  </sheetViews>
  <sheetFormatPr defaultColWidth="8.6640625" defaultRowHeight="13.2" x14ac:dyDescent="0.25"/>
  <cols>
    <col min="1" max="1" width="21" style="4" customWidth="1"/>
    <col min="2" max="2" width="14.33203125" style="4" customWidth="1"/>
    <col min="3" max="3" width="14.5546875" style="4" customWidth="1"/>
    <col min="4" max="8" width="8.6640625" style="4"/>
    <col min="9" max="9" width="13.6640625" style="4" customWidth="1"/>
    <col min="10" max="10" width="14.44140625" style="4" customWidth="1"/>
    <col min="11" max="16384" width="8.6640625" style="4"/>
  </cols>
  <sheetData>
    <row r="1" spans="1:8" ht="21.6" customHeight="1" x14ac:dyDescent="0.25">
      <c r="A1" s="675" t="str">
        <f>"EV Charger - "&amp;Prototype!A2</f>
        <v>EV Charger - RestaurantFastFood</v>
      </c>
      <c r="B1" s="675"/>
      <c r="C1" s="675"/>
      <c r="D1" s="675"/>
      <c r="E1" s="675"/>
      <c r="F1" s="675"/>
      <c r="G1" s="675"/>
      <c r="H1" s="675"/>
    </row>
    <row r="2" spans="1:8" x14ac:dyDescent="0.25">
      <c r="A2" s="4" t="s">
        <v>615</v>
      </c>
      <c r="B2" s="38"/>
      <c r="C2" s="39"/>
      <c r="D2" s="40"/>
      <c r="E2" s="40"/>
    </row>
    <row r="3" spans="1:8" x14ac:dyDescent="0.25">
      <c r="A3" s="71"/>
      <c r="B3" s="149"/>
      <c r="C3" s="115"/>
      <c r="D3" s="41"/>
      <c r="E3" s="41"/>
    </row>
  </sheetData>
  <mergeCells count="1">
    <mergeCell ref="A1:H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2"/>
  <sheetViews>
    <sheetView workbookViewId="0"/>
  </sheetViews>
  <sheetFormatPr defaultRowHeight="14.4" x14ac:dyDescent="0.3"/>
  <sheetData>
    <row r="1" spans="1:10" ht="22.95" customHeight="1" x14ac:dyDescent="0.3">
      <c r="A1" s="675" t="str">
        <f>"PV - "&amp;Prototype!A2</f>
        <v>PV - RestaurantFastFood</v>
      </c>
      <c r="B1" s="675"/>
      <c r="C1" s="675"/>
      <c r="D1" s="675"/>
      <c r="E1" s="675"/>
      <c r="F1" s="675"/>
      <c r="G1" s="675"/>
      <c r="H1" s="675"/>
      <c r="I1" s="675"/>
      <c r="J1" s="675"/>
    </row>
    <row r="2" spans="1:10" x14ac:dyDescent="0.3">
      <c r="A2" s="4" t="s">
        <v>615</v>
      </c>
      <c r="B2" s="2"/>
      <c r="C2" s="2"/>
      <c r="D2" s="2"/>
      <c r="E2" s="2"/>
      <c r="F2" s="2"/>
      <c r="G2" s="2"/>
      <c r="H2" s="2"/>
      <c r="I2" s="2"/>
      <c r="J2" s="2"/>
    </row>
  </sheetData>
  <mergeCells count="1">
    <mergeCell ref="A1:J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FE0EC-DCEA-4510-B314-E0190C0C87DF}">
  <sheetPr codeName="Sheet16"/>
  <dimension ref="A1:G83"/>
  <sheetViews>
    <sheetView topLeftCell="A67" workbookViewId="0">
      <selection activeCell="A81" sqref="A81:A83"/>
    </sheetView>
  </sheetViews>
  <sheetFormatPr defaultRowHeight="14.4" x14ac:dyDescent="0.3"/>
  <cols>
    <col min="1" max="1" width="58.6640625" customWidth="1"/>
    <col min="2" max="2" width="30.88671875" customWidth="1"/>
    <col min="3" max="3" width="30.33203125" customWidth="1"/>
  </cols>
  <sheetData>
    <row r="1" spans="1:7" x14ac:dyDescent="0.3">
      <c r="A1" t="s">
        <v>616</v>
      </c>
      <c r="B1" t="s">
        <v>617</v>
      </c>
      <c r="C1" t="s">
        <v>617</v>
      </c>
      <c r="D1" s="882" t="s">
        <v>618</v>
      </c>
      <c r="E1" s="882"/>
      <c r="F1" s="882"/>
      <c r="G1" s="882"/>
    </row>
    <row r="2" spans="1:7" x14ac:dyDescent="0.3">
      <c r="A2" s="532" t="s">
        <v>619</v>
      </c>
      <c r="D2">
        <v>2013</v>
      </c>
      <c r="E2">
        <v>2016</v>
      </c>
      <c r="F2">
        <v>2019</v>
      </c>
      <c r="G2">
        <v>2025</v>
      </c>
    </row>
    <row r="3" spans="1:7" x14ac:dyDescent="0.3">
      <c r="A3" s="532" t="s">
        <v>620</v>
      </c>
    </row>
    <row r="4" spans="1:7" x14ac:dyDescent="0.3">
      <c r="A4" t="s">
        <v>621</v>
      </c>
    </row>
    <row r="5" spans="1:7" x14ac:dyDescent="0.3">
      <c r="A5" t="s">
        <v>622</v>
      </c>
    </row>
    <row r="6" spans="1:7" x14ac:dyDescent="0.3">
      <c r="A6" t="s">
        <v>623</v>
      </c>
    </row>
    <row r="7" spans="1:7" x14ac:dyDescent="0.3">
      <c r="A7" t="s">
        <v>624</v>
      </c>
    </row>
    <row r="8" spans="1:7" x14ac:dyDescent="0.3">
      <c r="A8" t="s">
        <v>625</v>
      </c>
    </row>
    <row r="9" spans="1:7" x14ac:dyDescent="0.3">
      <c r="A9" t="s">
        <v>626</v>
      </c>
    </row>
    <row r="10" spans="1:7" x14ac:dyDescent="0.3">
      <c r="A10" t="s">
        <v>627</v>
      </c>
    </row>
    <row r="11" spans="1:7" x14ac:dyDescent="0.3">
      <c r="A11" t="s">
        <v>628</v>
      </c>
    </row>
    <row r="12" spans="1:7" x14ac:dyDescent="0.3">
      <c r="A12" t="s">
        <v>629</v>
      </c>
    </row>
    <row r="13" spans="1:7" x14ac:dyDescent="0.3">
      <c r="A13" t="s">
        <v>630</v>
      </c>
    </row>
    <row r="14" spans="1:7" x14ac:dyDescent="0.3">
      <c r="A14" t="s">
        <v>631</v>
      </c>
    </row>
    <row r="15" spans="1:7" x14ac:dyDescent="0.3">
      <c r="A15" t="s">
        <v>632</v>
      </c>
    </row>
    <row r="16" spans="1:7" x14ac:dyDescent="0.3">
      <c r="A16" t="s">
        <v>633</v>
      </c>
    </row>
    <row r="17" spans="1:1" x14ac:dyDescent="0.3">
      <c r="A17" t="s">
        <v>634</v>
      </c>
    </row>
    <row r="18" spans="1:1" x14ac:dyDescent="0.3">
      <c r="A18" t="s">
        <v>635</v>
      </c>
    </row>
    <row r="19" spans="1:1" x14ac:dyDescent="0.3">
      <c r="A19" t="s">
        <v>636</v>
      </c>
    </row>
    <row r="20" spans="1:1" x14ac:dyDescent="0.3">
      <c r="A20" t="s">
        <v>637</v>
      </c>
    </row>
    <row r="21" spans="1:1" x14ac:dyDescent="0.3">
      <c r="A21" t="s">
        <v>214</v>
      </c>
    </row>
    <row r="22" spans="1:1" x14ac:dyDescent="0.3">
      <c r="A22" t="s">
        <v>638</v>
      </c>
    </row>
    <row r="23" spans="1:1" x14ac:dyDescent="0.3">
      <c r="A23" t="s">
        <v>639</v>
      </c>
    </row>
    <row r="24" spans="1:1" x14ac:dyDescent="0.3">
      <c r="A24" t="s">
        <v>640</v>
      </c>
    </row>
    <row r="25" spans="1:1" x14ac:dyDescent="0.3">
      <c r="A25" t="s">
        <v>641</v>
      </c>
    </row>
    <row r="26" spans="1:1" x14ac:dyDescent="0.3">
      <c r="A26" t="s">
        <v>642</v>
      </c>
    </row>
    <row r="27" spans="1:1" x14ac:dyDescent="0.3">
      <c r="A27" t="s">
        <v>643</v>
      </c>
    </row>
    <row r="28" spans="1:1" x14ac:dyDescent="0.3">
      <c r="A28" t="s">
        <v>644</v>
      </c>
    </row>
    <row r="29" spans="1:1" x14ac:dyDescent="0.3">
      <c r="A29" t="s">
        <v>645</v>
      </c>
    </row>
    <row r="30" spans="1:1" x14ac:dyDescent="0.3">
      <c r="A30" t="s">
        <v>646</v>
      </c>
    </row>
    <row r="31" spans="1:1" x14ac:dyDescent="0.3">
      <c r="A31" t="s">
        <v>647</v>
      </c>
    </row>
    <row r="32" spans="1:1" x14ac:dyDescent="0.3">
      <c r="A32" t="s">
        <v>648</v>
      </c>
    </row>
    <row r="33" spans="1:1" x14ac:dyDescent="0.3">
      <c r="A33" t="s">
        <v>649</v>
      </c>
    </row>
    <row r="34" spans="1:1" x14ac:dyDescent="0.3">
      <c r="A34" t="s">
        <v>650</v>
      </c>
    </row>
    <row r="35" spans="1:1" x14ac:dyDescent="0.3">
      <c r="A35" t="s">
        <v>651</v>
      </c>
    </row>
    <row r="36" spans="1:1" x14ac:dyDescent="0.3">
      <c r="A36" t="s">
        <v>218</v>
      </c>
    </row>
    <row r="37" spans="1:1" x14ac:dyDescent="0.3">
      <c r="A37" t="s">
        <v>652</v>
      </c>
    </row>
    <row r="38" spans="1:1" x14ac:dyDescent="0.3">
      <c r="A38" t="s">
        <v>653</v>
      </c>
    </row>
    <row r="39" spans="1:1" x14ac:dyDescent="0.3">
      <c r="A39" t="s">
        <v>654</v>
      </c>
    </row>
    <row r="40" spans="1:1" x14ac:dyDescent="0.3">
      <c r="A40" t="s">
        <v>655</v>
      </c>
    </row>
    <row r="41" spans="1:1" x14ac:dyDescent="0.3">
      <c r="A41" t="s">
        <v>656</v>
      </c>
    </row>
    <row r="42" spans="1:1" x14ac:dyDescent="0.3">
      <c r="A42" t="s">
        <v>657</v>
      </c>
    </row>
    <row r="43" spans="1:1" x14ac:dyDescent="0.3">
      <c r="A43" t="s">
        <v>658</v>
      </c>
    </row>
    <row r="44" spans="1:1" x14ac:dyDescent="0.3">
      <c r="A44" t="s">
        <v>659</v>
      </c>
    </row>
    <row r="45" spans="1:1" x14ac:dyDescent="0.3">
      <c r="A45" t="s">
        <v>660</v>
      </c>
    </row>
    <row r="46" spans="1:1" x14ac:dyDescent="0.3">
      <c r="A46" t="s">
        <v>661</v>
      </c>
    </row>
    <row r="47" spans="1:1" x14ac:dyDescent="0.3">
      <c r="A47" t="s">
        <v>662</v>
      </c>
    </row>
    <row r="48" spans="1:1" x14ac:dyDescent="0.3">
      <c r="A48" t="s">
        <v>663</v>
      </c>
    </row>
    <row r="49" spans="1:1" x14ac:dyDescent="0.3">
      <c r="A49" t="s">
        <v>664</v>
      </c>
    </row>
    <row r="50" spans="1:1" x14ac:dyDescent="0.3">
      <c r="A50" t="s">
        <v>665</v>
      </c>
    </row>
    <row r="51" spans="1:1" x14ac:dyDescent="0.3">
      <c r="A51" t="s">
        <v>666</v>
      </c>
    </row>
    <row r="52" spans="1:1" x14ac:dyDescent="0.3">
      <c r="A52" t="s">
        <v>667</v>
      </c>
    </row>
    <row r="53" spans="1:1" x14ac:dyDescent="0.3">
      <c r="A53" t="s">
        <v>668</v>
      </c>
    </row>
    <row r="54" spans="1:1" x14ac:dyDescent="0.3">
      <c r="A54" t="s">
        <v>669</v>
      </c>
    </row>
    <row r="55" spans="1:1" x14ac:dyDescent="0.3">
      <c r="A55" t="s">
        <v>670</v>
      </c>
    </row>
    <row r="56" spans="1:1" x14ac:dyDescent="0.3">
      <c r="A56" t="s">
        <v>671</v>
      </c>
    </row>
    <row r="57" spans="1:1" x14ac:dyDescent="0.3">
      <c r="A57" t="s">
        <v>672</v>
      </c>
    </row>
    <row r="58" spans="1:1" x14ac:dyDescent="0.3">
      <c r="A58" t="s">
        <v>673</v>
      </c>
    </row>
    <row r="59" spans="1:1" x14ac:dyDescent="0.3">
      <c r="A59" t="s">
        <v>674</v>
      </c>
    </row>
    <row r="60" spans="1:1" x14ac:dyDescent="0.3">
      <c r="A60" t="s">
        <v>675</v>
      </c>
    </row>
    <row r="61" spans="1:1" x14ac:dyDescent="0.3">
      <c r="A61" t="s">
        <v>676</v>
      </c>
    </row>
    <row r="62" spans="1:1" x14ac:dyDescent="0.3">
      <c r="A62" t="s">
        <v>677</v>
      </c>
    </row>
    <row r="63" spans="1:1" x14ac:dyDescent="0.3">
      <c r="A63" t="s">
        <v>678</v>
      </c>
    </row>
    <row r="64" spans="1:1" x14ac:dyDescent="0.3">
      <c r="A64" t="s">
        <v>679</v>
      </c>
    </row>
    <row r="65" spans="1:1" x14ac:dyDescent="0.3">
      <c r="A65" t="s">
        <v>680</v>
      </c>
    </row>
    <row r="66" spans="1:1" x14ac:dyDescent="0.3">
      <c r="A66" t="s">
        <v>681</v>
      </c>
    </row>
    <row r="67" spans="1:1" x14ac:dyDescent="0.3">
      <c r="A67" t="s">
        <v>682</v>
      </c>
    </row>
    <row r="68" spans="1:1" x14ac:dyDescent="0.3">
      <c r="A68" t="s">
        <v>683</v>
      </c>
    </row>
    <row r="69" spans="1:1" x14ac:dyDescent="0.3">
      <c r="A69" t="s">
        <v>684</v>
      </c>
    </row>
    <row r="70" spans="1:1" x14ac:dyDescent="0.3">
      <c r="A70" t="s">
        <v>685</v>
      </c>
    </row>
    <row r="71" spans="1:1" x14ac:dyDescent="0.3">
      <c r="A71" t="s">
        <v>686</v>
      </c>
    </row>
    <row r="72" spans="1:1" x14ac:dyDescent="0.3">
      <c r="A72" t="s">
        <v>687</v>
      </c>
    </row>
    <row r="73" spans="1:1" x14ac:dyDescent="0.3">
      <c r="A73" t="s">
        <v>688</v>
      </c>
    </row>
    <row r="74" spans="1:1" x14ac:dyDescent="0.3">
      <c r="A74" t="s">
        <v>689</v>
      </c>
    </row>
    <row r="75" spans="1:1" x14ac:dyDescent="0.3">
      <c r="A75" t="s">
        <v>690</v>
      </c>
    </row>
    <row r="76" spans="1:1" x14ac:dyDescent="0.3">
      <c r="A76" t="s">
        <v>691</v>
      </c>
    </row>
    <row r="77" spans="1:1" x14ac:dyDescent="0.3">
      <c r="A77" t="s">
        <v>220</v>
      </c>
    </row>
    <row r="78" spans="1:1" x14ac:dyDescent="0.3">
      <c r="A78" t="s">
        <v>692</v>
      </c>
    </row>
    <row r="79" spans="1:1" x14ac:dyDescent="0.3">
      <c r="A79" t="s">
        <v>693</v>
      </c>
    </row>
    <row r="80" spans="1:1" x14ac:dyDescent="0.3">
      <c r="A80" t="s">
        <v>694</v>
      </c>
    </row>
    <row r="81" spans="1:1" x14ac:dyDescent="0.3">
      <c r="A81" t="s">
        <v>695</v>
      </c>
    </row>
    <row r="82" spans="1:1" x14ac:dyDescent="0.3">
      <c r="A82" t="s">
        <v>696</v>
      </c>
    </row>
    <row r="83" spans="1:1" x14ac:dyDescent="0.3">
      <c r="A83" t="s">
        <v>697</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2.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EE27F334-6782-42F2-89FC-D52D6BF657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Thermostat</vt:lpstr>
      <vt:lpstr>Ventilation</vt:lpstr>
      <vt:lpstr>Water Heater</vt:lpstr>
      <vt:lpstr>Interior Lights</vt:lpstr>
      <vt:lpstr>Ext Lighting</vt:lpstr>
      <vt:lpstr>Equipment</vt:lpstr>
      <vt:lpstr>Schedules</vt:lpstr>
      <vt:lpstr>Energy Usage</vt:lpstr>
      <vt:lpstr>Weights</vt:lpstr>
      <vt:lpstr>EV Charger</vt:lpstr>
      <vt:lpstr>PV</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2026-10-07T17:09:06Z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ies>
</file>